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1"/>
  <fileSharing readOnlyRecommended="1"/>
  <workbookPr codeName="ThisWorkbook" defaultThemeVersion="166925"/>
  <mc:AlternateContent xmlns:mc="http://schemas.openxmlformats.org/markup-compatibility/2006">
    <mc:Choice Requires="x15">
      <x15ac:absPath xmlns:x15ac="http://schemas.microsoft.com/office/spreadsheetml/2010/11/ac" url="/Users/nico/Documents/documenten HHM/Sudwest Fryslan /"/>
    </mc:Choice>
  </mc:AlternateContent>
  <xr:revisionPtr revIDLastSave="0" documentId="8_{FE71FA5F-9D75-F341-8E6B-59C43A268055}" xr6:coauthVersionLast="46" xr6:coauthVersionMax="46" xr10:uidLastSave="{00000000-0000-0000-0000-000000000000}"/>
  <workbookProtection workbookAlgorithmName="SHA-512" workbookHashValue="UMMvDNbC7FNPiG6faSIdtV9Z/IyXbj+Pq9aJA7ke95dTiYxLixpmX79aMwtlIrw6LTFXdw81e/ySEqfViqyJjg==" workbookSaltValue="FZnyPUWaHANrXthaSABaRQ==" workbookSpinCount="100000" lockStructure="1"/>
  <bookViews>
    <workbookView xWindow="0" yWindow="500" windowWidth="28800" windowHeight="16580" tabRatio="977" firstSheet="8" activeTab="13" xr2:uid="{165F10B1-AC8F-4B58-96AA-1A455A888986}"/>
  </bookViews>
  <sheets>
    <sheet name="Inhoud" sheetId="32" r:id="rId1"/>
    <sheet name="Doorrekening over jaren" sheetId="10" r:id="rId2"/>
    <sheet name="Bolsward REKENMODEL" sheetId="2" r:id="rId3"/>
    <sheet name="Buitengebied REKENMODEL" sheetId="21" r:id="rId4"/>
    <sheet name="Sneek Noord REKENMODEL" sheetId="22" r:id="rId5"/>
    <sheet name="Sneek Zuid REKENMODEL" sheetId="20" r:id="rId6"/>
    <sheet name="Eenheden 2019" sheetId="18" r:id="rId7"/>
    <sheet name="Bolsward doelgroepen" sheetId="17" r:id="rId8"/>
    <sheet name="Buitengebied doelgroepen" sheetId="30" r:id="rId9"/>
    <sheet name="Sneek Noord doelgroepen" sheetId="28" r:id="rId10"/>
    <sheet name="Sneek Zuid doelgroepen" sheetId="29" r:id="rId11"/>
    <sheet name="producten &amp; tarieven" sheetId="12" r:id="rId12"/>
    <sheet name="Declarabiliteit &amp; soc lasten" sheetId="13" r:id="rId13"/>
    <sheet name="Salarissen" sheetId="14" r:id="rId14"/>
    <sheet name="T-effecten" sheetId="33" r:id="rId15"/>
    <sheet name="Investeringen" sheetId="34" r:id="rId16"/>
  </sheets>
  <definedNames>
    <definedName name="_xlnm._FilterDatabase" localSheetId="2" hidden="1">'Bolsward REKENMODEL'!$A$2:$AU$53</definedName>
    <definedName name="_xlnm._FilterDatabase" localSheetId="3" hidden="1">'Buitengebied REKENMODEL'!$A$2:$AU$53</definedName>
    <definedName name="_xlnm._FilterDatabase" localSheetId="4" hidden="1">'Sneek Noord REKENMODEL'!$A$2:$AU$53</definedName>
    <definedName name="_xlnm._FilterDatabase" localSheetId="5" hidden="1">'Sneek Zuid REKENMODEL'!$A$2:$AU$53</definedName>
    <definedName name="_xlnm.Print_Area" localSheetId="2">'Bolsward REKENMODEL'!$A$1:$O$127</definedName>
    <definedName name="_xlnm.Print_Area" localSheetId="3">'Buitengebied REKENMODEL'!$A$1:$O$128</definedName>
    <definedName name="_xlnm.Print_Area" localSheetId="4">'Sneek Noord REKENMODEL'!$A$1:$O$127</definedName>
    <definedName name="_xlnm.Print_Area" localSheetId="5">'Sneek Zuid REKENMODEL'!$A$1:$O$126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2" i="30" l="1"/>
  <c r="F12" i="30"/>
  <c r="H12" i="30"/>
  <c r="J12" i="30"/>
  <c r="D13" i="30"/>
  <c r="F13" i="30"/>
  <c r="H13" i="30"/>
  <c r="J13" i="30"/>
  <c r="J39" i="30" s="1"/>
  <c r="J41" i="30" s="1"/>
  <c r="D14" i="30"/>
  <c r="F14" i="30"/>
  <c r="H14" i="30"/>
  <c r="J14" i="30"/>
  <c r="D15" i="30"/>
  <c r="F15" i="30"/>
  <c r="H15" i="30"/>
  <c r="J15" i="30"/>
  <c r="D16" i="30"/>
  <c r="F16" i="30"/>
  <c r="H16" i="30"/>
  <c r="J16" i="30"/>
  <c r="D17" i="30"/>
  <c r="F17" i="30"/>
  <c r="H17" i="30"/>
  <c r="J17" i="30"/>
  <c r="D18" i="30"/>
  <c r="F18" i="30"/>
  <c r="H18" i="30"/>
  <c r="J18" i="30"/>
  <c r="D19" i="30"/>
  <c r="F19" i="30"/>
  <c r="H19" i="30"/>
  <c r="J19" i="30"/>
  <c r="D20" i="30"/>
  <c r="F20" i="30"/>
  <c r="H20" i="30"/>
  <c r="J20" i="30"/>
  <c r="D21" i="30"/>
  <c r="F21" i="30"/>
  <c r="H21" i="30"/>
  <c r="J21" i="30"/>
  <c r="D22" i="30"/>
  <c r="F22" i="30"/>
  <c r="H22" i="30"/>
  <c r="J22" i="30"/>
  <c r="D23" i="30"/>
  <c r="F23" i="30"/>
  <c r="H23" i="30"/>
  <c r="J23" i="30"/>
  <c r="D24" i="30"/>
  <c r="F24" i="30"/>
  <c r="H24" i="30"/>
  <c r="J24" i="30"/>
  <c r="D25" i="30"/>
  <c r="F25" i="30"/>
  <c r="H25" i="30"/>
  <c r="J25" i="30"/>
  <c r="D26" i="30"/>
  <c r="F26" i="30"/>
  <c r="H26" i="30"/>
  <c r="J26" i="30"/>
  <c r="D27" i="30"/>
  <c r="F27" i="30"/>
  <c r="H27" i="30"/>
  <c r="J27" i="30"/>
  <c r="D28" i="30"/>
  <c r="F28" i="30"/>
  <c r="H28" i="30"/>
  <c r="J28" i="30"/>
  <c r="D29" i="30"/>
  <c r="F29" i="30"/>
  <c r="H29" i="30"/>
  <c r="J29" i="30"/>
  <c r="D30" i="30"/>
  <c r="F30" i="30"/>
  <c r="H30" i="30"/>
  <c r="J30" i="30"/>
  <c r="D31" i="30"/>
  <c r="F31" i="30"/>
  <c r="H31" i="30"/>
  <c r="J31" i="30"/>
  <c r="D32" i="30"/>
  <c r="F32" i="30"/>
  <c r="H32" i="30"/>
  <c r="J32" i="30"/>
  <c r="D33" i="30"/>
  <c r="F33" i="30"/>
  <c r="H33" i="30"/>
  <c r="J33" i="30"/>
  <c r="D34" i="30"/>
  <c r="F34" i="30"/>
  <c r="H34" i="30"/>
  <c r="J34" i="30"/>
  <c r="D35" i="30"/>
  <c r="F35" i="30"/>
  <c r="H35" i="30"/>
  <c r="J35" i="30"/>
  <c r="D36" i="30"/>
  <c r="F36" i="30"/>
  <c r="H36" i="30"/>
  <c r="J36" i="30"/>
  <c r="D37" i="30"/>
  <c r="F37" i="30"/>
  <c r="H37" i="30"/>
  <c r="J37" i="30"/>
  <c r="D38" i="30"/>
  <c r="F38" i="30"/>
  <c r="H38" i="30"/>
  <c r="J38" i="30"/>
  <c r="B39" i="30"/>
  <c r="D39" i="30"/>
  <c r="D41" i="30" s="1"/>
  <c r="F39" i="30"/>
  <c r="H39" i="30"/>
  <c r="H41" i="30" s="1"/>
  <c r="F41" i="30"/>
  <c r="B6" i="17"/>
  <c r="C38" i="2" l="1"/>
  <c r="F44" i="2" l="1"/>
  <c r="F39" i="21"/>
  <c r="F44" i="21"/>
  <c r="F39" i="2"/>
  <c r="F44" i="20" l="1"/>
  <c r="F63" i="20" l="1"/>
  <c r="F62" i="20"/>
  <c r="F61" i="20"/>
  <c r="F60" i="20"/>
  <c r="F59" i="20"/>
  <c r="F63" i="22"/>
  <c r="F62" i="22"/>
  <c r="F61" i="22"/>
  <c r="F60" i="22"/>
  <c r="F59" i="22"/>
  <c r="F63" i="21"/>
  <c r="F62" i="21"/>
  <c r="F61" i="21"/>
  <c r="F60" i="21"/>
  <c r="F59" i="21"/>
  <c r="F60" i="2"/>
  <c r="F61" i="2"/>
  <c r="F62" i="2"/>
  <c r="F63" i="2"/>
  <c r="F59" i="2"/>
  <c r="H49" i="20" l="1"/>
  <c r="H44" i="20"/>
  <c r="H39" i="20"/>
  <c r="H34" i="20"/>
  <c r="H29" i="20"/>
  <c r="H24" i="20"/>
  <c r="H19" i="20"/>
  <c r="H14" i="20"/>
  <c r="H4" i="20"/>
  <c r="H9" i="20"/>
  <c r="H49" i="22"/>
  <c r="H44" i="22"/>
  <c r="H39" i="22"/>
  <c r="H34" i="22"/>
  <c r="H29" i="22"/>
  <c r="H24" i="22"/>
  <c r="H14" i="22"/>
  <c r="H19" i="22"/>
  <c r="H9" i="22"/>
  <c r="H4" i="22"/>
  <c r="H49" i="21"/>
  <c r="H44" i="21"/>
  <c r="H39" i="21"/>
  <c r="H34" i="21"/>
  <c r="H29" i="21"/>
  <c r="H19" i="21"/>
  <c r="H14" i="21"/>
  <c r="H9" i="21"/>
  <c r="H24" i="21"/>
  <c r="H4" i="21"/>
  <c r="E49" i="33" l="1"/>
  <c r="F49" i="33"/>
  <c r="G49" i="33"/>
  <c r="E44" i="33"/>
  <c r="F44" i="33"/>
  <c r="G44" i="33"/>
  <c r="E39" i="33"/>
  <c r="F39" i="33"/>
  <c r="G39" i="33"/>
  <c r="E34" i="33"/>
  <c r="F34" i="33"/>
  <c r="G34" i="33"/>
  <c r="E29" i="33"/>
  <c r="F29" i="33"/>
  <c r="G29" i="33"/>
  <c r="E24" i="33"/>
  <c r="F24" i="33"/>
  <c r="G24" i="33"/>
  <c r="E19" i="33"/>
  <c r="F19" i="33"/>
  <c r="G19" i="33"/>
  <c r="D49" i="33"/>
  <c r="D39" i="33"/>
  <c r="D44" i="33"/>
  <c r="D34" i="33"/>
  <c r="D29" i="33"/>
  <c r="D24" i="33"/>
  <c r="D19" i="33"/>
  <c r="E14" i="33"/>
  <c r="F14" i="33"/>
  <c r="G14" i="33"/>
  <c r="E9" i="33"/>
  <c r="F9" i="33"/>
  <c r="G9" i="33"/>
  <c r="D14" i="33"/>
  <c r="D9" i="33"/>
  <c r="C24" i="12" l="1"/>
  <c r="C23" i="12"/>
  <c r="B24" i="12"/>
  <c r="B23" i="12"/>
  <c r="E5" i="13" l="1"/>
  <c r="F5" i="13"/>
  <c r="D5" i="13"/>
  <c r="C5" i="13"/>
  <c r="H44" i="2" l="1"/>
  <c r="D11" i="12" l="1"/>
  <c r="B41" i="18" l="1"/>
  <c r="F38" i="18"/>
  <c r="F45" i="18"/>
  <c r="F46" i="18"/>
  <c r="F47" i="18"/>
  <c r="F44" i="18"/>
  <c r="F43" i="18"/>
  <c r="F40" i="18"/>
  <c r="F41" i="18"/>
  <c r="F42" i="18"/>
  <c r="F39" i="18"/>
  <c r="E47" i="18"/>
  <c r="D47" i="18"/>
  <c r="C47" i="18"/>
  <c r="B47" i="18"/>
  <c r="E46" i="18"/>
  <c r="D46" i="18"/>
  <c r="C46" i="18"/>
  <c r="B46" i="18"/>
  <c r="E45" i="18"/>
  <c r="D45" i="18"/>
  <c r="C45" i="18"/>
  <c r="B45" i="18"/>
  <c r="E44" i="18"/>
  <c r="D44" i="18"/>
  <c r="C44" i="18"/>
  <c r="B44" i="18"/>
  <c r="E42" i="18"/>
  <c r="D42" i="18"/>
  <c r="C42" i="18"/>
  <c r="B42" i="18"/>
  <c r="E41" i="18"/>
  <c r="D41" i="18"/>
  <c r="C41" i="18"/>
  <c r="E40" i="18"/>
  <c r="D40" i="18"/>
  <c r="C40" i="18"/>
  <c r="B40" i="18"/>
  <c r="E39" i="18"/>
  <c r="D39" i="18"/>
  <c r="C39" i="18"/>
  <c r="B39" i="18"/>
  <c r="F33" i="18" l="1"/>
  <c r="E36" i="18"/>
  <c r="D36" i="18"/>
  <c r="C36" i="18"/>
  <c r="B36" i="18"/>
  <c r="F28" i="18"/>
  <c r="E31" i="18"/>
  <c r="D31" i="18"/>
  <c r="C31" i="18"/>
  <c r="B31" i="18"/>
  <c r="F31" i="18" s="1"/>
  <c r="F23" i="18"/>
  <c r="E26" i="18"/>
  <c r="D26" i="18"/>
  <c r="C26" i="18"/>
  <c r="B26" i="18"/>
  <c r="F21" i="18"/>
  <c r="F22" i="18"/>
  <c r="F19" i="18"/>
  <c r="F18" i="18"/>
  <c r="F36" i="18" l="1"/>
  <c r="F26" i="18"/>
  <c r="F15" i="18"/>
  <c r="F17" i="18"/>
  <c r="F13" i="18"/>
  <c r="F8" i="18"/>
  <c r="E11" i="18"/>
  <c r="D11" i="18"/>
  <c r="C11" i="18"/>
  <c r="B11" i="18"/>
  <c r="F11" i="18" l="1"/>
  <c r="C23" i="13" l="1"/>
  <c r="E23" i="13"/>
  <c r="F3" i="18" l="1"/>
  <c r="B6" i="18" l="1"/>
  <c r="B42" i="17" l="1"/>
  <c r="D35" i="17"/>
  <c r="F35" i="17"/>
  <c r="H35" i="17"/>
  <c r="J35" i="17"/>
  <c r="G52" i="2" l="1"/>
  <c r="F52" i="2"/>
  <c r="G51" i="2"/>
  <c r="F51" i="2"/>
  <c r="G50" i="2"/>
  <c r="F50" i="2"/>
  <c r="H49" i="2"/>
  <c r="G49" i="2"/>
  <c r="F49" i="2"/>
  <c r="H39" i="2"/>
  <c r="G37" i="2"/>
  <c r="F37" i="2"/>
  <c r="G36" i="2"/>
  <c r="F36" i="2"/>
  <c r="G35" i="2"/>
  <c r="F35" i="2"/>
  <c r="H34" i="2"/>
  <c r="G34" i="2"/>
  <c r="F34" i="2"/>
  <c r="G32" i="2"/>
  <c r="F32" i="2"/>
  <c r="G31" i="2"/>
  <c r="F31" i="2"/>
  <c r="G30" i="2"/>
  <c r="F30" i="2"/>
  <c r="H29" i="2"/>
  <c r="G29" i="2"/>
  <c r="F29" i="2"/>
  <c r="G27" i="2"/>
  <c r="F27" i="2"/>
  <c r="G26" i="2"/>
  <c r="F26" i="2"/>
  <c r="G25" i="2"/>
  <c r="F25" i="2"/>
  <c r="H24" i="2"/>
  <c r="G24" i="2"/>
  <c r="F24" i="2"/>
  <c r="G22" i="2"/>
  <c r="F22" i="2"/>
  <c r="G21" i="2"/>
  <c r="F21" i="2"/>
  <c r="G20" i="2"/>
  <c r="F20" i="2"/>
  <c r="H19" i="2"/>
  <c r="G19" i="2"/>
  <c r="F19" i="2"/>
  <c r="G17" i="2"/>
  <c r="F17" i="2"/>
  <c r="G16" i="2"/>
  <c r="F16" i="2"/>
  <c r="G15" i="2"/>
  <c r="F15" i="2"/>
  <c r="H14" i="2"/>
  <c r="G14" i="2"/>
  <c r="F14" i="2"/>
  <c r="G12" i="2"/>
  <c r="F12" i="2"/>
  <c r="G11" i="2"/>
  <c r="F11" i="2"/>
  <c r="G10" i="2"/>
  <c r="F10" i="2"/>
  <c r="H9" i="2"/>
  <c r="G9" i="2"/>
  <c r="F9" i="2"/>
  <c r="G7" i="2"/>
  <c r="F7" i="2"/>
  <c r="G6" i="2"/>
  <c r="F6" i="2"/>
  <c r="G5" i="2"/>
  <c r="F5" i="2"/>
  <c r="H4" i="2"/>
  <c r="G4" i="2"/>
  <c r="F4" i="2"/>
  <c r="G52" i="22"/>
  <c r="F52" i="22"/>
  <c r="G51" i="22"/>
  <c r="F51" i="22"/>
  <c r="G50" i="22"/>
  <c r="F50" i="22"/>
  <c r="G49" i="22"/>
  <c r="F49" i="22"/>
  <c r="G37" i="22"/>
  <c r="F37" i="22"/>
  <c r="G36" i="22"/>
  <c r="F36" i="22"/>
  <c r="G35" i="22"/>
  <c r="F35" i="22"/>
  <c r="G34" i="22"/>
  <c r="F34" i="22"/>
  <c r="G32" i="22"/>
  <c r="F32" i="22"/>
  <c r="G31" i="22"/>
  <c r="F31" i="22"/>
  <c r="G30" i="22"/>
  <c r="F30" i="22"/>
  <c r="G29" i="22"/>
  <c r="F29" i="22"/>
  <c r="G27" i="22"/>
  <c r="F27" i="22"/>
  <c r="G26" i="22"/>
  <c r="F26" i="22"/>
  <c r="G25" i="22"/>
  <c r="F25" i="22"/>
  <c r="G24" i="22"/>
  <c r="F24" i="22"/>
  <c r="G22" i="22"/>
  <c r="F22" i="22"/>
  <c r="G21" i="22"/>
  <c r="F21" i="22"/>
  <c r="G20" i="22"/>
  <c r="F20" i="22"/>
  <c r="G19" i="22"/>
  <c r="F19" i="22"/>
  <c r="G17" i="22"/>
  <c r="F17" i="22"/>
  <c r="G16" i="22"/>
  <c r="F16" i="22"/>
  <c r="G15" i="22"/>
  <c r="F15" i="22"/>
  <c r="G14" i="22"/>
  <c r="F14" i="22"/>
  <c r="G12" i="22"/>
  <c r="F12" i="22"/>
  <c r="G11" i="22"/>
  <c r="F11" i="22"/>
  <c r="G10" i="22"/>
  <c r="F10" i="22"/>
  <c r="G9" i="22"/>
  <c r="F9" i="22"/>
  <c r="G7" i="22"/>
  <c r="F7" i="22"/>
  <c r="G6" i="22"/>
  <c r="F6" i="22"/>
  <c r="G5" i="22"/>
  <c r="F5" i="22"/>
  <c r="G4" i="22"/>
  <c r="F4" i="22"/>
  <c r="G52" i="21"/>
  <c r="F52" i="21"/>
  <c r="G51" i="21"/>
  <c r="F51" i="21"/>
  <c r="G50" i="21"/>
  <c r="F50" i="21"/>
  <c r="G49" i="21"/>
  <c r="F49" i="21"/>
  <c r="G37" i="21"/>
  <c r="F37" i="21"/>
  <c r="G36" i="21"/>
  <c r="F36" i="21"/>
  <c r="G35" i="21"/>
  <c r="F35" i="21"/>
  <c r="G34" i="21"/>
  <c r="F34" i="21"/>
  <c r="G32" i="21"/>
  <c r="F32" i="21"/>
  <c r="G31" i="21"/>
  <c r="F31" i="21"/>
  <c r="G30" i="21"/>
  <c r="F30" i="21"/>
  <c r="G29" i="21"/>
  <c r="F29" i="21"/>
  <c r="G27" i="21"/>
  <c r="F27" i="21"/>
  <c r="G26" i="21"/>
  <c r="F26" i="21"/>
  <c r="G25" i="21"/>
  <c r="F25" i="21"/>
  <c r="G24" i="21"/>
  <c r="F24" i="21"/>
  <c r="G22" i="21"/>
  <c r="F22" i="21"/>
  <c r="G21" i="21"/>
  <c r="F21" i="21"/>
  <c r="G20" i="21"/>
  <c r="F20" i="21"/>
  <c r="G19" i="21"/>
  <c r="F19" i="21"/>
  <c r="G17" i="21"/>
  <c r="F17" i="21"/>
  <c r="G16" i="21"/>
  <c r="F16" i="21"/>
  <c r="G15" i="21"/>
  <c r="F15" i="21"/>
  <c r="G14" i="21"/>
  <c r="F14" i="21"/>
  <c r="G12" i="21"/>
  <c r="F12" i="21"/>
  <c r="G11" i="21"/>
  <c r="F11" i="21"/>
  <c r="G10" i="21"/>
  <c r="F10" i="21"/>
  <c r="G9" i="21"/>
  <c r="F9" i="21"/>
  <c r="G7" i="21"/>
  <c r="F7" i="21"/>
  <c r="G6" i="21"/>
  <c r="F6" i="21"/>
  <c r="G5" i="21"/>
  <c r="F5" i="21"/>
  <c r="G4" i="21"/>
  <c r="F4" i="21"/>
  <c r="G17" i="20"/>
  <c r="G15" i="20"/>
  <c r="G16" i="20"/>
  <c r="G14" i="20"/>
  <c r="F15" i="20"/>
  <c r="F16" i="20"/>
  <c r="F17" i="20"/>
  <c r="F14" i="20"/>
  <c r="C41" i="21"/>
  <c r="C43" i="21"/>
  <c r="C45" i="20"/>
  <c r="C39" i="20"/>
  <c r="C47" i="21" l="1"/>
  <c r="C45" i="22"/>
  <c r="C43" i="2"/>
  <c r="C46" i="21"/>
  <c r="C38" i="22"/>
  <c r="C46" i="22"/>
  <c r="C44" i="2"/>
  <c r="C45" i="21"/>
  <c r="C43" i="22"/>
  <c r="C44" i="21"/>
  <c r="C44" i="22"/>
  <c r="C42" i="2"/>
  <c r="C39" i="22"/>
  <c r="C47" i="22"/>
  <c r="C45" i="2"/>
  <c r="C38" i="21"/>
  <c r="C39" i="21"/>
  <c r="C41" i="2"/>
  <c r="C40" i="21"/>
  <c r="C40" i="22"/>
  <c r="C46" i="2"/>
  <c r="C41" i="22"/>
  <c r="C39" i="2"/>
  <c r="C47" i="2"/>
  <c r="C42" i="21"/>
  <c r="C42" i="22"/>
  <c r="C40" i="2"/>
  <c r="C47" i="20"/>
  <c r="C46" i="20"/>
  <c r="C42" i="20"/>
  <c r="C41" i="20"/>
  <c r="C40" i="20"/>
  <c r="C43" i="20"/>
  <c r="C44" i="20"/>
  <c r="C38" i="20"/>
  <c r="G50" i="20" l="1"/>
  <c r="G51" i="20"/>
  <c r="G52" i="20"/>
  <c r="F50" i="20"/>
  <c r="F51" i="20"/>
  <c r="F52" i="20"/>
  <c r="G49" i="20"/>
  <c r="F49" i="20"/>
  <c r="F37" i="20"/>
  <c r="G35" i="20"/>
  <c r="G36" i="20"/>
  <c r="G37" i="20"/>
  <c r="G34" i="20"/>
  <c r="F35" i="20"/>
  <c r="F36" i="20"/>
  <c r="F34" i="20"/>
  <c r="G30" i="20"/>
  <c r="G31" i="20"/>
  <c r="G32" i="20"/>
  <c r="F30" i="20"/>
  <c r="F31" i="20"/>
  <c r="F32" i="20"/>
  <c r="G29" i="20"/>
  <c r="F29" i="20"/>
  <c r="G25" i="20"/>
  <c r="G26" i="20"/>
  <c r="G27" i="20"/>
  <c r="G24" i="20"/>
  <c r="F25" i="20"/>
  <c r="F26" i="20"/>
  <c r="F27" i="20"/>
  <c r="F24" i="20"/>
  <c r="G20" i="20"/>
  <c r="G21" i="20"/>
  <c r="G22" i="20"/>
  <c r="G19" i="20"/>
  <c r="F20" i="20"/>
  <c r="F21" i="20"/>
  <c r="F22" i="20"/>
  <c r="F19" i="20"/>
  <c r="F12" i="20"/>
  <c r="G10" i="20"/>
  <c r="G11" i="20"/>
  <c r="G12" i="20"/>
  <c r="G9" i="20"/>
  <c r="F10" i="20"/>
  <c r="F11" i="20"/>
  <c r="F9" i="20"/>
  <c r="F7" i="20"/>
  <c r="G5" i="20"/>
  <c r="G6" i="20"/>
  <c r="G7" i="20"/>
  <c r="F5" i="20"/>
  <c r="F6" i="20"/>
  <c r="G4" i="20"/>
  <c r="F4" i="20"/>
  <c r="K4" i="12" l="1"/>
  <c r="L4" i="12"/>
  <c r="H16" i="18" l="1"/>
  <c r="H14" i="18"/>
  <c r="E16" i="18" l="1"/>
  <c r="D16" i="18"/>
  <c r="C16" i="18"/>
  <c r="B16" i="18"/>
  <c r="C14" i="18"/>
  <c r="D14" i="18"/>
  <c r="B14" i="18"/>
  <c r="E14" i="18"/>
  <c r="F14" i="18" l="1"/>
  <c r="F16" i="18"/>
  <c r="C6" i="13"/>
  <c r="C11" i="13" s="1"/>
  <c r="C14" i="13" s="1"/>
  <c r="J40" i="17" l="1"/>
  <c r="H40" i="17"/>
  <c r="F40" i="17"/>
  <c r="D40" i="17"/>
  <c r="J23" i="17"/>
  <c r="H23" i="17"/>
  <c r="F23" i="17"/>
  <c r="D23" i="17"/>
  <c r="J21" i="17"/>
  <c r="H21" i="17"/>
  <c r="F21" i="17"/>
  <c r="D21" i="17"/>
  <c r="J13" i="17"/>
  <c r="H13" i="17"/>
  <c r="F13" i="17"/>
  <c r="D13" i="17"/>
  <c r="J34" i="28" l="1"/>
  <c r="H34" i="28"/>
  <c r="F34" i="28"/>
  <c r="D34" i="28"/>
  <c r="J26" i="29"/>
  <c r="H26" i="29"/>
  <c r="F26" i="29"/>
  <c r="D26" i="29"/>
  <c r="J25" i="29"/>
  <c r="H25" i="29"/>
  <c r="F25" i="29"/>
  <c r="D25" i="29"/>
  <c r="J24" i="29"/>
  <c r="H24" i="29"/>
  <c r="F24" i="29"/>
  <c r="D24" i="29"/>
  <c r="J22" i="29"/>
  <c r="H22" i="29"/>
  <c r="F22" i="29"/>
  <c r="D22" i="29"/>
  <c r="J21" i="29"/>
  <c r="H21" i="29"/>
  <c r="F21" i="29"/>
  <c r="D21" i="29"/>
  <c r="J20" i="29"/>
  <c r="H20" i="29"/>
  <c r="F20" i="29"/>
  <c r="D20" i="29"/>
  <c r="J18" i="29"/>
  <c r="H18" i="29"/>
  <c r="F18" i="29"/>
  <c r="D18" i="29"/>
  <c r="J16" i="29"/>
  <c r="H16" i="29"/>
  <c r="F16" i="29"/>
  <c r="D16" i="29"/>
  <c r="J15" i="29"/>
  <c r="H15" i="29"/>
  <c r="F15" i="29"/>
  <c r="D15" i="29"/>
  <c r="J14" i="29"/>
  <c r="H14" i="29"/>
  <c r="F14" i="29"/>
  <c r="D14" i="29"/>
  <c r="J13" i="29"/>
  <c r="H13" i="29"/>
  <c r="F13" i="29"/>
  <c r="D13" i="29"/>
  <c r="J12" i="29"/>
  <c r="H12" i="29"/>
  <c r="F12" i="29"/>
  <c r="D12" i="29"/>
  <c r="J34" i="29"/>
  <c r="H34" i="29"/>
  <c r="F34" i="29"/>
  <c r="D34" i="29"/>
  <c r="J33" i="29"/>
  <c r="H33" i="29"/>
  <c r="F33" i="29"/>
  <c r="D33" i="29"/>
  <c r="J32" i="29"/>
  <c r="H32" i="29"/>
  <c r="F32" i="29"/>
  <c r="D32" i="29"/>
  <c r="J31" i="29"/>
  <c r="H31" i="29"/>
  <c r="F31" i="29"/>
  <c r="D31" i="29"/>
  <c r="J30" i="29"/>
  <c r="H30" i="29"/>
  <c r="F30" i="29"/>
  <c r="D30" i="29"/>
  <c r="J29" i="29"/>
  <c r="H29" i="29"/>
  <c r="F29" i="29"/>
  <c r="D29" i="29"/>
  <c r="J40" i="28"/>
  <c r="H40" i="28"/>
  <c r="F40" i="28"/>
  <c r="D40" i="28"/>
  <c r="J36" i="17"/>
  <c r="H36" i="17"/>
  <c r="F36" i="17"/>
  <c r="D36" i="17"/>
  <c r="J38" i="28"/>
  <c r="H38" i="28"/>
  <c r="F38" i="28"/>
  <c r="D38" i="28"/>
  <c r="J39" i="28"/>
  <c r="H39" i="28"/>
  <c r="F39" i="28"/>
  <c r="D39" i="28"/>
  <c r="J37" i="28"/>
  <c r="H37" i="28"/>
  <c r="F37" i="28"/>
  <c r="D37" i="28"/>
  <c r="J36" i="28"/>
  <c r="H36" i="28"/>
  <c r="F36" i="28"/>
  <c r="D36" i="28"/>
  <c r="J35" i="28"/>
  <c r="H35" i="28"/>
  <c r="F35" i="28"/>
  <c r="D35" i="28"/>
  <c r="J33" i="28"/>
  <c r="H33" i="28"/>
  <c r="F33" i="28"/>
  <c r="D33" i="28"/>
  <c r="J32" i="28"/>
  <c r="H32" i="28"/>
  <c r="F32" i="28"/>
  <c r="D32" i="28"/>
  <c r="J31" i="28"/>
  <c r="H31" i="28"/>
  <c r="F31" i="28"/>
  <c r="D31" i="28"/>
  <c r="J30" i="28"/>
  <c r="H30" i="28"/>
  <c r="F30" i="28"/>
  <c r="D30" i="28"/>
  <c r="J29" i="28"/>
  <c r="H29" i="28"/>
  <c r="F29" i="28"/>
  <c r="D29" i="28"/>
  <c r="J28" i="28"/>
  <c r="H28" i="28"/>
  <c r="F28" i="28"/>
  <c r="D28" i="28"/>
  <c r="J25" i="28"/>
  <c r="H25" i="28"/>
  <c r="F25" i="28"/>
  <c r="D25" i="28"/>
  <c r="J23" i="28"/>
  <c r="H23" i="28"/>
  <c r="F23" i="28"/>
  <c r="D23" i="28"/>
  <c r="J20" i="28"/>
  <c r="H20" i="28"/>
  <c r="F20" i="28"/>
  <c r="D20" i="28"/>
  <c r="J19" i="28"/>
  <c r="H19" i="28"/>
  <c r="F19" i="28"/>
  <c r="D19" i="28"/>
  <c r="J17" i="28"/>
  <c r="H17" i="28"/>
  <c r="F17" i="28"/>
  <c r="D17" i="28"/>
  <c r="J16" i="28"/>
  <c r="H16" i="28"/>
  <c r="F16" i="28"/>
  <c r="D16" i="28"/>
  <c r="J15" i="28"/>
  <c r="H15" i="28"/>
  <c r="F15" i="28"/>
  <c r="D15" i="28"/>
  <c r="J14" i="28"/>
  <c r="H14" i="28"/>
  <c r="F14" i="28"/>
  <c r="D14" i="28"/>
  <c r="J12" i="28"/>
  <c r="H12" i="28"/>
  <c r="F12" i="28"/>
  <c r="D12" i="28"/>
  <c r="J32" i="17"/>
  <c r="H32" i="17"/>
  <c r="F32" i="17"/>
  <c r="D32" i="17"/>
  <c r="J30" i="17"/>
  <c r="H30" i="17"/>
  <c r="F30" i="17"/>
  <c r="D30" i="17"/>
  <c r="J29" i="17"/>
  <c r="H29" i="17"/>
  <c r="F29" i="17"/>
  <c r="D29" i="17"/>
  <c r="J26" i="17"/>
  <c r="H26" i="17"/>
  <c r="F26" i="17"/>
  <c r="D26" i="17"/>
  <c r="J37" i="17"/>
  <c r="H37" i="17"/>
  <c r="F37" i="17"/>
  <c r="D37" i="17"/>
  <c r="J34" i="17"/>
  <c r="H34" i="17"/>
  <c r="F34" i="17"/>
  <c r="D34" i="17"/>
  <c r="J33" i="17"/>
  <c r="H33" i="17"/>
  <c r="F33" i="17"/>
  <c r="D33" i="17"/>
  <c r="J31" i="17"/>
  <c r="H31" i="17"/>
  <c r="F31" i="17"/>
  <c r="D31" i="17"/>
  <c r="J25" i="17"/>
  <c r="H25" i="17"/>
  <c r="F25" i="17"/>
  <c r="D25" i="17"/>
  <c r="J24" i="17"/>
  <c r="H24" i="17"/>
  <c r="F24" i="17"/>
  <c r="D24" i="17"/>
  <c r="J22" i="17"/>
  <c r="H22" i="17"/>
  <c r="F22" i="17"/>
  <c r="D22" i="17"/>
  <c r="J20" i="17"/>
  <c r="H20" i="17"/>
  <c r="F20" i="17"/>
  <c r="D20" i="17"/>
  <c r="J19" i="17"/>
  <c r="H19" i="17"/>
  <c r="F19" i="17"/>
  <c r="D19" i="17"/>
  <c r="J18" i="17"/>
  <c r="H18" i="17"/>
  <c r="F18" i="17"/>
  <c r="D18" i="17"/>
  <c r="J17" i="17"/>
  <c r="H17" i="17"/>
  <c r="F17" i="17"/>
  <c r="D17" i="17"/>
  <c r="J16" i="17"/>
  <c r="H16" i="17"/>
  <c r="F16" i="17"/>
  <c r="D16" i="17"/>
  <c r="D15" i="17"/>
  <c r="J15" i="17"/>
  <c r="H15" i="17"/>
  <c r="F15" i="17"/>
  <c r="J14" i="17"/>
  <c r="H14" i="17"/>
  <c r="F14" i="17"/>
  <c r="D14" i="17"/>
  <c r="J12" i="17"/>
  <c r="H12" i="17"/>
  <c r="F12" i="17"/>
  <c r="D12" i="17"/>
  <c r="A8" i="30" l="1"/>
  <c r="A6" i="30"/>
  <c r="B35" i="29"/>
  <c r="J28" i="29"/>
  <c r="J35" i="29" s="1"/>
  <c r="H28" i="29"/>
  <c r="F28" i="29"/>
  <c r="D28" i="29"/>
  <c r="J27" i="29"/>
  <c r="H27" i="29"/>
  <c r="F27" i="29"/>
  <c r="D27" i="29"/>
  <c r="J23" i="29"/>
  <c r="H23" i="29"/>
  <c r="F23" i="29"/>
  <c r="D23" i="29"/>
  <c r="J19" i="29"/>
  <c r="H19" i="29"/>
  <c r="F19" i="29"/>
  <c r="D19" i="29"/>
  <c r="J17" i="29"/>
  <c r="H17" i="29"/>
  <c r="F17" i="29"/>
  <c r="D17" i="29"/>
  <c r="A8" i="29"/>
  <c r="A6" i="29"/>
  <c r="B41" i="28"/>
  <c r="J27" i="28"/>
  <c r="H27" i="28"/>
  <c r="F27" i="28"/>
  <c r="D27" i="28"/>
  <c r="J26" i="28"/>
  <c r="H26" i="28"/>
  <c r="F26" i="28"/>
  <c r="D26" i="28"/>
  <c r="J24" i="28"/>
  <c r="H24" i="28"/>
  <c r="F24" i="28"/>
  <c r="D24" i="28"/>
  <c r="J22" i="28"/>
  <c r="H22" i="28"/>
  <c r="F22" i="28"/>
  <c r="D22" i="28"/>
  <c r="J21" i="28"/>
  <c r="H21" i="28"/>
  <c r="F21" i="28"/>
  <c r="D21" i="28"/>
  <c r="J18" i="28"/>
  <c r="H18" i="28"/>
  <c r="F18" i="28"/>
  <c r="D18" i="28"/>
  <c r="J13" i="28"/>
  <c r="H13" i="28"/>
  <c r="F13" i="28"/>
  <c r="D13" i="28"/>
  <c r="D41" i="28" s="1"/>
  <c r="D43" i="28" s="1"/>
  <c r="B5" i="28" s="1"/>
  <c r="D4" i="18" s="1"/>
  <c r="A8" i="28"/>
  <c r="A6" i="28"/>
  <c r="J41" i="28" l="1"/>
  <c r="J43" i="28" s="1"/>
  <c r="B8" i="28" s="1"/>
  <c r="D7" i="18" s="1"/>
  <c r="H41" i="28"/>
  <c r="H43" i="28" s="1"/>
  <c r="B7" i="28" s="1"/>
  <c r="D6" i="18" s="1"/>
  <c r="F41" i="28"/>
  <c r="F43" i="28" s="1"/>
  <c r="B6" i="28" s="1"/>
  <c r="D5" i="18" s="1"/>
  <c r="H35" i="29"/>
  <c r="H37" i="29" s="1"/>
  <c r="B7" i="29" s="1"/>
  <c r="E6" i="18" s="1"/>
  <c r="D35" i="29"/>
  <c r="D37" i="29" s="1"/>
  <c r="B5" i="29" s="1"/>
  <c r="E4" i="18" s="1"/>
  <c r="F35" i="29"/>
  <c r="F37" i="29" s="1"/>
  <c r="B6" i="29" s="1"/>
  <c r="E5" i="18" s="1"/>
  <c r="J37" i="29"/>
  <c r="B8" i="29" s="1"/>
  <c r="E7" i="18" s="1"/>
  <c r="B6" i="30"/>
  <c r="C5" i="18" s="1"/>
  <c r="B8" i="30"/>
  <c r="C7" i="18" s="1"/>
  <c r="B5" i="30"/>
  <c r="C4" i="18" s="1"/>
  <c r="B7" i="30"/>
  <c r="C6" i="18" s="1"/>
  <c r="A6" i="17"/>
  <c r="F6" i="18" l="1"/>
  <c r="D7" i="22"/>
  <c r="D115" i="22" s="1"/>
  <c r="D5" i="22"/>
  <c r="D85" i="22" s="1"/>
  <c r="D26" i="20"/>
  <c r="D103" i="20" s="1"/>
  <c r="D6" i="20"/>
  <c r="D99" i="20" s="1"/>
  <c r="D11" i="20"/>
  <c r="D100" i="20" s="1"/>
  <c r="D31" i="20"/>
  <c r="D5" i="20"/>
  <c r="B9" i="29"/>
  <c r="D31" i="22"/>
  <c r="D105" i="22" s="1"/>
  <c r="D11" i="22"/>
  <c r="D101" i="22" s="1"/>
  <c r="D36" i="22"/>
  <c r="D26" i="22"/>
  <c r="D104" i="22" s="1"/>
  <c r="D6" i="22"/>
  <c r="D100" i="22" s="1"/>
  <c r="B9" i="28"/>
  <c r="D5" i="21"/>
  <c r="D36" i="21"/>
  <c r="D106" i="21" s="1"/>
  <c r="D26" i="21"/>
  <c r="D104" i="21" s="1"/>
  <c r="D6" i="21"/>
  <c r="D11" i="21"/>
  <c r="D101" i="21" s="1"/>
  <c r="B9" i="30"/>
  <c r="D4" i="21"/>
  <c r="D70" i="21" s="1"/>
  <c r="D7" i="20"/>
  <c r="D114" i="20" s="1"/>
  <c r="D8" i="20"/>
  <c r="D13" i="20"/>
  <c r="D14" i="20"/>
  <c r="D15" i="20"/>
  <c r="D16" i="20"/>
  <c r="D17" i="20"/>
  <c r="D18" i="20"/>
  <c r="D19" i="20"/>
  <c r="D20" i="20"/>
  <c r="D21" i="20"/>
  <c r="D102" i="20" s="1"/>
  <c r="D22" i="20"/>
  <c r="D117" i="20" s="1"/>
  <c r="D23" i="20"/>
  <c r="D28" i="20"/>
  <c r="D33" i="20"/>
  <c r="D36" i="20"/>
  <c r="D105" i="20" s="1"/>
  <c r="D38" i="20"/>
  <c r="D43" i="20"/>
  <c r="D4" i="20"/>
  <c r="D3" i="20"/>
  <c r="D8" i="22"/>
  <c r="D13" i="22"/>
  <c r="D14" i="22"/>
  <c r="D15" i="22"/>
  <c r="D16" i="22"/>
  <c r="D17" i="22"/>
  <c r="D18" i="22"/>
  <c r="D19" i="22"/>
  <c r="D73" i="22" s="1"/>
  <c r="D20" i="22"/>
  <c r="D88" i="22" s="1"/>
  <c r="D21" i="22"/>
  <c r="D103" i="22" s="1"/>
  <c r="D22" i="22"/>
  <c r="D118" i="22" s="1"/>
  <c r="D23" i="22"/>
  <c r="D28" i="22"/>
  <c r="D33" i="22"/>
  <c r="D38" i="22"/>
  <c r="D43" i="22"/>
  <c r="D4" i="22"/>
  <c r="D70" i="22" s="1"/>
  <c r="D3" i="22"/>
  <c r="D38" i="21"/>
  <c r="D43" i="21"/>
  <c r="D33" i="21"/>
  <c r="D31" i="21"/>
  <c r="D105" i="21" s="1"/>
  <c r="D28" i="21"/>
  <c r="D23" i="21"/>
  <c r="D20" i="21"/>
  <c r="D88" i="21" s="1"/>
  <c r="D21" i="21"/>
  <c r="D103" i="21" s="1"/>
  <c r="D22" i="21"/>
  <c r="D118" i="21" s="1"/>
  <c r="D19" i="21"/>
  <c r="D73" i="21" s="1"/>
  <c r="D18" i="21"/>
  <c r="D16" i="21"/>
  <c r="D17" i="21"/>
  <c r="D15" i="21"/>
  <c r="D14" i="21"/>
  <c r="D13" i="21"/>
  <c r="D8" i="21"/>
  <c r="D7" i="21"/>
  <c r="D3" i="21"/>
  <c r="H124" i="22"/>
  <c r="G124" i="22"/>
  <c r="F124" i="22"/>
  <c r="D124" i="22"/>
  <c r="H123" i="22"/>
  <c r="H122" i="22"/>
  <c r="H121" i="22"/>
  <c r="G121" i="22"/>
  <c r="F121" i="22"/>
  <c r="H120" i="22"/>
  <c r="G120" i="22"/>
  <c r="F120" i="22"/>
  <c r="H119" i="22"/>
  <c r="G119" i="22"/>
  <c r="F119" i="22"/>
  <c r="H118" i="22"/>
  <c r="G118" i="22"/>
  <c r="F118" i="22"/>
  <c r="H117" i="22"/>
  <c r="G117" i="22"/>
  <c r="F117" i="22"/>
  <c r="H116" i="22"/>
  <c r="G116" i="22"/>
  <c r="F116" i="22"/>
  <c r="H115" i="22"/>
  <c r="G115" i="22"/>
  <c r="F115" i="22"/>
  <c r="B113" i="22"/>
  <c r="H109" i="22"/>
  <c r="G109" i="22"/>
  <c r="F109" i="22"/>
  <c r="D109" i="22"/>
  <c r="H108" i="22"/>
  <c r="H107" i="22"/>
  <c r="H106" i="22"/>
  <c r="G106" i="22"/>
  <c r="F106" i="22"/>
  <c r="H105" i="22"/>
  <c r="G105" i="22"/>
  <c r="F105" i="22"/>
  <c r="H104" i="22"/>
  <c r="G104" i="22"/>
  <c r="F104" i="22"/>
  <c r="H103" i="22"/>
  <c r="G103" i="22"/>
  <c r="F103" i="22"/>
  <c r="H102" i="22"/>
  <c r="G102" i="22"/>
  <c r="F102" i="22"/>
  <c r="H101" i="22"/>
  <c r="G101" i="22"/>
  <c r="F101" i="22"/>
  <c r="H100" i="22"/>
  <c r="G100" i="22"/>
  <c r="F100" i="22"/>
  <c r="B98" i="22"/>
  <c r="H94" i="22"/>
  <c r="G94" i="22"/>
  <c r="F94" i="22"/>
  <c r="D94" i="22"/>
  <c r="H93" i="22"/>
  <c r="H92" i="22"/>
  <c r="H91" i="22"/>
  <c r="G91" i="22"/>
  <c r="F91" i="22"/>
  <c r="H90" i="22"/>
  <c r="G90" i="22"/>
  <c r="F90" i="22"/>
  <c r="H89" i="22"/>
  <c r="G89" i="22"/>
  <c r="F89" i="22"/>
  <c r="H88" i="22"/>
  <c r="G88" i="22"/>
  <c r="F88" i="22"/>
  <c r="H87" i="22"/>
  <c r="G87" i="22"/>
  <c r="F87" i="22"/>
  <c r="H86" i="22"/>
  <c r="G86" i="22"/>
  <c r="F86" i="22"/>
  <c r="H85" i="22"/>
  <c r="G85" i="22"/>
  <c r="F85" i="22"/>
  <c r="B83" i="22"/>
  <c r="H79" i="22"/>
  <c r="G79" i="22"/>
  <c r="F79" i="22"/>
  <c r="D79" i="22"/>
  <c r="C79" i="22"/>
  <c r="C124" i="22" s="1"/>
  <c r="H78" i="22"/>
  <c r="H77" i="22"/>
  <c r="H76" i="22"/>
  <c r="G76" i="22"/>
  <c r="F76" i="22"/>
  <c r="H75" i="22"/>
  <c r="G75" i="22"/>
  <c r="F75" i="22"/>
  <c r="H74" i="22"/>
  <c r="G74" i="22"/>
  <c r="F74" i="22"/>
  <c r="B74" i="22"/>
  <c r="H73" i="22"/>
  <c r="G73" i="22"/>
  <c r="F73" i="22"/>
  <c r="B73" i="22"/>
  <c r="H72" i="22"/>
  <c r="G72" i="22"/>
  <c r="F72" i="22"/>
  <c r="B72" i="22"/>
  <c r="H71" i="22"/>
  <c r="G71" i="22"/>
  <c r="F71" i="22"/>
  <c r="B71" i="22"/>
  <c r="H70" i="22"/>
  <c r="G70" i="22"/>
  <c r="F70" i="22"/>
  <c r="B70" i="22"/>
  <c r="B68" i="22"/>
  <c r="E52" i="22"/>
  <c r="J52" i="22" s="1"/>
  <c r="E51" i="22"/>
  <c r="E50" i="22"/>
  <c r="E49" i="22"/>
  <c r="E48" i="22"/>
  <c r="H124" i="21"/>
  <c r="G124" i="21"/>
  <c r="F124" i="21"/>
  <c r="D124" i="21"/>
  <c r="H123" i="21"/>
  <c r="H122" i="21"/>
  <c r="H121" i="21"/>
  <c r="G121" i="21"/>
  <c r="F121" i="21"/>
  <c r="H120" i="21"/>
  <c r="G120" i="21"/>
  <c r="F120" i="21"/>
  <c r="H119" i="21"/>
  <c r="G119" i="21"/>
  <c r="F119" i="21"/>
  <c r="H118" i="21"/>
  <c r="G118" i="21"/>
  <c r="F118" i="21"/>
  <c r="H117" i="21"/>
  <c r="G117" i="21"/>
  <c r="F117" i="21"/>
  <c r="H116" i="21"/>
  <c r="G116" i="21"/>
  <c r="F116" i="21"/>
  <c r="H115" i="21"/>
  <c r="G115" i="21"/>
  <c r="F115" i="21"/>
  <c r="B113" i="21"/>
  <c r="H109" i="21"/>
  <c r="G109" i="21"/>
  <c r="F109" i="21"/>
  <c r="D109" i="21"/>
  <c r="H108" i="21"/>
  <c r="H107" i="21"/>
  <c r="H106" i="21"/>
  <c r="G106" i="21"/>
  <c r="F106" i="21"/>
  <c r="H105" i="21"/>
  <c r="G105" i="21"/>
  <c r="F105" i="21"/>
  <c r="H104" i="21"/>
  <c r="G104" i="21"/>
  <c r="F104" i="21"/>
  <c r="H103" i="21"/>
  <c r="G103" i="21"/>
  <c r="F103" i="21"/>
  <c r="H102" i="21"/>
  <c r="G102" i="21"/>
  <c r="F102" i="21"/>
  <c r="H101" i="21"/>
  <c r="G101" i="21"/>
  <c r="F101" i="21"/>
  <c r="H100" i="21"/>
  <c r="G100" i="21"/>
  <c r="F100" i="21"/>
  <c r="B98" i="21"/>
  <c r="H94" i="21"/>
  <c r="G94" i="21"/>
  <c r="F94" i="21"/>
  <c r="D94" i="21"/>
  <c r="H93" i="21"/>
  <c r="H92" i="21"/>
  <c r="H91" i="21"/>
  <c r="G91" i="21"/>
  <c r="F91" i="21"/>
  <c r="H90" i="21"/>
  <c r="G90" i="21"/>
  <c r="F90" i="21"/>
  <c r="H89" i="21"/>
  <c r="G89" i="21"/>
  <c r="F89" i="21"/>
  <c r="H88" i="21"/>
  <c r="G88" i="21"/>
  <c r="F88" i="21"/>
  <c r="H87" i="21"/>
  <c r="G87" i="21"/>
  <c r="F87" i="21"/>
  <c r="H86" i="21"/>
  <c r="G86" i="21"/>
  <c r="F86" i="21"/>
  <c r="H85" i="21"/>
  <c r="G85" i="21"/>
  <c r="F85" i="21"/>
  <c r="B83" i="21"/>
  <c r="H79" i="21"/>
  <c r="G79" i="21"/>
  <c r="F79" i="21"/>
  <c r="D79" i="21"/>
  <c r="C79" i="21"/>
  <c r="C124" i="21" s="1"/>
  <c r="H78" i="21"/>
  <c r="H77" i="21"/>
  <c r="H76" i="21"/>
  <c r="G76" i="21"/>
  <c r="F76" i="21"/>
  <c r="H75" i="21"/>
  <c r="G75" i="21"/>
  <c r="F75" i="21"/>
  <c r="H74" i="21"/>
  <c r="G74" i="21"/>
  <c r="F74" i="21"/>
  <c r="B74" i="21"/>
  <c r="H73" i="21"/>
  <c r="G73" i="21"/>
  <c r="F73" i="21"/>
  <c r="B73" i="21"/>
  <c r="H72" i="21"/>
  <c r="G72" i="21"/>
  <c r="F72" i="21"/>
  <c r="B72" i="21"/>
  <c r="H71" i="21"/>
  <c r="G71" i="21"/>
  <c r="F71" i="21"/>
  <c r="B71" i="21"/>
  <c r="H70" i="21"/>
  <c r="G70" i="21"/>
  <c r="F70" i="21"/>
  <c r="B70" i="21"/>
  <c r="B68" i="21"/>
  <c r="E52" i="21"/>
  <c r="E51" i="21"/>
  <c r="E50" i="21"/>
  <c r="E49" i="21"/>
  <c r="E48" i="21"/>
  <c r="H123" i="20"/>
  <c r="G123" i="20"/>
  <c r="F123" i="20"/>
  <c r="D123" i="20"/>
  <c r="H122" i="20"/>
  <c r="H121" i="20"/>
  <c r="H120" i="20"/>
  <c r="G120" i="20"/>
  <c r="F120" i="20"/>
  <c r="H119" i="20"/>
  <c r="G119" i="20"/>
  <c r="F119" i="20"/>
  <c r="H118" i="20"/>
  <c r="G118" i="20"/>
  <c r="F118" i="20"/>
  <c r="H117" i="20"/>
  <c r="G117" i="20"/>
  <c r="F117" i="20"/>
  <c r="H116" i="20"/>
  <c r="G116" i="20"/>
  <c r="F116" i="20"/>
  <c r="H115" i="20"/>
  <c r="G115" i="20"/>
  <c r="F115" i="20"/>
  <c r="H114" i="20"/>
  <c r="G114" i="20"/>
  <c r="F114" i="20"/>
  <c r="B112" i="20"/>
  <c r="H108" i="20"/>
  <c r="G108" i="20"/>
  <c r="F108" i="20"/>
  <c r="D108" i="20"/>
  <c r="H107" i="20"/>
  <c r="H106" i="20"/>
  <c r="H105" i="20"/>
  <c r="G105" i="20"/>
  <c r="F105" i="20"/>
  <c r="H104" i="20"/>
  <c r="G104" i="20"/>
  <c r="F104" i="20"/>
  <c r="H103" i="20"/>
  <c r="G103" i="20"/>
  <c r="F103" i="20"/>
  <c r="H102" i="20"/>
  <c r="G102" i="20"/>
  <c r="F102" i="20"/>
  <c r="H101" i="20"/>
  <c r="G101" i="20"/>
  <c r="F101" i="20"/>
  <c r="H100" i="20"/>
  <c r="G100" i="20"/>
  <c r="F100" i="20"/>
  <c r="H99" i="20"/>
  <c r="G99" i="20"/>
  <c r="F99" i="20"/>
  <c r="B97" i="20"/>
  <c r="H93" i="20"/>
  <c r="G93" i="20"/>
  <c r="F93" i="20"/>
  <c r="D93" i="20"/>
  <c r="H92" i="20"/>
  <c r="H91" i="20"/>
  <c r="H90" i="20"/>
  <c r="G90" i="20"/>
  <c r="F90" i="20"/>
  <c r="H89" i="20"/>
  <c r="G89" i="20"/>
  <c r="F89" i="20"/>
  <c r="H88" i="20"/>
  <c r="G88" i="20"/>
  <c r="F88" i="20"/>
  <c r="H87" i="20"/>
  <c r="G87" i="20"/>
  <c r="F87" i="20"/>
  <c r="H86" i="20"/>
  <c r="G86" i="20"/>
  <c r="F86" i="20"/>
  <c r="H85" i="20"/>
  <c r="G85" i="20"/>
  <c r="F85" i="20"/>
  <c r="H84" i="20"/>
  <c r="G84" i="20"/>
  <c r="F84" i="20"/>
  <c r="B82" i="20"/>
  <c r="H78" i="20"/>
  <c r="G78" i="20"/>
  <c r="F78" i="20"/>
  <c r="D78" i="20"/>
  <c r="C78" i="20"/>
  <c r="C123" i="20" s="1"/>
  <c r="H77" i="20"/>
  <c r="H76" i="20"/>
  <c r="H75" i="20"/>
  <c r="G75" i="20"/>
  <c r="F75" i="20"/>
  <c r="H74" i="20"/>
  <c r="G74" i="20"/>
  <c r="F74" i="20"/>
  <c r="H73" i="20"/>
  <c r="G73" i="20"/>
  <c r="F73" i="20"/>
  <c r="B73" i="20"/>
  <c r="H72" i="20"/>
  <c r="G72" i="20"/>
  <c r="F72" i="20"/>
  <c r="B72" i="20"/>
  <c r="H71" i="20"/>
  <c r="G71" i="20"/>
  <c r="F71" i="20"/>
  <c r="B71" i="20"/>
  <c r="H70" i="20"/>
  <c r="G70" i="20"/>
  <c r="F70" i="20"/>
  <c r="B70" i="20"/>
  <c r="H69" i="20"/>
  <c r="G69" i="20"/>
  <c r="F69" i="20"/>
  <c r="B69" i="20"/>
  <c r="B67" i="20"/>
  <c r="E52" i="20"/>
  <c r="E51" i="20"/>
  <c r="E50" i="20"/>
  <c r="J50" i="20" s="1"/>
  <c r="J93" i="20" s="1"/>
  <c r="E49" i="20"/>
  <c r="E48" i="20"/>
  <c r="D72" i="20"/>
  <c r="D101" i="20"/>
  <c r="D116" i="20" l="1"/>
  <c r="G42" i="20"/>
  <c r="F42" i="20"/>
  <c r="G47" i="20"/>
  <c r="F47" i="20"/>
  <c r="F46" i="20"/>
  <c r="F41" i="20"/>
  <c r="G46" i="20"/>
  <c r="G41" i="20"/>
  <c r="D86" i="20"/>
  <c r="G45" i="20"/>
  <c r="G40" i="20"/>
  <c r="F45" i="20"/>
  <c r="F40" i="20"/>
  <c r="F39" i="20"/>
  <c r="G44" i="20"/>
  <c r="G39" i="20"/>
  <c r="D117" i="22"/>
  <c r="G47" i="22"/>
  <c r="G42" i="22"/>
  <c r="F47" i="22"/>
  <c r="F42" i="22"/>
  <c r="D102" i="22"/>
  <c r="F41" i="22"/>
  <c r="G46" i="22"/>
  <c r="G41" i="22"/>
  <c r="F46" i="22"/>
  <c r="D87" i="22"/>
  <c r="F45" i="22"/>
  <c r="F40" i="22"/>
  <c r="G45" i="22"/>
  <c r="G40" i="22"/>
  <c r="D72" i="22"/>
  <c r="F39" i="22"/>
  <c r="G44" i="22"/>
  <c r="G39" i="22"/>
  <c r="F44" i="22"/>
  <c r="D72" i="21"/>
  <c r="G39" i="21"/>
  <c r="G44" i="21"/>
  <c r="D87" i="21"/>
  <c r="G45" i="21"/>
  <c r="G40" i="21"/>
  <c r="F40" i="21"/>
  <c r="F45" i="21"/>
  <c r="F47" i="21"/>
  <c r="F42" i="21"/>
  <c r="G47" i="21"/>
  <c r="G42" i="21"/>
  <c r="D102" i="21"/>
  <c r="F41" i="21"/>
  <c r="F46" i="21"/>
  <c r="G41" i="21"/>
  <c r="G46" i="21"/>
  <c r="E124" i="22"/>
  <c r="E78" i="20"/>
  <c r="E123" i="20"/>
  <c r="E79" i="22"/>
  <c r="E124" i="21"/>
  <c r="E79" i="21"/>
  <c r="J50" i="21"/>
  <c r="K50" i="21" s="1"/>
  <c r="J51" i="20"/>
  <c r="D104" i="20"/>
  <c r="D85" i="21"/>
  <c r="D100" i="21"/>
  <c r="D115" i="21"/>
  <c r="D106" i="22"/>
  <c r="D117" i="21"/>
  <c r="J51" i="22"/>
  <c r="J49" i="22"/>
  <c r="K52" i="22"/>
  <c r="K124" i="22" s="1"/>
  <c r="J124" i="22"/>
  <c r="J50" i="22"/>
  <c r="C94" i="22"/>
  <c r="E94" i="22" s="1"/>
  <c r="C109" i="22"/>
  <c r="E109" i="22" s="1"/>
  <c r="J51" i="21"/>
  <c r="J49" i="21"/>
  <c r="K49" i="21" s="1"/>
  <c r="J52" i="21"/>
  <c r="C94" i="21"/>
  <c r="E94" i="21" s="1"/>
  <c r="C109" i="21"/>
  <c r="E109" i="21" s="1"/>
  <c r="J49" i="20"/>
  <c r="D69" i="20"/>
  <c r="D71" i="20"/>
  <c r="D84" i="20"/>
  <c r="D87" i="20"/>
  <c r="J52" i="20"/>
  <c r="K52" i="20" s="1"/>
  <c r="K50" i="20"/>
  <c r="K93" i="20" s="1"/>
  <c r="C93" i="20"/>
  <c r="E93" i="20" s="1"/>
  <c r="C108" i="20"/>
  <c r="E108" i="20" s="1"/>
  <c r="J94" i="21" l="1"/>
  <c r="K94" i="21"/>
  <c r="L50" i="21"/>
  <c r="L94" i="21" s="1"/>
  <c r="J108" i="20"/>
  <c r="K51" i="20"/>
  <c r="J94" i="22"/>
  <c r="J109" i="22"/>
  <c r="K51" i="22"/>
  <c r="K109" i="22" s="1"/>
  <c r="J48" i="22"/>
  <c r="J79" i="22"/>
  <c r="K50" i="22"/>
  <c r="K94" i="22" s="1"/>
  <c r="K49" i="22"/>
  <c r="L49" i="22" s="1"/>
  <c r="N49" i="22" s="1"/>
  <c r="O49" i="22" s="1"/>
  <c r="L52" i="22"/>
  <c r="J48" i="21"/>
  <c r="J79" i="21"/>
  <c r="K79" i="21"/>
  <c r="K52" i="21"/>
  <c r="K124" i="21" s="1"/>
  <c r="J124" i="21"/>
  <c r="J109" i="21"/>
  <c r="L49" i="21"/>
  <c r="N49" i="21" s="1"/>
  <c r="O49" i="21" s="1"/>
  <c r="K51" i="21"/>
  <c r="K109" i="21" s="1"/>
  <c r="K123" i="20"/>
  <c r="L52" i="20"/>
  <c r="L123" i="20" s="1"/>
  <c r="J48" i="20"/>
  <c r="J78" i="20"/>
  <c r="K49" i="20"/>
  <c r="J123" i="20"/>
  <c r="L50" i="20"/>
  <c r="D39" i="21"/>
  <c r="D77" i="21" s="1"/>
  <c r="D39" i="22"/>
  <c r="D77" i="22" s="1"/>
  <c r="D39" i="20"/>
  <c r="D76" i="20" s="1"/>
  <c r="D40" i="21"/>
  <c r="D92" i="21" s="1"/>
  <c r="D40" i="22"/>
  <c r="D92" i="22" s="1"/>
  <c r="D40" i="20"/>
  <c r="D91" i="20" s="1"/>
  <c r="D41" i="21"/>
  <c r="D107" i="21" s="1"/>
  <c r="D41" i="22"/>
  <c r="D107" i="22" s="1"/>
  <c r="D41" i="20"/>
  <c r="D106" i="20" s="1"/>
  <c r="D42" i="21"/>
  <c r="D122" i="21" s="1"/>
  <c r="D42" i="22"/>
  <c r="D122" i="22" s="1"/>
  <c r="D42" i="20"/>
  <c r="D121" i="20" s="1"/>
  <c r="D39" i="2"/>
  <c r="D44" i="2"/>
  <c r="D46" i="20"/>
  <c r="D107" i="20" s="1"/>
  <c r="D44" i="21"/>
  <c r="D78" i="21" s="1"/>
  <c r="D47" i="21"/>
  <c r="D123" i="21" s="1"/>
  <c r="D47" i="22"/>
  <c r="D123" i="22" s="1"/>
  <c r="D47" i="20"/>
  <c r="D122" i="20" s="1"/>
  <c r="D46" i="21"/>
  <c r="D108" i="21" s="1"/>
  <c r="D46" i="22"/>
  <c r="D108" i="22" s="1"/>
  <c r="D45" i="21"/>
  <c r="D93" i="21" s="1"/>
  <c r="D45" i="22"/>
  <c r="D93" i="22" s="1"/>
  <c r="D45" i="20"/>
  <c r="D92" i="20" s="1"/>
  <c r="D44" i="22"/>
  <c r="D78" i="22" s="1"/>
  <c r="D44" i="20"/>
  <c r="D77" i="20" s="1"/>
  <c r="N94" i="21" l="1"/>
  <c r="O94" i="21" s="1"/>
  <c r="N50" i="21"/>
  <c r="O50" i="21" s="1"/>
  <c r="K48" i="21"/>
  <c r="K108" i="20"/>
  <c r="L51" i="20"/>
  <c r="L108" i="20" s="1"/>
  <c r="L79" i="22"/>
  <c r="K79" i="22"/>
  <c r="K48" i="22"/>
  <c r="L50" i="22"/>
  <c r="L124" i="22"/>
  <c r="N124" i="22" s="1"/>
  <c r="O124" i="22" s="1"/>
  <c r="N52" i="22"/>
  <c r="O52" i="22" s="1"/>
  <c r="L51" i="22"/>
  <c r="L109" i="22" s="1"/>
  <c r="N109" i="22" s="1"/>
  <c r="O109" i="22" s="1"/>
  <c r="L79" i="21"/>
  <c r="N79" i="21" s="1"/>
  <c r="O79" i="21" s="1"/>
  <c r="L51" i="21"/>
  <c r="L52" i="21"/>
  <c r="L124" i="21" s="1"/>
  <c r="N124" i="21" s="1"/>
  <c r="O124" i="21" s="1"/>
  <c r="L49" i="20"/>
  <c r="N49" i="20" s="1"/>
  <c r="O49" i="20" s="1"/>
  <c r="L93" i="20"/>
  <c r="N93" i="20" s="1"/>
  <c r="O93" i="20" s="1"/>
  <c r="N50" i="20"/>
  <c r="O50" i="20" s="1"/>
  <c r="N52" i="20"/>
  <c r="O52" i="20" s="1"/>
  <c r="N123" i="20"/>
  <c r="O123" i="20" s="1"/>
  <c r="K48" i="20"/>
  <c r="K78" i="20"/>
  <c r="D42" i="2"/>
  <c r="D41" i="2"/>
  <c r="D40" i="2"/>
  <c r="D47" i="2"/>
  <c r="D46" i="2"/>
  <c r="D45" i="2"/>
  <c r="N108" i="20" l="1"/>
  <c r="O108" i="20" s="1"/>
  <c r="N51" i="20"/>
  <c r="O51" i="20" s="1"/>
  <c r="N79" i="22"/>
  <c r="O79" i="22" s="1"/>
  <c r="L48" i="22"/>
  <c r="N48" i="22" s="1"/>
  <c r="O48" i="22" s="1"/>
  <c r="L94" i="22"/>
  <c r="N94" i="22" s="1"/>
  <c r="O94" i="22" s="1"/>
  <c r="N50" i="22"/>
  <c r="O50" i="22" s="1"/>
  <c r="N51" i="22"/>
  <c r="O51" i="22" s="1"/>
  <c r="L109" i="21"/>
  <c r="N109" i="21" s="1"/>
  <c r="O109" i="21" s="1"/>
  <c r="N51" i="21"/>
  <c r="O51" i="21" s="1"/>
  <c r="L48" i="21"/>
  <c r="N48" i="21" s="1"/>
  <c r="O48" i="21" s="1"/>
  <c r="N52" i="21"/>
  <c r="O52" i="21" s="1"/>
  <c r="L78" i="20"/>
  <c r="N78" i="20" s="1"/>
  <c r="O78" i="20" s="1"/>
  <c r="L48" i="20"/>
  <c r="N48" i="20" s="1"/>
  <c r="O48" i="20" s="1"/>
  <c r="D13" i="2"/>
  <c r="D14" i="2"/>
  <c r="D15" i="2"/>
  <c r="D16" i="2"/>
  <c r="D17" i="2"/>
  <c r="D18" i="2"/>
  <c r="D19" i="2"/>
  <c r="D20" i="2"/>
  <c r="D21" i="2"/>
  <c r="D22" i="2"/>
  <c r="D23" i="2"/>
  <c r="D28" i="2"/>
  <c r="D33" i="2"/>
  <c r="D38" i="2"/>
  <c r="D43" i="2"/>
  <c r="D8" i="2"/>
  <c r="D3" i="2"/>
  <c r="G44" i="2" l="1"/>
  <c r="G39" i="2"/>
  <c r="G40" i="2"/>
  <c r="G45" i="2"/>
  <c r="F45" i="2"/>
  <c r="F40" i="2"/>
  <c r="G47" i="2"/>
  <c r="G42" i="2"/>
  <c r="F47" i="2"/>
  <c r="F42" i="2"/>
  <c r="F46" i="2"/>
  <c r="F41" i="2"/>
  <c r="G41" i="2"/>
  <c r="G46" i="2"/>
  <c r="F124" i="2"/>
  <c r="G124" i="2"/>
  <c r="H124" i="2"/>
  <c r="H123" i="2"/>
  <c r="H122" i="2"/>
  <c r="F121" i="2"/>
  <c r="G121" i="2"/>
  <c r="H121" i="2"/>
  <c r="F120" i="2"/>
  <c r="G120" i="2"/>
  <c r="H120" i="2"/>
  <c r="F119" i="2"/>
  <c r="G119" i="2"/>
  <c r="H119" i="2"/>
  <c r="F118" i="2"/>
  <c r="G118" i="2"/>
  <c r="H118" i="2"/>
  <c r="F117" i="2"/>
  <c r="G117" i="2"/>
  <c r="H117" i="2"/>
  <c r="F116" i="2"/>
  <c r="G116" i="2"/>
  <c r="H116" i="2"/>
  <c r="F115" i="2"/>
  <c r="G115" i="2"/>
  <c r="H115" i="2"/>
  <c r="D124" i="2"/>
  <c r="D123" i="2"/>
  <c r="D122" i="2"/>
  <c r="D118" i="2"/>
  <c r="D117" i="2"/>
  <c r="F109" i="2"/>
  <c r="G109" i="2"/>
  <c r="H109" i="2"/>
  <c r="H108" i="2"/>
  <c r="H107" i="2"/>
  <c r="F106" i="2"/>
  <c r="G106" i="2"/>
  <c r="H106" i="2"/>
  <c r="F105" i="2"/>
  <c r="G105" i="2"/>
  <c r="H105" i="2"/>
  <c r="F104" i="2"/>
  <c r="G104" i="2"/>
  <c r="H104" i="2"/>
  <c r="F103" i="2"/>
  <c r="G103" i="2"/>
  <c r="H103" i="2"/>
  <c r="F102" i="2"/>
  <c r="G102" i="2"/>
  <c r="H102" i="2"/>
  <c r="F101" i="2"/>
  <c r="G101" i="2"/>
  <c r="H101" i="2"/>
  <c r="F100" i="2"/>
  <c r="G100" i="2"/>
  <c r="H100" i="2"/>
  <c r="D109" i="2"/>
  <c r="D108" i="2"/>
  <c r="D107" i="2"/>
  <c r="D103" i="2"/>
  <c r="D102" i="2"/>
  <c r="G94" i="2"/>
  <c r="H94" i="2"/>
  <c r="H93" i="2"/>
  <c r="H92" i="2"/>
  <c r="G91" i="2"/>
  <c r="H91" i="2"/>
  <c r="G90" i="2"/>
  <c r="H90" i="2"/>
  <c r="G89" i="2"/>
  <c r="H89" i="2"/>
  <c r="G88" i="2"/>
  <c r="H88" i="2"/>
  <c r="G87" i="2"/>
  <c r="H87" i="2"/>
  <c r="G86" i="2"/>
  <c r="H86" i="2"/>
  <c r="G85" i="2"/>
  <c r="H85" i="2"/>
  <c r="F94" i="2"/>
  <c r="F91" i="2"/>
  <c r="F90" i="2"/>
  <c r="F89" i="2"/>
  <c r="F88" i="2"/>
  <c r="F87" i="2"/>
  <c r="F86" i="2"/>
  <c r="F85" i="2"/>
  <c r="D94" i="2"/>
  <c r="D93" i="2"/>
  <c r="D92" i="2"/>
  <c r="D88" i="2"/>
  <c r="D87" i="2"/>
  <c r="G79" i="2"/>
  <c r="H79" i="2"/>
  <c r="H78" i="2"/>
  <c r="H77" i="2"/>
  <c r="G76" i="2"/>
  <c r="H76" i="2"/>
  <c r="G75" i="2"/>
  <c r="H75" i="2"/>
  <c r="H74" i="2"/>
  <c r="G74" i="2"/>
  <c r="G73" i="2"/>
  <c r="H73" i="2"/>
  <c r="G72" i="2"/>
  <c r="H72" i="2"/>
  <c r="G71" i="2"/>
  <c r="H71" i="2"/>
  <c r="G70" i="2"/>
  <c r="H70" i="2"/>
  <c r="F79" i="2"/>
  <c r="F76" i="2"/>
  <c r="F75" i="2"/>
  <c r="F74" i="2"/>
  <c r="F73" i="2"/>
  <c r="D79" i="2"/>
  <c r="D78" i="2"/>
  <c r="D77" i="2"/>
  <c r="D73" i="2"/>
  <c r="D72" i="2"/>
  <c r="C79" i="2"/>
  <c r="C94" i="2" s="1"/>
  <c r="C109" i="2" l="1"/>
  <c r="E109" i="2" s="1"/>
  <c r="C124" i="2"/>
  <c r="E124" i="2" s="1"/>
  <c r="E94" i="2"/>
  <c r="E79" i="2"/>
  <c r="E48" i="2"/>
  <c r="E49" i="2"/>
  <c r="E50" i="2"/>
  <c r="E51" i="2"/>
  <c r="E52" i="2"/>
  <c r="J52" i="2" l="1"/>
  <c r="J51" i="2"/>
  <c r="J109" i="2" s="1"/>
  <c r="J50" i="2"/>
  <c r="J94" i="2" s="1"/>
  <c r="J49" i="2"/>
  <c r="J79" i="2" s="1"/>
  <c r="K52" i="2" l="1"/>
  <c r="K124" i="2" s="1"/>
  <c r="J124" i="2"/>
  <c r="K50" i="2"/>
  <c r="K94" i="2" s="1"/>
  <c r="K49" i="2"/>
  <c r="K79" i="2" s="1"/>
  <c r="J48" i="2"/>
  <c r="K51" i="2"/>
  <c r="K109" i="2" s="1"/>
  <c r="L52" i="2" l="1"/>
  <c r="N52" i="2" s="1"/>
  <c r="O52" i="2" s="1"/>
  <c r="L51" i="2"/>
  <c r="L109" i="2" s="1"/>
  <c r="L50" i="2"/>
  <c r="K48" i="2"/>
  <c r="L49" i="2"/>
  <c r="L79" i="2" s="1"/>
  <c r="L124" i="2" l="1"/>
  <c r="N51" i="2"/>
  <c r="O51" i="2" s="1"/>
  <c r="N50" i="2"/>
  <c r="O50" i="2" s="1"/>
  <c r="L94" i="2"/>
  <c r="N94" i="2" s="1"/>
  <c r="O94" i="2" s="1"/>
  <c r="N79" i="2"/>
  <c r="O79" i="2" s="1"/>
  <c r="L48" i="2"/>
  <c r="N48" i="2" s="1"/>
  <c r="O48" i="2" s="1"/>
  <c r="N49" i="2"/>
  <c r="O49" i="2" s="1"/>
  <c r="J41" i="17" l="1"/>
  <c r="H41" i="17"/>
  <c r="F41" i="17"/>
  <c r="D41" i="17"/>
  <c r="J39" i="17"/>
  <c r="H39" i="17"/>
  <c r="F39" i="17"/>
  <c r="D39" i="17"/>
  <c r="J38" i="17"/>
  <c r="H38" i="17"/>
  <c r="F38" i="17"/>
  <c r="D38" i="17"/>
  <c r="J28" i="17"/>
  <c r="H28" i="17"/>
  <c r="F28" i="17"/>
  <c r="D28" i="17"/>
  <c r="J27" i="17"/>
  <c r="H27" i="17"/>
  <c r="F27" i="17"/>
  <c r="D27" i="17"/>
  <c r="A8" i="17"/>
  <c r="F42" i="17" l="1"/>
  <c r="F44" i="17" s="1"/>
  <c r="D42" i="17"/>
  <c r="D44" i="17" s="1"/>
  <c r="B5" i="17" s="1"/>
  <c r="J42" i="17"/>
  <c r="J44" i="17" s="1"/>
  <c r="B8" i="17" s="1"/>
  <c r="H42" i="17"/>
  <c r="H44" i="17" s="1"/>
  <c r="B7" i="17" s="1"/>
  <c r="E35" i="18" l="1"/>
  <c r="D35" i="20" s="1"/>
  <c r="D90" i="20" s="1"/>
  <c r="B25" i="18"/>
  <c r="E30" i="18"/>
  <c r="D30" i="20" s="1"/>
  <c r="D89" i="20" s="1"/>
  <c r="D35" i="18"/>
  <c r="D35" i="22" s="1"/>
  <c r="D91" i="22" s="1"/>
  <c r="E25" i="18"/>
  <c r="D25" i="20" s="1"/>
  <c r="D88" i="20" s="1"/>
  <c r="C25" i="18"/>
  <c r="D25" i="21" s="1"/>
  <c r="D89" i="21" s="1"/>
  <c r="D30" i="18"/>
  <c r="D30" i="22" s="1"/>
  <c r="D90" i="22" s="1"/>
  <c r="C30" i="18"/>
  <c r="D30" i="21" s="1"/>
  <c r="D90" i="21" s="1"/>
  <c r="B30" i="18"/>
  <c r="C35" i="18"/>
  <c r="D25" i="18"/>
  <c r="D25" i="22" s="1"/>
  <c r="D89" i="22" s="1"/>
  <c r="B35" i="18"/>
  <c r="D10" i="18"/>
  <c r="D10" i="22" s="1"/>
  <c r="D86" i="22" s="1"/>
  <c r="C10" i="18"/>
  <c r="D10" i="21" s="1"/>
  <c r="D86" i="21" s="1"/>
  <c r="B10" i="18"/>
  <c r="E10" i="18"/>
  <c r="D10" i="20" s="1"/>
  <c r="D85" i="20" s="1"/>
  <c r="B5" i="18"/>
  <c r="F5" i="18" s="1"/>
  <c r="C37" i="18"/>
  <c r="D37" i="21" s="1"/>
  <c r="D121" i="21" s="1"/>
  <c r="B32" i="18"/>
  <c r="E37" i="18"/>
  <c r="D37" i="20" s="1"/>
  <c r="D120" i="20" s="1"/>
  <c r="D37" i="18"/>
  <c r="D37" i="22" s="1"/>
  <c r="D121" i="22" s="1"/>
  <c r="B37" i="18"/>
  <c r="F37" i="18" s="1"/>
  <c r="D32" i="18"/>
  <c r="D32" i="22" s="1"/>
  <c r="D120" i="22" s="1"/>
  <c r="C27" i="18"/>
  <c r="D27" i="21" s="1"/>
  <c r="D119" i="21" s="1"/>
  <c r="B27" i="18"/>
  <c r="E32" i="18"/>
  <c r="D32" i="20" s="1"/>
  <c r="D119" i="20" s="1"/>
  <c r="E27" i="18"/>
  <c r="D27" i="20" s="1"/>
  <c r="D118" i="20" s="1"/>
  <c r="C32" i="18"/>
  <c r="D32" i="21" s="1"/>
  <c r="D120" i="21" s="1"/>
  <c r="D27" i="18"/>
  <c r="D27" i="22" s="1"/>
  <c r="D119" i="22" s="1"/>
  <c r="E12" i="18"/>
  <c r="D12" i="20" s="1"/>
  <c r="D115" i="20" s="1"/>
  <c r="B12" i="18"/>
  <c r="D12" i="18"/>
  <c r="D12" i="22" s="1"/>
  <c r="D116" i="22" s="1"/>
  <c r="C12" i="18"/>
  <c r="D12" i="21" s="1"/>
  <c r="D116" i="21" s="1"/>
  <c r="B7" i="18"/>
  <c r="F7" i="18" s="1"/>
  <c r="D34" i="18"/>
  <c r="D34" i="22" s="1"/>
  <c r="D76" i="22" s="1"/>
  <c r="D29" i="18"/>
  <c r="D29" i="22" s="1"/>
  <c r="D75" i="22" s="1"/>
  <c r="B29" i="18"/>
  <c r="B24" i="18"/>
  <c r="E34" i="18"/>
  <c r="D34" i="20" s="1"/>
  <c r="D75" i="20" s="1"/>
  <c r="C34" i="18"/>
  <c r="D34" i="21" s="1"/>
  <c r="D76" i="21" s="1"/>
  <c r="B4" i="18"/>
  <c r="F4" i="18" s="1"/>
  <c r="D24" i="18"/>
  <c r="D24" i="22" s="1"/>
  <c r="D74" i="22" s="1"/>
  <c r="E29" i="18"/>
  <c r="D29" i="20" s="1"/>
  <c r="D74" i="20" s="1"/>
  <c r="C24" i="18"/>
  <c r="D24" i="21" s="1"/>
  <c r="D74" i="21" s="1"/>
  <c r="B34" i="18"/>
  <c r="F34" i="18" s="1"/>
  <c r="C29" i="18"/>
  <c r="D29" i="21" s="1"/>
  <c r="D75" i="21" s="1"/>
  <c r="E24" i="18"/>
  <c r="D24" i="20" s="1"/>
  <c r="D73" i="20" s="1"/>
  <c r="D9" i="18"/>
  <c r="D9" i="22" s="1"/>
  <c r="D71" i="22" s="1"/>
  <c r="E9" i="18"/>
  <c r="D9" i="20" s="1"/>
  <c r="D70" i="20" s="1"/>
  <c r="B9" i="18"/>
  <c r="F9" i="18" s="1"/>
  <c r="C9" i="18"/>
  <c r="D9" i="21" s="1"/>
  <c r="D71" i="21" s="1"/>
  <c r="B9" i="17"/>
  <c r="N109" i="2"/>
  <c r="O109" i="2" s="1"/>
  <c r="F10" i="18" l="1"/>
  <c r="F35" i="18"/>
  <c r="D35" i="21"/>
  <c r="D91" i="21" s="1"/>
  <c r="F25" i="18"/>
  <c r="F30" i="18"/>
  <c r="F27" i="18"/>
  <c r="F12" i="18"/>
  <c r="F32" i="18"/>
  <c r="F24" i="18"/>
  <c r="F29" i="18"/>
  <c r="D25" i="2"/>
  <c r="D89" i="2" s="1"/>
  <c r="D35" i="2"/>
  <c r="D91" i="2" s="1"/>
  <c r="D11" i="2"/>
  <c r="D101" i="2" s="1"/>
  <c r="D12" i="2"/>
  <c r="D116" i="2" s="1"/>
  <c r="D31" i="2"/>
  <c r="D24" i="2"/>
  <c r="D74" i="2" s="1"/>
  <c r="D10" i="2"/>
  <c r="D86" i="2" s="1"/>
  <c r="D26" i="2"/>
  <c r="D104" i="2" s="1"/>
  <c r="D34" i="2"/>
  <c r="D76" i="2" s="1"/>
  <c r="D32" i="2"/>
  <c r="D9" i="2"/>
  <c r="D71" i="2" s="1"/>
  <c r="D29" i="2"/>
  <c r="D27" i="2"/>
  <c r="D119" i="2" s="1"/>
  <c r="D37" i="2"/>
  <c r="D121" i="2" s="1"/>
  <c r="D30" i="2"/>
  <c r="D36" i="2"/>
  <c r="D106" i="2" s="1"/>
  <c r="E41" i="22" l="1"/>
  <c r="E42" i="21"/>
  <c r="J42" i="21" s="1"/>
  <c r="E39" i="20"/>
  <c r="J39" i="20" s="1"/>
  <c r="E41" i="20"/>
  <c r="E40" i="20"/>
  <c r="J40" i="20" s="1"/>
  <c r="E40" i="22"/>
  <c r="E41" i="21"/>
  <c r="E42" i="20"/>
  <c r="J42" i="20" s="1"/>
  <c r="E39" i="22"/>
  <c r="E40" i="21"/>
  <c r="E42" i="22"/>
  <c r="J42" i="22" s="1"/>
  <c r="E39" i="21"/>
  <c r="E42" i="2"/>
  <c r="E40" i="2"/>
  <c r="E39" i="2"/>
  <c r="E41" i="2"/>
  <c r="E44" i="22"/>
  <c r="E44" i="20"/>
  <c r="E46" i="21"/>
  <c r="E44" i="21"/>
  <c r="J44" i="21" s="1"/>
  <c r="E46" i="20"/>
  <c r="E45" i="21"/>
  <c r="E47" i="20"/>
  <c r="E47" i="22"/>
  <c r="E45" i="20"/>
  <c r="E46" i="22"/>
  <c r="E45" i="22"/>
  <c r="E47" i="21"/>
  <c r="E45" i="2"/>
  <c r="J45" i="2" s="1"/>
  <c r="E44" i="2"/>
  <c r="J44" i="2" s="1"/>
  <c r="E46" i="2"/>
  <c r="J46" i="2" s="1"/>
  <c r="E47" i="2"/>
  <c r="J47" i="2" s="1"/>
  <c r="D75" i="2"/>
  <c r="D90" i="2"/>
  <c r="D120" i="2"/>
  <c r="D105" i="2"/>
  <c r="J40" i="22" l="1"/>
  <c r="K40" i="22" s="1"/>
  <c r="J39" i="22"/>
  <c r="K39" i="22" s="1"/>
  <c r="L39" i="22" s="1"/>
  <c r="N39" i="22" s="1"/>
  <c r="C78" i="21"/>
  <c r="E43" i="21"/>
  <c r="J47" i="22"/>
  <c r="C77" i="20"/>
  <c r="E43" i="20"/>
  <c r="J39" i="21"/>
  <c r="J45" i="20"/>
  <c r="J44" i="20"/>
  <c r="J122" i="22"/>
  <c r="J41" i="20"/>
  <c r="J45" i="21"/>
  <c r="J44" i="22"/>
  <c r="J40" i="21"/>
  <c r="E38" i="20"/>
  <c r="C76" i="20"/>
  <c r="C77" i="21"/>
  <c r="E38" i="21"/>
  <c r="J47" i="20"/>
  <c r="C77" i="22"/>
  <c r="E38" i="22"/>
  <c r="J46" i="20"/>
  <c r="E38" i="2"/>
  <c r="C77" i="2"/>
  <c r="J47" i="21"/>
  <c r="J122" i="21"/>
  <c r="E43" i="2"/>
  <c r="C78" i="2"/>
  <c r="J78" i="21"/>
  <c r="J45" i="22"/>
  <c r="J46" i="21"/>
  <c r="J121" i="20"/>
  <c r="J46" i="22"/>
  <c r="E43" i="22"/>
  <c r="C78" i="22"/>
  <c r="J41" i="21"/>
  <c r="J41" i="22"/>
  <c r="H19" i="14"/>
  <c r="L40" i="22" l="1"/>
  <c r="N40" i="22" s="1"/>
  <c r="J106" i="20"/>
  <c r="J92" i="20"/>
  <c r="C122" i="20"/>
  <c r="E122" i="20" s="1"/>
  <c r="C92" i="20"/>
  <c r="E92" i="20" s="1"/>
  <c r="E77" i="20"/>
  <c r="C107" i="20"/>
  <c r="E107" i="20" s="1"/>
  <c r="J78" i="22"/>
  <c r="J43" i="22"/>
  <c r="J107" i="20"/>
  <c r="J108" i="22"/>
  <c r="J38" i="20"/>
  <c r="J76" i="20"/>
  <c r="C122" i="21"/>
  <c r="E122" i="21" s="1"/>
  <c r="C107" i="21"/>
  <c r="E107" i="21" s="1"/>
  <c r="C92" i="21"/>
  <c r="E92" i="21" s="1"/>
  <c r="E77" i="21"/>
  <c r="J91" i="20"/>
  <c r="J92" i="22"/>
  <c r="C121" i="20"/>
  <c r="E121" i="20" s="1"/>
  <c r="E76" i="20"/>
  <c r="C91" i="20"/>
  <c r="E91" i="20" s="1"/>
  <c r="C106" i="20"/>
  <c r="E106" i="20" s="1"/>
  <c r="J93" i="21"/>
  <c r="J123" i="22"/>
  <c r="J108" i="21"/>
  <c r="J123" i="2"/>
  <c r="J77" i="22"/>
  <c r="J38" i="22"/>
  <c r="J93" i="2"/>
  <c r="J107" i="22"/>
  <c r="J93" i="22"/>
  <c r="J123" i="21"/>
  <c r="J78" i="2"/>
  <c r="J43" i="2"/>
  <c r="J77" i="20"/>
  <c r="J108" i="2"/>
  <c r="J107" i="21"/>
  <c r="J43" i="21"/>
  <c r="C108" i="2"/>
  <c r="E108" i="2" s="1"/>
  <c r="C123" i="2"/>
  <c r="E123" i="2" s="1"/>
  <c r="E78" i="2"/>
  <c r="C93" i="2"/>
  <c r="E93" i="2" s="1"/>
  <c r="C92" i="2"/>
  <c r="E92" i="2" s="1"/>
  <c r="C122" i="2"/>
  <c r="E122" i="2" s="1"/>
  <c r="C107" i="2"/>
  <c r="E107" i="2" s="1"/>
  <c r="E77" i="2"/>
  <c r="C92" i="22"/>
  <c r="E92" i="22" s="1"/>
  <c r="C122" i="22"/>
  <c r="E122" i="22" s="1"/>
  <c r="E77" i="22"/>
  <c r="C107" i="22"/>
  <c r="E107" i="22" s="1"/>
  <c r="J38" i="21"/>
  <c r="J77" i="21"/>
  <c r="C93" i="22"/>
  <c r="E93" i="22" s="1"/>
  <c r="C108" i="22"/>
  <c r="E108" i="22" s="1"/>
  <c r="E78" i="22"/>
  <c r="C123" i="22"/>
  <c r="E123" i="22" s="1"/>
  <c r="J43" i="20"/>
  <c r="J122" i="20"/>
  <c r="J92" i="21"/>
  <c r="E78" i="21"/>
  <c r="C123" i="21"/>
  <c r="E123" i="21" s="1"/>
  <c r="C108" i="21"/>
  <c r="E108" i="21" s="1"/>
  <c r="C93" i="21"/>
  <c r="E93" i="21" s="1"/>
  <c r="I17" i="12" l="1"/>
  <c r="I3" i="12"/>
  <c r="I20" i="12" l="1"/>
  <c r="C29" i="22"/>
  <c r="E29" i="22" s="1"/>
  <c r="C28" i="21"/>
  <c r="C28" i="22"/>
  <c r="C31" i="21"/>
  <c r="E31" i="21" s="1"/>
  <c r="C30" i="21"/>
  <c r="E30" i="21" s="1"/>
  <c r="C28" i="20"/>
  <c r="C32" i="21"/>
  <c r="E32" i="21" s="1"/>
  <c r="C31" i="20"/>
  <c r="E31" i="20" s="1"/>
  <c r="C29" i="21"/>
  <c r="E29" i="21" s="1"/>
  <c r="C32" i="20"/>
  <c r="E32" i="20" s="1"/>
  <c r="C30" i="20"/>
  <c r="E30" i="20" s="1"/>
  <c r="C32" i="22"/>
  <c r="E32" i="22" s="1"/>
  <c r="C29" i="20"/>
  <c r="E29" i="20" s="1"/>
  <c r="C31" i="22"/>
  <c r="E31" i="22" s="1"/>
  <c r="C30" i="22"/>
  <c r="E30" i="22" s="1"/>
  <c r="C31" i="2"/>
  <c r="E31" i="2" s="1"/>
  <c r="C30" i="2"/>
  <c r="E30" i="2" s="1"/>
  <c r="C28" i="2"/>
  <c r="C32" i="2"/>
  <c r="E32" i="2" s="1"/>
  <c r="C29" i="2"/>
  <c r="E29" i="2" s="1"/>
  <c r="I4" i="12"/>
  <c r="I5" i="12"/>
  <c r="I6" i="12"/>
  <c r="J32" i="21" l="1"/>
  <c r="J120" i="21" s="1"/>
  <c r="J31" i="21"/>
  <c r="J105" i="21" s="1"/>
  <c r="J30" i="21"/>
  <c r="C75" i="22"/>
  <c r="E28" i="22"/>
  <c r="J30" i="22"/>
  <c r="K30" i="22" s="1"/>
  <c r="K90" i="22" s="1"/>
  <c r="C75" i="21"/>
  <c r="E28" i="21"/>
  <c r="J31" i="22"/>
  <c r="J29" i="20"/>
  <c r="K29" i="20" s="1"/>
  <c r="L29" i="20" s="1"/>
  <c r="J30" i="20"/>
  <c r="J29" i="22"/>
  <c r="C74" i="20"/>
  <c r="E28" i="20"/>
  <c r="J29" i="2"/>
  <c r="J75" i="2" s="1"/>
  <c r="J32" i="22"/>
  <c r="J32" i="2"/>
  <c r="J120" i="2" s="1"/>
  <c r="E28" i="2"/>
  <c r="C75" i="2"/>
  <c r="J32" i="20"/>
  <c r="J30" i="2"/>
  <c r="J29" i="21"/>
  <c r="J31" i="2"/>
  <c r="J31" i="20"/>
  <c r="K31" i="20" s="1"/>
  <c r="K104" i="20" s="1"/>
  <c r="I7" i="12"/>
  <c r="L31" i="20" l="1"/>
  <c r="L104" i="20" s="1"/>
  <c r="K32" i="2"/>
  <c r="K120" i="2" s="1"/>
  <c r="K32" i="21"/>
  <c r="K120" i="21" s="1"/>
  <c r="L74" i="20"/>
  <c r="K30" i="21"/>
  <c r="J90" i="21"/>
  <c r="K29" i="22"/>
  <c r="J28" i="22"/>
  <c r="J75" i="22"/>
  <c r="J105" i="22"/>
  <c r="C90" i="2"/>
  <c r="E90" i="2" s="1"/>
  <c r="C120" i="2"/>
  <c r="E120" i="2" s="1"/>
  <c r="C105" i="2"/>
  <c r="E105" i="2" s="1"/>
  <c r="E75" i="2"/>
  <c r="K29" i="2"/>
  <c r="L30" i="22"/>
  <c r="L90" i="22" s="1"/>
  <c r="K31" i="21"/>
  <c r="K105" i="21" s="1"/>
  <c r="K30" i="2"/>
  <c r="K90" i="2" s="1"/>
  <c r="J90" i="2"/>
  <c r="J104" i="20"/>
  <c r="C90" i="21"/>
  <c r="E90" i="21" s="1"/>
  <c r="C120" i="21"/>
  <c r="E120" i="21" s="1"/>
  <c r="E75" i="21"/>
  <c r="C105" i="21"/>
  <c r="E105" i="21" s="1"/>
  <c r="K74" i="20"/>
  <c r="J74" i="20"/>
  <c r="J28" i="20"/>
  <c r="N29" i="20"/>
  <c r="O29" i="20" s="1"/>
  <c r="J90" i="22"/>
  <c r="K30" i="20"/>
  <c r="J89" i="20"/>
  <c r="K29" i="21"/>
  <c r="L29" i="21" s="1"/>
  <c r="N29" i="21" s="1"/>
  <c r="O29" i="21" s="1"/>
  <c r="J75" i="21"/>
  <c r="J28" i="21"/>
  <c r="K32" i="22"/>
  <c r="J120" i="22"/>
  <c r="K32" i="20"/>
  <c r="J119" i="20"/>
  <c r="K31" i="2"/>
  <c r="J105" i="2"/>
  <c r="C104" i="20"/>
  <c r="E104" i="20" s="1"/>
  <c r="C89" i="20"/>
  <c r="E89" i="20" s="1"/>
  <c r="C119" i="20"/>
  <c r="E119" i="20" s="1"/>
  <c r="E74" i="20"/>
  <c r="K31" i="22"/>
  <c r="K105" i="22" s="1"/>
  <c r="C120" i="22"/>
  <c r="E120" i="22" s="1"/>
  <c r="C90" i="22"/>
  <c r="E90" i="22" s="1"/>
  <c r="C105" i="22"/>
  <c r="E105" i="22" s="1"/>
  <c r="E75" i="22"/>
  <c r="H22" i="14"/>
  <c r="F22" i="14"/>
  <c r="D22" i="14"/>
  <c r="H21" i="14"/>
  <c r="F21" i="14"/>
  <c r="H20" i="14"/>
  <c r="F20" i="14"/>
  <c r="F19" i="14"/>
  <c r="K12" i="14"/>
  <c r="J22" i="14" s="1"/>
  <c r="K6" i="14"/>
  <c r="B20" i="13"/>
  <c r="C24" i="13" s="1"/>
  <c r="F6" i="13"/>
  <c r="F11" i="13" s="1"/>
  <c r="F14" i="13" s="1"/>
  <c r="J13" i="12" s="1"/>
  <c r="E6" i="13"/>
  <c r="E11" i="13" s="1"/>
  <c r="E14" i="13" s="1"/>
  <c r="F13" i="12" s="1"/>
  <c r="L13" i="12" s="1"/>
  <c r="D6" i="13"/>
  <c r="N31" i="20" l="1"/>
  <c r="N104" i="20"/>
  <c r="O104" i="20" s="1"/>
  <c r="L32" i="2"/>
  <c r="K28" i="20"/>
  <c r="L32" i="21"/>
  <c r="N30" i="22"/>
  <c r="K75" i="2"/>
  <c r="L29" i="2"/>
  <c r="L75" i="2" s="1"/>
  <c r="K75" i="22"/>
  <c r="K28" i="22"/>
  <c r="K119" i="20"/>
  <c r="L32" i="20"/>
  <c r="L29" i="22"/>
  <c r="K90" i="21"/>
  <c r="L30" i="21"/>
  <c r="L30" i="2"/>
  <c r="L31" i="22"/>
  <c r="N74" i="20"/>
  <c r="O74" i="20" s="1"/>
  <c r="K89" i="20"/>
  <c r="L30" i="20"/>
  <c r="K120" i="22"/>
  <c r="L32" i="22"/>
  <c r="L75" i="21"/>
  <c r="K105" i="2"/>
  <c r="L31" i="2"/>
  <c r="K75" i="21"/>
  <c r="K28" i="21"/>
  <c r="N90" i="22"/>
  <c r="O90" i="22" s="1"/>
  <c r="L31" i="21"/>
  <c r="E13" i="12"/>
  <c r="K13" i="12" s="1"/>
  <c r="C13" i="12"/>
  <c r="D11" i="13"/>
  <c r="D14" i="13" s="1"/>
  <c r="D19" i="14"/>
  <c r="D20" i="14"/>
  <c r="J19" i="14"/>
  <c r="D21" i="14"/>
  <c r="F24" i="14"/>
  <c r="J21" i="14"/>
  <c r="H24" i="14"/>
  <c r="J20" i="14"/>
  <c r="N32" i="20" l="1"/>
  <c r="O32" i="20" s="1"/>
  <c r="L119" i="20"/>
  <c r="N119" i="20" s="1"/>
  <c r="O119" i="20" s="1"/>
  <c r="N32" i="22"/>
  <c r="O32" i="22" s="1"/>
  <c r="L120" i="22"/>
  <c r="N120" i="22" s="1"/>
  <c r="O120" i="22" s="1"/>
  <c r="N32" i="21"/>
  <c r="O32" i="21" s="1"/>
  <c r="L120" i="21"/>
  <c r="N120" i="21" s="1"/>
  <c r="O120" i="21" s="1"/>
  <c r="N32" i="2"/>
  <c r="O32" i="2" s="1"/>
  <c r="L120" i="2"/>
  <c r="N120" i="2" s="1"/>
  <c r="O120" i="2" s="1"/>
  <c r="N75" i="2"/>
  <c r="O75" i="2" s="1"/>
  <c r="N75" i="21"/>
  <c r="O75" i="21" s="1"/>
  <c r="L105" i="22"/>
  <c r="N105" i="22" s="1"/>
  <c r="O105" i="22" s="1"/>
  <c r="N31" i="22"/>
  <c r="L90" i="2"/>
  <c r="N90" i="2" s="1"/>
  <c r="O90" i="2" s="1"/>
  <c r="N30" i="2"/>
  <c r="N31" i="21"/>
  <c r="L105" i="21"/>
  <c r="N105" i="21" s="1"/>
  <c r="O105" i="21" s="1"/>
  <c r="L89" i="20"/>
  <c r="N89" i="20" s="1"/>
  <c r="O89" i="20" s="1"/>
  <c r="L28" i="20"/>
  <c r="N28" i="20" s="1"/>
  <c r="O28" i="20" s="1"/>
  <c r="L105" i="2"/>
  <c r="N31" i="2"/>
  <c r="N29" i="22"/>
  <c r="O29" i="22" s="1"/>
  <c r="L75" i="22"/>
  <c r="N75" i="22" s="1"/>
  <c r="O75" i="22" s="1"/>
  <c r="L28" i="22"/>
  <c r="N28" i="22" s="1"/>
  <c r="O28" i="22" s="1"/>
  <c r="N30" i="20"/>
  <c r="L90" i="21"/>
  <c r="N90" i="21" s="1"/>
  <c r="O90" i="21" s="1"/>
  <c r="N30" i="21"/>
  <c r="L28" i="21"/>
  <c r="N28" i="21" s="1"/>
  <c r="O28" i="21" s="1"/>
  <c r="G13" i="12"/>
  <c r="H13" i="12"/>
  <c r="D24" i="14"/>
  <c r="J24" i="14"/>
  <c r="G28" i="14" l="1"/>
  <c r="G32" i="14"/>
  <c r="H2" i="12" s="1"/>
  <c r="H3" i="12" s="1"/>
  <c r="H5" i="12" s="1"/>
  <c r="G33" i="14"/>
  <c r="G31" i="14"/>
  <c r="G2" i="12" s="1"/>
  <c r="G3" i="12" s="1"/>
  <c r="G30" i="14"/>
  <c r="F2" i="12" s="1"/>
  <c r="G29" i="14"/>
  <c r="J2" i="12"/>
  <c r="J3" i="12" s="1"/>
  <c r="J4" i="12" s="1"/>
  <c r="E2" i="12" l="1"/>
  <c r="K2" i="12" s="1"/>
  <c r="C2" i="12"/>
  <c r="C3" i="12" s="1"/>
  <c r="F3" i="12"/>
  <c r="F6" i="12" s="1"/>
  <c r="L6" i="12" s="1"/>
  <c r="L2" i="12"/>
  <c r="H6" i="12"/>
  <c r="H7" i="12" s="1"/>
  <c r="G6" i="12"/>
  <c r="G5" i="12"/>
  <c r="J5" i="12"/>
  <c r="J6" i="12"/>
  <c r="C6" i="12" l="1"/>
  <c r="C5" i="12"/>
  <c r="E3" i="12"/>
  <c r="F5" i="12"/>
  <c r="L3" i="12"/>
  <c r="G7" i="12"/>
  <c r="J7" i="12"/>
  <c r="E27" i="13" s="1"/>
  <c r="C7" i="12" l="1"/>
  <c r="K3" i="12"/>
  <c r="E6" i="12"/>
  <c r="K6" i="12" s="1"/>
  <c r="E5" i="12"/>
  <c r="E29" i="13"/>
  <c r="E28" i="13"/>
  <c r="E30" i="13" s="1"/>
  <c r="E31" i="13" s="1"/>
  <c r="E32" i="13" s="1"/>
  <c r="M8" i="12" s="1"/>
  <c r="J8" i="12" s="1"/>
  <c r="L5" i="12"/>
  <c r="F7" i="12"/>
  <c r="C27" i="13" l="1"/>
  <c r="C28" i="13" s="1"/>
  <c r="K5" i="12"/>
  <c r="E7" i="12"/>
  <c r="J9" i="12"/>
  <c r="L7" i="12"/>
  <c r="C29" i="13" l="1"/>
  <c r="C30" i="13" s="1"/>
  <c r="C31" i="13" s="1"/>
  <c r="C32" i="13" s="1"/>
  <c r="B8" i="12" s="1"/>
  <c r="C8" i="12" s="1"/>
  <c r="C9" i="12" s="1"/>
  <c r="D27" i="13"/>
  <c r="K7" i="12"/>
  <c r="J10" i="12"/>
  <c r="J11" i="12" s="1"/>
  <c r="J39" i="2"/>
  <c r="J77" i="2" s="1"/>
  <c r="C10" i="12" l="1"/>
  <c r="C11" i="12" s="1"/>
  <c r="D28" i="13"/>
  <c r="D29" i="13"/>
  <c r="J12" i="12"/>
  <c r="J17" i="12" s="1"/>
  <c r="J42" i="2"/>
  <c r="J122" i="2" s="1"/>
  <c r="C12" i="12" l="1"/>
  <c r="D30" i="13"/>
  <c r="D31" i="13" s="1"/>
  <c r="D32" i="13" s="1"/>
  <c r="D8" i="12" s="1"/>
  <c r="C36" i="21"/>
  <c r="E36" i="21" s="1"/>
  <c r="J36" i="21" s="1"/>
  <c r="J106" i="21" s="1"/>
  <c r="C33" i="21"/>
  <c r="C34" i="20"/>
  <c r="E34" i="20" s="1"/>
  <c r="J34" i="20" s="1"/>
  <c r="J75" i="20" s="1"/>
  <c r="C35" i="22"/>
  <c r="E35" i="22" s="1"/>
  <c r="J35" i="22" s="1"/>
  <c r="J91" i="22" s="1"/>
  <c r="C35" i="21"/>
  <c r="E35" i="21" s="1"/>
  <c r="J35" i="21" s="1"/>
  <c r="K35" i="21" s="1"/>
  <c r="K91" i="21" s="1"/>
  <c r="C33" i="20"/>
  <c r="C37" i="2"/>
  <c r="E37" i="2" s="1"/>
  <c r="J37" i="2" s="1"/>
  <c r="J121" i="2" s="1"/>
  <c r="C36" i="20"/>
  <c r="E36" i="20" s="1"/>
  <c r="J36" i="20" s="1"/>
  <c r="J105" i="20" s="1"/>
  <c r="C36" i="2"/>
  <c r="E36" i="2" s="1"/>
  <c r="J36" i="2" s="1"/>
  <c r="J106" i="2" s="1"/>
  <c r="C35" i="2"/>
  <c r="E35" i="2" s="1"/>
  <c r="J35" i="2" s="1"/>
  <c r="J91" i="2" s="1"/>
  <c r="C35" i="20"/>
  <c r="E35" i="20" s="1"/>
  <c r="J35" i="20" s="1"/>
  <c r="K35" i="20" s="1"/>
  <c r="K90" i="20" s="1"/>
  <c r="C37" i="20"/>
  <c r="E37" i="20" s="1"/>
  <c r="J37" i="20" s="1"/>
  <c r="K37" i="20" s="1"/>
  <c r="K120" i="20" s="1"/>
  <c r="J20" i="12"/>
  <c r="C34" i="22"/>
  <c r="E34" i="22" s="1"/>
  <c r="J34" i="22" s="1"/>
  <c r="K34" i="22" s="1"/>
  <c r="K76" i="22" s="1"/>
  <c r="C37" i="21"/>
  <c r="E37" i="21" s="1"/>
  <c r="J37" i="21" s="1"/>
  <c r="J121" i="21" s="1"/>
  <c r="C37" i="22"/>
  <c r="E37" i="22" s="1"/>
  <c r="J37" i="22" s="1"/>
  <c r="K37" i="22" s="1"/>
  <c r="K121" i="22" s="1"/>
  <c r="C34" i="2"/>
  <c r="E34" i="2" s="1"/>
  <c r="J34" i="2" s="1"/>
  <c r="J76" i="2" s="1"/>
  <c r="C33" i="22"/>
  <c r="C34" i="21"/>
  <c r="E34" i="21" s="1"/>
  <c r="J34" i="21" s="1"/>
  <c r="K34" i="21" s="1"/>
  <c r="K76" i="21" s="1"/>
  <c r="C33" i="2"/>
  <c r="C36" i="22"/>
  <c r="E36" i="22" s="1"/>
  <c r="J36" i="22" s="1"/>
  <c r="K36" i="22" s="1"/>
  <c r="K106" i="22" s="1"/>
  <c r="E8" i="12" l="1"/>
  <c r="E9" i="12" s="1"/>
  <c r="F8" i="12"/>
  <c r="F9" i="12" s="1"/>
  <c r="G8" i="12"/>
  <c r="G9" i="12" s="1"/>
  <c r="G10" i="12" s="1"/>
  <c r="G11" i="12" s="1"/>
  <c r="G12" i="12" s="1"/>
  <c r="G17" i="12" s="1"/>
  <c r="H8" i="12"/>
  <c r="H9" i="12" s="1"/>
  <c r="K8" i="12"/>
  <c r="I8" i="12"/>
  <c r="I9" i="12" s="1"/>
  <c r="I10" i="12" s="1"/>
  <c r="I11" i="12" s="1"/>
  <c r="I12" i="12" s="1"/>
  <c r="L8" i="12"/>
  <c r="F92" i="22"/>
  <c r="G76" i="20"/>
  <c r="G91" i="20"/>
  <c r="G77" i="20"/>
  <c r="F92" i="2"/>
  <c r="F107" i="2"/>
  <c r="G77" i="2"/>
  <c r="F77" i="2"/>
  <c r="G122" i="2"/>
  <c r="G92" i="2"/>
  <c r="G107" i="2"/>
  <c r="J106" i="22"/>
  <c r="L36" i="22"/>
  <c r="L106" i="22" s="1"/>
  <c r="L35" i="21"/>
  <c r="L91" i="21" s="1"/>
  <c r="K36" i="2"/>
  <c r="K106" i="2" s="1"/>
  <c r="J121" i="22"/>
  <c r="K37" i="2"/>
  <c r="K121" i="2" s="1"/>
  <c r="J90" i="20"/>
  <c r="L34" i="21"/>
  <c r="N34" i="21" s="1"/>
  <c r="O34" i="21" s="1"/>
  <c r="J33" i="2"/>
  <c r="J33" i="20"/>
  <c r="K36" i="21"/>
  <c r="L36" i="21" s="1"/>
  <c r="L106" i="21" s="1"/>
  <c r="K35" i="2"/>
  <c r="K91" i="2" s="1"/>
  <c r="K34" i="2"/>
  <c r="K76" i="2" s="1"/>
  <c r="K36" i="20"/>
  <c r="K105" i="20" s="1"/>
  <c r="L37" i="22"/>
  <c r="L121" i="22" s="1"/>
  <c r="K37" i="21"/>
  <c r="K121" i="21" s="1"/>
  <c r="J33" i="22"/>
  <c r="J76" i="22"/>
  <c r="E33" i="22"/>
  <c r="C76" i="22"/>
  <c r="E33" i="21"/>
  <c r="C76" i="21"/>
  <c r="E33" i="20"/>
  <c r="C75" i="20"/>
  <c r="J120" i="20"/>
  <c r="L37" i="20"/>
  <c r="L120" i="20" s="1"/>
  <c r="J91" i="21"/>
  <c r="C76" i="2"/>
  <c r="E33" i="2"/>
  <c r="K34" i="20"/>
  <c r="K75" i="20" s="1"/>
  <c r="J76" i="21"/>
  <c r="L35" i="20"/>
  <c r="L90" i="20" s="1"/>
  <c r="J33" i="21"/>
  <c r="K35" i="22"/>
  <c r="K33" i="22" s="1"/>
  <c r="L34" i="22"/>
  <c r="L76" i="22" s="1"/>
  <c r="H10" i="12" l="1"/>
  <c r="H11" i="12" s="1"/>
  <c r="H12" i="12" s="1"/>
  <c r="H17" i="12" s="1"/>
  <c r="C15" i="22"/>
  <c r="E15" i="22" s="1"/>
  <c r="C13" i="22"/>
  <c r="G33" i="12"/>
  <c r="C16" i="21"/>
  <c r="E16" i="21" s="1"/>
  <c r="J16" i="21" s="1"/>
  <c r="J102" i="21" s="1"/>
  <c r="C14" i="22"/>
  <c r="E14" i="22" s="1"/>
  <c r="J14" i="22" s="1"/>
  <c r="C16" i="22"/>
  <c r="E16" i="22" s="1"/>
  <c r="J16" i="22" s="1"/>
  <c r="C17" i="2"/>
  <c r="E17" i="2" s="1"/>
  <c r="C14" i="21"/>
  <c r="E14" i="21" s="1"/>
  <c r="J14" i="21" s="1"/>
  <c r="J72" i="21" s="1"/>
  <c r="C17" i="22"/>
  <c r="E17" i="22" s="1"/>
  <c r="J17" i="22" s="1"/>
  <c r="K17" i="22" s="1"/>
  <c r="K117" i="22" s="1"/>
  <c r="C17" i="20"/>
  <c r="E17" i="20" s="1"/>
  <c r="J17" i="20" s="1"/>
  <c r="J116" i="20" s="1"/>
  <c r="G35" i="12"/>
  <c r="C17" i="21"/>
  <c r="E17" i="21" s="1"/>
  <c r="J17" i="21" s="1"/>
  <c r="J117" i="21" s="1"/>
  <c r="C14" i="2"/>
  <c r="E14" i="2" s="1"/>
  <c r="J14" i="2" s="1"/>
  <c r="J72" i="2" s="1"/>
  <c r="C16" i="2"/>
  <c r="E16" i="2" s="1"/>
  <c r="C13" i="21"/>
  <c r="C15" i="20"/>
  <c r="E15" i="20" s="1"/>
  <c r="J15" i="20" s="1"/>
  <c r="K15" i="20" s="1"/>
  <c r="K86" i="20" s="1"/>
  <c r="C15" i="2"/>
  <c r="E15" i="2" s="1"/>
  <c r="C16" i="20"/>
  <c r="E16" i="20" s="1"/>
  <c r="J16" i="20" s="1"/>
  <c r="C13" i="20"/>
  <c r="C14" i="20"/>
  <c r="E14" i="20" s="1"/>
  <c r="J14" i="20" s="1"/>
  <c r="J71" i="20" s="1"/>
  <c r="C13" i="2"/>
  <c r="G34" i="12"/>
  <c r="C15" i="21"/>
  <c r="E15" i="21" s="1"/>
  <c r="J15" i="21" s="1"/>
  <c r="J87" i="21" s="1"/>
  <c r="F10" i="12"/>
  <c r="L10" i="12" s="1"/>
  <c r="L9" i="12"/>
  <c r="K9" i="12"/>
  <c r="E10" i="12"/>
  <c r="K10" i="12" s="1"/>
  <c r="N35" i="21"/>
  <c r="O35" i="21" s="1"/>
  <c r="F122" i="2"/>
  <c r="F93" i="21"/>
  <c r="K41" i="21"/>
  <c r="J86" i="20"/>
  <c r="K17" i="20"/>
  <c r="K116" i="20" s="1"/>
  <c r="L15" i="20"/>
  <c r="L86" i="20" s="1"/>
  <c r="F77" i="20"/>
  <c r="K44" i="20"/>
  <c r="L17" i="22"/>
  <c r="L117" i="22" s="1"/>
  <c r="F121" i="20"/>
  <c r="K42" i="20"/>
  <c r="L42" i="20" s="1"/>
  <c r="L121" i="20" s="1"/>
  <c r="F108" i="2"/>
  <c r="K46" i="2"/>
  <c r="G78" i="21"/>
  <c r="F106" i="20"/>
  <c r="K41" i="20"/>
  <c r="L41" i="20" s="1"/>
  <c r="L106" i="20" s="1"/>
  <c r="G108" i="22"/>
  <c r="G122" i="22"/>
  <c r="F107" i="22"/>
  <c r="K41" i="22"/>
  <c r="L41" i="22" s="1"/>
  <c r="L107" i="22" s="1"/>
  <c r="G77" i="21"/>
  <c r="J117" i="22"/>
  <c r="F122" i="20"/>
  <c r="K47" i="20"/>
  <c r="L47" i="20" s="1"/>
  <c r="L122" i="20" s="1"/>
  <c r="G108" i="2"/>
  <c r="G123" i="21"/>
  <c r="F107" i="20"/>
  <c r="K46" i="20"/>
  <c r="L46" i="20" s="1"/>
  <c r="L107" i="20" s="1"/>
  <c r="G92" i="20"/>
  <c r="G123" i="22"/>
  <c r="F108" i="22"/>
  <c r="K46" i="22"/>
  <c r="F92" i="20"/>
  <c r="K45" i="20"/>
  <c r="L45" i="20" s="1"/>
  <c r="L92" i="20" s="1"/>
  <c r="G93" i="2"/>
  <c r="G122" i="21"/>
  <c r="G92" i="21"/>
  <c r="F93" i="2"/>
  <c r="K45" i="2"/>
  <c r="L45" i="2" s="1"/>
  <c r="L93" i="2" s="1"/>
  <c r="K16" i="20"/>
  <c r="L16" i="20" s="1"/>
  <c r="L101" i="20" s="1"/>
  <c r="J101" i="20"/>
  <c r="F77" i="22"/>
  <c r="F123" i="21"/>
  <c r="K47" i="21"/>
  <c r="K16" i="22"/>
  <c r="K102" i="22" s="1"/>
  <c r="J102" i="22"/>
  <c r="F78" i="2"/>
  <c r="K44" i="2"/>
  <c r="L44" i="2" s="1"/>
  <c r="L78" i="2" s="1"/>
  <c r="G123" i="2"/>
  <c r="G107" i="21"/>
  <c r="G93" i="21"/>
  <c r="G121" i="20"/>
  <c r="F78" i="22"/>
  <c r="K44" i="22"/>
  <c r="F122" i="21"/>
  <c r="K42" i="21"/>
  <c r="L42" i="21" s="1"/>
  <c r="L122" i="21" s="1"/>
  <c r="G93" i="22"/>
  <c r="F123" i="2"/>
  <c r="K47" i="2"/>
  <c r="L47" i="2" s="1"/>
  <c r="L123" i="2" s="1"/>
  <c r="G108" i="21"/>
  <c r="G106" i="20"/>
  <c r="G122" i="20"/>
  <c r="G77" i="22"/>
  <c r="K14" i="21"/>
  <c r="F123" i="22"/>
  <c r="K47" i="22"/>
  <c r="G78" i="2"/>
  <c r="F77" i="21"/>
  <c r="K39" i="21"/>
  <c r="L39" i="21" s="1"/>
  <c r="F93" i="22"/>
  <c r="K45" i="22"/>
  <c r="G107" i="20"/>
  <c r="G78" i="22"/>
  <c r="F108" i="21"/>
  <c r="K46" i="21"/>
  <c r="K92" i="22"/>
  <c r="G107" i="22"/>
  <c r="F122" i="22"/>
  <c r="K42" i="22"/>
  <c r="L42" i="22" s="1"/>
  <c r="L122" i="22" s="1"/>
  <c r="F78" i="21"/>
  <c r="K44" i="21"/>
  <c r="K40" i="20"/>
  <c r="F91" i="20"/>
  <c r="F92" i="21"/>
  <c r="K40" i="21"/>
  <c r="L40" i="21" s="1"/>
  <c r="L92" i="21" s="1"/>
  <c r="K39" i="20"/>
  <c r="F76" i="20"/>
  <c r="G92" i="22"/>
  <c r="L92" i="22"/>
  <c r="F107" i="21"/>
  <c r="N91" i="21"/>
  <c r="N106" i="22"/>
  <c r="L36" i="2"/>
  <c r="L106" i="2" s="1"/>
  <c r="N106" i="2" s="1"/>
  <c r="L36" i="20"/>
  <c r="L105" i="20" s="1"/>
  <c r="N105" i="20" s="1"/>
  <c r="N36" i="22"/>
  <c r="O36" i="22" s="1"/>
  <c r="N121" i="22"/>
  <c r="K106" i="21"/>
  <c r="N106" i="21" s="1"/>
  <c r="N90" i="20"/>
  <c r="K33" i="21"/>
  <c r="N120" i="20"/>
  <c r="K91" i="22"/>
  <c r="L37" i="21"/>
  <c r="L121" i="21" s="1"/>
  <c r="N121" i="21" s="1"/>
  <c r="L35" i="2"/>
  <c r="L91" i="2" s="1"/>
  <c r="N91" i="2" s="1"/>
  <c r="L34" i="2"/>
  <c r="N34" i="2" s="1"/>
  <c r="O34" i="2" s="1"/>
  <c r="N35" i="20"/>
  <c r="O35" i="20" s="1"/>
  <c r="L76" i="21"/>
  <c r="N76" i="21" s="1"/>
  <c r="N76" i="22"/>
  <c r="L37" i="2"/>
  <c r="L121" i="2" s="1"/>
  <c r="N121" i="2" s="1"/>
  <c r="K33" i="2"/>
  <c r="L35" i="22"/>
  <c r="L91" i="22" s="1"/>
  <c r="L34" i="20"/>
  <c r="L75" i="20" s="1"/>
  <c r="N75" i="20" s="1"/>
  <c r="K33" i="20"/>
  <c r="N37" i="20"/>
  <c r="O37" i="20" s="1"/>
  <c r="N37" i="22"/>
  <c r="O37" i="22" s="1"/>
  <c r="N34" i="22"/>
  <c r="O34" i="22" s="1"/>
  <c r="C91" i="21"/>
  <c r="E91" i="21" s="1"/>
  <c r="C106" i="21"/>
  <c r="E106" i="21" s="1"/>
  <c r="E76" i="21"/>
  <c r="C121" i="21"/>
  <c r="E121" i="21" s="1"/>
  <c r="C120" i="20"/>
  <c r="E120" i="20" s="1"/>
  <c r="C105" i="20"/>
  <c r="E105" i="20" s="1"/>
  <c r="C90" i="20"/>
  <c r="E90" i="20" s="1"/>
  <c r="E75" i="20"/>
  <c r="C91" i="22"/>
  <c r="E91" i="22" s="1"/>
  <c r="C106" i="22"/>
  <c r="E106" i="22" s="1"/>
  <c r="E76" i="22"/>
  <c r="C121" i="22"/>
  <c r="E121" i="22" s="1"/>
  <c r="C121" i="2"/>
  <c r="E121" i="2" s="1"/>
  <c r="C91" i="2"/>
  <c r="E91" i="2" s="1"/>
  <c r="C106" i="2"/>
  <c r="E106" i="2" s="1"/>
  <c r="E76" i="2"/>
  <c r="N36" i="21"/>
  <c r="O36" i="21" s="1"/>
  <c r="K14" i="22" l="1"/>
  <c r="L14" i="22" s="1"/>
  <c r="J13" i="20"/>
  <c r="K14" i="2"/>
  <c r="K15" i="21"/>
  <c r="J13" i="21"/>
  <c r="L11" i="12"/>
  <c r="C20" i="2"/>
  <c r="E20" i="2" s="1"/>
  <c r="J20" i="2" s="1"/>
  <c r="J88" i="2" s="1"/>
  <c r="C20" i="20"/>
  <c r="E20" i="20" s="1"/>
  <c r="C18" i="20"/>
  <c r="C18" i="2"/>
  <c r="C22" i="2"/>
  <c r="E22" i="2" s="1"/>
  <c r="J22" i="2" s="1"/>
  <c r="J118" i="2" s="1"/>
  <c r="C20" i="21"/>
  <c r="E20" i="21" s="1"/>
  <c r="C22" i="20"/>
  <c r="E22" i="20" s="1"/>
  <c r="C21" i="22"/>
  <c r="E21" i="22" s="1"/>
  <c r="C36" i="12"/>
  <c r="C19" i="20"/>
  <c r="E19" i="20" s="1"/>
  <c r="C20" i="22"/>
  <c r="E20" i="22" s="1"/>
  <c r="C35" i="12"/>
  <c r="C21" i="21"/>
  <c r="E21" i="21" s="1"/>
  <c r="C34" i="12"/>
  <c r="C19" i="21"/>
  <c r="E19" i="21" s="1"/>
  <c r="C33" i="12"/>
  <c r="C19" i="22"/>
  <c r="E19" i="22" s="1"/>
  <c r="J19" i="22" s="1"/>
  <c r="K19" i="22" s="1"/>
  <c r="C18" i="21"/>
  <c r="C37" i="12"/>
  <c r="C22" i="21"/>
  <c r="E22" i="21" s="1"/>
  <c r="C18" i="22"/>
  <c r="C21" i="2"/>
  <c r="E21" i="2" s="1"/>
  <c r="J21" i="2" s="1"/>
  <c r="J103" i="2" s="1"/>
  <c r="C22" i="22"/>
  <c r="E22" i="22" s="1"/>
  <c r="C19" i="2"/>
  <c r="E19" i="2" s="1"/>
  <c r="C21" i="20"/>
  <c r="E21" i="20" s="1"/>
  <c r="C71" i="20"/>
  <c r="E13" i="20"/>
  <c r="K14" i="20"/>
  <c r="L14" i="20" s="1"/>
  <c r="L71" i="20" s="1"/>
  <c r="F11" i="12"/>
  <c r="F12" i="12" s="1"/>
  <c r="E13" i="22"/>
  <c r="C72" i="22"/>
  <c r="K16" i="21"/>
  <c r="K102" i="21" s="1"/>
  <c r="J15" i="22"/>
  <c r="J87" i="22" s="1"/>
  <c r="K17" i="21"/>
  <c r="K117" i="21" s="1"/>
  <c r="K11" i="12"/>
  <c r="J72" i="22"/>
  <c r="C72" i="21"/>
  <c r="E13" i="21"/>
  <c r="E11" i="12"/>
  <c r="E13" i="2"/>
  <c r="C72" i="2"/>
  <c r="E12" i="12"/>
  <c r="O91" i="21"/>
  <c r="L17" i="20"/>
  <c r="L13" i="20" s="1"/>
  <c r="N17" i="22"/>
  <c r="O17" i="22" s="1"/>
  <c r="O106" i="22"/>
  <c r="J73" i="22"/>
  <c r="K45" i="21"/>
  <c r="K43" i="21" s="1"/>
  <c r="N86" i="20"/>
  <c r="N15" i="20"/>
  <c r="O15" i="20" s="1"/>
  <c r="N37" i="2"/>
  <c r="O37" i="2" s="1"/>
  <c r="L16" i="21"/>
  <c r="N39" i="21"/>
  <c r="O39" i="21" s="1"/>
  <c r="L77" i="21"/>
  <c r="L14" i="2"/>
  <c r="L72" i="2" s="1"/>
  <c r="K72" i="2"/>
  <c r="K43" i="22"/>
  <c r="K78" i="22"/>
  <c r="K123" i="21"/>
  <c r="K108" i="22"/>
  <c r="K122" i="20"/>
  <c r="N122" i="20" s="1"/>
  <c r="O122" i="20" s="1"/>
  <c r="N47" i="20"/>
  <c r="O47" i="20" s="1"/>
  <c r="K108" i="2"/>
  <c r="N92" i="22"/>
  <c r="O92" i="22" s="1"/>
  <c r="L40" i="20"/>
  <c r="K91" i="20"/>
  <c r="O40" i="22"/>
  <c r="K123" i="22"/>
  <c r="K78" i="21"/>
  <c r="K77" i="22"/>
  <c r="K38" i="22"/>
  <c r="K107" i="20"/>
  <c r="N107" i="20" s="1"/>
  <c r="O107" i="20" s="1"/>
  <c r="N46" i="20"/>
  <c r="O46" i="20" s="1"/>
  <c r="L46" i="22"/>
  <c r="L108" i="22" s="1"/>
  <c r="K121" i="20"/>
  <c r="N121" i="20" s="1"/>
  <c r="O121" i="20" s="1"/>
  <c r="N42" i="20"/>
  <c r="O42" i="20" s="1"/>
  <c r="K107" i="21"/>
  <c r="L41" i="21"/>
  <c r="L107" i="21" s="1"/>
  <c r="L16" i="22"/>
  <c r="L102" i="22" s="1"/>
  <c r="N102" i="22" s="1"/>
  <c r="K108" i="21"/>
  <c r="K93" i="22"/>
  <c r="L45" i="22"/>
  <c r="L93" i="22" s="1"/>
  <c r="K78" i="2"/>
  <c r="N78" i="2" s="1"/>
  <c r="O78" i="2" s="1"/>
  <c r="N44" i="2"/>
  <c r="O44" i="2" s="1"/>
  <c r="K43" i="2"/>
  <c r="N14" i="22"/>
  <c r="O14" i="22" s="1"/>
  <c r="L72" i="22"/>
  <c r="K122" i="22"/>
  <c r="N122" i="22" s="1"/>
  <c r="O122" i="22" s="1"/>
  <c r="N42" i="22"/>
  <c r="O42" i="22" s="1"/>
  <c r="K72" i="21"/>
  <c r="K13" i="21"/>
  <c r="L14" i="21"/>
  <c r="L46" i="21"/>
  <c r="L108" i="21" s="1"/>
  <c r="K87" i="21"/>
  <c r="L15" i="21"/>
  <c r="L47" i="21"/>
  <c r="L123" i="21" s="1"/>
  <c r="K106" i="20"/>
  <c r="N106" i="20" s="1"/>
  <c r="O106" i="20" s="1"/>
  <c r="N41" i="20"/>
  <c r="O41" i="20" s="1"/>
  <c r="N117" i="22"/>
  <c r="L39" i="20"/>
  <c r="K76" i="20"/>
  <c r="K38" i="20"/>
  <c r="L44" i="22"/>
  <c r="K77" i="21"/>
  <c r="K38" i="21"/>
  <c r="K101" i="20"/>
  <c r="N101" i="20" s="1"/>
  <c r="N16" i="20"/>
  <c r="O16" i="20" s="1"/>
  <c r="K13" i="20"/>
  <c r="K72" i="22"/>
  <c r="L44" i="20"/>
  <c r="N44" i="20" s="1"/>
  <c r="O44" i="20" s="1"/>
  <c r="K77" i="20"/>
  <c r="K43" i="20"/>
  <c r="K92" i="21"/>
  <c r="N92" i="21" s="1"/>
  <c r="O92" i="21" s="1"/>
  <c r="N40" i="21"/>
  <c r="O40" i="21" s="1"/>
  <c r="K123" i="2"/>
  <c r="N123" i="2" s="1"/>
  <c r="O123" i="2" s="1"/>
  <c r="N47" i="2"/>
  <c r="O47" i="2" s="1"/>
  <c r="K122" i="21"/>
  <c r="N122" i="21" s="1"/>
  <c r="O122" i="21" s="1"/>
  <c r="N42" i="21"/>
  <c r="O42" i="21" s="1"/>
  <c r="K93" i="2"/>
  <c r="N93" i="2" s="1"/>
  <c r="O93" i="2" s="1"/>
  <c r="N45" i="2"/>
  <c r="O45" i="2" s="1"/>
  <c r="K92" i="20"/>
  <c r="N92" i="20" s="1"/>
  <c r="O92" i="20" s="1"/>
  <c r="N45" i="20"/>
  <c r="O45" i="20" s="1"/>
  <c r="L47" i="22"/>
  <c r="L123" i="22" s="1"/>
  <c r="L46" i="2"/>
  <c r="L108" i="2" s="1"/>
  <c r="K107" i="22"/>
  <c r="N107" i="22" s="1"/>
  <c r="O107" i="22" s="1"/>
  <c r="N41" i="22"/>
  <c r="O41" i="22" s="1"/>
  <c r="L44" i="21"/>
  <c r="N36" i="20"/>
  <c r="O36" i="20" s="1"/>
  <c r="O120" i="20"/>
  <c r="N36" i="2"/>
  <c r="O36" i="2" s="1"/>
  <c r="O106" i="2"/>
  <c r="N34" i="20"/>
  <c r="O34" i="20" s="1"/>
  <c r="L33" i="21"/>
  <c r="N33" i="21" s="1"/>
  <c r="O33" i="21" s="1"/>
  <c r="N37" i="21"/>
  <c r="O37" i="21" s="1"/>
  <c r="O121" i="22"/>
  <c r="N35" i="2"/>
  <c r="O35" i="2" s="1"/>
  <c r="L33" i="2"/>
  <c r="N33" i="2" s="1"/>
  <c r="O33" i="2" s="1"/>
  <c r="O75" i="20"/>
  <c r="L33" i="20"/>
  <c r="N33" i="20" s="1"/>
  <c r="O33" i="20" s="1"/>
  <c r="O105" i="20"/>
  <c r="O106" i="21"/>
  <c r="L76" i="2"/>
  <c r="N76" i="2" s="1"/>
  <c r="O76" i="2" s="1"/>
  <c r="O90" i="20"/>
  <c r="O91" i="2"/>
  <c r="O76" i="22"/>
  <c r="N35" i="22"/>
  <c r="O35" i="22" s="1"/>
  <c r="L33" i="22"/>
  <c r="N33" i="22" s="1"/>
  <c r="O33" i="22" s="1"/>
  <c r="O76" i="21"/>
  <c r="O121" i="21"/>
  <c r="O121" i="2"/>
  <c r="K73" i="22"/>
  <c r="L19" i="22"/>
  <c r="N91" i="22"/>
  <c r="O91" i="22" s="1"/>
  <c r="K21" i="2"/>
  <c r="K20" i="2"/>
  <c r="K88" i="2" s="1"/>
  <c r="O102" i="22" l="1"/>
  <c r="L17" i="21"/>
  <c r="L117" i="21" s="1"/>
  <c r="N117" i="21" s="1"/>
  <c r="O117" i="21" s="1"/>
  <c r="C117" i="21"/>
  <c r="E117" i="21" s="1"/>
  <c r="C102" i="21"/>
  <c r="E102" i="21" s="1"/>
  <c r="E72" i="21"/>
  <c r="C87" i="21"/>
  <c r="E87" i="21" s="1"/>
  <c r="C102" i="22"/>
  <c r="E102" i="22" s="1"/>
  <c r="C87" i="22"/>
  <c r="E87" i="22" s="1"/>
  <c r="C117" i="22"/>
  <c r="E117" i="22" s="1"/>
  <c r="O117" i="22" s="1"/>
  <c r="E72" i="22"/>
  <c r="J22" i="22"/>
  <c r="K22" i="22" s="1"/>
  <c r="J19" i="21"/>
  <c r="K19" i="21" s="1"/>
  <c r="J22" i="20"/>
  <c r="K22" i="20" s="1"/>
  <c r="K117" i="20" s="1"/>
  <c r="J20" i="21"/>
  <c r="K20" i="21"/>
  <c r="K88" i="21" s="1"/>
  <c r="K12" i="12"/>
  <c r="K17" i="12" s="1"/>
  <c r="E17" i="12"/>
  <c r="J22" i="21"/>
  <c r="E18" i="2"/>
  <c r="C73" i="2"/>
  <c r="K71" i="20"/>
  <c r="N71" i="20" s="1"/>
  <c r="O71" i="20" s="1"/>
  <c r="C87" i="2"/>
  <c r="E87" i="2" s="1"/>
  <c r="C117" i="2"/>
  <c r="E117" i="2" s="1"/>
  <c r="E72" i="2"/>
  <c r="C102" i="2"/>
  <c r="E102" i="2" s="1"/>
  <c r="J20" i="22"/>
  <c r="K20" i="22"/>
  <c r="C72" i="20"/>
  <c r="E18" i="20"/>
  <c r="E18" i="22"/>
  <c r="C73" i="22"/>
  <c r="K22" i="2"/>
  <c r="N14" i="20"/>
  <c r="O14" i="20" s="1"/>
  <c r="K15" i="22"/>
  <c r="C101" i="20"/>
  <c r="E101" i="20" s="1"/>
  <c r="O101" i="20" s="1"/>
  <c r="C116" i="20"/>
  <c r="E116" i="20" s="1"/>
  <c r="E71" i="20"/>
  <c r="C86" i="20"/>
  <c r="E86" i="20" s="1"/>
  <c r="O86" i="20" s="1"/>
  <c r="C73" i="21"/>
  <c r="E18" i="21"/>
  <c r="J19" i="20"/>
  <c r="K19" i="20" s="1"/>
  <c r="J20" i="20"/>
  <c r="K20" i="20" s="1"/>
  <c r="K87" i="20" s="1"/>
  <c r="F17" i="12"/>
  <c r="L12" i="12"/>
  <c r="L17" i="12" s="1"/>
  <c r="J21" i="20"/>
  <c r="J21" i="21"/>
  <c r="J103" i="21" s="1"/>
  <c r="J21" i="22"/>
  <c r="K21" i="22" s="1"/>
  <c r="K103" i="22" s="1"/>
  <c r="J13" i="22"/>
  <c r="L116" i="20"/>
  <c r="N116" i="20" s="1"/>
  <c r="N17" i="20"/>
  <c r="O17" i="20" s="1"/>
  <c r="L45" i="21"/>
  <c r="L93" i="21" s="1"/>
  <c r="K93" i="21"/>
  <c r="N13" i="20"/>
  <c r="O13" i="20" s="1"/>
  <c r="N16" i="22"/>
  <c r="O16" i="22" s="1"/>
  <c r="N108" i="21"/>
  <c r="O108" i="21" s="1"/>
  <c r="N72" i="22"/>
  <c r="O72" i="22" s="1"/>
  <c r="N108" i="2"/>
  <c r="O108" i="2" s="1"/>
  <c r="N123" i="22"/>
  <c r="O123" i="22" s="1"/>
  <c r="N16" i="21"/>
  <c r="O16" i="21" s="1"/>
  <c r="L102" i="21"/>
  <c r="N102" i="21" s="1"/>
  <c r="N44" i="21"/>
  <c r="O44" i="21" s="1"/>
  <c r="L78" i="21"/>
  <c r="N78" i="21" s="1"/>
  <c r="O78" i="21" s="1"/>
  <c r="L43" i="21"/>
  <c r="N43" i="21" s="1"/>
  <c r="O43" i="21" s="1"/>
  <c r="L43" i="2"/>
  <c r="N43" i="2" s="1"/>
  <c r="O43" i="2" s="1"/>
  <c r="N45" i="22"/>
  <c r="O45" i="22" s="1"/>
  <c r="N45" i="21"/>
  <c r="O45" i="21" s="1"/>
  <c r="N39" i="20"/>
  <c r="O39" i="20" s="1"/>
  <c r="L76" i="20"/>
  <c r="N76" i="20" s="1"/>
  <c r="O76" i="20" s="1"/>
  <c r="L38" i="20"/>
  <c r="N38" i="20" s="1"/>
  <c r="O38" i="20" s="1"/>
  <c r="N93" i="22"/>
  <c r="O93" i="22" s="1"/>
  <c r="N93" i="21"/>
  <c r="O93" i="21" s="1"/>
  <c r="N72" i="2"/>
  <c r="O72" i="2" s="1"/>
  <c r="L87" i="21"/>
  <c r="N87" i="21" s="1"/>
  <c r="N15" i="21"/>
  <c r="O15" i="21" s="1"/>
  <c r="L72" i="21"/>
  <c r="N72" i="21" s="1"/>
  <c r="O72" i="21" s="1"/>
  <c r="L13" i="21"/>
  <c r="N13" i="21" s="1"/>
  <c r="O13" i="21" s="1"/>
  <c r="N46" i="21"/>
  <c r="O46" i="21" s="1"/>
  <c r="L77" i="20"/>
  <c r="N77" i="20" s="1"/>
  <c r="O77" i="20" s="1"/>
  <c r="L43" i="20"/>
  <c r="N43" i="20" s="1"/>
  <c r="O43" i="20" s="1"/>
  <c r="L38" i="22"/>
  <c r="N38" i="22" s="1"/>
  <c r="O38" i="22" s="1"/>
  <c r="L77" i="22"/>
  <c r="N77" i="22" s="1"/>
  <c r="O77" i="22" s="1"/>
  <c r="N46" i="22"/>
  <c r="O46" i="22" s="1"/>
  <c r="N14" i="21"/>
  <c r="O14" i="21" s="1"/>
  <c r="N40" i="20"/>
  <c r="O40" i="20" s="1"/>
  <c r="L91" i="20"/>
  <c r="N91" i="20" s="1"/>
  <c r="O91" i="20" s="1"/>
  <c r="N108" i="22"/>
  <c r="O108" i="22" s="1"/>
  <c r="L38" i="21"/>
  <c r="N38" i="21" s="1"/>
  <c r="O38" i="21" s="1"/>
  <c r="N107" i="21"/>
  <c r="O107" i="21" s="1"/>
  <c r="N47" i="21"/>
  <c r="O47" i="21" s="1"/>
  <c r="N77" i="21"/>
  <c r="O77" i="21" s="1"/>
  <c r="N44" i="22"/>
  <c r="O44" i="22" s="1"/>
  <c r="L78" i="22"/>
  <c r="N78" i="22" s="1"/>
  <c r="O78" i="22" s="1"/>
  <c r="L43" i="22"/>
  <c r="N43" i="22" s="1"/>
  <c r="O43" i="22" s="1"/>
  <c r="N41" i="21"/>
  <c r="O41" i="21" s="1"/>
  <c r="O39" i="22"/>
  <c r="N47" i="22"/>
  <c r="O47" i="22" s="1"/>
  <c r="N46" i="2"/>
  <c r="O46" i="2" s="1"/>
  <c r="N123" i="21"/>
  <c r="O123" i="21" s="1"/>
  <c r="N19" i="22"/>
  <c r="O19" i="22" s="1"/>
  <c r="L73" i="22"/>
  <c r="N73" i="22" s="1"/>
  <c r="L21" i="2"/>
  <c r="K103" i="2"/>
  <c r="L22" i="2"/>
  <c r="L118" i="2" s="1"/>
  <c r="K118" i="2"/>
  <c r="L20" i="2"/>
  <c r="L88" i="2" s="1"/>
  <c r="N88" i="2" s="1"/>
  <c r="B113" i="2"/>
  <c r="B98" i="2"/>
  <c r="B83" i="2"/>
  <c r="F70" i="2"/>
  <c r="F71" i="2"/>
  <c r="F72" i="2"/>
  <c r="B74" i="2"/>
  <c r="B73" i="2"/>
  <c r="B72" i="2"/>
  <c r="B71" i="2"/>
  <c r="B70" i="2"/>
  <c r="B68" i="2"/>
  <c r="O87" i="21" l="1"/>
  <c r="O102" i="21"/>
  <c r="K118" i="22"/>
  <c r="K88" i="22"/>
  <c r="K18" i="22"/>
  <c r="C103" i="2"/>
  <c r="E103" i="2" s="1"/>
  <c r="C118" i="2"/>
  <c r="E118" i="2" s="1"/>
  <c r="C88" i="2"/>
  <c r="E88" i="2" s="1"/>
  <c r="O88" i="2" s="1"/>
  <c r="E73" i="2"/>
  <c r="O116" i="20"/>
  <c r="J18" i="20"/>
  <c r="J72" i="20"/>
  <c r="L19" i="20"/>
  <c r="J88" i="22"/>
  <c r="L20" i="22"/>
  <c r="J18" i="22"/>
  <c r="J117" i="20"/>
  <c r="L22" i="20"/>
  <c r="L117" i="20" s="1"/>
  <c r="K87" i="22"/>
  <c r="L15" i="22"/>
  <c r="N15" i="22" s="1"/>
  <c r="O15" i="22" s="1"/>
  <c r="K13" i="22"/>
  <c r="N17" i="21"/>
  <c r="O17" i="21" s="1"/>
  <c r="K21" i="20"/>
  <c r="J102" i="20"/>
  <c r="K73" i="21"/>
  <c r="C118" i="21"/>
  <c r="E118" i="21" s="1"/>
  <c r="C103" i="21"/>
  <c r="E103" i="21" s="1"/>
  <c r="E73" i="21"/>
  <c r="C88" i="21"/>
  <c r="E88" i="21" s="1"/>
  <c r="K22" i="21"/>
  <c r="K118" i="21" s="1"/>
  <c r="J118" i="21"/>
  <c r="J73" i="21"/>
  <c r="J18" i="21"/>
  <c r="L19" i="21"/>
  <c r="C9" i="21"/>
  <c r="E9" i="21" s="1"/>
  <c r="J9" i="21" s="1"/>
  <c r="C12" i="21"/>
  <c r="E12" i="21" s="1"/>
  <c r="C11" i="21"/>
  <c r="E11" i="21" s="1"/>
  <c r="C10" i="21"/>
  <c r="E10" i="21" s="1"/>
  <c r="C8" i="21"/>
  <c r="L20" i="12"/>
  <c r="C118" i="22"/>
  <c r="E118" i="22" s="1"/>
  <c r="C88" i="22"/>
  <c r="E88" i="22" s="1"/>
  <c r="C103" i="22"/>
  <c r="E103" i="22" s="1"/>
  <c r="E73" i="22"/>
  <c r="O73" i="22" s="1"/>
  <c r="C7" i="2"/>
  <c r="C3" i="22"/>
  <c r="C3" i="2"/>
  <c r="C7" i="22"/>
  <c r="E7" i="22" s="1"/>
  <c r="C4" i="20"/>
  <c r="E4" i="20" s="1"/>
  <c r="J4" i="20" s="1"/>
  <c r="C5" i="22"/>
  <c r="E5" i="22" s="1"/>
  <c r="E20" i="12"/>
  <c r="C7" i="20"/>
  <c r="E7" i="20" s="1"/>
  <c r="C3" i="20"/>
  <c r="C5" i="2"/>
  <c r="C6" i="20"/>
  <c r="E6" i="20" s="1"/>
  <c r="C6" i="2"/>
  <c r="C4" i="22"/>
  <c r="E4" i="22" s="1"/>
  <c r="J4" i="22" s="1"/>
  <c r="K4" i="22" s="1"/>
  <c r="K70" i="22" s="1"/>
  <c r="C4" i="2"/>
  <c r="C5" i="20"/>
  <c r="E5" i="20" s="1"/>
  <c r="C6" i="22"/>
  <c r="E6" i="22" s="1"/>
  <c r="K72" i="20"/>
  <c r="J103" i="22"/>
  <c r="L21" i="22"/>
  <c r="C8" i="20"/>
  <c r="C9" i="20"/>
  <c r="E9" i="20" s="1"/>
  <c r="C12" i="2"/>
  <c r="E12" i="2" s="1"/>
  <c r="C11" i="22"/>
  <c r="E11" i="22" s="1"/>
  <c r="F20" i="12"/>
  <c r="C9" i="2"/>
  <c r="E9" i="2" s="1"/>
  <c r="J9" i="2" s="1"/>
  <c r="J71" i="2" s="1"/>
  <c r="C10" i="20"/>
  <c r="E10" i="20" s="1"/>
  <c r="C11" i="20"/>
  <c r="E11" i="20" s="1"/>
  <c r="C10" i="22"/>
  <c r="E10" i="22" s="1"/>
  <c r="C10" i="2"/>
  <c r="E10" i="2" s="1"/>
  <c r="C8" i="2"/>
  <c r="C12" i="22"/>
  <c r="E12" i="22" s="1"/>
  <c r="C11" i="2"/>
  <c r="E11" i="2" s="1"/>
  <c r="C9" i="22"/>
  <c r="E9" i="22" s="1"/>
  <c r="C12" i="20"/>
  <c r="E12" i="20" s="1"/>
  <c r="C8" i="22"/>
  <c r="C7" i="21"/>
  <c r="E7" i="21" s="1"/>
  <c r="K20" i="12"/>
  <c r="C5" i="21"/>
  <c r="E5" i="21" s="1"/>
  <c r="J5" i="21" s="1"/>
  <c r="C4" i="21"/>
  <c r="E4" i="21" s="1"/>
  <c r="C6" i="21"/>
  <c r="E6" i="21" s="1"/>
  <c r="C3" i="21"/>
  <c r="J118" i="22"/>
  <c r="L22" i="22"/>
  <c r="L118" i="22" s="1"/>
  <c r="K21" i="21"/>
  <c r="K103" i="21" s="1"/>
  <c r="J87" i="20"/>
  <c r="L20" i="20"/>
  <c r="L87" i="20" s="1"/>
  <c r="C87" i="20"/>
  <c r="E87" i="20" s="1"/>
  <c r="E72" i="20"/>
  <c r="C117" i="20"/>
  <c r="E117" i="20" s="1"/>
  <c r="C102" i="20"/>
  <c r="E102" i="20" s="1"/>
  <c r="J88" i="21"/>
  <c r="L20" i="21"/>
  <c r="L88" i="21" s="1"/>
  <c r="L4" i="22"/>
  <c r="L70" i="22" s="1"/>
  <c r="J69" i="20"/>
  <c r="J70" i="22"/>
  <c r="K4" i="20"/>
  <c r="L4" i="20" s="1"/>
  <c r="N21" i="2"/>
  <c r="O21" i="2" s="1"/>
  <c r="L103" i="2"/>
  <c r="N103" i="2" s="1"/>
  <c r="O103" i="2" s="1"/>
  <c r="N118" i="2"/>
  <c r="O118" i="2" s="1"/>
  <c r="N22" i="2"/>
  <c r="O22" i="2" s="1"/>
  <c r="N20" i="2"/>
  <c r="O20" i="2" s="1"/>
  <c r="K18" i="21" l="1"/>
  <c r="L21" i="21"/>
  <c r="L103" i="21" s="1"/>
  <c r="N103" i="21" s="1"/>
  <c r="O103" i="21" s="1"/>
  <c r="N118" i="22"/>
  <c r="O118" i="22" s="1"/>
  <c r="J6" i="21"/>
  <c r="J12" i="22"/>
  <c r="J7" i="20"/>
  <c r="K7" i="20" s="1"/>
  <c r="K114" i="20" s="1"/>
  <c r="J12" i="21"/>
  <c r="J4" i="21"/>
  <c r="J11" i="22"/>
  <c r="K5" i="21"/>
  <c r="J85" i="21"/>
  <c r="C71" i="2"/>
  <c r="E8" i="2"/>
  <c r="J5" i="20"/>
  <c r="K5" i="20" s="1"/>
  <c r="K9" i="21"/>
  <c r="J71" i="21"/>
  <c r="E3" i="20"/>
  <c r="C69" i="20"/>
  <c r="J6" i="22"/>
  <c r="J100" i="22" s="1"/>
  <c r="K6" i="22"/>
  <c r="K100" i="22" s="1"/>
  <c r="N87" i="20"/>
  <c r="O87" i="20" s="1"/>
  <c r="N88" i="21"/>
  <c r="O88" i="21" s="1"/>
  <c r="J9" i="20"/>
  <c r="J5" i="22"/>
  <c r="N22" i="20"/>
  <c r="O22" i="20" s="1"/>
  <c r="N117" i="20"/>
  <c r="O117" i="20" s="1"/>
  <c r="N22" i="22"/>
  <c r="O22" i="22" s="1"/>
  <c r="J11" i="21"/>
  <c r="J7" i="21"/>
  <c r="J10" i="22"/>
  <c r="K10" i="22" s="1"/>
  <c r="K86" i="22" s="1"/>
  <c r="C70" i="20"/>
  <c r="E8" i="20"/>
  <c r="N19" i="21"/>
  <c r="O19" i="21" s="1"/>
  <c r="L73" i="21"/>
  <c r="N73" i="21" s="1"/>
  <c r="O73" i="21" s="1"/>
  <c r="K102" i="20"/>
  <c r="L21" i="20"/>
  <c r="L18" i="20" s="1"/>
  <c r="E8" i="22"/>
  <c r="C71" i="22"/>
  <c r="J11" i="20"/>
  <c r="K11" i="20" s="1"/>
  <c r="K100" i="20" s="1"/>
  <c r="L103" i="22"/>
  <c r="N103" i="22" s="1"/>
  <c r="O103" i="22" s="1"/>
  <c r="N21" i="22"/>
  <c r="O21" i="22" s="1"/>
  <c r="J7" i="22"/>
  <c r="L18" i="22"/>
  <c r="N18" i="22" s="1"/>
  <c r="O18" i="22" s="1"/>
  <c r="L88" i="22"/>
  <c r="N88" i="22" s="1"/>
  <c r="O88" i="22" s="1"/>
  <c r="L22" i="21"/>
  <c r="L118" i="21" s="1"/>
  <c r="N118" i="21" s="1"/>
  <c r="O118" i="21" s="1"/>
  <c r="J12" i="20"/>
  <c r="J10" i="20"/>
  <c r="K10" i="20" s="1"/>
  <c r="K85" i="20" s="1"/>
  <c r="J6" i="20"/>
  <c r="K6" i="20" s="1"/>
  <c r="K99" i="20" s="1"/>
  <c r="C70" i="2"/>
  <c r="E3" i="2"/>
  <c r="C71" i="21"/>
  <c r="E8" i="21"/>
  <c r="N21" i="21"/>
  <c r="O21" i="21" s="1"/>
  <c r="N20" i="20"/>
  <c r="O20" i="20" s="1"/>
  <c r="E3" i="21"/>
  <c r="C70" i="21"/>
  <c r="J9" i="22"/>
  <c r="K9" i="22" s="1"/>
  <c r="K18" i="20"/>
  <c r="C70" i="22"/>
  <c r="E3" i="22"/>
  <c r="J10" i="21"/>
  <c r="K10" i="21" s="1"/>
  <c r="N20" i="22"/>
  <c r="O20" i="22" s="1"/>
  <c r="L87" i="22"/>
  <c r="N87" i="22" s="1"/>
  <c r="O87" i="22" s="1"/>
  <c r="L13" i="22"/>
  <c r="N13" i="22" s="1"/>
  <c r="O13" i="22" s="1"/>
  <c r="N19" i="20"/>
  <c r="O19" i="20" s="1"/>
  <c r="L72" i="20"/>
  <c r="N72" i="20" s="1"/>
  <c r="O72" i="20" s="1"/>
  <c r="N20" i="21"/>
  <c r="O20" i="21" s="1"/>
  <c r="N4" i="22"/>
  <c r="O4" i="22" s="1"/>
  <c r="L69" i="20"/>
  <c r="K69" i="20"/>
  <c r="N4" i="20"/>
  <c r="O4" i="20" s="1"/>
  <c r="N70" i="22"/>
  <c r="K9" i="2"/>
  <c r="K71" i="2" s="1"/>
  <c r="N18" i="20" l="1"/>
  <c r="O18" i="20" s="1"/>
  <c r="N22" i="21"/>
  <c r="O22" i="21" s="1"/>
  <c r="L10" i="21"/>
  <c r="L86" i="21" s="1"/>
  <c r="K84" i="20"/>
  <c r="K3" i="20"/>
  <c r="L9" i="22"/>
  <c r="K71" i="22"/>
  <c r="K86" i="21"/>
  <c r="J99" i="20"/>
  <c r="L6" i="20"/>
  <c r="C86" i="22"/>
  <c r="E86" i="22" s="1"/>
  <c r="C101" i="22"/>
  <c r="E101" i="22" s="1"/>
  <c r="E71" i="22"/>
  <c r="C116" i="22"/>
  <c r="E116" i="22" s="1"/>
  <c r="C116" i="2"/>
  <c r="E116" i="2" s="1"/>
  <c r="C86" i="2"/>
  <c r="E86" i="2" s="1"/>
  <c r="C101" i="2"/>
  <c r="E101" i="2" s="1"/>
  <c r="E71" i="2"/>
  <c r="K12" i="21"/>
  <c r="J116" i="21"/>
  <c r="J86" i="21"/>
  <c r="N10" i="21"/>
  <c r="O10" i="21" s="1"/>
  <c r="L10" i="20"/>
  <c r="L85" i="20" s="1"/>
  <c r="N85" i="20" s="1"/>
  <c r="C115" i="20"/>
  <c r="E115" i="20" s="1"/>
  <c r="C85" i="20"/>
  <c r="E85" i="20" s="1"/>
  <c r="E70" i="20"/>
  <c r="C100" i="20"/>
  <c r="E100" i="20" s="1"/>
  <c r="K11" i="21"/>
  <c r="K8" i="21" s="1"/>
  <c r="J101" i="21"/>
  <c r="K9" i="20"/>
  <c r="J8" i="20"/>
  <c r="J70" i="20"/>
  <c r="J8" i="21"/>
  <c r="J85" i="22"/>
  <c r="J3" i="22"/>
  <c r="K7" i="22"/>
  <c r="K115" i="22" s="1"/>
  <c r="J115" i="22"/>
  <c r="L10" i="22"/>
  <c r="L86" i="22" s="1"/>
  <c r="L5" i="21"/>
  <c r="K85" i="21"/>
  <c r="J114" i="20"/>
  <c r="L7" i="20"/>
  <c r="L114" i="20" s="1"/>
  <c r="N86" i="21"/>
  <c r="C115" i="21"/>
  <c r="E115" i="21" s="1"/>
  <c r="C100" i="21"/>
  <c r="E100" i="21" s="1"/>
  <c r="C85" i="21"/>
  <c r="E85" i="21" s="1"/>
  <c r="E70" i="21"/>
  <c r="J100" i="20"/>
  <c r="L6" i="22"/>
  <c r="L100" i="22" s="1"/>
  <c r="N100" i="22" s="1"/>
  <c r="C85" i="22"/>
  <c r="E85" i="22" s="1"/>
  <c r="C115" i="22"/>
  <c r="E115" i="22" s="1"/>
  <c r="E70" i="22"/>
  <c r="O70" i="22" s="1"/>
  <c r="C100" i="22"/>
  <c r="E100" i="22" s="1"/>
  <c r="J85" i="20"/>
  <c r="L102" i="20"/>
  <c r="N102" i="20" s="1"/>
  <c r="O102" i="20" s="1"/>
  <c r="N21" i="20"/>
  <c r="O21" i="20" s="1"/>
  <c r="L9" i="21"/>
  <c r="K71" i="21"/>
  <c r="J86" i="22"/>
  <c r="L5" i="20"/>
  <c r="N5" i="20" s="1"/>
  <c r="O5" i="20" s="1"/>
  <c r="K11" i="22"/>
  <c r="K101" i="22" s="1"/>
  <c r="J101" i="22"/>
  <c r="K12" i="22"/>
  <c r="K116" i="22" s="1"/>
  <c r="J116" i="22"/>
  <c r="C116" i="21"/>
  <c r="E116" i="21" s="1"/>
  <c r="E71" i="21"/>
  <c r="C101" i="21"/>
  <c r="E101" i="21" s="1"/>
  <c r="C86" i="21"/>
  <c r="E86" i="21" s="1"/>
  <c r="N6" i="22"/>
  <c r="O6" i="22" s="1"/>
  <c r="K12" i="20"/>
  <c r="J115" i="20"/>
  <c r="L11" i="20"/>
  <c r="L100" i="20" s="1"/>
  <c r="N100" i="20" s="1"/>
  <c r="O100" i="20" s="1"/>
  <c r="L18" i="21"/>
  <c r="N18" i="21" s="1"/>
  <c r="O18" i="21" s="1"/>
  <c r="J71" i="22"/>
  <c r="J8" i="22"/>
  <c r="N9" i="22"/>
  <c r="O9" i="22" s="1"/>
  <c r="C100" i="2"/>
  <c r="C85" i="2"/>
  <c r="C115" i="2"/>
  <c r="K7" i="21"/>
  <c r="K115" i="21" s="1"/>
  <c r="J115" i="21"/>
  <c r="K5" i="22"/>
  <c r="C114" i="20"/>
  <c r="E114" i="20" s="1"/>
  <c r="C84" i="20"/>
  <c r="E84" i="20" s="1"/>
  <c r="C99" i="20"/>
  <c r="E99" i="20" s="1"/>
  <c r="E69" i="20"/>
  <c r="J84" i="20"/>
  <c r="J3" i="20"/>
  <c r="K4" i="21"/>
  <c r="J3" i="21"/>
  <c r="J70" i="21"/>
  <c r="K6" i="21"/>
  <c r="K100" i="21" s="1"/>
  <c r="J100" i="21"/>
  <c r="N69" i="20"/>
  <c r="O69" i="20" s="1"/>
  <c r="J10" i="2"/>
  <c r="J86" i="2" s="1"/>
  <c r="N14" i="2"/>
  <c r="L9" i="2"/>
  <c r="L71" i="2" s="1"/>
  <c r="J15" i="2"/>
  <c r="J87" i="2" s="1"/>
  <c r="L6" i="21" l="1"/>
  <c r="O86" i="21"/>
  <c r="O100" i="22"/>
  <c r="N10" i="20"/>
  <c r="O10" i="20" s="1"/>
  <c r="N11" i="20"/>
  <c r="O11" i="20" s="1"/>
  <c r="L5" i="22"/>
  <c r="K3" i="22"/>
  <c r="K85" i="22"/>
  <c r="N7" i="20"/>
  <c r="O7" i="20" s="1"/>
  <c r="K70" i="20"/>
  <c r="K8" i="20"/>
  <c r="L9" i="20"/>
  <c r="O85" i="20"/>
  <c r="L71" i="22"/>
  <c r="N71" i="22" s="1"/>
  <c r="O71" i="22" s="1"/>
  <c r="L84" i="20"/>
  <c r="N84" i="20" s="1"/>
  <c r="O84" i="20" s="1"/>
  <c r="L3" i="20"/>
  <c r="N3" i="20" s="1"/>
  <c r="O3" i="20" s="1"/>
  <c r="N114" i="20"/>
  <c r="O114" i="20" s="1"/>
  <c r="K70" i="21"/>
  <c r="K3" i="21"/>
  <c r="N10" i="22"/>
  <c r="O10" i="22" s="1"/>
  <c r="N5" i="22"/>
  <c r="O5" i="22" s="1"/>
  <c r="L12" i="22"/>
  <c r="L116" i="22" s="1"/>
  <c r="N100" i="21"/>
  <c r="O100" i="21" s="1"/>
  <c r="N12" i="22"/>
  <c r="O12" i="22" s="1"/>
  <c r="N86" i="22"/>
  <c r="O86" i="22" s="1"/>
  <c r="N5" i="21"/>
  <c r="O5" i="21" s="1"/>
  <c r="L85" i="21"/>
  <c r="N85" i="21" s="1"/>
  <c r="O85" i="21" s="1"/>
  <c r="K101" i="21"/>
  <c r="N101" i="21" s="1"/>
  <c r="O101" i="21" s="1"/>
  <c r="L11" i="21"/>
  <c r="L101" i="21" s="1"/>
  <c r="L11" i="22"/>
  <c r="N116" i="22"/>
  <c r="O116" i="22" s="1"/>
  <c r="L7" i="21"/>
  <c r="L7" i="22"/>
  <c r="K115" i="20"/>
  <c r="L12" i="20"/>
  <c r="L115" i="20" s="1"/>
  <c r="N115" i="20" s="1"/>
  <c r="O115" i="20" s="1"/>
  <c r="L71" i="21"/>
  <c r="N71" i="21" s="1"/>
  <c r="O71" i="21" s="1"/>
  <c r="L8" i="21"/>
  <c r="N8" i="21" s="1"/>
  <c r="O8" i="21" s="1"/>
  <c r="N9" i="21"/>
  <c r="O9" i="21" s="1"/>
  <c r="K116" i="21"/>
  <c r="N116" i="21" s="1"/>
  <c r="O116" i="21" s="1"/>
  <c r="L12" i="21"/>
  <c r="L116" i="21" s="1"/>
  <c r="N6" i="21"/>
  <c r="O6" i="21" s="1"/>
  <c r="L100" i="21"/>
  <c r="L4" i="21"/>
  <c r="N6" i="20"/>
  <c r="O6" i="20" s="1"/>
  <c r="L99" i="20"/>
  <c r="N99" i="20" s="1"/>
  <c r="O99" i="20" s="1"/>
  <c r="K8" i="22"/>
  <c r="N71" i="2"/>
  <c r="O71" i="2" s="1"/>
  <c r="K15" i="2"/>
  <c r="K87" i="2" s="1"/>
  <c r="N9" i="2"/>
  <c r="K10" i="2"/>
  <c r="K86" i="2" s="1"/>
  <c r="J11" i="2"/>
  <c r="J16" i="2"/>
  <c r="J40" i="2"/>
  <c r="J92" i="2" s="1"/>
  <c r="N11" i="21" l="1"/>
  <c r="O11" i="21" s="1"/>
  <c r="N4" i="21"/>
  <c r="O4" i="21" s="1"/>
  <c r="L3" i="21"/>
  <c r="N3" i="21" s="1"/>
  <c r="O3" i="21" s="1"/>
  <c r="L70" i="21"/>
  <c r="N70" i="21" s="1"/>
  <c r="O70" i="21" s="1"/>
  <c r="L101" i="22"/>
  <c r="N101" i="22" s="1"/>
  <c r="O101" i="22" s="1"/>
  <c r="N11" i="22"/>
  <c r="O11" i="22" s="1"/>
  <c r="L70" i="20"/>
  <c r="N70" i="20" s="1"/>
  <c r="O70" i="20" s="1"/>
  <c r="L8" i="20"/>
  <c r="N8" i="20" s="1"/>
  <c r="O8" i="20" s="1"/>
  <c r="N9" i="20"/>
  <c r="O9" i="20" s="1"/>
  <c r="L85" i="22"/>
  <c r="N85" i="22" s="1"/>
  <c r="O85" i="22" s="1"/>
  <c r="L3" i="22"/>
  <c r="N3" i="22" s="1"/>
  <c r="O3" i="22" s="1"/>
  <c r="L115" i="22"/>
  <c r="N115" i="22" s="1"/>
  <c r="O115" i="22" s="1"/>
  <c r="N7" i="22"/>
  <c r="O7" i="22" s="1"/>
  <c r="N12" i="21"/>
  <c r="O12" i="21" s="1"/>
  <c r="L115" i="21"/>
  <c r="N115" i="21" s="1"/>
  <c r="O115" i="21" s="1"/>
  <c r="N7" i="21"/>
  <c r="O7" i="21" s="1"/>
  <c r="L8" i="22"/>
  <c r="N8" i="22" s="1"/>
  <c r="O8" i="22" s="1"/>
  <c r="N12" i="20"/>
  <c r="O12" i="20" s="1"/>
  <c r="K16" i="2"/>
  <c r="L16" i="2" s="1"/>
  <c r="J102" i="2"/>
  <c r="K11" i="2"/>
  <c r="J101" i="2"/>
  <c r="L15" i="2"/>
  <c r="L10" i="2"/>
  <c r="L86" i="2" s="1"/>
  <c r="K39" i="2"/>
  <c r="K77" i="2" s="1"/>
  <c r="J17" i="2"/>
  <c r="J117" i="2" s="1"/>
  <c r="J12" i="2"/>
  <c r="J116" i="2" s="1"/>
  <c r="K40" i="2"/>
  <c r="K92" i="2" s="1"/>
  <c r="J41" i="2"/>
  <c r="J107" i="2" s="1"/>
  <c r="O14" i="2"/>
  <c r="K102" i="2" l="1"/>
  <c r="L11" i="2"/>
  <c r="K101" i="2"/>
  <c r="N16" i="2"/>
  <c r="O16" i="2" s="1"/>
  <c r="L102" i="2"/>
  <c r="N15" i="2"/>
  <c r="O15" i="2" s="1"/>
  <c r="L87" i="2"/>
  <c r="N87" i="2" s="1"/>
  <c r="O87" i="2" s="1"/>
  <c r="N86" i="2"/>
  <c r="O86" i="2" s="1"/>
  <c r="K41" i="2"/>
  <c r="K107" i="2" s="1"/>
  <c r="L40" i="2"/>
  <c r="J38" i="2"/>
  <c r="K12" i="2"/>
  <c r="J8" i="2"/>
  <c r="K17" i="2"/>
  <c r="J13" i="2"/>
  <c r="L39" i="2"/>
  <c r="L77" i="2" s="1"/>
  <c r="N77" i="2" s="1"/>
  <c r="O77" i="2" s="1"/>
  <c r="N10" i="2"/>
  <c r="O10" i="2" s="1"/>
  <c r="K42" i="2"/>
  <c r="O9" i="2"/>
  <c r="N102" i="2" l="1"/>
  <c r="O102" i="2" s="1"/>
  <c r="L42" i="2"/>
  <c r="K122" i="2"/>
  <c r="N124" i="2"/>
  <c r="O124" i="2" s="1"/>
  <c r="L92" i="2"/>
  <c r="N92" i="2" s="1"/>
  <c r="O92" i="2" s="1"/>
  <c r="K8" i="2"/>
  <c r="K116" i="2"/>
  <c r="N11" i="2"/>
  <c r="O11" i="2" s="1"/>
  <c r="L101" i="2"/>
  <c r="L17" i="2"/>
  <c r="L13" i="2" s="1"/>
  <c r="K117" i="2"/>
  <c r="L41" i="2"/>
  <c r="L107" i="2" s="1"/>
  <c r="N107" i="2" s="1"/>
  <c r="O107" i="2" s="1"/>
  <c r="N40" i="2"/>
  <c r="O40" i="2" s="1"/>
  <c r="K38" i="2"/>
  <c r="L12" i="2"/>
  <c r="N39" i="2"/>
  <c r="O39" i="2" s="1"/>
  <c r="K13" i="2"/>
  <c r="N42" i="2" l="1"/>
  <c r="O42" i="2" s="1"/>
  <c r="L122" i="2"/>
  <c r="N122" i="2" s="1"/>
  <c r="O122" i="2" s="1"/>
  <c r="N17" i="2"/>
  <c r="O17" i="2" s="1"/>
  <c r="L117" i="2"/>
  <c r="L8" i="2"/>
  <c r="L116" i="2"/>
  <c r="N116" i="2" s="1"/>
  <c r="O116" i="2" s="1"/>
  <c r="N41" i="2"/>
  <c r="O41" i="2" s="1"/>
  <c r="N101" i="2"/>
  <c r="O101" i="2" s="1"/>
  <c r="L38" i="2"/>
  <c r="N12" i="2"/>
  <c r="O12" i="2" s="1"/>
  <c r="N13" i="2"/>
  <c r="N8" i="2" l="1"/>
  <c r="O13" i="2"/>
  <c r="N38" i="2" l="1"/>
  <c r="O38" i="2" l="1"/>
  <c r="O8" i="2"/>
  <c r="J19" i="2" l="1"/>
  <c r="J73" i="2" s="1"/>
  <c r="J18" i="2" l="1"/>
  <c r="K19" i="2"/>
  <c r="K73" i="2" s="1"/>
  <c r="K18" i="2" l="1"/>
  <c r="L19" i="2"/>
  <c r="L18" i="2" l="1"/>
  <c r="L73" i="2"/>
  <c r="N73" i="2" s="1"/>
  <c r="O73" i="2" s="1"/>
  <c r="N19" i="2"/>
  <c r="O19" i="2" s="1"/>
  <c r="N18" i="2" l="1"/>
  <c r="O18" i="2" l="1"/>
  <c r="K28" i="2" l="1"/>
  <c r="J28" i="2"/>
  <c r="L28" i="2" l="1"/>
  <c r="N28" i="2" l="1"/>
  <c r="N29" i="2"/>
  <c r="O29" i="2" s="1"/>
  <c r="N117" i="2" l="1"/>
  <c r="O117" i="2" s="1"/>
  <c r="N105" i="2"/>
  <c r="O105" i="2" s="1"/>
  <c r="O28" i="2"/>
  <c r="D4" i="2" l="1"/>
  <c r="D70" i="2" s="1"/>
  <c r="E70" i="2" s="1"/>
  <c r="E4" i="2" l="1"/>
  <c r="J4" i="2" s="1"/>
  <c r="J70" i="2" l="1"/>
  <c r="K4" i="2"/>
  <c r="K70" i="2" l="1"/>
  <c r="L4" i="2"/>
  <c r="N4" i="2" s="1"/>
  <c r="O4" i="2" s="1"/>
  <c r="L70" i="2" l="1"/>
  <c r="N70" i="2" l="1"/>
  <c r="O70" i="2" s="1"/>
  <c r="D5" i="2" l="1"/>
  <c r="D85" i="2" s="1"/>
  <c r="E85" i="2" s="1"/>
  <c r="D6" i="2"/>
  <c r="E6" i="2" s="1"/>
  <c r="D7" i="2"/>
  <c r="D115" i="2" s="1"/>
  <c r="E115" i="2" s="1"/>
  <c r="E7" i="2" l="1"/>
  <c r="J7" i="2" s="1"/>
  <c r="J115" i="2" s="1"/>
  <c r="J6" i="2"/>
  <c r="E5" i="2"/>
  <c r="D100" i="2"/>
  <c r="E100" i="2" s="1"/>
  <c r="K7" i="2" l="1"/>
  <c r="K115" i="2" s="1"/>
  <c r="J100" i="2"/>
  <c r="K6" i="2"/>
  <c r="K100" i="2" s="1"/>
  <c r="J5" i="2"/>
  <c r="J3" i="2" s="1"/>
  <c r="L7" i="2" l="1"/>
  <c r="L115" i="2" s="1"/>
  <c r="K5" i="2"/>
  <c r="L5" i="2" s="1"/>
  <c r="L6" i="2"/>
  <c r="L100" i="2" s="1"/>
  <c r="J85" i="2"/>
  <c r="N115" i="2" l="1"/>
  <c r="O115" i="2" s="1"/>
  <c r="N7" i="2"/>
  <c r="O7" i="2" s="1"/>
  <c r="L85" i="2"/>
  <c r="L3" i="2"/>
  <c r="N5" i="2"/>
  <c r="O5" i="2" s="1"/>
  <c r="N100" i="2"/>
  <c r="O100" i="2" s="1"/>
  <c r="K85" i="2"/>
  <c r="K3" i="2"/>
  <c r="N6" i="2"/>
  <c r="O6" i="2" s="1"/>
  <c r="N3" i="2" l="1"/>
  <c r="N85" i="2"/>
  <c r="O85" i="2" s="1"/>
  <c r="O3" i="2" l="1"/>
  <c r="C17" i="12" l="1"/>
  <c r="C23" i="21" l="1"/>
  <c r="C25" i="21"/>
  <c r="E25" i="21" s="1"/>
  <c r="C26" i="22"/>
  <c r="E26" i="22" s="1"/>
  <c r="C25" i="2"/>
  <c r="E25" i="2" s="1"/>
  <c r="C24" i="22"/>
  <c r="E24" i="22" s="1"/>
  <c r="C23" i="20"/>
  <c r="C20" i="12"/>
  <c r="C26" i="21"/>
  <c r="E26" i="21" s="1"/>
  <c r="C27" i="21"/>
  <c r="E27" i="21" s="1"/>
  <c r="C24" i="2"/>
  <c r="E24" i="2" s="1"/>
  <c r="C27" i="20"/>
  <c r="E27" i="20" s="1"/>
  <c r="C27" i="2"/>
  <c r="E27" i="2" s="1"/>
  <c r="C24" i="21"/>
  <c r="E24" i="21" s="1"/>
  <c r="C23" i="22"/>
  <c r="C25" i="22"/>
  <c r="E25" i="22" s="1"/>
  <c r="C26" i="2"/>
  <c r="E26" i="2" s="1"/>
  <c r="C23" i="2"/>
  <c r="C25" i="20"/>
  <c r="E25" i="20" s="1"/>
  <c r="C26" i="20"/>
  <c r="E26" i="20" s="1"/>
  <c r="C24" i="20"/>
  <c r="E24" i="20" s="1"/>
  <c r="C27" i="22"/>
  <c r="E27" i="22" s="1"/>
  <c r="J26" i="21" l="1"/>
  <c r="C73" i="20"/>
  <c r="E23" i="20"/>
  <c r="J27" i="22"/>
  <c r="K27" i="22" s="1"/>
  <c r="K119" i="22" s="1"/>
  <c r="K125" i="22" s="1"/>
  <c r="J24" i="22"/>
  <c r="J25" i="2"/>
  <c r="K25" i="2" s="1"/>
  <c r="K89" i="2" s="1"/>
  <c r="K95" i="2" s="1"/>
  <c r="J26" i="2"/>
  <c r="E23" i="22"/>
  <c r="C74" i="22"/>
  <c r="J27" i="20"/>
  <c r="J26" i="22"/>
  <c r="J24" i="20"/>
  <c r="J27" i="2"/>
  <c r="J24" i="2"/>
  <c r="J25" i="21"/>
  <c r="K25" i="21" s="1"/>
  <c r="K89" i="21" s="1"/>
  <c r="K95" i="21" s="1"/>
  <c r="J25" i="22"/>
  <c r="J24" i="21"/>
  <c r="K24" i="21" s="1"/>
  <c r="J26" i="20"/>
  <c r="J25" i="20"/>
  <c r="C74" i="2"/>
  <c r="E23" i="2"/>
  <c r="J27" i="21"/>
  <c r="E23" i="21"/>
  <c r="C74" i="21"/>
  <c r="K26" i="2" l="1"/>
  <c r="K104" i="2" s="1"/>
  <c r="K110" i="2" s="1"/>
  <c r="J118" i="20"/>
  <c r="J104" i="21"/>
  <c r="E74" i="21"/>
  <c r="E80" i="21" s="1"/>
  <c r="E59" i="21" s="1"/>
  <c r="C119" i="21"/>
  <c r="E119" i="21" s="1"/>
  <c r="E125" i="21" s="1"/>
  <c r="E62" i="21" s="1"/>
  <c r="N62" i="21" s="1"/>
  <c r="C89" i="21"/>
  <c r="E89" i="21" s="1"/>
  <c r="E95" i="21" s="1"/>
  <c r="E60" i="21" s="1"/>
  <c r="N60" i="21" s="1"/>
  <c r="C104" i="21"/>
  <c r="E104" i="21" s="1"/>
  <c r="E110" i="21" s="1"/>
  <c r="E61" i="21" s="1"/>
  <c r="N61" i="21" s="1"/>
  <c r="J89" i="21"/>
  <c r="C89" i="22"/>
  <c r="E89" i="22" s="1"/>
  <c r="E95" i="22" s="1"/>
  <c r="E60" i="22" s="1"/>
  <c r="N60" i="22" s="1"/>
  <c r="C104" i="22"/>
  <c r="E104" i="22" s="1"/>
  <c r="E110" i="22" s="1"/>
  <c r="E61" i="22" s="1"/>
  <c r="N61" i="22" s="1"/>
  <c r="C119" i="22"/>
  <c r="E119" i="22" s="1"/>
  <c r="E125" i="22" s="1"/>
  <c r="E62" i="22" s="1"/>
  <c r="N62" i="22" s="1"/>
  <c r="E74" i="22"/>
  <c r="E80" i="22" s="1"/>
  <c r="E59" i="22" s="1"/>
  <c r="L25" i="2"/>
  <c r="L89" i="2" s="1"/>
  <c r="L95" i="2" s="1"/>
  <c r="E53" i="22"/>
  <c r="J119" i="22"/>
  <c r="J119" i="21"/>
  <c r="J73" i="20"/>
  <c r="J23" i="20"/>
  <c r="J119" i="2"/>
  <c r="J74" i="21"/>
  <c r="J23" i="21"/>
  <c r="L25" i="21"/>
  <c r="L89" i="21" s="1"/>
  <c r="L95" i="21" s="1"/>
  <c r="J104" i="2"/>
  <c r="J74" i="22"/>
  <c r="J23" i="22"/>
  <c r="E53" i="20"/>
  <c r="E53" i="21"/>
  <c r="K74" i="21"/>
  <c r="K80" i="21" s="1"/>
  <c r="J104" i="22"/>
  <c r="J88" i="20"/>
  <c r="K25" i="20"/>
  <c r="K88" i="20" s="1"/>
  <c r="K94" i="20" s="1"/>
  <c r="L24" i="21"/>
  <c r="N24" i="21" s="1"/>
  <c r="O24" i="21" s="1"/>
  <c r="K27" i="2"/>
  <c r="K119" i="2" s="1"/>
  <c r="K125" i="2" s="1"/>
  <c r="K26" i="22"/>
  <c r="K104" i="22" s="1"/>
  <c r="K110" i="22" s="1"/>
  <c r="K24" i="22"/>
  <c r="E73" i="20"/>
  <c r="E79" i="20" s="1"/>
  <c r="E59" i="20" s="1"/>
  <c r="C88" i="20"/>
  <c r="E88" i="20" s="1"/>
  <c r="E94" i="20" s="1"/>
  <c r="E60" i="20" s="1"/>
  <c r="N60" i="20" s="1"/>
  <c r="C118" i="20"/>
  <c r="E118" i="20" s="1"/>
  <c r="E124" i="20" s="1"/>
  <c r="E62" i="20" s="1"/>
  <c r="N62" i="20" s="1"/>
  <c r="C103" i="20"/>
  <c r="E103" i="20" s="1"/>
  <c r="E109" i="20" s="1"/>
  <c r="E61" i="20" s="1"/>
  <c r="N61" i="20" s="1"/>
  <c r="J89" i="22"/>
  <c r="J103" i="20"/>
  <c r="J23" i="2"/>
  <c r="J74" i="2"/>
  <c r="K24" i="20"/>
  <c r="E53" i="2"/>
  <c r="K26" i="20"/>
  <c r="K103" i="20" s="1"/>
  <c r="K109" i="20" s="1"/>
  <c r="K27" i="20"/>
  <c r="K118" i="20" s="1"/>
  <c r="K124" i="20" s="1"/>
  <c r="L27" i="22"/>
  <c r="L119" i="22" s="1"/>
  <c r="L125" i="22" s="1"/>
  <c r="K27" i="21"/>
  <c r="K119" i="21" s="1"/>
  <c r="K125" i="21" s="1"/>
  <c r="C104" i="2"/>
  <c r="E104" i="2" s="1"/>
  <c r="E110" i="2" s="1"/>
  <c r="E61" i="2" s="1"/>
  <c r="N61" i="2" s="1"/>
  <c r="C119" i="2"/>
  <c r="E119" i="2" s="1"/>
  <c r="E125" i="2" s="1"/>
  <c r="E62" i="2" s="1"/>
  <c r="N62" i="2" s="1"/>
  <c r="C89" i="2"/>
  <c r="E89" i="2" s="1"/>
  <c r="E95" i="2" s="1"/>
  <c r="E60" i="2" s="1"/>
  <c r="N60" i="2" s="1"/>
  <c r="E74" i="2"/>
  <c r="E80" i="2" s="1"/>
  <c r="E59" i="2" s="1"/>
  <c r="K25" i="22"/>
  <c r="K89" i="22" s="1"/>
  <c r="K95" i="22" s="1"/>
  <c r="K24" i="2"/>
  <c r="J89" i="2"/>
  <c r="K26" i="21"/>
  <c r="K104" i="21" s="1"/>
  <c r="K110" i="21" s="1"/>
  <c r="N25" i="2" l="1"/>
  <c r="O25" i="2" s="1"/>
  <c r="L26" i="20"/>
  <c r="L103" i="20" s="1"/>
  <c r="L109" i="20" s="1"/>
  <c r="L26" i="2"/>
  <c r="L27" i="20"/>
  <c r="L118" i="20" s="1"/>
  <c r="L124" i="20" s="1"/>
  <c r="L26" i="21"/>
  <c r="L104" i="21" s="1"/>
  <c r="L110" i="21" s="1"/>
  <c r="J95" i="22"/>
  <c r="J53" i="2"/>
  <c r="N59" i="20"/>
  <c r="E63" i="20"/>
  <c r="N63" i="20" s="1"/>
  <c r="F58" i="10" s="1"/>
  <c r="J53" i="22"/>
  <c r="J125" i="21"/>
  <c r="J110" i="21"/>
  <c r="L74" i="21"/>
  <c r="L80" i="21" s="1"/>
  <c r="E55" i="21"/>
  <c r="E63" i="2"/>
  <c r="N63" i="2" s="1"/>
  <c r="C58" i="10" s="1"/>
  <c r="N59" i="2"/>
  <c r="C51" i="10" s="1"/>
  <c r="C53" i="10" s="1"/>
  <c r="L24" i="20"/>
  <c r="K74" i="22"/>
  <c r="K80" i="22" s="1"/>
  <c r="K23" i="22"/>
  <c r="K53" i="22" s="1"/>
  <c r="L24" i="22"/>
  <c r="J110" i="22"/>
  <c r="L27" i="21"/>
  <c r="L119" i="21" s="1"/>
  <c r="L125" i="21" s="1"/>
  <c r="N27" i="22"/>
  <c r="O27" i="22" s="1"/>
  <c r="J109" i="20"/>
  <c r="N103" i="20"/>
  <c r="O103" i="20" s="1"/>
  <c r="O109" i="20" s="1"/>
  <c r="K23" i="21"/>
  <c r="K53" i="21" s="1"/>
  <c r="J80" i="22"/>
  <c r="J125" i="2"/>
  <c r="N119" i="22"/>
  <c r="O119" i="22" s="1"/>
  <c r="O125" i="22" s="1"/>
  <c r="J125" i="22"/>
  <c r="N125" i="22" s="1"/>
  <c r="N25" i="21"/>
  <c r="O25" i="21" s="1"/>
  <c r="J95" i="2"/>
  <c r="N95" i="2" s="1"/>
  <c r="N89" i="2"/>
  <c r="O89" i="2" s="1"/>
  <c r="O95" i="2" s="1"/>
  <c r="E55" i="2"/>
  <c r="J110" i="2"/>
  <c r="E55" i="22"/>
  <c r="N89" i="21"/>
  <c r="O89" i="21" s="1"/>
  <c r="O95" i="21" s="1"/>
  <c r="J95" i="21"/>
  <c r="N95" i="21" s="1"/>
  <c r="N118" i="20"/>
  <c r="O118" i="20" s="1"/>
  <c r="O124" i="20" s="1"/>
  <c r="J124" i="20"/>
  <c r="L25" i="20"/>
  <c r="L88" i="20" s="1"/>
  <c r="L94" i="20" s="1"/>
  <c r="L25" i="22"/>
  <c r="L89" i="22" s="1"/>
  <c r="L95" i="22" s="1"/>
  <c r="K73" i="20"/>
  <c r="K79" i="20" s="1"/>
  <c r="K23" i="20"/>
  <c r="K53" i="20" s="1"/>
  <c r="K74" i="2"/>
  <c r="K80" i="2" s="1"/>
  <c r="K23" i="2"/>
  <c r="K53" i="2" s="1"/>
  <c r="L24" i="2"/>
  <c r="J80" i="2"/>
  <c r="J94" i="20"/>
  <c r="J53" i="21"/>
  <c r="J79" i="20"/>
  <c r="E63" i="22"/>
  <c r="N63" i="22" s="1"/>
  <c r="E58" i="10" s="1"/>
  <c r="N59" i="22"/>
  <c r="L26" i="22"/>
  <c r="J53" i="20"/>
  <c r="E55" i="20"/>
  <c r="J80" i="21"/>
  <c r="E63" i="21"/>
  <c r="N63" i="21" s="1"/>
  <c r="D58" i="10" s="1"/>
  <c r="N59" i="21"/>
  <c r="L27" i="2"/>
  <c r="L119" i="2" s="1"/>
  <c r="L125" i="2" s="1"/>
  <c r="N26" i="20" l="1"/>
  <c r="O26" i="20" s="1"/>
  <c r="N124" i="20"/>
  <c r="N27" i="20"/>
  <c r="O27" i="20" s="1"/>
  <c r="N109" i="20"/>
  <c r="N80" i="21"/>
  <c r="N74" i="21"/>
  <c r="O74" i="21" s="1"/>
  <c r="O80" i="21" s="1"/>
  <c r="N94" i="20"/>
  <c r="N27" i="21"/>
  <c r="O27" i="21" s="1"/>
  <c r="N110" i="21"/>
  <c r="N88" i="20"/>
  <c r="O88" i="20" s="1"/>
  <c r="O94" i="20" s="1"/>
  <c r="N26" i="21"/>
  <c r="O26" i="21" s="1"/>
  <c r="L104" i="2"/>
  <c r="N26" i="2"/>
  <c r="O26" i="2" s="1"/>
  <c r="N125" i="2"/>
  <c r="N119" i="2"/>
  <c r="O119" i="2" s="1"/>
  <c r="O125" i="2" s="1"/>
  <c r="N25" i="22"/>
  <c r="O25" i="22" s="1"/>
  <c r="N104" i="21"/>
  <c r="O104" i="21" s="1"/>
  <c r="O110" i="21" s="1"/>
  <c r="D51" i="10"/>
  <c r="N64" i="21"/>
  <c r="D30" i="10"/>
  <c r="F37" i="10"/>
  <c r="D37" i="10"/>
  <c r="D61" i="10"/>
  <c r="D63" i="10"/>
  <c r="D59" i="10"/>
  <c r="D60" i="10"/>
  <c r="D62" i="10"/>
  <c r="F30" i="10"/>
  <c r="N27" i="2"/>
  <c r="O27" i="2" s="1"/>
  <c r="L23" i="22"/>
  <c r="L53" i="22" s="1"/>
  <c r="E44" i="10" s="1"/>
  <c r="L74" i="22"/>
  <c r="L80" i="22" s="1"/>
  <c r="N80" i="22" s="1"/>
  <c r="L23" i="21"/>
  <c r="F59" i="10"/>
  <c r="F61" i="10"/>
  <c r="F60" i="10"/>
  <c r="F62" i="10"/>
  <c r="F63" i="10"/>
  <c r="L104" i="22"/>
  <c r="N26" i="22"/>
  <c r="O26" i="22" s="1"/>
  <c r="E37" i="10"/>
  <c r="F51" i="10"/>
  <c r="N64" i="20"/>
  <c r="E59" i="10"/>
  <c r="E61" i="10"/>
  <c r="E62" i="10"/>
  <c r="E63" i="10"/>
  <c r="E60" i="10"/>
  <c r="N64" i="22"/>
  <c r="E51" i="10"/>
  <c r="C30" i="10"/>
  <c r="L23" i="20"/>
  <c r="L73" i="20"/>
  <c r="N125" i="21"/>
  <c r="N89" i="22"/>
  <c r="O89" i="22" s="1"/>
  <c r="O95" i="22" s="1"/>
  <c r="N25" i="20"/>
  <c r="O25" i="20" s="1"/>
  <c r="C37" i="10"/>
  <c r="N24" i="22"/>
  <c r="O24" i="22" s="1"/>
  <c r="N64" i="2"/>
  <c r="N119" i="21"/>
  <c r="O119" i="21" s="1"/>
  <c r="O125" i="21" s="1"/>
  <c r="N95" i="22"/>
  <c r="L74" i="2"/>
  <c r="L23" i="2"/>
  <c r="L53" i="2" s="1"/>
  <c r="C44" i="10" s="1"/>
  <c r="N24" i="2"/>
  <c r="O24" i="2" s="1"/>
  <c r="C59" i="10"/>
  <c r="C62" i="10"/>
  <c r="C61" i="10"/>
  <c r="C60" i="10"/>
  <c r="C63" i="10"/>
  <c r="G58" i="10"/>
  <c r="E30" i="10"/>
  <c r="N24" i="20"/>
  <c r="O24" i="20" s="1"/>
  <c r="G63" i="10" l="1"/>
  <c r="L110" i="2"/>
  <c r="N110" i="2" s="1"/>
  <c r="N104" i="2"/>
  <c r="O104" i="2" s="1"/>
  <c r="O110" i="2" s="1"/>
  <c r="G60" i="10"/>
  <c r="N74" i="22"/>
  <c r="O74" i="22" s="1"/>
  <c r="O80" i="22" s="1"/>
  <c r="G59" i="10"/>
  <c r="N23" i="2"/>
  <c r="E40" i="10"/>
  <c r="E39" i="10"/>
  <c r="E38" i="10"/>
  <c r="E42" i="10"/>
  <c r="E41" i="10"/>
  <c r="F38" i="10"/>
  <c r="F42" i="10"/>
  <c r="F41" i="10"/>
  <c r="F40" i="10"/>
  <c r="F39" i="10"/>
  <c r="C32" i="10"/>
  <c r="C35" i="10"/>
  <c r="G30" i="10"/>
  <c r="C34" i="10"/>
  <c r="C31" i="10"/>
  <c r="C33" i="10"/>
  <c r="E35" i="10"/>
  <c r="E32" i="10"/>
  <c r="E34" i="10"/>
  <c r="E31" i="10"/>
  <c r="E33" i="10"/>
  <c r="C55" i="10"/>
  <c r="C52" i="10"/>
  <c r="C56" i="10"/>
  <c r="C54" i="10"/>
  <c r="G51" i="10"/>
  <c r="L53" i="21"/>
  <c r="N23" i="21"/>
  <c r="L110" i="22"/>
  <c r="N110" i="22" s="1"/>
  <c r="N104" i="22"/>
  <c r="O104" i="22" s="1"/>
  <c r="O110" i="22" s="1"/>
  <c r="D31" i="10"/>
  <c r="D33" i="10"/>
  <c r="D32" i="10"/>
  <c r="D34" i="10"/>
  <c r="D35" i="10"/>
  <c r="E46" i="10"/>
  <c r="E47" i="10"/>
  <c r="E45" i="10"/>
  <c r="E48" i="10"/>
  <c r="E49" i="10"/>
  <c r="N23" i="22"/>
  <c r="D52" i="10"/>
  <c r="D56" i="10"/>
  <c r="D54" i="10"/>
  <c r="D55" i="10"/>
  <c r="D53" i="10"/>
  <c r="G61" i="10"/>
  <c r="C40" i="10"/>
  <c r="C39" i="10"/>
  <c r="C38" i="10"/>
  <c r="G37" i="10"/>
  <c r="C42" i="10"/>
  <c r="C41" i="10"/>
  <c r="L53" i="20"/>
  <c r="N23" i="20"/>
  <c r="E54" i="10"/>
  <c r="E56" i="10"/>
  <c r="E55" i="10"/>
  <c r="E53" i="10"/>
  <c r="E52" i="10"/>
  <c r="F52" i="10"/>
  <c r="F53" i="10"/>
  <c r="F54" i="10"/>
  <c r="F55" i="10"/>
  <c r="F56" i="10"/>
  <c r="L79" i="20"/>
  <c r="N79" i="20" s="1"/>
  <c r="N73" i="20"/>
  <c r="O73" i="20" s="1"/>
  <c r="O79" i="20" s="1"/>
  <c r="C48" i="10"/>
  <c r="C45" i="10"/>
  <c r="C46" i="10"/>
  <c r="C47" i="10"/>
  <c r="C49" i="10"/>
  <c r="G62" i="10"/>
  <c r="L80" i="2"/>
  <c r="N80" i="2" s="1"/>
  <c r="N74" i="2"/>
  <c r="O74" i="2" s="1"/>
  <c r="O80" i="2" s="1"/>
  <c r="F34" i="10"/>
  <c r="F35" i="10"/>
  <c r="F31" i="10"/>
  <c r="F32" i="10"/>
  <c r="F33" i="10"/>
  <c r="D40" i="10"/>
  <c r="D39" i="10"/>
  <c r="D42" i="10"/>
  <c r="D41" i="10"/>
  <c r="D38" i="10"/>
  <c r="E26" i="10" l="1"/>
  <c r="G54" i="10"/>
  <c r="E25" i="10"/>
  <c r="G39" i="10"/>
  <c r="G40" i="10"/>
  <c r="G41" i="10"/>
  <c r="G55" i="10"/>
  <c r="G34" i="10"/>
  <c r="C27" i="10"/>
  <c r="G42" i="10"/>
  <c r="N53" i="21"/>
  <c r="O23" i="21"/>
  <c r="O53" i="21" s="1"/>
  <c r="D44" i="10"/>
  <c r="E24" i="10"/>
  <c r="G35" i="10"/>
  <c r="C28" i="10"/>
  <c r="G38" i="10"/>
  <c r="E27" i="10"/>
  <c r="G32" i="10"/>
  <c r="C25" i="10"/>
  <c r="E28" i="10"/>
  <c r="N53" i="20"/>
  <c r="O23" i="20"/>
  <c r="O53" i="20" s="1"/>
  <c r="N53" i="22"/>
  <c r="O23" i="22"/>
  <c r="O53" i="22" s="1"/>
  <c r="G53" i="10"/>
  <c r="G33" i="10"/>
  <c r="C26" i="10"/>
  <c r="N53" i="2"/>
  <c r="O23" i="2"/>
  <c r="O53" i="2" s="1"/>
  <c r="G56" i="10"/>
  <c r="F44" i="10"/>
  <c r="G52" i="10"/>
  <c r="G31" i="10"/>
  <c r="C24" i="10"/>
  <c r="D45" i="10" l="1"/>
  <c r="D24" i="10" s="1"/>
  <c r="D48" i="10"/>
  <c r="D49" i="10"/>
  <c r="D28" i="10" s="1"/>
  <c r="D47" i="10"/>
  <c r="D46" i="10"/>
  <c r="G44" i="10"/>
  <c r="F48" i="10"/>
  <c r="F27" i="10" s="1"/>
  <c r="F49" i="10"/>
  <c r="F45" i="10"/>
  <c r="F24" i="10" s="1"/>
  <c r="F46" i="10"/>
  <c r="F25" i="10" s="1"/>
  <c r="F47" i="10"/>
  <c r="F26" i="10" s="1"/>
  <c r="F28" i="10" l="1"/>
  <c r="G28" i="10" s="1"/>
  <c r="D25" i="10"/>
  <c r="G46" i="10"/>
  <c r="G49" i="10"/>
  <c r="G48" i="10"/>
  <c r="D27" i="10"/>
  <c r="D26" i="10"/>
  <c r="G47" i="10"/>
  <c r="G45" i="10"/>
  <c r="E14" i="10" l="1"/>
  <c r="F14" i="10"/>
  <c r="D14" i="10"/>
  <c r="C14" i="10"/>
  <c r="G26" i="10"/>
  <c r="G27" i="10"/>
  <c r="G24" i="10"/>
  <c r="C10" i="10" s="1"/>
  <c r="C17" i="10" s="1"/>
  <c r="G25" i="10"/>
  <c r="C7" i="10" l="1"/>
  <c r="C21" i="10"/>
  <c r="D7" i="10"/>
  <c r="D21" i="10"/>
  <c r="F7" i="10"/>
  <c r="F21" i="10"/>
  <c r="E7" i="10"/>
  <c r="E21" i="10"/>
  <c r="C3" i="10"/>
  <c r="D10" i="10"/>
  <c r="E10" i="10"/>
  <c r="F10" i="10"/>
  <c r="G14" i="10"/>
  <c r="E12" i="10"/>
  <c r="D12" i="10"/>
  <c r="C12" i="10"/>
  <c r="F12" i="10"/>
  <c r="E11" i="10"/>
  <c r="D11" i="10"/>
  <c r="C11" i="10"/>
  <c r="F11" i="10"/>
  <c r="F13" i="10"/>
  <c r="E13" i="10"/>
  <c r="D13" i="10"/>
  <c r="C13" i="10"/>
  <c r="E5" i="10" l="1"/>
  <c r="E19" i="10"/>
  <c r="F3" i="10"/>
  <c r="F17" i="10"/>
  <c r="D5" i="10"/>
  <c r="D19" i="10"/>
  <c r="F6" i="10"/>
  <c r="F20" i="10"/>
  <c r="C4" i="10"/>
  <c r="C18" i="10"/>
  <c r="E3" i="10"/>
  <c r="E17" i="10"/>
  <c r="F4" i="10"/>
  <c r="F18" i="10"/>
  <c r="G21" i="10"/>
  <c r="D4" i="10"/>
  <c r="D18" i="10"/>
  <c r="C6" i="10"/>
  <c r="C20" i="10"/>
  <c r="E6" i="10"/>
  <c r="E20" i="10"/>
  <c r="E4" i="10"/>
  <c r="E18" i="10"/>
  <c r="D3" i="10"/>
  <c r="D17" i="10"/>
  <c r="F5" i="10"/>
  <c r="F19" i="10"/>
  <c r="D6" i="10"/>
  <c r="D20" i="10"/>
  <c r="C5" i="10"/>
  <c r="C19" i="10"/>
  <c r="G7" i="10"/>
  <c r="I7" i="10"/>
  <c r="H7" i="10"/>
  <c r="G11" i="10"/>
  <c r="G10" i="10"/>
  <c r="G13" i="10"/>
  <c r="G12" i="10"/>
  <c r="G19" i="10" l="1"/>
  <c r="G17" i="10"/>
  <c r="G20" i="10"/>
  <c r="G18" i="10"/>
  <c r="H4" i="10"/>
  <c r="I4" i="10"/>
  <c r="G4" i="10"/>
  <c r="H5" i="10"/>
  <c r="G5" i="10"/>
  <c r="I5" i="10"/>
  <c r="I6" i="10"/>
  <c r="G6" i="10"/>
  <c r="H6" i="10"/>
  <c r="G3" i="10"/>
  <c r="H3" i="10"/>
  <c r="I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Nico Dam</author>
  </authors>
  <commentList>
    <comment ref="F13" authorId="0" shapeId="0" xr:uid="{D0396424-4B7A-B44D-BB5B-C8BBB642BD98}">
      <text>
        <r>
          <rPr>
            <b/>
            <sz val="10"/>
            <color rgb="FF000000"/>
            <rFont val="Tahoma"/>
            <family val="2"/>
          </rPr>
          <t>Nico Dam:</t>
        </r>
        <r>
          <rPr>
            <sz val="10"/>
            <color rgb="FF000000"/>
            <rFont val="Tahoma"/>
            <family val="2"/>
          </rPr>
          <t xml:space="preserve">
</t>
        </r>
        <r>
          <rPr>
            <sz val="10"/>
            <color rgb="FF000000"/>
            <rFont val="Tahoma"/>
            <family val="2"/>
          </rPr>
          <t>minus 2% No Show!</t>
        </r>
      </text>
    </comment>
  </commentList>
</comments>
</file>

<file path=xl/sharedStrings.xml><?xml version="1.0" encoding="utf-8"?>
<sst xmlns="http://schemas.openxmlformats.org/spreadsheetml/2006/main" count="1282" uniqueCount="233">
  <si>
    <t>Zorgvorm</t>
  </si>
  <si>
    <t>Begrote kosten na maatregelen</t>
  </si>
  <si>
    <t>Ouderen met somatische of psychogeriatrische problematiek (SOM 65+/PG 65+)</t>
  </si>
  <si>
    <t xml:space="preserve">Volwassenen met psychiatrische problematiek (PSY/PS &gt;18jr); </t>
  </si>
  <si>
    <t>Volwassenen met een verstandelijke beperking (VG)</t>
  </si>
  <si>
    <t>Volwassenen met een lichamelijke beperking of chronische ziekte (SOM 0-64, LG)</t>
  </si>
  <si>
    <t>A</t>
  </si>
  <si>
    <t>B</t>
  </si>
  <si>
    <t>C</t>
  </si>
  <si>
    <t>D</t>
  </si>
  <si>
    <t>Totaal</t>
  </si>
  <si>
    <t>Effect aantal clienten</t>
  </si>
  <si>
    <t>Effect inzet per week</t>
  </si>
  <si>
    <t>Uitvoeringskosten</t>
  </si>
  <si>
    <t>Investering</t>
  </si>
  <si>
    <t>Finacieel effect inzet per week</t>
  </si>
  <si>
    <t>Besparing  totaal</t>
  </si>
  <si>
    <t>Begrote kosten  na maatregelen</t>
  </si>
  <si>
    <t>Financieel effect vergrijzing</t>
  </si>
  <si>
    <t>Effect vergrijzing</t>
  </si>
  <si>
    <t xml:space="preserve">Aantal eenheden per jaar </t>
  </si>
  <si>
    <t>Doelgroep</t>
  </si>
  <si>
    <t>Investeringen/extra uitgaven</t>
  </si>
  <si>
    <t xml:space="preserve">Totale kosten </t>
  </si>
  <si>
    <t>Finacieel effect aantal cliënten</t>
  </si>
  <si>
    <t>Uitgaven</t>
  </si>
  <si>
    <t xml:space="preserve">Kostprijs </t>
  </si>
  <si>
    <t>Persoonlijke verzorging</t>
  </si>
  <si>
    <t>Individuele begeleiding Basis</t>
  </si>
  <si>
    <t>Product</t>
  </si>
  <si>
    <t>parameterwaarden</t>
  </si>
  <si>
    <t>Begeleiding Groep Basis</t>
  </si>
  <si>
    <t>Begeleiding Groep Plus</t>
  </si>
  <si>
    <t>Max maandsalaris opleidingsmix</t>
  </si>
  <si>
    <t>Inschaling als % van max</t>
  </si>
  <si>
    <t>ORT</t>
  </si>
  <si>
    <t xml:space="preserve">Vakantiegeld </t>
  </si>
  <si>
    <t>Eindejaarsuitkering</t>
  </si>
  <si>
    <t>Bruto loonkosten</t>
  </si>
  <si>
    <t>Werkgeverslasten</t>
  </si>
  <si>
    <t>Bruto loonkosten incl werkgeverslasten</t>
  </si>
  <si>
    <t>Opslag overhead</t>
  </si>
  <si>
    <t>Risico-opslag</t>
  </si>
  <si>
    <t>Declarabele uren</t>
  </si>
  <si>
    <t>Groepsgrootte</t>
  </si>
  <si>
    <t>Uren per dagdeel</t>
  </si>
  <si>
    <t>Opslag locatiekosten per dagdeel</t>
  </si>
  <si>
    <t>Productiviteit</t>
  </si>
  <si>
    <t>BIJ DE AANBIEDER</t>
  </si>
  <si>
    <t>BIJ DE CLIËNT</t>
  </si>
  <si>
    <t>Kort verblijf</t>
  </si>
  <si>
    <t>bruto</t>
  </si>
  <si>
    <t>feestdagen</t>
  </si>
  <si>
    <t>verlof &amp; vitaliteit/PBL + bovenwettelijk</t>
  </si>
  <si>
    <t>ziekteverzuim obv vierjarig gemiddelde</t>
  </si>
  <si>
    <t>werkbaar</t>
  </si>
  <si>
    <t>niet cliëntgebonden</t>
  </si>
  <si>
    <t>opleiding intervisie</t>
  </si>
  <si>
    <t>overleg, administratie</t>
  </si>
  <si>
    <t>overig (pauze, pv, etc)</t>
  </si>
  <si>
    <t>cliëntgebonden tijd</t>
  </si>
  <si>
    <t>niet declarabele reistijd</t>
  </si>
  <si>
    <t>indirect cliëntgebonden</t>
  </si>
  <si>
    <t>direct cliëntgebonden</t>
  </si>
  <si>
    <t>Sociale Lasten</t>
  </si>
  <si>
    <t>WAO/IVA/WGA basispremie (Aof) incl. toeslag kinderopvang</t>
  </si>
  <si>
    <t>WW premie (Awf) laag (aanstelling voor onbepaalde tijd)</t>
  </si>
  <si>
    <t>WW premie (Awf) hoog (overige dienstbetrekkingen)</t>
  </si>
  <si>
    <t>ZVW premie werkgever</t>
  </si>
  <si>
    <t>Werkhervattingskas (gezondheidszorg)</t>
  </si>
  <si>
    <t>TOTAAL</t>
  </si>
  <si>
    <t>maximale maandsalarisbedragen per cao</t>
  </si>
  <si>
    <t>VVT</t>
  </si>
  <si>
    <t>GGZ</t>
  </si>
  <si>
    <t>GHZ</t>
  </si>
  <si>
    <t>WMD</t>
  </si>
  <si>
    <t>MBO 2</t>
  </si>
  <si>
    <t>FWG20</t>
  </si>
  <si>
    <t>FWG25</t>
  </si>
  <si>
    <t>schaal 3</t>
  </si>
  <si>
    <t>MBO 3</t>
  </si>
  <si>
    <t>FWG30</t>
  </si>
  <si>
    <t>schaal 4</t>
  </si>
  <si>
    <t>FWG35</t>
  </si>
  <si>
    <t>schaal 5</t>
  </si>
  <si>
    <t>MBO 4</t>
  </si>
  <si>
    <t>FWG40</t>
  </si>
  <si>
    <t>schaal 6</t>
  </si>
  <si>
    <t>FWG45</t>
  </si>
  <si>
    <t>schaal 7</t>
  </si>
  <si>
    <t>HBO</t>
  </si>
  <si>
    <t>FWG50</t>
  </si>
  <si>
    <t>schaal 8</t>
  </si>
  <si>
    <t>FWG55</t>
  </si>
  <si>
    <t>schaal 9</t>
  </si>
  <si>
    <t xml:space="preserve">gelijk gewicht </t>
  </si>
  <si>
    <t>Pers. Verzorging</t>
  </si>
  <si>
    <t>Aantal eenheden 2019</t>
  </si>
  <si>
    <t xml:space="preserve">Budget </t>
  </si>
  <si>
    <t>Kort Verblijf      Alleen verblijf</t>
  </si>
  <si>
    <t>Kort Verblijf        All-in</t>
  </si>
  <si>
    <t>Dagbesteding basis</t>
  </si>
  <si>
    <t>Dagbesteding plus</t>
  </si>
  <si>
    <t>Ouderen</t>
  </si>
  <si>
    <t>Individuele begeleiding plus</t>
  </si>
  <si>
    <t>Individuele begeleiding basis</t>
  </si>
  <si>
    <t>Individuele begeleiding Plus</t>
  </si>
  <si>
    <t>Bolsward eo</t>
  </si>
  <si>
    <t>Buitengebied</t>
  </si>
  <si>
    <t>Sneek Noord</t>
  </si>
  <si>
    <t>Sneek Zuid</t>
  </si>
  <si>
    <t>Oorspronkelijk (gem) tarief 2019</t>
  </si>
  <si>
    <t>Begeleiding groep basis</t>
  </si>
  <si>
    <t>Oud tarief 2019</t>
  </si>
  <si>
    <t>% afwijking nieuw tarief</t>
  </si>
  <si>
    <t>langdurige psychische stoornis</t>
  </si>
  <si>
    <t>LG licht</t>
  </si>
  <si>
    <t>o.a. ouderen, VG licht</t>
  </si>
  <si>
    <t>LG midden</t>
  </si>
  <si>
    <t>LG zwaar</t>
  </si>
  <si>
    <t>ouderen</t>
  </si>
  <si>
    <t>VG midden</t>
  </si>
  <si>
    <t>VG zwaar</t>
  </si>
  <si>
    <t>Begeleiding groep Plus</t>
  </si>
  <si>
    <t>Vervoersdiensten rolstoel</t>
  </si>
  <si>
    <t>Vervoersdiensten basis</t>
  </si>
  <si>
    <t>Eenheid</t>
  </si>
  <si>
    <t>Dagdeel</t>
  </si>
  <si>
    <t>Uur</t>
  </si>
  <si>
    <t>Kort verblijf all-in</t>
  </si>
  <si>
    <t>Individuele       Begeleiding basis</t>
  </si>
  <si>
    <t>Individuele       Begeleiding plus</t>
  </si>
  <si>
    <t>Etmaal</t>
  </si>
  <si>
    <t>Dagbesteding Basis</t>
  </si>
  <si>
    <t>Dagbesteding Plus</t>
  </si>
  <si>
    <t>met 10 uren bijzonder verlof, ziekteverlof, seniorendagen, etc.</t>
  </si>
  <si>
    <t>individu</t>
  </si>
  <si>
    <t>Ouderen:</t>
  </si>
  <si>
    <t>groep</t>
  </si>
  <si>
    <t>SOM/LG:</t>
  </si>
  <si>
    <t>Opmerkingen</t>
  </si>
  <si>
    <t>€ Lichamelijke beperking of chronische ziekte totaal</t>
  </si>
  <si>
    <t>% Lichamelijke beperking of chronische ziekte</t>
  </si>
  <si>
    <t>€ Verstandelijke beperking totaal</t>
  </si>
  <si>
    <t>% Verstandelijke beperking</t>
  </si>
  <si>
    <t>% Ouderen</t>
  </si>
  <si>
    <t>Aanbieder</t>
  </si>
  <si>
    <t xml:space="preserve">Obv aanbieders met 90% omzet </t>
  </si>
  <si>
    <t>% Psygische problematiek</t>
  </si>
  <si>
    <t>VB</t>
  </si>
  <si>
    <t>al dan niet in combi verstandelijke beperking</t>
  </si>
  <si>
    <t>€ psychisch totaal</t>
  </si>
  <si>
    <t>Factuur 2019</t>
  </si>
  <si>
    <r>
      <rPr>
        <sz val="20"/>
        <rFont val="Trebuchet MS"/>
        <family val="2"/>
      </rPr>
      <t>Bolsward eo.</t>
    </r>
    <r>
      <rPr>
        <sz val="10"/>
        <rFont val="Trebuchet MS"/>
        <family val="2"/>
      </rPr>
      <t xml:space="preserve"> </t>
    </r>
  </si>
  <si>
    <t xml:space="preserve">Volwassenen met psychische problematiek (GGZ); </t>
  </si>
  <si>
    <t>Factuurwaarde 2019</t>
  </si>
  <si>
    <t>% Afwijking</t>
  </si>
  <si>
    <t>Kortdurend verblijf (alleen verblijf)</t>
  </si>
  <si>
    <t>Kortdurend verblijf (all-in)</t>
  </si>
  <si>
    <t xml:space="preserve">Denkrichting transformatie </t>
  </si>
  <si>
    <t>Beschermd wonen ambulante begeleiding</t>
  </si>
  <si>
    <t>Investeringen</t>
  </si>
  <si>
    <t>Aantal eenheden in 2019</t>
  </si>
  <si>
    <t>Eenheden totaal</t>
  </si>
  <si>
    <t>Totaal p*q</t>
  </si>
  <si>
    <t>verschil per doelgroep</t>
  </si>
  <si>
    <t>GGZ:</t>
  </si>
  <si>
    <t>Verhouding doelgroepen individuele begeleiding, pv en kort verblijf</t>
  </si>
  <si>
    <t xml:space="preserve">Aandeel totaal </t>
  </si>
  <si>
    <t>€ ouderen</t>
  </si>
  <si>
    <t>VB:</t>
  </si>
  <si>
    <t>HbH</t>
  </si>
  <si>
    <t>Investering tbv effect</t>
  </si>
  <si>
    <t>Verdeling</t>
  </si>
  <si>
    <t xml:space="preserve">Effect aantal cliënten </t>
  </si>
  <si>
    <t>Aandeel ouderen en VG</t>
  </si>
  <si>
    <t>Individuele       Begeleiding basis Buitengebied</t>
  </si>
  <si>
    <t>Individuele       Begeleiding plus Buitengebied</t>
  </si>
  <si>
    <t>* 190 uur voor het buitengebied ivm langere reistijd (van 20 mijn per rit naar 30 min)</t>
  </si>
  <si>
    <t xml:space="preserve">Dit zijn de rekenmodellen. Deze zijn opgebouwd uit de blauwe (eenheden), gele (tarieven) en paarse (t-effecten) tabbladen. </t>
  </si>
  <si>
    <t>De gele tabbladen geven de opbouw van de nieuwe tarieven op basis van prijspeil 2020. De uiteindelijke tarieven staan in het tabblad producten &amp; tarieven. Deze zijn opgebouwd uit de gegevens op de tabbladen declarabiliteit &amp; soc lasten en salarissen.</t>
  </si>
  <si>
    <t>Volwassenen met een verstandelijke beperking (VB)</t>
  </si>
  <si>
    <t xml:space="preserve">In het eerste blauwe tabblad staan de eenheden op basis van data van de gemeente SWF. In de rekenmodellen van de deelgebieden staat in kolom D de verwijzing naar dit tabblad. De verdeling van de doelgroepen waar mogelijk gemaakt op basis van de productbeschrijving van SWF. De andere verdeling van de doelgroepen is per gebied opgebouwd uit de overige blauwe tabbladen (verdeling doelgroepen). </t>
  </si>
  <si>
    <t>0-4 km</t>
  </si>
  <si>
    <t>5-9 km</t>
  </si>
  <si>
    <t>10-19 km</t>
  </si>
  <si>
    <t>20-29 km</t>
  </si>
  <si>
    <t>30-39 km</t>
  </si>
  <si>
    <t>&gt; 40 km</t>
  </si>
  <si>
    <t>Eigen vervoer aanbieder</t>
  </si>
  <si>
    <t>Volwassenen; rolstoel</t>
  </si>
  <si>
    <t>Individueel vervoer</t>
  </si>
  <si>
    <t>3 gebieden</t>
  </si>
  <si>
    <t>Vervoer dagbesteding rolstoel</t>
  </si>
  <si>
    <t>Doelgroep Vervoer</t>
  </si>
  <si>
    <t>Vervoer dagbesteding basis</t>
  </si>
  <si>
    <t>Volwassenen; basis</t>
  </si>
  <si>
    <t xml:space="preserve">Tarief vervoer dagbesteding </t>
  </si>
  <si>
    <t>pensioenparameters</t>
  </si>
  <si>
    <t>werkgeversdeel OP (50% van 25%)</t>
  </si>
  <si>
    <t>werkgeversdeel AP (50% van 0,5%)</t>
  </si>
  <si>
    <t>pensioen</t>
  </si>
  <si>
    <t>rekensalaris (werkgeverslasten)</t>
  </si>
  <si>
    <t>OP</t>
  </si>
  <si>
    <t>AP</t>
  </si>
  <si>
    <t>gemiddeld pensioenpercentage</t>
  </si>
  <si>
    <t>totaal sociale lasten</t>
  </si>
  <si>
    <t>Pensioen</t>
  </si>
  <si>
    <t>Begeleiding</t>
  </si>
  <si>
    <t>afwijkende waarden</t>
  </si>
  <si>
    <t>Pers Verzorging</t>
  </si>
  <si>
    <t>Logeren</t>
  </si>
  <si>
    <t>afwijkende parameters HbH</t>
  </si>
  <si>
    <t>sociale lasten bij logeren</t>
  </si>
  <si>
    <t>transitievergoeding</t>
  </si>
  <si>
    <t>Doorrekening per jaar op basis van prijspeil 1 januari 2021</t>
  </si>
  <si>
    <t>Verwachte uitgaven prijspeil 1 jan 2021</t>
  </si>
  <si>
    <t>Kostprijs prijspeil 1 jan 2021</t>
  </si>
  <si>
    <t>Budget obv prijspeil 1 jan 2021</t>
  </si>
  <si>
    <t>EENHEIDSTARIEF prijspeil 1 jan 2021</t>
  </si>
  <si>
    <t>geldig op 10-12-2020</t>
  </si>
  <si>
    <t xml:space="preserve">Effect tov pp 2019 </t>
  </si>
  <si>
    <t>Totaal tov 2019</t>
  </si>
  <si>
    <t>Totaal effect % tov 2019</t>
  </si>
  <si>
    <t>Totaal t-effect tov tarieven 1 jan 2021</t>
  </si>
  <si>
    <t>Dit is het overzicht met de resultaten doorberekend over de jaren. Gegevens zijn afkomstig uit de rekenmodellen (oranje tabbladen).</t>
  </si>
  <si>
    <t xml:space="preserve">De paarse tabbladden zijn de basis voor de t-effecten die in de rekenmodellen staan (de oranje tabbladen) en de percentages met betrekking tot de investeringen. </t>
  </si>
  <si>
    <t xml:space="preserve">Sociale activering </t>
  </si>
  <si>
    <t>Totaal gebiedsbudget incl. sociale activering</t>
  </si>
  <si>
    <t>aow franchise (bedrag 2020!)</t>
  </si>
  <si>
    <t>AP franchise (bedrag 2020!)</t>
  </si>
  <si>
    <t>Subtotaal gebiedsbudget</t>
  </si>
  <si>
    <t>Sociale activering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</si>
</sst>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quot;\ #,##0.00_);[Red]\(&quot;€&quot;\ #,##0.00\)"/>
    <numFmt numFmtId="44" formatCode="_(&quot;€&quot;\ * #,##0.00_);_(&quot;€&quot;\ * \(#,##0.00\);_(&quot;€&quot;\ * &quot;-&quot;??_);_(@_)"/>
    <numFmt numFmtId="164" formatCode="&quot;€&quot;\ #,##0;&quot;€&quot;\ \-#,##0"/>
    <numFmt numFmtId="165" formatCode="_ &quot;€&quot;\ * #,##0_ ;_ &quot;€&quot;\ * \-#,##0_ ;_ &quot;€&quot;\ * &quot;-&quot;_ ;_ @_ "/>
    <numFmt numFmtId="166" formatCode="_ &quot;€&quot;\ * #,##0.00_ ;_ &quot;€&quot;\ * \-#,##0.00_ ;_ &quot;€&quot;\ * &quot;-&quot;??_ ;_ @_ "/>
    <numFmt numFmtId="167" formatCode="_ * #,##0.00_ ;_ * \-#,##0.00_ ;_ * &quot;-&quot;??_ ;_ @_ "/>
    <numFmt numFmtId="168" formatCode="_ * #,##0_ ;_ * \-#,##0_ ;_ * &quot;-&quot;??_ ;_ @_ "/>
    <numFmt numFmtId="169" formatCode="_ &quot;€&quot;\ * #,##0_ ;_ &quot;€&quot;\ * \-#,##0_ ;_ &quot;€&quot;\ * &quot;-&quot;??_ ;_ @_ "/>
    <numFmt numFmtId="170" formatCode="0.0"/>
    <numFmt numFmtId="171" formatCode="0.0%"/>
    <numFmt numFmtId="172" formatCode="_(* #,##0_);_(* \(#,##0\);_(* &quot;-&quot;??_);_(@_)"/>
    <numFmt numFmtId="173" formatCode="_(&quot;€&quot;\ * #,##0_);_(&quot;€&quot;\ * \(#,##0\);_(&quot;€&quot;\ * &quot;-&quot;??_);_(@_)"/>
  </numFmts>
  <fonts count="44" x14ac:knownFonts="1">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8"/>
      <color theme="1"/>
      <name val="Trebuchet MS"/>
      <family val="2"/>
    </font>
    <font>
      <sz val="9"/>
      <color theme="1"/>
      <name val="Trebuchet MS"/>
      <family val="2"/>
    </font>
    <font>
      <sz val="10"/>
      <color theme="1"/>
      <name val="Trebuchet MS"/>
      <family val="2"/>
    </font>
    <font>
      <b/>
      <sz val="10"/>
      <color theme="1"/>
      <name val="Trebuchet MS"/>
      <family val="2"/>
    </font>
    <font>
      <b/>
      <sz val="11"/>
      <color theme="1"/>
      <name val="Calibri"/>
      <family val="2"/>
      <scheme val="minor"/>
    </font>
    <font>
      <b/>
      <sz val="14"/>
      <color theme="1"/>
      <name val="Calibri"/>
      <family val="2"/>
      <scheme val="minor"/>
    </font>
    <font>
      <b/>
      <sz val="12"/>
      <color theme="1"/>
      <name val="Calibri"/>
      <family val="2"/>
      <scheme val="minor"/>
    </font>
    <font>
      <b/>
      <sz val="12"/>
      <name val="Trebuchet MS"/>
      <family val="2"/>
    </font>
    <font>
      <sz val="10"/>
      <name val="Trebuchet MS"/>
      <family val="2"/>
    </font>
    <font>
      <b/>
      <sz val="10"/>
      <name val="Trebuchet MS"/>
      <family val="2"/>
    </font>
    <font>
      <sz val="11"/>
      <name val="Trebuchet MS"/>
      <family val="2"/>
    </font>
    <font>
      <sz val="9"/>
      <name val="Trebuchet MS"/>
      <family val="2"/>
    </font>
    <font>
      <sz val="8"/>
      <name val="Trebuchet MS"/>
      <family val="2"/>
    </font>
    <font>
      <b/>
      <sz val="9"/>
      <name val="Trebuchet MS"/>
      <family val="2"/>
    </font>
    <font>
      <b/>
      <sz val="11"/>
      <name val="Trebuchet MS"/>
      <family val="2"/>
    </font>
    <font>
      <b/>
      <sz val="8"/>
      <name val="Trebuchet MS"/>
      <family val="2"/>
    </font>
    <font>
      <b/>
      <i/>
      <sz val="10"/>
      <name val="Trebuchet MS"/>
      <family val="2"/>
    </font>
    <font>
      <sz val="7"/>
      <name val="Trebuchet MS"/>
      <family val="2"/>
    </font>
    <font>
      <sz val="12"/>
      <name val="Trebuchet MS"/>
      <family val="2"/>
    </font>
    <font>
      <sz val="16"/>
      <name val="Trebuchet MS"/>
      <family val="2"/>
    </font>
    <font>
      <b/>
      <u/>
      <sz val="12"/>
      <name val="Trebuchet MS"/>
      <family val="2"/>
    </font>
    <font>
      <sz val="12"/>
      <color theme="1"/>
      <name val="Calibri"/>
      <family val="2"/>
      <scheme val="minor"/>
    </font>
    <font>
      <b/>
      <i/>
      <sz val="11"/>
      <color theme="1"/>
      <name val="Calibri"/>
      <family val="2"/>
      <scheme val="minor"/>
    </font>
    <font>
      <i/>
      <sz val="11"/>
      <color theme="1"/>
      <name val="Calibri"/>
      <family val="2"/>
      <scheme val="minor"/>
    </font>
    <font>
      <sz val="8"/>
      <name val="Calibri"/>
      <family val="2"/>
      <scheme val="minor"/>
    </font>
    <font>
      <b/>
      <sz val="11"/>
      <color theme="0"/>
      <name val="Calibri"/>
      <family val="2"/>
      <scheme val="minor"/>
    </font>
    <font>
      <sz val="11"/>
      <color theme="0"/>
      <name val="Calibri"/>
      <family val="2"/>
      <scheme val="minor"/>
    </font>
    <font>
      <sz val="11"/>
      <name val="Calibri"/>
      <family val="2"/>
      <scheme val="minor"/>
    </font>
    <font>
      <sz val="9"/>
      <color rgb="FF000000"/>
      <name val="Calibri"/>
      <family val="2"/>
      <scheme val="minor"/>
    </font>
    <font>
      <b/>
      <sz val="9"/>
      <color rgb="FF000000"/>
      <name val="Calibri"/>
      <family val="2"/>
      <scheme val="minor"/>
    </font>
    <font>
      <b/>
      <sz val="9"/>
      <color theme="0"/>
      <name val="Calibri"/>
      <family val="2"/>
      <scheme val="minor"/>
    </font>
    <font>
      <sz val="22"/>
      <color theme="1"/>
      <name val="Calibri"/>
      <family val="2"/>
      <scheme val="minor"/>
    </font>
    <font>
      <sz val="20"/>
      <name val="Trebuchet MS"/>
      <family val="2"/>
    </font>
    <font>
      <sz val="10"/>
      <color rgb="FF000000"/>
      <name val="Tahoma"/>
      <family val="2"/>
    </font>
    <font>
      <b/>
      <sz val="10"/>
      <color rgb="FF000000"/>
      <name val="Tahoma"/>
      <family val="2"/>
    </font>
    <font>
      <b/>
      <sz val="12"/>
      <color theme="1"/>
      <name val="Calibri"/>
      <family val="2"/>
    </font>
    <font>
      <sz val="12"/>
      <color theme="1"/>
      <name val="Calibri"/>
      <family val="2"/>
    </font>
    <font>
      <sz val="12"/>
      <color theme="6"/>
      <name val="Calibri"/>
      <family val="2"/>
      <scheme val="minor"/>
    </font>
    <font>
      <b/>
      <sz val="12"/>
      <color theme="6"/>
      <name val="Calibri"/>
      <family val="2"/>
      <scheme val="minor"/>
    </font>
    <font>
      <sz val="11"/>
      <color rgb="FF000000"/>
      <name val="Calibri"/>
      <family val="2"/>
      <scheme val="minor"/>
    </font>
  </fonts>
  <fills count="23">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9"/>
        <bgColor indexed="64"/>
      </patternFill>
    </fill>
    <fill>
      <patternFill patternType="solid">
        <fgColor theme="8" tint="-0.249977111117893"/>
        <bgColor indexed="64"/>
      </patternFill>
    </fill>
    <fill>
      <patternFill patternType="solid">
        <fgColor theme="9" tint="0.79998168889431442"/>
        <bgColor theme="9" tint="0.79998168889431442"/>
      </patternFill>
    </fill>
    <fill>
      <patternFill patternType="solid">
        <fgColor theme="0"/>
        <bgColor theme="9" tint="0.79998168889431442"/>
      </patternFill>
    </fill>
    <fill>
      <patternFill patternType="solid">
        <fgColor theme="5"/>
        <bgColor indexed="64"/>
      </patternFill>
    </fill>
    <fill>
      <patternFill patternType="solid">
        <fgColor rgb="FF00B0F0"/>
        <bgColor indexed="64"/>
      </patternFill>
    </fill>
    <fill>
      <patternFill patternType="solid">
        <fgColor rgb="FF7030A0"/>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6"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double">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style="thin">
        <color theme="6"/>
      </left>
      <right/>
      <top style="thin">
        <color theme="6"/>
      </top>
      <bottom/>
      <diagonal/>
    </border>
    <border>
      <left/>
      <right/>
      <top style="thin">
        <color theme="6"/>
      </top>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indexed="64"/>
      </right>
      <top style="double">
        <color indexed="64"/>
      </top>
      <bottom style="thin">
        <color indexed="64"/>
      </bottom>
      <diagonal/>
    </border>
  </borders>
  <cellStyleXfs count="4">
    <xf numFmtId="0" fontId="0" fillId="0" borderId="0"/>
    <xf numFmtId="167" fontId="3" fillId="0" borderId="0" applyFont="0" applyFill="0" applyBorder="0" applyAlignment="0" applyProtection="0"/>
    <xf numFmtId="166" fontId="3" fillId="0" borderId="0" applyFont="0" applyFill="0" applyBorder="0" applyAlignment="0" applyProtection="0"/>
    <xf numFmtId="9" fontId="3" fillId="0" borderId="0" applyFont="0" applyFill="0" applyBorder="0" applyAlignment="0" applyProtection="0"/>
  </cellStyleXfs>
  <cellXfs count="541">
    <xf numFmtId="0" fontId="0" fillId="0" borderId="0" xfId="0"/>
    <xf numFmtId="0" fontId="5" fillId="0" borderId="0" xfId="0" applyFont="1"/>
    <xf numFmtId="0" fontId="6" fillId="0" borderId="0" xfId="0" applyFont="1"/>
    <xf numFmtId="0" fontId="7" fillId="3" borderId="0" xfId="0" applyFont="1" applyFill="1"/>
    <xf numFmtId="0" fontId="6" fillId="3" borderId="0" xfId="0" applyFont="1" applyFill="1"/>
    <xf numFmtId="169" fontId="6" fillId="3" borderId="0" xfId="2" applyNumberFormat="1" applyFont="1" applyFill="1"/>
    <xf numFmtId="169" fontId="6" fillId="3" borderId="0" xfId="2" applyNumberFormat="1" applyFont="1" applyFill="1" applyAlignment="1">
      <alignment horizontal="right"/>
    </xf>
    <xf numFmtId="168" fontId="6" fillId="3" borderId="0" xfId="0" applyNumberFormat="1" applyFont="1" applyFill="1"/>
    <xf numFmtId="0" fontId="5" fillId="3" borderId="0" xfId="0" applyFont="1" applyFill="1"/>
    <xf numFmtId="0" fontId="0" fillId="3" borderId="0" xfId="0" applyFill="1"/>
    <xf numFmtId="169" fontId="6" fillId="3" borderId="0" xfId="0" applyNumberFormat="1" applyFont="1" applyFill="1"/>
    <xf numFmtId="169" fontId="11" fillId="3" borderId="2" xfId="2" applyNumberFormat="1" applyFont="1" applyFill="1" applyBorder="1"/>
    <xf numFmtId="169" fontId="12" fillId="10" borderId="1" xfId="2" applyNumberFormat="1" applyFont="1" applyFill="1" applyBorder="1" applyAlignment="1">
      <alignment horizontal="right"/>
    </xf>
    <xf numFmtId="169" fontId="12" fillId="10" borderId="8" xfId="2" applyNumberFormat="1" applyFont="1" applyFill="1" applyBorder="1" applyAlignment="1">
      <alignment horizontal="right"/>
    </xf>
    <xf numFmtId="0" fontId="8" fillId="0" borderId="0" xfId="0" applyFont="1"/>
    <xf numFmtId="0" fontId="13" fillId="3" borderId="0" xfId="0" applyFont="1" applyFill="1" applyAlignment="1">
      <alignment horizontal="center"/>
    </xf>
    <xf numFmtId="0" fontId="12" fillId="3" borderId="0" xfId="0" applyFont="1" applyFill="1"/>
    <xf numFmtId="169" fontId="14" fillId="3" borderId="0" xfId="2" applyNumberFormat="1" applyFont="1" applyFill="1"/>
    <xf numFmtId="0" fontId="13" fillId="10" borderId="0" xfId="0" applyFont="1" applyFill="1" applyAlignment="1">
      <alignment horizontal="center"/>
    </xf>
    <xf numFmtId="0" fontId="15" fillId="3" borderId="0" xfId="0" applyFont="1" applyFill="1"/>
    <xf numFmtId="0" fontId="13" fillId="3" borderId="0" xfId="0" applyFont="1" applyFill="1"/>
    <xf numFmtId="169" fontId="16" fillId="3" borderId="0" xfId="2" applyNumberFormat="1" applyFont="1" applyFill="1"/>
    <xf numFmtId="0" fontId="17" fillId="3" borderId="0" xfId="0" applyFont="1" applyFill="1" applyAlignment="1">
      <alignment horizontal="center"/>
    </xf>
    <xf numFmtId="169" fontId="18" fillId="6" borderId="4" xfId="2" applyNumberFormat="1" applyFont="1" applyFill="1" applyBorder="1" applyAlignment="1">
      <alignment wrapText="1"/>
    </xf>
    <xf numFmtId="169" fontId="17" fillId="7" borderId="11" xfId="2" applyNumberFormat="1" applyFont="1" applyFill="1" applyBorder="1" applyAlignment="1">
      <alignment wrapText="1"/>
    </xf>
    <xf numFmtId="0" fontId="20" fillId="3" borderId="0" xfId="0" applyFont="1" applyFill="1" applyAlignment="1">
      <alignment horizontal="center"/>
    </xf>
    <xf numFmtId="0" fontId="21" fillId="3" borderId="1" xfId="0" applyFont="1" applyFill="1" applyBorder="1" applyAlignment="1">
      <alignment wrapText="1"/>
    </xf>
    <xf numFmtId="9" fontId="13" fillId="2" borderId="1" xfId="0" applyNumberFormat="1" applyFont="1" applyFill="1" applyBorder="1"/>
    <xf numFmtId="9" fontId="12" fillId="3" borderId="1" xfId="0" applyNumberFormat="1" applyFont="1" applyFill="1" applyBorder="1"/>
    <xf numFmtId="169" fontId="16" fillId="3" borderId="3" xfId="2" applyNumberFormat="1" applyFont="1" applyFill="1" applyBorder="1" applyAlignment="1">
      <alignment horizontal="right"/>
    </xf>
    <xf numFmtId="169" fontId="12" fillId="0" borderId="3" xfId="2" applyNumberFormat="1" applyFont="1" applyBorder="1" applyAlignment="1">
      <alignment horizontal="right"/>
    </xf>
    <xf numFmtId="169" fontId="19" fillId="8" borderId="1" xfId="2" applyNumberFormat="1" applyFont="1" applyFill="1" applyBorder="1" applyAlignment="1">
      <alignment wrapText="1"/>
    </xf>
    <xf numFmtId="0" fontId="19" fillId="7" borderId="1" xfId="0" applyFont="1" applyFill="1" applyBorder="1" applyAlignment="1">
      <alignment wrapText="1"/>
    </xf>
    <xf numFmtId="169" fontId="13" fillId="0" borderId="4" xfId="2" applyNumberFormat="1" applyFont="1" applyBorder="1" applyAlignment="1">
      <alignment horizontal="right"/>
    </xf>
    <xf numFmtId="169" fontId="17" fillId="7" borderId="4" xfId="2" applyNumberFormat="1" applyFont="1" applyFill="1" applyBorder="1" applyAlignment="1">
      <alignment wrapText="1"/>
    </xf>
    <xf numFmtId="10" fontId="12" fillId="3" borderId="0" xfId="0" applyNumberFormat="1" applyFont="1" applyFill="1"/>
    <xf numFmtId="169" fontId="18" fillId="3" borderId="2" xfId="2" applyNumberFormat="1" applyFont="1" applyFill="1" applyBorder="1"/>
    <xf numFmtId="0" fontId="23" fillId="3" borderId="0" xfId="0" applyFont="1" applyFill="1"/>
    <xf numFmtId="169" fontId="12" fillId="3" borderId="0" xfId="0" applyNumberFormat="1" applyFont="1" applyFill="1"/>
    <xf numFmtId="0" fontId="17" fillId="3" borderId="0" xfId="0" applyFont="1" applyFill="1"/>
    <xf numFmtId="169" fontId="17" fillId="6" borderId="1" xfId="2" applyNumberFormat="1" applyFont="1" applyFill="1" applyBorder="1" applyAlignment="1">
      <alignment wrapText="1"/>
    </xf>
    <xf numFmtId="169" fontId="12" fillId="10" borderId="3" xfId="2" applyNumberFormat="1" applyFont="1" applyFill="1" applyBorder="1" applyAlignment="1">
      <alignment horizontal="right"/>
    </xf>
    <xf numFmtId="0" fontId="12" fillId="3" borderId="0" xfId="0" applyFont="1" applyFill="1" applyBorder="1"/>
    <xf numFmtId="169" fontId="13" fillId="11" borderId="9" xfId="2" applyNumberFormat="1" applyFont="1" applyFill="1" applyBorder="1" applyAlignment="1">
      <alignment horizontal="right"/>
    </xf>
    <xf numFmtId="0" fontId="23" fillId="3" borderId="12" xfId="0" applyFont="1" applyFill="1" applyBorder="1"/>
    <xf numFmtId="10" fontId="12" fillId="3" borderId="2" xfId="0" applyNumberFormat="1" applyFont="1" applyFill="1" applyBorder="1"/>
    <xf numFmtId="0" fontId="12" fillId="3" borderId="2" xfId="0" applyFont="1" applyFill="1" applyBorder="1"/>
    <xf numFmtId="169" fontId="16" fillId="3" borderId="0" xfId="2" applyNumberFormat="1" applyFont="1" applyFill="1" applyBorder="1"/>
    <xf numFmtId="169" fontId="13" fillId="3" borderId="0" xfId="2" applyNumberFormat="1" applyFont="1" applyFill="1" applyBorder="1"/>
    <xf numFmtId="169" fontId="13" fillId="3" borderId="0" xfId="2" applyNumberFormat="1" applyFont="1" applyFill="1" applyAlignment="1">
      <alignment horizontal="center"/>
    </xf>
    <xf numFmtId="169" fontId="12" fillId="3" borderId="0" xfId="2" applyNumberFormat="1" applyFont="1" applyFill="1" applyAlignment="1">
      <alignment horizontal="right"/>
    </xf>
    <xf numFmtId="169" fontId="14" fillId="3" borderId="0" xfId="2" applyNumberFormat="1" applyFont="1" applyFill="1" applyAlignment="1">
      <alignment horizontal="right"/>
    </xf>
    <xf numFmtId="9" fontId="13" fillId="3" borderId="0" xfId="3" applyFont="1" applyFill="1" applyBorder="1"/>
    <xf numFmtId="0" fontId="24" fillId="3" borderId="0" xfId="0" applyFont="1" applyFill="1"/>
    <xf numFmtId="169" fontId="12" fillId="3" borderId="0" xfId="2" applyNumberFormat="1" applyFont="1" applyFill="1"/>
    <xf numFmtId="0" fontId="12" fillId="0" borderId="0" xfId="0" applyFont="1"/>
    <xf numFmtId="169" fontId="14" fillId="0" borderId="0" xfId="2" applyNumberFormat="1" applyFont="1"/>
    <xf numFmtId="169" fontId="12" fillId="0" borderId="0" xfId="2" applyNumberFormat="1" applyFont="1"/>
    <xf numFmtId="169" fontId="16" fillId="0" borderId="0" xfId="2" applyNumberFormat="1" applyFont="1"/>
    <xf numFmtId="169" fontId="16" fillId="0" borderId="3" xfId="2" applyNumberFormat="1" applyFont="1" applyFill="1" applyBorder="1" applyAlignment="1">
      <alignment horizontal="right"/>
    </xf>
    <xf numFmtId="9" fontId="12" fillId="3" borderId="0" xfId="3" applyFont="1" applyFill="1"/>
    <xf numFmtId="3" fontId="0" fillId="0" borderId="0" xfId="0" applyNumberFormat="1"/>
    <xf numFmtId="3" fontId="8" fillId="0" borderId="0" xfId="0" applyNumberFormat="1" applyFont="1"/>
    <xf numFmtId="0" fontId="10" fillId="0" borderId="0" xfId="0" applyFont="1" applyAlignment="1">
      <alignment vertical="center" wrapText="1"/>
    </xf>
    <xf numFmtId="9" fontId="10" fillId="0" borderId="0" xfId="0" applyNumberFormat="1" applyFont="1" applyAlignment="1">
      <alignment vertical="center"/>
    </xf>
    <xf numFmtId="0" fontId="10" fillId="5" borderId="1" xfId="0" applyFont="1" applyFill="1" applyBorder="1" applyAlignment="1">
      <alignment vertical="center" wrapText="1"/>
    </xf>
    <xf numFmtId="0" fontId="25" fillId="0" borderId="0" xfId="0" applyFont="1" applyAlignment="1">
      <alignment vertical="center"/>
    </xf>
    <xf numFmtId="0" fontId="10" fillId="0" borderId="0" xfId="0" applyFont="1" applyAlignment="1">
      <alignment vertical="center"/>
    </xf>
    <xf numFmtId="169" fontId="10" fillId="4" borderId="9" xfId="2" applyNumberFormat="1" applyFont="1" applyFill="1" applyBorder="1" applyAlignment="1">
      <alignment vertical="center"/>
    </xf>
    <xf numFmtId="9" fontId="10" fillId="8" borderId="0" xfId="0" applyNumberFormat="1" applyFont="1" applyFill="1" applyAlignment="1">
      <alignment vertical="center"/>
    </xf>
    <xf numFmtId="169" fontId="25" fillId="0" borderId="9" xfId="2" applyNumberFormat="1" applyFont="1" applyBorder="1" applyAlignment="1">
      <alignment vertical="center"/>
    </xf>
    <xf numFmtId="10" fontId="10" fillId="0" borderId="0" xfId="0" applyNumberFormat="1" applyFont="1" applyAlignment="1">
      <alignment vertical="center"/>
    </xf>
    <xf numFmtId="10" fontId="10" fillId="4" borderId="0" xfId="0" applyNumberFormat="1" applyFont="1" applyFill="1" applyAlignment="1">
      <alignment vertical="center"/>
    </xf>
    <xf numFmtId="169" fontId="10" fillId="0" borderId="9" xfId="2" applyNumberFormat="1" applyFont="1" applyBorder="1" applyAlignment="1">
      <alignment vertical="center"/>
    </xf>
    <xf numFmtId="3" fontId="10" fillId="0" borderId="0" xfId="0" applyNumberFormat="1" applyFont="1" applyAlignment="1">
      <alignment vertical="center"/>
    </xf>
    <xf numFmtId="172" fontId="25" fillId="4" borderId="9" xfId="1" applyNumberFormat="1" applyFont="1" applyFill="1" applyBorder="1" applyAlignment="1">
      <alignment vertical="center"/>
    </xf>
    <xf numFmtId="0" fontId="25" fillId="0" borderId="9" xfId="0" applyFont="1" applyBorder="1" applyAlignment="1">
      <alignment vertical="center"/>
    </xf>
    <xf numFmtId="0" fontId="25" fillId="8" borderId="9" xfId="0" applyFont="1" applyFill="1" applyBorder="1" applyAlignment="1">
      <alignment vertical="center"/>
    </xf>
    <xf numFmtId="166" fontId="25" fillId="8" borderId="9" xfId="2" applyFont="1" applyFill="1" applyBorder="1" applyAlignment="1">
      <alignment vertical="center"/>
    </xf>
    <xf numFmtId="166" fontId="10" fillId="2" borderId="3" xfId="2" applyFont="1" applyFill="1" applyBorder="1" applyAlignment="1">
      <alignment vertical="center"/>
    </xf>
    <xf numFmtId="0" fontId="25" fillId="0" borderId="0" xfId="0" applyFont="1" applyAlignment="1">
      <alignment horizontal="center" vertical="center"/>
    </xf>
    <xf numFmtId="170" fontId="25" fillId="0" borderId="0" xfId="0" applyNumberFormat="1" applyFont="1" applyAlignment="1">
      <alignment horizontal="center" vertical="center"/>
    </xf>
    <xf numFmtId="9" fontId="10" fillId="0" borderId="0" xfId="0" applyNumberFormat="1" applyFont="1" applyAlignment="1">
      <alignment horizontal="right" vertical="center"/>
    </xf>
    <xf numFmtId="0" fontId="10" fillId="0" borderId="0" xfId="0" applyFont="1" applyAlignment="1">
      <alignment horizontal="left" vertical="center"/>
    </xf>
    <xf numFmtId="0" fontId="9" fillId="0" borderId="0" xfId="0" applyFont="1"/>
    <xf numFmtId="3" fontId="8" fillId="0" borderId="0" xfId="0" applyNumberFormat="1" applyFont="1" applyAlignment="1">
      <alignment horizontal="right"/>
    </xf>
    <xf numFmtId="0" fontId="8" fillId="0" borderId="0" xfId="0" applyFont="1" applyAlignment="1">
      <alignment horizontal="right"/>
    </xf>
    <xf numFmtId="0" fontId="0" fillId="0" borderId="0" xfId="0" applyAlignment="1">
      <alignment horizontal="right"/>
    </xf>
    <xf numFmtId="10" fontId="8" fillId="8" borderId="0" xfId="0" applyNumberFormat="1" applyFont="1" applyFill="1"/>
    <xf numFmtId="3" fontId="26" fillId="0" borderId="0" xfId="0" applyNumberFormat="1" applyFont="1"/>
    <xf numFmtId="170" fontId="0" fillId="0" borderId="0" xfId="0" applyNumberFormat="1"/>
    <xf numFmtId="0" fontId="27" fillId="0" borderId="0" xfId="0" applyFont="1" applyAlignment="1">
      <alignment horizontal="right"/>
    </xf>
    <xf numFmtId="9" fontId="8" fillId="0" borderId="0" xfId="0" applyNumberFormat="1" applyFont="1"/>
    <xf numFmtId="9" fontId="0" fillId="0" borderId="0" xfId="0" applyNumberFormat="1"/>
    <xf numFmtId="3" fontId="8" fillId="2" borderId="0" xfId="0" applyNumberFormat="1" applyFont="1" applyFill="1"/>
    <xf numFmtId="10" fontId="0" fillId="0" borderId="0" xfId="3" applyNumberFormat="1" applyFont="1" applyAlignment="1">
      <alignment horizontal="right"/>
    </xf>
    <xf numFmtId="9" fontId="0" fillId="0" borderId="0" xfId="0" applyNumberFormat="1" applyAlignment="1">
      <alignment horizontal="right"/>
    </xf>
    <xf numFmtId="0" fontId="0" fillId="0" borderId="0" xfId="0" applyAlignment="1">
      <alignment vertical="center"/>
    </xf>
    <xf numFmtId="0" fontId="0" fillId="0" borderId="17" xfId="0" applyBorder="1" applyAlignment="1">
      <alignment horizontal="left" vertical="center"/>
    </xf>
    <xf numFmtId="166" fontId="0" fillId="0" borderId="19" xfId="2" applyFont="1" applyBorder="1" applyAlignment="1">
      <alignment horizontal="left" vertical="center"/>
    </xf>
    <xf numFmtId="9" fontId="0" fillId="10" borderId="0" xfId="0" applyNumberFormat="1" applyFill="1" applyAlignment="1">
      <alignment vertical="center"/>
    </xf>
    <xf numFmtId="10" fontId="0" fillId="0" borderId="0" xfId="3" applyNumberFormat="1" applyFont="1" applyAlignment="1">
      <alignment vertical="center"/>
    </xf>
    <xf numFmtId="0" fontId="0" fillId="0" borderId="16" xfId="0" applyBorder="1" applyAlignment="1">
      <alignment horizontal="left" vertical="center"/>
    </xf>
    <xf numFmtId="166" fontId="0" fillId="0" borderId="20" xfId="2" applyFont="1" applyBorder="1" applyAlignment="1">
      <alignment horizontal="left" vertical="center"/>
    </xf>
    <xf numFmtId="9" fontId="0" fillId="0" borderId="0" xfId="0" applyNumberFormat="1" applyAlignment="1">
      <alignment vertical="center"/>
    </xf>
    <xf numFmtId="0" fontId="0" fillId="0" borderId="10" xfId="0" applyBorder="1" applyAlignment="1">
      <alignment vertical="center"/>
    </xf>
    <xf numFmtId="166" fontId="0" fillId="0" borderId="21" xfId="2" applyFont="1" applyBorder="1" applyAlignment="1">
      <alignment vertical="center"/>
    </xf>
    <xf numFmtId="0" fontId="0" fillId="0" borderId="16" xfId="0" applyBorder="1" applyAlignment="1">
      <alignment vertical="center"/>
    </xf>
    <xf numFmtId="166" fontId="0" fillId="0" borderId="20" xfId="2" applyFont="1" applyBorder="1" applyAlignment="1">
      <alignment vertical="center"/>
    </xf>
    <xf numFmtId="0" fontId="0" fillId="0" borderId="17" xfId="0" applyBorder="1" applyAlignment="1">
      <alignment vertical="center"/>
    </xf>
    <xf numFmtId="166" fontId="0" fillId="0" borderId="19" xfId="2" applyFont="1" applyBorder="1" applyAlignment="1">
      <alignment vertical="center"/>
    </xf>
    <xf numFmtId="0" fontId="0" fillId="0" borderId="19" xfId="0" applyBorder="1" applyAlignment="1">
      <alignment vertical="center"/>
    </xf>
    <xf numFmtId="14" fontId="0" fillId="0" borderId="10" xfId="0" applyNumberFormat="1" applyBorder="1" applyAlignment="1">
      <alignment vertical="center"/>
    </xf>
    <xf numFmtId="0" fontId="0" fillId="0" borderId="21" xfId="0" quotePrefix="1" applyBorder="1" applyAlignment="1">
      <alignment vertical="center"/>
    </xf>
    <xf numFmtId="0" fontId="0" fillId="0" borderId="21" xfId="0" applyBorder="1" applyAlignment="1">
      <alignment vertical="center"/>
    </xf>
    <xf numFmtId="14" fontId="0" fillId="0" borderId="16" xfId="0" applyNumberFormat="1" applyBorder="1" applyAlignment="1">
      <alignment vertical="center"/>
    </xf>
    <xf numFmtId="0" fontId="0" fillId="0" borderId="20" xfId="0" quotePrefix="1" applyBorder="1" applyAlignment="1">
      <alignment vertical="center"/>
    </xf>
    <xf numFmtId="0" fontId="0" fillId="0" borderId="20" xfId="0" applyBorder="1" applyAlignment="1">
      <alignment vertical="center"/>
    </xf>
    <xf numFmtId="9" fontId="0" fillId="0" borderId="17" xfId="0" applyNumberFormat="1" applyBorder="1" applyAlignment="1">
      <alignment vertical="center"/>
    </xf>
    <xf numFmtId="166" fontId="0" fillId="0" borderId="8" xfId="0" applyNumberFormat="1" applyBorder="1" applyAlignment="1">
      <alignment vertical="center"/>
    </xf>
    <xf numFmtId="9" fontId="0" fillId="0" borderId="18" xfId="0" applyNumberFormat="1" applyBorder="1" applyAlignment="1">
      <alignment vertical="center"/>
    </xf>
    <xf numFmtId="166" fontId="0" fillId="0" borderId="19" xfId="0" applyNumberFormat="1" applyBorder="1" applyAlignment="1">
      <alignment vertical="center"/>
    </xf>
    <xf numFmtId="166" fontId="0" fillId="0" borderId="0" xfId="0" applyNumberFormat="1" applyAlignment="1">
      <alignment vertical="center"/>
    </xf>
    <xf numFmtId="9" fontId="0" fillId="0" borderId="10" xfId="0" applyNumberFormat="1" applyBorder="1" applyAlignment="1">
      <alignment vertical="center"/>
    </xf>
    <xf numFmtId="166" fontId="0" fillId="0" borderId="9" xfId="0" applyNumberFormat="1" applyBorder="1" applyAlignment="1">
      <alignment vertical="center"/>
    </xf>
    <xf numFmtId="166" fontId="0" fillId="0" borderId="21" xfId="0" applyNumberFormat="1" applyBorder="1" applyAlignment="1">
      <alignment vertical="center"/>
    </xf>
    <xf numFmtId="9" fontId="0" fillId="0" borderId="16" xfId="0" applyNumberFormat="1" applyBorder="1" applyAlignment="1">
      <alignment vertical="center"/>
    </xf>
    <xf numFmtId="166" fontId="0" fillId="0" borderId="3" xfId="0" applyNumberFormat="1" applyBorder="1" applyAlignment="1">
      <alignment vertical="center"/>
    </xf>
    <xf numFmtId="9" fontId="0" fillId="0" borderId="15" xfId="0" applyNumberFormat="1" applyBorder="1" applyAlignment="1">
      <alignment vertical="center"/>
    </xf>
    <xf numFmtId="166" fontId="0" fillId="0" borderId="20" xfId="0" applyNumberFormat="1" applyBorder="1" applyAlignment="1">
      <alignment vertical="center"/>
    </xf>
    <xf numFmtId="0" fontId="8" fillId="0" borderId="0" xfId="0" applyFont="1" applyAlignment="1">
      <alignment vertical="center"/>
    </xf>
    <xf numFmtId="0" fontId="8" fillId="0" borderId="5" xfId="0" applyFont="1" applyBorder="1" applyAlignment="1">
      <alignment vertical="center"/>
    </xf>
    <xf numFmtId="169" fontId="8" fillId="0" borderId="7" xfId="0" applyNumberFormat="1" applyFont="1" applyBorder="1" applyAlignment="1">
      <alignment vertical="center"/>
    </xf>
    <xf numFmtId="169" fontId="8" fillId="0" borderId="5" xfId="0" applyNumberFormat="1" applyFont="1" applyBorder="1" applyAlignment="1">
      <alignment vertical="center"/>
    </xf>
    <xf numFmtId="0" fontId="8" fillId="0" borderId="0" xfId="0" applyFont="1" applyAlignment="1">
      <alignment horizontal="right" vertical="center"/>
    </xf>
    <xf numFmtId="9" fontId="0" fillId="0" borderId="0" xfId="0" applyNumberFormat="1" applyAlignment="1">
      <alignment horizontal="right" vertical="center"/>
    </xf>
    <xf numFmtId="0" fontId="0" fillId="0" borderId="0" xfId="0" applyAlignment="1">
      <alignment horizontal="right" vertical="center"/>
    </xf>
    <xf numFmtId="169" fontId="8" fillId="8" borderId="0" xfId="0" applyNumberFormat="1" applyFont="1" applyFill="1" applyAlignment="1">
      <alignment vertical="center"/>
    </xf>
    <xf numFmtId="9" fontId="0" fillId="0" borderId="0" xfId="3" applyFont="1" applyAlignment="1">
      <alignment horizontal="right" vertical="center"/>
    </xf>
    <xf numFmtId="9" fontId="3" fillId="0" borderId="0" xfId="3" applyFont="1" applyAlignment="1">
      <alignment vertical="center"/>
    </xf>
    <xf numFmtId="0" fontId="0" fillId="0" borderId="0" xfId="0" applyFill="1"/>
    <xf numFmtId="0" fontId="9" fillId="0" borderId="0" xfId="0" applyNumberFormat="1" applyFont="1" applyAlignment="1">
      <alignment horizontal="right"/>
    </xf>
    <xf numFmtId="9" fontId="13" fillId="2" borderId="8" xfId="0" applyNumberFormat="1" applyFont="1" applyFill="1" applyBorder="1"/>
    <xf numFmtId="166" fontId="0" fillId="0" borderId="0" xfId="0" applyNumberFormat="1"/>
    <xf numFmtId="0" fontId="10" fillId="0" borderId="0" xfId="0" applyFont="1" applyFill="1" applyAlignment="1">
      <alignment vertical="center" wrapText="1"/>
    </xf>
    <xf numFmtId="166" fontId="25" fillId="0" borderId="0" xfId="0" applyNumberFormat="1" applyFont="1" applyFill="1" applyAlignment="1">
      <alignment vertical="center"/>
    </xf>
    <xf numFmtId="171" fontId="25" fillId="0" borderId="0" xfId="0" applyNumberFormat="1" applyFont="1" applyFill="1" applyAlignment="1">
      <alignment vertical="center"/>
    </xf>
    <xf numFmtId="0" fontId="10" fillId="0" borderId="0" xfId="0" applyFont="1" applyFill="1" applyAlignment="1">
      <alignment vertical="center"/>
    </xf>
    <xf numFmtId="166" fontId="10" fillId="3" borderId="8" xfId="2" applyFont="1" applyFill="1" applyBorder="1" applyAlignment="1">
      <alignment horizontal="right" vertical="center"/>
    </xf>
    <xf numFmtId="171" fontId="25" fillId="3" borderId="3" xfId="0" applyNumberFormat="1" applyFont="1" applyFill="1" applyBorder="1" applyAlignment="1">
      <alignment vertical="center"/>
    </xf>
    <xf numFmtId="166" fontId="10" fillId="3" borderId="19" xfId="2" applyFont="1" applyFill="1" applyBorder="1" applyAlignment="1">
      <alignment horizontal="right" vertical="center"/>
    </xf>
    <xf numFmtId="171" fontId="25" fillId="3" borderId="20" xfId="0" applyNumberFormat="1" applyFont="1" applyFill="1" applyBorder="1" applyAlignment="1">
      <alignment vertical="center"/>
    </xf>
    <xf numFmtId="166" fontId="10" fillId="0" borderId="0" xfId="2" applyFont="1" applyFill="1" applyBorder="1" applyAlignment="1">
      <alignment vertical="center"/>
    </xf>
    <xf numFmtId="0" fontId="10" fillId="3" borderId="0" xfId="0" applyFont="1" applyFill="1" applyBorder="1" applyAlignment="1">
      <alignment vertical="center"/>
    </xf>
    <xf numFmtId="9" fontId="10" fillId="3" borderId="0" xfId="0" applyNumberFormat="1" applyFont="1" applyFill="1" applyBorder="1" applyAlignment="1">
      <alignment vertical="center"/>
    </xf>
    <xf numFmtId="0" fontId="25" fillId="0" borderId="0" xfId="0" applyFont="1" applyBorder="1" applyAlignment="1">
      <alignment vertical="center"/>
    </xf>
    <xf numFmtId="0" fontId="25" fillId="3" borderId="0" xfId="0" applyFont="1" applyFill="1" applyBorder="1" applyAlignment="1">
      <alignment vertical="center"/>
    </xf>
    <xf numFmtId="0" fontId="25" fillId="3" borderId="0" xfId="0" applyFont="1" applyFill="1" applyBorder="1" applyAlignment="1">
      <alignment horizontal="right" vertical="center"/>
    </xf>
    <xf numFmtId="166" fontId="0" fillId="3" borderId="0" xfId="0" applyNumberFormat="1" applyFill="1"/>
    <xf numFmtId="171" fontId="0" fillId="3" borderId="0" xfId="0" applyNumberFormat="1" applyFill="1"/>
    <xf numFmtId="2" fontId="0" fillId="3" borderId="0" xfId="0" applyNumberFormat="1" applyFill="1" applyAlignment="1">
      <alignment horizontal="right"/>
    </xf>
    <xf numFmtId="0" fontId="29" fillId="14" borderId="0" xfId="0" applyFont="1" applyFill="1" applyAlignment="1">
      <alignment horizontal="center" vertical="top"/>
    </xf>
    <xf numFmtId="171" fontId="29" fillId="14" borderId="0" xfId="0" applyNumberFormat="1" applyFont="1" applyFill="1" applyAlignment="1">
      <alignment horizontal="center" vertical="top"/>
    </xf>
    <xf numFmtId="171" fontId="0" fillId="14" borderId="0" xfId="0" applyNumberFormat="1" applyFill="1" applyAlignment="1">
      <alignment horizontal="center" vertical="top"/>
    </xf>
    <xf numFmtId="0" fontId="34" fillId="14" borderId="0" xfId="0" applyFont="1" applyFill="1" applyAlignment="1">
      <alignment vertical="top"/>
    </xf>
    <xf numFmtId="166" fontId="29" fillId="14" borderId="0" xfId="0" applyNumberFormat="1" applyFont="1" applyFill="1" applyAlignment="1">
      <alignment horizontal="left" vertical="top"/>
    </xf>
    <xf numFmtId="0" fontId="30" fillId="14" borderId="0" xfId="0" applyFont="1" applyFill="1" applyAlignment="1">
      <alignment horizontal="center" vertical="top"/>
    </xf>
    <xf numFmtId="166" fontId="29" fillId="14" borderId="0" xfId="0" applyNumberFormat="1" applyFont="1" applyFill="1" applyAlignment="1">
      <alignment horizontal="center" vertical="top"/>
    </xf>
    <xf numFmtId="171" fontId="30" fillId="14" borderId="0" xfId="0" applyNumberFormat="1" applyFont="1" applyFill="1" applyAlignment="1">
      <alignment horizontal="center" vertical="top"/>
    </xf>
    <xf numFmtId="166" fontId="34" fillId="14" borderId="0" xfId="0" applyNumberFormat="1" applyFont="1" applyFill="1" applyAlignment="1">
      <alignment horizontal="left" vertical="top"/>
    </xf>
    <xf numFmtId="0" fontId="0" fillId="0" borderId="0" xfId="0" applyAlignment="1">
      <alignment horizontal="center" vertical="top"/>
    </xf>
    <xf numFmtId="166" fontId="0" fillId="0" borderId="0" xfId="0" applyNumberFormat="1" applyAlignment="1">
      <alignment horizontal="center" vertical="top"/>
    </xf>
    <xf numFmtId="171" fontId="0" fillId="0" borderId="0" xfId="0" applyNumberFormat="1" applyAlignment="1">
      <alignment horizontal="center" vertical="top"/>
    </xf>
    <xf numFmtId="166" fontId="33" fillId="0" borderId="0" xfId="0" applyNumberFormat="1" applyFont="1" applyAlignment="1">
      <alignment horizontal="left" vertical="top"/>
    </xf>
    <xf numFmtId="0" fontId="0" fillId="0" borderId="0" xfId="0" applyAlignment="1">
      <alignment vertical="top"/>
    </xf>
    <xf numFmtId="0" fontId="0" fillId="0" borderId="0" xfId="0" applyAlignment="1">
      <alignment horizontal="left" vertical="top" wrapText="1"/>
    </xf>
    <xf numFmtId="171" fontId="0" fillId="0" borderId="0" xfId="0" applyNumberFormat="1"/>
    <xf numFmtId="2" fontId="0" fillId="0" borderId="0" xfId="0" applyNumberFormat="1"/>
    <xf numFmtId="9" fontId="0" fillId="3" borderId="0" xfId="0" applyNumberFormat="1" applyFill="1"/>
    <xf numFmtId="2" fontId="0" fillId="13" borderId="0" xfId="0" applyNumberFormat="1" applyFill="1" applyAlignment="1">
      <alignment horizontal="right"/>
    </xf>
    <xf numFmtId="171" fontId="0" fillId="0" borderId="0" xfId="0" applyNumberFormat="1" applyFill="1" applyAlignment="1">
      <alignment horizontal="center" vertical="top"/>
    </xf>
    <xf numFmtId="166" fontId="0" fillId="0" borderId="0" xfId="0" applyNumberFormat="1" applyFill="1" applyAlignment="1">
      <alignment horizontal="center" vertical="top"/>
    </xf>
    <xf numFmtId="0" fontId="0" fillId="0" borderId="0" xfId="0" applyFill="1" applyAlignment="1">
      <alignment horizontal="left" vertical="top" wrapText="1"/>
    </xf>
    <xf numFmtId="166" fontId="35" fillId="3" borderId="0" xfId="0" applyNumberFormat="1" applyFont="1" applyFill="1"/>
    <xf numFmtId="166" fontId="32" fillId="3" borderId="0" xfId="0" applyNumberFormat="1" applyFont="1" applyFill="1" applyAlignment="1">
      <alignment horizontal="left" vertical="top"/>
    </xf>
    <xf numFmtId="0" fontId="0" fillId="0" borderId="0" xfId="0" applyAlignment="1">
      <alignment horizontal="left"/>
    </xf>
    <xf numFmtId="165" fontId="0" fillId="0" borderId="0" xfId="0" applyNumberFormat="1"/>
    <xf numFmtId="166" fontId="0" fillId="13" borderId="0" xfId="0" applyNumberFormat="1" applyFill="1" applyAlignment="1">
      <alignment horizontal="right"/>
    </xf>
    <xf numFmtId="171" fontId="0" fillId="3" borderId="0" xfId="0" applyNumberFormat="1" applyFill="1" applyAlignment="1">
      <alignment horizontal="center" vertical="top"/>
    </xf>
    <xf numFmtId="169" fontId="22" fillId="3" borderId="0" xfId="2" applyNumberFormat="1" applyFont="1" applyFill="1" applyBorder="1"/>
    <xf numFmtId="169" fontId="16" fillId="0" borderId="0" xfId="2" applyNumberFormat="1" applyFont="1" applyFill="1" applyBorder="1"/>
    <xf numFmtId="169" fontId="11" fillId="3" borderId="0" xfId="2" applyNumberFormat="1" applyFont="1" applyFill="1" applyBorder="1"/>
    <xf numFmtId="169" fontId="18" fillId="3" borderId="0" xfId="2" applyNumberFormat="1" applyFont="1" applyFill="1" applyBorder="1"/>
    <xf numFmtId="0" fontId="21" fillId="3" borderId="3" xfId="0" applyFont="1" applyFill="1" applyBorder="1" applyAlignment="1">
      <alignment wrapText="1"/>
    </xf>
    <xf numFmtId="0" fontId="12" fillId="3" borderId="5" xfId="0" applyFont="1" applyFill="1" applyBorder="1"/>
    <xf numFmtId="0" fontId="12" fillId="3" borderId="6" xfId="0" applyFont="1" applyFill="1" applyBorder="1"/>
    <xf numFmtId="169" fontId="14" fillId="3" borderId="7" xfId="2" applyNumberFormat="1" applyFont="1" applyFill="1" applyBorder="1"/>
    <xf numFmtId="9" fontId="18" fillId="10" borderId="4" xfId="0" applyNumberFormat="1" applyFont="1" applyFill="1" applyBorder="1"/>
    <xf numFmtId="9" fontId="18" fillId="10" borderId="11" xfId="0" applyNumberFormat="1" applyFont="1" applyFill="1" applyBorder="1"/>
    <xf numFmtId="9" fontId="13" fillId="2" borderId="3" xfId="0" applyNumberFormat="1" applyFont="1" applyFill="1" applyBorder="1"/>
    <xf numFmtId="0" fontId="19" fillId="7" borderId="11" xfId="0" applyFont="1" applyFill="1" applyBorder="1" applyAlignment="1">
      <alignment wrapText="1"/>
    </xf>
    <xf numFmtId="0" fontId="19" fillId="7" borderId="4" xfId="0" applyFont="1" applyFill="1" applyBorder="1" applyAlignment="1">
      <alignment wrapText="1"/>
    </xf>
    <xf numFmtId="9" fontId="13" fillId="10" borderId="4" xfId="0" applyNumberFormat="1" applyFont="1" applyFill="1" applyBorder="1"/>
    <xf numFmtId="0" fontId="12" fillId="2" borderId="0" xfId="0" applyFont="1" applyFill="1"/>
    <xf numFmtId="0" fontId="21" fillId="3" borderId="16" xfId="0" applyFont="1" applyFill="1" applyBorder="1" applyAlignment="1">
      <alignment wrapText="1"/>
    </xf>
    <xf numFmtId="169" fontId="10" fillId="4" borderId="8" xfId="2" applyNumberFormat="1" applyFont="1" applyFill="1" applyBorder="1" applyAlignment="1">
      <alignment vertical="center"/>
    </xf>
    <xf numFmtId="166" fontId="13" fillId="10" borderId="22" xfId="0" applyNumberFormat="1" applyFont="1" applyFill="1" applyBorder="1" applyAlignment="1">
      <alignment wrapText="1"/>
    </xf>
    <xf numFmtId="0" fontId="13" fillId="10" borderId="11" xfId="0" applyFont="1" applyFill="1" applyBorder="1" applyAlignment="1">
      <alignment wrapText="1"/>
    </xf>
    <xf numFmtId="166" fontId="12" fillId="3" borderId="3" xfId="0" applyNumberFormat="1" applyFont="1" applyFill="1" applyBorder="1" applyAlignment="1">
      <alignment wrapText="1"/>
    </xf>
    <xf numFmtId="169" fontId="13" fillId="3" borderId="1" xfId="2" applyNumberFormat="1" applyFont="1" applyFill="1" applyBorder="1" applyAlignment="1">
      <alignment horizontal="right"/>
    </xf>
    <xf numFmtId="166" fontId="12" fillId="3" borderId="1" xfId="0" applyNumberFormat="1" applyFont="1" applyFill="1" applyBorder="1" applyAlignment="1">
      <alignment wrapText="1"/>
    </xf>
    <xf numFmtId="166" fontId="13" fillId="10" borderId="4" xfId="0" applyNumberFormat="1" applyFont="1" applyFill="1" applyBorder="1" applyAlignment="1">
      <alignment wrapText="1"/>
    </xf>
    <xf numFmtId="169" fontId="13" fillId="10" borderId="4" xfId="2" applyNumberFormat="1" applyFont="1" applyFill="1" applyBorder="1" applyAlignment="1">
      <alignment horizontal="right"/>
    </xf>
    <xf numFmtId="169" fontId="13" fillId="3" borderId="3" xfId="2" applyNumberFormat="1" applyFont="1" applyFill="1" applyBorder="1" applyAlignment="1">
      <alignment horizontal="right"/>
    </xf>
    <xf numFmtId="166" fontId="12" fillId="3" borderId="8" xfId="0" applyNumberFormat="1" applyFont="1" applyFill="1" applyBorder="1" applyAlignment="1">
      <alignment wrapText="1"/>
    </xf>
    <xf numFmtId="0" fontId="12" fillId="3" borderId="8" xfId="0" applyFont="1" applyFill="1" applyBorder="1" applyAlignment="1">
      <alignment wrapText="1"/>
    </xf>
    <xf numFmtId="169" fontId="13" fillId="10" borderId="11" xfId="2" applyNumberFormat="1" applyFont="1" applyFill="1" applyBorder="1" applyAlignment="1">
      <alignment horizontal="right"/>
    </xf>
    <xf numFmtId="169" fontId="13" fillId="6" borderId="4" xfId="2" applyNumberFormat="1" applyFont="1" applyFill="1" applyBorder="1" applyAlignment="1">
      <alignment wrapText="1"/>
    </xf>
    <xf numFmtId="0" fontId="13" fillId="3" borderId="2" xfId="0" applyFont="1" applyFill="1" applyBorder="1"/>
    <xf numFmtId="169" fontId="13" fillId="12" borderId="4" xfId="2" applyNumberFormat="1" applyFont="1" applyFill="1" applyBorder="1" applyAlignment="1">
      <alignment wrapText="1"/>
    </xf>
    <xf numFmtId="169" fontId="12" fillId="3" borderId="3" xfId="2" applyNumberFormat="1" applyFont="1" applyFill="1" applyBorder="1" applyAlignment="1">
      <alignment horizontal="right"/>
    </xf>
    <xf numFmtId="169" fontId="12" fillId="0" borderId="3" xfId="2" applyNumberFormat="1" applyFont="1" applyFill="1" applyBorder="1" applyAlignment="1">
      <alignment horizontal="right"/>
    </xf>
    <xf numFmtId="169" fontId="13" fillId="8" borderId="1" xfId="2" applyNumberFormat="1" applyFont="1" applyFill="1" applyBorder="1" applyAlignment="1">
      <alignment wrapText="1"/>
    </xf>
    <xf numFmtId="169" fontId="13" fillId="3" borderId="4" xfId="2" applyNumberFormat="1" applyFont="1" applyFill="1" applyBorder="1" applyAlignment="1">
      <alignment horizontal="right"/>
    </xf>
    <xf numFmtId="169" fontId="13" fillId="7" borderId="4" xfId="2" applyNumberFormat="1" applyFont="1" applyFill="1" applyBorder="1" applyAlignment="1">
      <alignment wrapText="1"/>
    </xf>
    <xf numFmtId="0" fontId="12" fillId="0" borderId="1" xfId="0" applyFont="1" applyBorder="1"/>
    <xf numFmtId="169" fontId="17" fillId="10" borderId="11" xfId="2" applyNumberFormat="1" applyFont="1" applyFill="1" applyBorder="1" applyAlignment="1">
      <alignment horizontal="right"/>
    </xf>
    <xf numFmtId="169" fontId="17" fillId="10" borderId="4" xfId="2" applyNumberFormat="1" applyFont="1" applyFill="1" applyBorder="1" applyAlignment="1">
      <alignment horizontal="right"/>
    </xf>
    <xf numFmtId="169" fontId="12" fillId="10" borderId="4" xfId="2" applyNumberFormat="1" applyFont="1" applyFill="1" applyBorder="1" applyAlignment="1">
      <alignment horizontal="right"/>
    </xf>
    <xf numFmtId="169" fontId="12" fillId="10" borderId="11" xfId="2" applyNumberFormat="1" applyFont="1" applyFill="1" applyBorder="1" applyAlignment="1">
      <alignment horizontal="right"/>
    </xf>
    <xf numFmtId="169" fontId="13" fillId="8" borderId="3" xfId="2" applyNumberFormat="1" applyFont="1" applyFill="1" applyBorder="1" applyAlignment="1">
      <alignment wrapText="1"/>
    </xf>
    <xf numFmtId="169" fontId="7" fillId="3" borderId="0" xfId="2" applyNumberFormat="1" applyFont="1" applyFill="1"/>
    <xf numFmtId="0" fontId="7" fillId="0" borderId="0" xfId="0" applyFont="1"/>
    <xf numFmtId="0" fontId="12" fillId="3" borderId="1" xfId="0" applyFont="1" applyFill="1" applyBorder="1"/>
    <xf numFmtId="166" fontId="12" fillId="3" borderId="7" xfId="2" applyFont="1" applyFill="1" applyBorder="1" applyAlignment="1">
      <alignment horizontal="right"/>
    </xf>
    <xf numFmtId="166" fontId="12" fillId="0" borderId="1" xfId="0" applyNumberFormat="1" applyFont="1" applyBorder="1"/>
    <xf numFmtId="168" fontId="12" fillId="3" borderId="1" xfId="1" applyNumberFormat="1" applyFont="1" applyFill="1" applyBorder="1" applyAlignment="1">
      <alignment wrapText="1"/>
    </xf>
    <xf numFmtId="169" fontId="12" fillId="3" borderId="1" xfId="2" applyNumberFormat="1" applyFont="1" applyFill="1" applyBorder="1"/>
    <xf numFmtId="170" fontId="13" fillId="3" borderId="4" xfId="0" applyNumberFormat="1" applyFont="1" applyFill="1" applyBorder="1" applyAlignment="1">
      <alignment wrapText="1"/>
    </xf>
    <xf numFmtId="9" fontId="12" fillId="0" borderId="1" xfId="0" applyNumberFormat="1" applyFont="1" applyBorder="1"/>
    <xf numFmtId="166" fontId="13" fillId="3" borderId="4" xfId="2" applyFont="1" applyFill="1" applyBorder="1" applyAlignment="1">
      <alignment horizontal="right"/>
    </xf>
    <xf numFmtId="169" fontId="13" fillId="3" borderId="4" xfId="2" applyNumberFormat="1" applyFont="1" applyFill="1" applyBorder="1"/>
    <xf numFmtId="169" fontId="12" fillId="7" borderId="1" xfId="2" applyNumberFormat="1" applyFont="1" applyFill="1" applyBorder="1" applyAlignment="1">
      <alignment wrapText="1"/>
    </xf>
    <xf numFmtId="0" fontId="12" fillId="3" borderId="3" xfId="0" applyFont="1" applyFill="1" applyBorder="1"/>
    <xf numFmtId="166" fontId="12" fillId="3" borderId="20" xfId="2" applyFont="1" applyFill="1" applyBorder="1" applyAlignment="1">
      <alignment horizontal="right"/>
    </xf>
    <xf numFmtId="168" fontId="12" fillId="3" borderId="3" xfId="1" applyNumberFormat="1" applyFont="1" applyFill="1" applyBorder="1" applyAlignment="1">
      <alignment wrapText="1"/>
    </xf>
    <xf numFmtId="169" fontId="12" fillId="3" borderId="3" xfId="2" applyNumberFormat="1" applyFont="1" applyFill="1" applyBorder="1"/>
    <xf numFmtId="9" fontId="12" fillId="3" borderId="3" xfId="0" applyNumberFormat="1" applyFont="1" applyFill="1" applyBorder="1"/>
    <xf numFmtId="169" fontId="13" fillId="6" borderId="13" xfId="2" applyNumberFormat="1" applyFont="1" applyFill="1" applyBorder="1" applyAlignment="1">
      <alignment wrapText="1"/>
    </xf>
    <xf numFmtId="169" fontId="13" fillId="12" borderId="14" xfId="2" applyNumberFormat="1" applyFont="1" applyFill="1" applyBorder="1" applyAlignment="1">
      <alignment wrapText="1"/>
    </xf>
    <xf numFmtId="0" fontId="13" fillId="3" borderId="0" xfId="0" applyFont="1" applyFill="1" applyBorder="1"/>
    <xf numFmtId="9" fontId="12" fillId="3" borderId="5" xfId="0" applyNumberFormat="1" applyFont="1" applyFill="1" applyBorder="1"/>
    <xf numFmtId="9" fontId="12" fillId="0" borderId="5" xfId="0" applyNumberFormat="1" applyFont="1" applyBorder="1"/>
    <xf numFmtId="0" fontId="13" fillId="3" borderId="9" xfId="0" applyFont="1" applyFill="1" applyBorder="1"/>
    <xf numFmtId="9" fontId="12" fillId="3" borderId="9" xfId="0" applyNumberFormat="1" applyFont="1" applyFill="1" applyBorder="1"/>
    <xf numFmtId="9" fontId="12" fillId="0" borderId="9" xfId="0" applyNumberFormat="1" applyFont="1" applyBorder="1"/>
    <xf numFmtId="165" fontId="12" fillId="3" borderId="7" xfId="0" applyNumberFormat="1" applyFont="1" applyFill="1" applyBorder="1"/>
    <xf numFmtId="165" fontId="12" fillId="3" borderId="1" xfId="0" applyNumberFormat="1" applyFont="1" applyFill="1" applyBorder="1"/>
    <xf numFmtId="165" fontId="12" fillId="0" borderId="7" xfId="0" applyNumberFormat="1" applyFont="1" applyBorder="1"/>
    <xf numFmtId="165" fontId="12" fillId="0" borderId="1" xfId="0" applyNumberFormat="1" applyFont="1" applyBorder="1"/>
    <xf numFmtId="166" fontId="13" fillId="3" borderId="0" xfId="2" applyFont="1" applyFill="1" applyBorder="1" applyAlignment="1">
      <alignment horizontal="right"/>
    </xf>
    <xf numFmtId="170" fontId="13" fillId="3" borderId="0" xfId="0" applyNumberFormat="1" applyFont="1" applyFill="1" applyBorder="1" applyAlignment="1">
      <alignment wrapText="1"/>
    </xf>
    <xf numFmtId="169" fontId="13" fillId="3" borderId="0" xfId="2" applyNumberFormat="1" applyFont="1" applyFill="1" applyBorder="1" applyAlignment="1">
      <alignment horizontal="right"/>
    </xf>
    <xf numFmtId="169" fontId="13" fillId="0" borderId="0" xfId="2" applyNumberFormat="1" applyFont="1" applyFill="1" applyBorder="1" applyAlignment="1">
      <alignment wrapText="1"/>
    </xf>
    <xf numFmtId="9" fontId="12" fillId="3" borderId="16" xfId="0" applyNumberFormat="1" applyFont="1" applyFill="1" applyBorder="1"/>
    <xf numFmtId="165" fontId="12" fillId="3" borderId="3" xfId="0" applyNumberFormat="1" applyFont="1" applyFill="1" applyBorder="1"/>
    <xf numFmtId="165" fontId="12" fillId="3" borderId="20" xfId="0" applyNumberFormat="1" applyFont="1" applyFill="1" applyBorder="1"/>
    <xf numFmtId="165" fontId="12" fillId="3" borderId="3" xfId="1" applyNumberFormat="1" applyFont="1" applyFill="1" applyBorder="1" applyAlignment="1">
      <alignment wrapText="1"/>
    </xf>
    <xf numFmtId="165" fontId="12" fillId="3" borderId="1" xfId="1" applyNumberFormat="1" applyFont="1" applyFill="1" applyBorder="1" applyAlignment="1">
      <alignment wrapText="1"/>
    </xf>
    <xf numFmtId="9" fontId="12" fillId="3" borderId="3" xfId="1" applyNumberFormat="1" applyFont="1" applyFill="1" applyBorder="1" applyAlignment="1">
      <alignment wrapText="1"/>
    </xf>
    <xf numFmtId="9" fontId="12" fillId="3" borderId="1" xfId="1" applyNumberFormat="1" applyFont="1" applyFill="1" applyBorder="1" applyAlignment="1">
      <alignment wrapText="1"/>
    </xf>
    <xf numFmtId="0" fontId="13" fillId="3" borderId="18" xfId="0" applyFont="1" applyFill="1" applyBorder="1"/>
    <xf numFmtId="0" fontId="12" fillId="3" borderId="12" xfId="0" applyFont="1" applyFill="1" applyBorder="1"/>
    <xf numFmtId="169" fontId="16" fillId="3" borderId="12" xfId="2" applyNumberFormat="1" applyFont="1" applyFill="1" applyBorder="1"/>
    <xf numFmtId="0" fontId="12" fillId="3" borderId="10" xfId="0" applyFont="1" applyFill="1" applyBorder="1"/>
    <xf numFmtId="0" fontId="13" fillId="0" borderId="0" xfId="0" applyFont="1" applyFill="1"/>
    <xf numFmtId="166" fontId="13" fillId="2" borderId="22" xfId="0" applyNumberFormat="1" applyFont="1" applyFill="1" applyBorder="1" applyAlignment="1">
      <alignment wrapText="1"/>
    </xf>
    <xf numFmtId="169" fontId="17" fillId="6" borderId="4" xfId="2" applyNumberFormat="1" applyFont="1" applyFill="1" applyBorder="1" applyAlignment="1">
      <alignment wrapText="1"/>
    </xf>
    <xf numFmtId="3" fontId="18" fillId="6" borderId="4" xfId="2" applyNumberFormat="1" applyFont="1" applyFill="1" applyBorder="1" applyAlignment="1">
      <alignment horizontal="left" wrapText="1"/>
    </xf>
    <xf numFmtId="0" fontId="19" fillId="7" borderId="3" xfId="0" applyFont="1" applyFill="1" applyBorder="1" applyAlignment="1">
      <alignment wrapText="1"/>
    </xf>
    <xf numFmtId="3" fontId="13" fillId="10" borderId="11" xfId="0" applyNumberFormat="1" applyFont="1" applyFill="1" applyBorder="1" applyAlignment="1">
      <alignment wrapText="1"/>
    </xf>
    <xf numFmtId="3" fontId="12" fillId="0" borderId="1" xfId="0" applyNumberFormat="1" applyFont="1" applyFill="1" applyBorder="1" applyAlignment="1">
      <alignment wrapText="1"/>
    </xf>
    <xf numFmtId="3" fontId="12" fillId="0" borderId="3" xfId="0" applyNumberFormat="1" applyFont="1" applyFill="1" applyBorder="1" applyAlignment="1">
      <alignment wrapText="1"/>
    </xf>
    <xf numFmtId="3" fontId="19" fillId="10" borderId="11" xfId="2" applyNumberFormat="1" applyFont="1" applyFill="1" applyBorder="1" applyAlignment="1">
      <alignment horizontal="right"/>
    </xf>
    <xf numFmtId="3" fontId="16" fillId="3" borderId="1" xfId="2" applyNumberFormat="1" applyFont="1" applyFill="1" applyBorder="1" applyAlignment="1">
      <alignment horizontal="right"/>
    </xf>
    <xf numFmtId="3" fontId="19" fillId="10" borderId="4" xfId="2" applyNumberFormat="1" applyFont="1" applyFill="1" applyBorder="1" applyAlignment="1">
      <alignment horizontal="right"/>
    </xf>
    <xf numFmtId="3" fontId="16" fillId="0" borderId="0" xfId="0" applyNumberFormat="1" applyFont="1"/>
    <xf numFmtId="3" fontId="19" fillId="10" borderId="8" xfId="2" applyNumberFormat="1" applyFont="1" applyFill="1" applyBorder="1" applyAlignment="1">
      <alignment horizontal="right"/>
    </xf>
    <xf numFmtId="3" fontId="16" fillId="3" borderId="3" xfId="2" applyNumberFormat="1" applyFont="1" applyFill="1" applyBorder="1" applyAlignment="1">
      <alignment horizontal="right"/>
    </xf>
    <xf numFmtId="3" fontId="19" fillId="10" borderId="4" xfId="2" quotePrefix="1" applyNumberFormat="1" applyFont="1" applyFill="1" applyBorder="1" applyAlignment="1">
      <alignment horizontal="right"/>
    </xf>
    <xf numFmtId="3" fontId="16" fillId="3" borderId="8" xfId="2" applyNumberFormat="1" applyFont="1" applyFill="1" applyBorder="1" applyAlignment="1">
      <alignment horizontal="right"/>
    </xf>
    <xf numFmtId="0" fontId="13" fillId="2" borderId="22" xfId="0" applyFont="1" applyFill="1" applyBorder="1" applyAlignment="1">
      <alignment wrapText="1"/>
    </xf>
    <xf numFmtId="165" fontId="13" fillId="2" borderId="22" xfId="0" applyNumberFormat="1" applyFont="1" applyFill="1" applyBorder="1" applyAlignment="1">
      <alignment wrapText="1"/>
    </xf>
    <xf numFmtId="9" fontId="13" fillId="0" borderId="4" xfId="0" applyNumberFormat="1" applyFont="1" applyFill="1" applyBorder="1"/>
    <xf numFmtId="169" fontId="13" fillId="0" borderId="11" xfId="2" applyNumberFormat="1" applyFont="1" applyFill="1" applyBorder="1" applyAlignment="1">
      <alignment horizontal="right"/>
    </xf>
    <xf numFmtId="169" fontId="13" fillId="0" borderId="23" xfId="2" applyNumberFormat="1" applyFont="1" applyFill="1" applyBorder="1" applyAlignment="1">
      <alignment horizontal="right"/>
    </xf>
    <xf numFmtId="169" fontId="13" fillId="0" borderId="0" xfId="2" applyNumberFormat="1" applyFont="1" applyFill="1" applyBorder="1" applyAlignment="1">
      <alignment horizontal="right"/>
    </xf>
    <xf numFmtId="169" fontId="13" fillId="0" borderId="24" xfId="2" applyNumberFormat="1" applyFont="1" applyFill="1" applyBorder="1" applyAlignment="1">
      <alignment horizontal="right"/>
    </xf>
    <xf numFmtId="165" fontId="12" fillId="2" borderId="0" xfId="2" applyNumberFormat="1" applyFont="1" applyFill="1" applyBorder="1"/>
    <xf numFmtId="0" fontId="12" fillId="0" borderId="0" xfId="0" applyFont="1" applyFill="1"/>
    <xf numFmtId="165" fontId="12" fillId="0" borderId="0" xfId="2" applyNumberFormat="1" applyFont="1" applyFill="1" applyBorder="1"/>
    <xf numFmtId="171" fontId="12" fillId="2" borderId="0" xfId="2" applyNumberFormat="1" applyFont="1" applyFill="1" applyBorder="1"/>
    <xf numFmtId="0" fontId="13" fillId="10" borderId="0" xfId="0" applyFont="1" applyFill="1" applyAlignment="1">
      <alignment horizontal="center"/>
    </xf>
    <xf numFmtId="0" fontId="23" fillId="3" borderId="0" xfId="0" applyFont="1" applyFill="1" applyBorder="1"/>
    <xf numFmtId="10" fontId="12" fillId="3" borderId="0" xfId="0" applyNumberFormat="1" applyFont="1" applyFill="1" applyBorder="1"/>
    <xf numFmtId="3" fontId="13" fillId="10" borderId="4" xfId="0" applyNumberFormat="1" applyFont="1" applyFill="1" applyBorder="1" applyAlignment="1">
      <alignment wrapText="1"/>
    </xf>
    <xf numFmtId="9" fontId="0" fillId="3" borderId="0" xfId="0" applyNumberFormat="1" applyFill="1" applyAlignment="1">
      <alignment horizontal="right"/>
    </xf>
    <xf numFmtId="0" fontId="36" fillId="3" borderId="5" xfId="0" applyFont="1" applyFill="1" applyBorder="1"/>
    <xf numFmtId="171" fontId="0" fillId="15" borderId="25" xfId="0" applyNumberFormat="1" applyFill="1" applyBorder="1" applyAlignment="1">
      <alignment horizontal="center" vertical="top"/>
    </xf>
    <xf numFmtId="166" fontId="0" fillId="15" borderId="25" xfId="0" applyNumberFormat="1" applyFill="1" applyBorder="1" applyAlignment="1">
      <alignment horizontal="center" vertical="top"/>
    </xf>
    <xf numFmtId="0" fontId="0" fillId="15" borderId="26" xfId="0" applyFill="1" applyBorder="1" applyAlignment="1">
      <alignment horizontal="center" vertical="top"/>
    </xf>
    <xf numFmtId="171" fontId="0" fillId="0" borderId="25" xfId="0" applyNumberFormat="1" applyBorder="1" applyAlignment="1">
      <alignment horizontal="center" vertical="top"/>
    </xf>
    <xf numFmtId="166" fontId="0" fillId="0" borderId="25" xfId="0" applyNumberFormat="1" applyBorder="1" applyAlignment="1">
      <alignment horizontal="center" vertical="top"/>
    </xf>
    <xf numFmtId="0" fontId="0" fillId="0" borderId="26" xfId="0" applyBorder="1" applyAlignment="1">
      <alignment horizontal="center" vertical="top"/>
    </xf>
    <xf numFmtId="0" fontId="0" fillId="15" borderId="26" xfId="0" applyFill="1" applyBorder="1" applyAlignment="1">
      <alignment horizontal="left" vertical="top" wrapText="1"/>
    </xf>
    <xf numFmtId="0" fontId="0" fillId="0" borderId="26" xfId="0" applyBorder="1" applyAlignment="1">
      <alignment horizontal="center" vertical="top" wrapText="1"/>
    </xf>
    <xf numFmtId="0" fontId="0" fillId="0" borderId="26" xfId="0" applyBorder="1" applyAlignment="1">
      <alignment horizontal="left" vertical="top" wrapText="1"/>
    </xf>
    <xf numFmtId="0" fontId="0" fillId="15" borderId="26" xfId="0" applyFill="1" applyBorder="1" applyAlignment="1">
      <alignment vertical="top"/>
    </xf>
    <xf numFmtId="171" fontId="0" fillId="3" borderId="25" xfId="0" applyNumberFormat="1" applyFill="1" applyBorder="1" applyAlignment="1">
      <alignment horizontal="center" vertical="top"/>
    </xf>
    <xf numFmtId="0" fontId="0" fillId="8" borderId="0" xfId="0" applyFill="1" applyAlignment="1">
      <alignment horizontal="left"/>
    </xf>
    <xf numFmtId="171" fontId="0" fillId="8" borderId="25" xfId="0" applyNumberFormat="1" applyFill="1" applyBorder="1" applyAlignment="1">
      <alignment horizontal="center" vertical="top"/>
    </xf>
    <xf numFmtId="0" fontId="0" fillId="0" borderId="0" xfId="0" applyFill="1" applyAlignment="1">
      <alignment horizontal="left"/>
    </xf>
    <xf numFmtId="171" fontId="0" fillId="0" borderId="25" xfId="0" applyNumberFormat="1" applyFill="1" applyBorder="1" applyAlignment="1">
      <alignment horizontal="center" vertical="top"/>
    </xf>
    <xf numFmtId="166" fontId="0" fillId="0" borderId="25" xfId="0" applyNumberFormat="1" applyFill="1" applyBorder="1" applyAlignment="1">
      <alignment horizontal="center" vertical="top"/>
    </xf>
    <xf numFmtId="0" fontId="0" fillId="0" borderId="26" xfId="0" applyFill="1" applyBorder="1" applyAlignment="1">
      <alignment horizontal="left" vertical="top" wrapText="1"/>
    </xf>
    <xf numFmtId="0" fontId="0" fillId="0" borderId="26" xfId="0" applyFill="1" applyBorder="1" applyAlignment="1">
      <alignment horizontal="center" vertical="top"/>
    </xf>
    <xf numFmtId="0" fontId="0" fillId="0" borderId="26" xfId="0" applyFill="1" applyBorder="1" applyAlignment="1">
      <alignment vertical="top"/>
    </xf>
    <xf numFmtId="0" fontId="0" fillId="3" borderId="0" xfId="0" applyFill="1" applyAlignment="1">
      <alignment horizontal="left"/>
    </xf>
    <xf numFmtId="171" fontId="0" fillId="16" borderId="25" xfId="0" applyNumberFormat="1" applyFill="1" applyBorder="1" applyAlignment="1">
      <alignment horizontal="center" vertical="top"/>
    </xf>
    <xf numFmtId="166" fontId="0" fillId="16" borderId="25" xfId="0" applyNumberFormat="1" applyFill="1" applyBorder="1" applyAlignment="1">
      <alignment horizontal="center" vertical="top"/>
    </xf>
    <xf numFmtId="0" fontId="0" fillId="16" borderId="26" xfId="0" applyFill="1" applyBorder="1" applyAlignment="1">
      <alignment horizontal="center" vertical="top"/>
    </xf>
    <xf numFmtId="0" fontId="0" fillId="16" borderId="26" xfId="0" applyFill="1" applyBorder="1" applyAlignment="1">
      <alignment horizontal="left" vertical="top" wrapText="1"/>
    </xf>
    <xf numFmtId="166" fontId="2" fillId="4" borderId="0" xfId="2" applyFont="1" applyFill="1" applyAlignment="1">
      <alignment vertical="center"/>
    </xf>
    <xf numFmtId="9" fontId="25" fillId="4" borderId="0" xfId="0" applyNumberFormat="1" applyFont="1" applyFill="1" applyAlignment="1">
      <alignment vertical="center"/>
    </xf>
    <xf numFmtId="164" fontId="6" fillId="8" borderId="6" xfId="1" applyNumberFormat="1" applyFont="1" applyFill="1" applyBorder="1" applyAlignment="1">
      <alignment horizontal="center"/>
    </xf>
    <xf numFmtId="0" fontId="6" fillId="8" borderId="6" xfId="0" applyFont="1" applyFill="1" applyBorder="1" applyAlignment="1">
      <alignment horizontal="center"/>
    </xf>
    <xf numFmtId="0" fontId="6" fillId="8" borderId="7" xfId="0" applyFont="1" applyFill="1" applyBorder="1" applyAlignment="1">
      <alignment horizontal="center"/>
    </xf>
    <xf numFmtId="164" fontId="6" fillId="0" borderId="0" xfId="1" applyNumberFormat="1" applyFont="1" applyBorder="1" applyAlignment="1">
      <alignment horizontal="center"/>
    </xf>
    <xf numFmtId="164" fontId="6" fillId="0" borderId="6" xfId="1" applyNumberFormat="1" applyFont="1" applyBorder="1" applyAlignment="1">
      <alignment horizontal="center"/>
    </xf>
    <xf numFmtId="0" fontId="6" fillId="0" borderId="0" xfId="0" applyFont="1" applyAlignment="1">
      <alignment vertical="center" wrapText="1"/>
    </xf>
    <xf numFmtId="164" fontId="6" fillId="0" borderId="0" xfId="1" applyNumberFormat="1" applyFont="1" applyAlignment="1">
      <alignment horizontal="center"/>
    </xf>
    <xf numFmtId="0" fontId="6" fillId="0" borderId="0" xfId="0" applyFont="1" applyAlignment="1">
      <alignment horizontal="center"/>
    </xf>
    <xf numFmtId="165" fontId="6" fillId="0" borderId="9" xfId="0" applyNumberFormat="1" applyFont="1" applyBorder="1" applyAlignment="1">
      <alignment horizontal="center"/>
    </xf>
    <xf numFmtId="165" fontId="6" fillId="0" borderId="0" xfId="0" applyNumberFormat="1" applyFont="1"/>
    <xf numFmtId="1" fontId="12" fillId="0" borderId="0" xfId="2" applyNumberFormat="1" applyFont="1" applyFill="1" applyBorder="1" applyAlignment="1">
      <alignment horizontal="left" wrapText="1"/>
    </xf>
    <xf numFmtId="0" fontId="6" fillId="0" borderId="0" xfId="0" applyFont="1" applyBorder="1" applyAlignment="1">
      <alignment vertical="center" wrapText="1"/>
    </xf>
    <xf numFmtId="9" fontId="6" fillId="2" borderId="0" xfId="0" applyNumberFormat="1" applyFont="1" applyFill="1" applyBorder="1" applyAlignment="1">
      <alignment horizontal="center"/>
    </xf>
    <xf numFmtId="165" fontId="6" fillId="8" borderId="1" xfId="0" applyNumberFormat="1" applyFont="1" applyFill="1" applyBorder="1" applyAlignment="1">
      <alignment horizontal="center"/>
    </xf>
    <xf numFmtId="165" fontId="6" fillId="0" borderId="0" xfId="0" applyNumberFormat="1" applyFont="1" applyBorder="1"/>
    <xf numFmtId="165" fontId="6" fillId="0" borderId="15" xfId="0" applyNumberFormat="1" applyFont="1" applyBorder="1"/>
    <xf numFmtId="164" fontId="6" fillId="0" borderId="0" xfId="0" applyNumberFormat="1" applyFont="1" applyFill="1" applyBorder="1" applyAlignment="1">
      <alignment horizontal="center"/>
    </xf>
    <xf numFmtId="0" fontId="6" fillId="0" borderId="0" xfId="0" applyFont="1" applyFill="1"/>
    <xf numFmtId="164" fontId="6" fillId="0" borderId="0" xfId="0" applyNumberFormat="1" applyFont="1" applyFill="1"/>
    <xf numFmtId="9" fontId="6" fillId="0" borderId="6" xfId="0" applyNumberFormat="1" applyFont="1" applyFill="1" applyBorder="1" applyAlignment="1">
      <alignment horizontal="center"/>
    </xf>
    <xf numFmtId="165" fontId="6" fillId="0" borderId="6" xfId="0" applyNumberFormat="1" applyFont="1" applyBorder="1"/>
    <xf numFmtId="165" fontId="6" fillId="0" borderId="10" xfId="0" applyNumberFormat="1" applyFont="1" applyBorder="1"/>
    <xf numFmtId="164" fontId="6" fillId="0" borderId="6" xfId="0" applyNumberFormat="1" applyFont="1" applyBorder="1" applyAlignment="1">
      <alignment horizontal="center"/>
    </xf>
    <xf numFmtId="0" fontId="6" fillId="0" borderId="6" xfId="0" applyFont="1" applyBorder="1" applyAlignment="1">
      <alignment horizontal="center"/>
    </xf>
    <xf numFmtId="0" fontId="6" fillId="0" borderId="6" xfId="0" applyFont="1" applyBorder="1" applyAlignment="1">
      <alignment vertical="center" wrapText="1"/>
    </xf>
    <xf numFmtId="1" fontId="12" fillId="0" borderId="6" xfId="2" applyNumberFormat="1" applyFont="1" applyFill="1" applyBorder="1" applyAlignment="1">
      <alignment horizontal="left" wrapText="1"/>
    </xf>
    <xf numFmtId="165" fontId="6" fillId="0" borderId="16" xfId="0" applyNumberFormat="1" applyFont="1" applyBorder="1"/>
    <xf numFmtId="9" fontId="6" fillId="2" borderId="15" xfId="0" applyNumberFormat="1" applyFont="1" applyFill="1" applyBorder="1" applyAlignment="1">
      <alignment horizontal="center"/>
    </xf>
    <xf numFmtId="0" fontId="6" fillId="0" borderId="0" xfId="0" applyFont="1" applyBorder="1"/>
    <xf numFmtId="1" fontId="12" fillId="0" borderId="8" xfId="2" applyNumberFormat="1" applyFont="1" applyFill="1" applyBorder="1" applyAlignment="1">
      <alignment horizontal="left" wrapText="1"/>
    </xf>
    <xf numFmtId="1" fontId="12" fillId="0" borderId="9" xfId="2" applyNumberFormat="1" applyFont="1" applyFill="1" applyBorder="1" applyAlignment="1">
      <alignment horizontal="left" wrapText="1"/>
    </xf>
    <xf numFmtId="1" fontId="12" fillId="0" borderId="3" xfId="2" applyNumberFormat="1" applyFont="1" applyFill="1" applyBorder="1" applyAlignment="1">
      <alignment horizontal="left" wrapText="1"/>
    </xf>
    <xf numFmtId="0" fontId="6" fillId="8" borderId="1" xfId="0" applyFont="1" applyFill="1" applyBorder="1" applyAlignment="1">
      <alignment vertical="center" wrapText="1"/>
    </xf>
    <xf numFmtId="0" fontId="6" fillId="8" borderId="1" xfId="0" applyFont="1" applyFill="1" applyBorder="1" applyAlignment="1">
      <alignment wrapText="1"/>
    </xf>
    <xf numFmtId="165" fontId="6" fillId="10" borderId="9" xfId="0" applyNumberFormat="1" applyFont="1" applyFill="1" applyBorder="1"/>
    <xf numFmtId="165" fontId="6" fillId="10" borderId="3" xfId="0" applyNumberFormat="1" applyFont="1" applyFill="1" applyBorder="1"/>
    <xf numFmtId="165" fontId="6" fillId="10" borderId="8" xfId="0" applyNumberFormat="1" applyFont="1" applyFill="1" applyBorder="1"/>
    <xf numFmtId="3" fontId="13" fillId="8" borderId="3" xfId="2" applyNumberFormat="1" applyFont="1" applyFill="1" applyBorder="1" applyAlignment="1">
      <alignment horizontal="left" wrapText="1"/>
    </xf>
    <xf numFmtId="0" fontId="6" fillId="8" borderId="5" xfId="0" applyFont="1" applyFill="1" applyBorder="1" applyAlignment="1">
      <alignment horizontal="center"/>
    </xf>
    <xf numFmtId="3" fontId="13" fillId="8" borderId="1" xfId="2" applyNumberFormat="1" applyFont="1" applyFill="1" applyBorder="1" applyAlignment="1">
      <alignment horizontal="left" wrapText="1"/>
    </xf>
    <xf numFmtId="171" fontId="7" fillId="10" borderId="8" xfId="0" applyNumberFormat="1" applyFont="1" applyFill="1" applyBorder="1" applyAlignment="1">
      <alignment horizontal="center"/>
    </xf>
    <xf numFmtId="3" fontId="0" fillId="3" borderId="0" xfId="0" applyNumberFormat="1" applyFill="1"/>
    <xf numFmtId="172" fontId="25" fillId="11" borderId="9" xfId="1" applyNumberFormat="1" applyFont="1" applyFill="1" applyBorder="1" applyAlignment="1">
      <alignment vertical="center"/>
    </xf>
    <xf numFmtId="166" fontId="2" fillId="0" borderId="0" xfId="2" applyFont="1" applyAlignment="1">
      <alignment vertical="center"/>
    </xf>
    <xf numFmtId="0" fontId="0" fillId="17" borderId="1" xfId="0" applyFill="1" applyBorder="1"/>
    <xf numFmtId="0" fontId="0" fillId="2" borderId="1" xfId="0" applyFill="1" applyBorder="1"/>
    <xf numFmtId="0" fontId="0" fillId="18" borderId="1" xfId="0" applyFill="1" applyBorder="1"/>
    <xf numFmtId="0" fontId="0" fillId="19" borderId="1" xfId="0" applyFill="1" applyBorder="1"/>
    <xf numFmtId="169" fontId="13" fillId="6" borderId="4" xfId="2" applyNumberFormat="1" applyFont="1" applyFill="1" applyBorder="1" applyAlignment="1">
      <alignment vertical="center" wrapText="1"/>
    </xf>
    <xf numFmtId="0" fontId="19" fillId="7" borderId="11" xfId="0" applyFont="1" applyFill="1" applyBorder="1" applyAlignment="1">
      <alignment vertical="center" wrapText="1"/>
    </xf>
    <xf numFmtId="0" fontId="21" fillId="3" borderId="16" xfId="0" applyFont="1" applyFill="1" applyBorder="1" applyAlignment="1">
      <alignment vertical="center" wrapText="1"/>
    </xf>
    <xf numFmtId="0" fontId="21" fillId="3" borderId="1" xfId="0" applyFont="1" applyFill="1" applyBorder="1" applyAlignment="1">
      <alignment vertical="center" wrapText="1"/>
    </xf>
    <xf numFmtId="0" fontId="19" fillId="7" borderId="4" xfId="0" applyFont="1" applyFill="1" applyBorder="1" applyAlignment="1">
      <alignment vertical="center" wrapText="1"/>
    </xf>
    <xf numFmtId="0" fontId="21" fillId="3" borderId="3" xfId="0" applyFont="1" applyFill="1" applyBorder="1" applyAlignment="1">
      <alignment vertical="center" wrapText="1"/>
    </xf>
    <xf numFmtId="0" fontId="39" fillId="0" borderId="0" xfId="0" applyFont="1" applyAlignment="1">
      <alignment vertical="center"/>
    </xf>
    <xf numFmtId="0" fontId="39" fillId="0" borderId="0" xfId="0" applyFont="1" applyAlignment="1">
      <alignment horizontal="center" vertical="center"/>
    </xf>
    <xf numFmtId="8" fontId="40" fillId="0" borderId="0" xfId="0" applyNumberFormat="1" applyFont="1" applyAlignment="1">
      <alignment horizontal="center" vertical="center"/>
    </xf>
    <xf numFmtId="8" fontId="0" fillId="0" borderId="0" xfId="0" applyNumberFormat="1"/>
    <xf numFmtId="166" fontId="40" fillId="0" borderId="0" xfId="0" applyNumberFormat="1" applyFont="1" applyAlignment="1">
      <alignment horizontal="center" vertical="center"/>
    </xf>
    <xf numFmtId="8" fontId="2" fillId="0" borderId="0" xfId="0" applyNumberFormat="1" applyFont="1" applyAlignment="1">
      <alignment vertical="center"/>
    </xf>
    <xf numFmtId="8" fontId="41" fillId="0" borderId="0" xfId="0" applyNumberFormat="1" applyFont="1" applyAlignment="1">
      <alignment vertical="center"/>
    </xf>
    <xf numFmtId="166" fontId="41" fillId="0" borderId="0" xfId="2" applyFont="1" applyAlignment="1">
      <alignment vertical="center"/>
    </xf>
    <xf numFmtId="8" fontId="2" fillId="0" borderId="0" xfId="0" applyNumberFormat="1" applyFont="1" applyAlignment="1">
      <alignment horizontal="center" vertical="center"/>
    </xf>
    <xf numFmtId="166" fontId="2" fillId="0" borderId="0" xfId="0" applyNumberFormat="1" applyFont="1" applyAlignment="1">
      <alignment horizontal="center" vertical="center"/>
    </xf>
    <xf numFmtId="0" fontId="42" fillId="0" borderId="0" xfId="0" applyFont="1" applyAlignment="1">
      <alignment vertical="center"/>
    </xf>
    <xf numFmtId="8" fontId="41" fillId="0" borderId="0" xfId="0" applyNumberFormat="1" applyFont="1" applyAlignment="1">
      <alignment horizontal="center" vertical="center"/>
    </xf>
    <xf numFmtId="166" fontId="41" fillId="0" borderId="0" xfId="0" applyNumberFormat="1" applyFont="1" applyAlignment="1">
      <alignment horizontal="center" vertical="center"/>
    </xf>
    <xf numFmtId="0" fontId="10" fillId="20" borderId="27" xfId="0" applyFont="1" applyFill="1" applyBorder="1"/>
    <xf numFmtId="0" fontId="10" fillId="20" borderId="28" xfId="0" applyFont="1" applyFill="1" applyBorder="1"/>
    <xf numFmtId="0" fontId="2" fillId="5" borderId="27" xfId="0" applyFont="1" applyFill="1" applyBorder="1" applyAlignment="1">
      <alignment horizontal="right"/>
    </xf>
    <xf numFmtId="8" fontId="2" fillId="2" borderId="28" xfId="0" applyNumberFormat="1" applyFont="1" applyFill="1" applyBorder="1"/>
    <xf numFmtId="0" fontId="2" fillId="5" borderId="29" xfId="0" applyFont="1" applyFill="1" applyBorder="1" applyAlignment="1">
      <alignment horizontal="right"/>
    </xf>
    <xf numFmtId="8" fontId="2" fillId="2" borderId="30" xfId="0" applyNumberFormat="1" applyFont="1" applyFill="1" applyBorder="1"/>
    <xf numFmtId="0" fontId="2" fillId="3" borderId="0" xfId="0" applyFont="1" applyFill="1" applyBorder="1" applyAlignment="1">
      <alignment horizontal="right"/>
    </xf>
    <xf numFmtId="8" fontId="2" fillId="3" borderId="0" xfId="0" applyNumberFormat="1" applyFont="1" applyFill="1" applyBorder="1"/>
    <xf numFmtId="9" fontId="13" fillId="3" borderId="1" xfId="0" applyNumberFormat="1" applyFont="1" applyFill="1" applyBorder="1"/>
    <xf numFmtId="9" fontId="13" fillId="0" borderId="1" xfId="0" applyNumberFormat="1" applyFont="1" applyFill="1" applyBorder="1"/>
    <xf numFmtId="0" fontId="0" fillId="0" borderId="1" xfId="0" applyBorder="1" applyAlignment="1">
      <alignment vertical="top" wrapText="1"/>
    </xf>
    <xf numFmtId="0" fontId="0" fillId="21" borderId="1" xfId="0" applyFill="1" applyBorder="1"/>
    <xf numFmtId="0" fontId="0" fillId="10" borderId="1" xfId="0" applyFill="1" applyBorder="1"/>
    <xf numFmtId="9" fontId="0" fillId="0" borderId="9" xfId="0" applyNumberFormat="1" applyBorder="1"/>
    <xf numFmtId="9" fontId="0" fillId="0" borderId="3" xfId="0" applyNumberFormat="1" applyBorder="1"/>
    <xf numFmtId="0" fontId="31" fillId="3" borderId="0" xfId="0" applyFont="1" applyFill="1" applyAlignment="1">
      <alignment horizontal="left"/>
    </xf>
    <xf numFmtId="166" fontId="43" fillId="0" borderId="0" xfId="0" applyNumberFormat="1" applyFont="1" applyAlignment="1">
      <alignment horizontal="left"/>
    </xf>
    <xf numFmtId="165" fontId="43" fillId="0" borderId="0" xfId="0" applyNumberFormat="1" applyFont="1" applyAlignment="1"/>
    <xf numFmtId="165" fontId="7" fillId="10" borderId="17" xfId="0" applyNumberFormat="1" applyFont="1" applyFill="1" applyBorder="1" applyAlignment="1">
      <alignment horizontal="center"/>
    </xf>
    <xf numFmtId="171" fontId="7" fillId="10" borderId="19" xfId="0" applyNumberFormat="1" applyFont="1" applyFill="1" applyBorder="1" applyAlignment="1">
      <alignment horizontal="center"/>
    </xf>
    <xf numFmtId="166" fontId="13" fillId="9" borderId="4" xfId="0" applyNumberFormat="1" applyFont="1" applyFill="1" applyBorder="1" applyAlignment="1">
      <alignment wrapText="1"/>
    </xf>
    <xf numFmtId="166" fontId="12" fillId="22" borderId="3" xfId="0" applyNumberFormat="1" applyFont="1" applyFill="1" applyBorder="1" applyAlignment="1">
      <alignment wrapText="1"/>
    </xf>
    <xf numFmtId="166" fontId="13" fillId="9" borderId="22" xfId="0" applyNumberFormat="1" applyFont="1" applyFill="1" applyBorder="1" applyAlignment="1">
      <alignment wrapText="1"/>
    </xf>
    <xf numFmtId="166" fontId="12" fillId="22" borderId="1" xfId="0" applyNumberFormat="1" applyFont="1" applyFill="1" applyBorder="1" applyAlignment="1">
      <alignment wrapText="1"/>
    </xf>
    <xf numFmtId="3" fontId="19" fillId="10" borderId="22" xfId="2" applyNumberFormat="1" applyFont="1" applyFill="1" applyBorder="1" applyAlignment="1">
      <alignment horizontal="right"/>
    </xf>
    <xf numFmtId="0" fontId="8" fillId="10" borderId="5" xfId="0" applyFont="1" applyFill="1" applyBorder="1"/>
    <xf numFmtId="3" fontId="8" fillId="10" borderId="6" xfId="0" applyNumberFormat="1" applyFont="1" applyFill="1" applyBorder="1"/>
    <xf numFmtId="3" fontId="8" fillId="10" borderId="7" xfId="0" applyNumberFormat="1" applyFont="1" applyFill="1" applyBorder="1"/>
    <xf numFmtId="10" fontId="0" fillId="0" borderId="0" xfId="0" applyNumberFormat="1"/>
    <xf numFmtId="169" fontId="0" fillId="0" borderId="0" xfId="2" applyNumberFormat="1" applyFont="1"/>
    <xf numFmtId="9" fontId="8" fillId="8" borderId="0" xfId="0" applyNumberFormat="1" applyFont="1" applyFill="1" applyAlignment="1">
      <alignment horizontal="right"/>
    </xf>
    <xf numFmtId="169" fontId="8" fillId="8" borderId="0" xfId="2" applyNumberFormat="1" applyFont="1" applyFill="1"/>
    <xf numFmtId="0" fontId="1" fillId="0" borderId="0" xfId="0" applyFont="1" applyAlignment="1">
      <alignment horizontal="right"/>
    </xf>
    <xf numFmtId="173" fontId="0" fillId="0" borderId="0" xfId="0" applyNumberFormat="1"/>
    <xf numFmtId="44" fontId="0" fillId="0" borderId="0" xfId="0" applyNumberFormat="1"/>
    <xf numFmtId="10" fontId="0" fillId="0" borderId="0" xfId="3" applyNumberFormat="1" applyFont="1"/>
    <xf numFmtId="0" fontId="1" fillId="0" borderId="0" xfId="0" applyFont="1" applyAlignment="1">
      <alignment vertical="center"/>
    </xf>
    <xf numFmtId="10" fontId="10" fillId="4" borderId="9" xfId="3" applyNumberFormat="1" applyFont="1" applyFill="1" applyBorder="1" applyAlignment="1">
      <alignment vertical="center"/>
    </xf>
    <xf numFmtId="10" fontId="0" fillId="0" borderId="0" xfId="0" applyNumberFormat="1" applyAlignment="1">
      <alignment horizontal="right"/>
    </xf>
    <xf numFmtId="10" fontId="8" fillId="0" borderId="0" xfId="3" applyNumberFormat="1" applyFont="1" applyFill="1" applyAlignment="1">
      <alignment horizontal="right"/>
    </xf>
    <xf numFmtId="0" fontId="10" fillId="0" borderId="0" xfId="0" applyFont="1" applyAlignment="1">
      <alignment horizontal="right"/>
    </xf>
    <xf numFmtId="10" fontId="8" fillId="2" borderId="1" xfId="0" applyNumberFormat="1" applyFont="1" applyFill="1" applyBorder="1"/>
    <xf numFmtId="3" fontId="16" fillId="3" borderId="7" xfId="2" applyNumberFormat="1" applyFont="1" applyFill="1" applyBorder="1" applyAlignment="1">
      <alignment horizontal="right"/>
    </xf>
    <xf numFmtId="3" fontId="16" fillId="0" borderId="1" xfId="0" applyNumberFormat="1" applyFont="1" applyBorder="1"/>
    <xf numFmtId="3" fontId="16" fillId="0" borderId="3" xfId="0" applyNumberFormat="1" applyFont="1" applyBorder="1"/>
    <xf numFmtId="3" fontId="16" fillId="10" borderId="4" xfId="2" applyNumberFormat="1" applyFont="1" applyFill="1" applyBorder="1" applyAlignment="1">
      <alignment horizontal="right"/>
    </xf>
    <xf numFmtId="3" fontId="16" fillId="0" borderId="7" xfId="0" applyNumberFormat="1" applyFont="1" applyBorder="1"/>
    <xf numFmtId="3" fontId="16" fillId="0" borderId="31" xfId="0" applyNumberFormat="1" applyFont="1" applyBorder="1"/>
    <xf numFmtId="3" fontId="4" fillId="0" borderId="1" xfId="0" applyNumberFormat="1" applyFont="1" applyBorder="1" applyAlignment="1">
      <alignment horizontal="right"/>
    </xf>
    <xf numFmtId="10" fontId="0" fillId="3" borderId="0" xfId="0" applyNumberFormat="1" applyFill="1" applyAlignment="1">
      <alignment horizontal="right"/>
    </xf>
    <xf numFmtId="9" fontId="13" fillId="0" borderId="3" xfId="0" applyNumberFormat="1" applyFont="1" applyFill="1" applyBorder="1"/>
    <xf numFmtId="0" fontId="12" fillId="0" borderId="3" xfId="0" applyFont="1" applyFill="1" applyBorder="1"/>
    <xf numFmtId="0" fontId="12" fillId="0" borderId="1" xfId="0" applyFont="1" applyFill="1" applyBorder="1"/>
    <xf numFmtId="0" fontId="1" fillId="0" borderId="10" xfId="0" applyFont="1" applyBorder="1"/>
    <xf numFmtId="166" fontId="1" fillId="3" borderId="9" xfId="2" applyFont="1" applyFill="1" applyBorder="1" applyAlignment="1">
      <alignment vertical="center"/>
    </xf>
    <xf numFmtId="0" fontId="1" fillId="0" borderId="0" xfId="0" applyFont="1"/>
    <xf numFmtId="171" fontId="13" fillId="6" borderId="4" xfId="2" applyNumberFormat="1" applyFont="1" applyFill="1" applyBorder="1" applyAlignment="1">
      <alignment wrapText="1"/>
    </xf>
    <xf numFmtId="171" fontId="13" fillId="6" borderId="1" xfId="2" applyNumberFormat="1" applyFont="1" applyFill="1" applyBorder="1" applyAlignment="1">
      <alignment wrapText="1"/>
    </xf>
    <xf numFmtId="171" fontId="18" fillId="10" borderId="11" xfId="0" applyNumberFormat="1" applyFont="1" applyFill="1" applyBorder="1"/>
    <xf numFmtId="171" fontId="18" fillId="10" borderId="1" xfId="0" applyNumberFormat="1" applyFont="1" applyFill="1" applyBorder="1"/>
    <xf numFmtId="171" fontId="12" fillId="2" borderId="1" xfId="0" applyNumberFormat="1" applyFont="1" applyFill="1" applyBorder="1"/>
    <xf numFmtId="171" fontId="12" fillId="3" borderId="1" xfId="0" applyNumberFormat="1" applyFont="1" applyFill="1" applyBorder="1"/>
    <xf numFmtId="171" fontId="18" fillId="10" borderId="4" xfId="0" applyNumberFormat="1" applyFont="1" applyFill="1" applyBorder="1"/>
    <xf numFmtId="171" fontId="12" fillId="0" borderId="1" xfId="0" applyNumberFormat="1" applyFont="1" applyFill="1" applyBorder="1"/>
    <xf numFmtId="171" fontId="12" fillId="10" borderId="4" xfId="0" applyNumberFormat="1" applyFont="1" applyFill="1" applyBorder="1"/>
    <xf numFmtId="171" fontId="12" fillId="10" borderId="1" xfId="0" applyNumberFormat="1" applyFont="1" applyFill="1" applyBorder="1"/>
    <xf numFmtId="171" fontId="12" fillId="2" borderId="3" xfId="0" applyNumberFormat="1" applyFont="1" applyFill="1" applyBorder="1"/>
    <xf numFmtId="171" fontId="12" fillId="2" borderId="8" xfId="0" applyNumberFormat="1" applyFont="1" applyFill="1" applyBorder="1"/>
    <xf numFmtId="171" fontId="12" fillId="3" borderId="8" xfId="0" applyNumberFormat="1" applyFont="1" applyFill="1" applyBorder="1"/>
    <xf numFmtId="171" fontId="13" fillId="2" borderId="1" xfId="0" applyNumberFormat="1" applyFont="1" applyFill="1" applyBorder="1"/>
    <xf numFmtId="171" fontId="13" fillId="3" borderId="1" xfId="0" applyNumberFormat="1" applyFont="1" applyFill="1" applyBorder="1"/>
    <xf numFmtId="171" fontId="13" fillId="0" borderId="1" xfId="0" applyNumberFormat="1" applyFont="1" applyFill="1" applyBorder="1"/>
    <xf numFmtId="171" fontId="13" fillId="10" borderId="4" xfId="0" applyNumberFormat="1" applyFont="1" applyFill="1" applyBorder="1"/>
    <xf numFmtId="171" fontId="13" fillId="2" borderId="3" xfId="0" applyNumberFormat="1" applyFont="1" applyFill="1" applyBorder="1"/>
    <xf numFmtId="171" fontId="13" fillId="2" borderId="8" xfId="0" applyNumberFormat="1" applyFont="1" applyFill="1" applyBorder="1"/>
    <xf numFmtId="171" fontId="13" fillId="3" borderId="8" xfId="0" applyNumberFormat="1" applyFont="1" applyFill="1" applyBorder="1"/>
    <xf numFmtId="171" fontId="13" fillId="0" borderId="4" xfId="0" applyNumberFormat="1" applyFont="1" applyFill="1" applyBorder="1"/>
    <xf numFmtId="171" fontId="6" fillId="3" borderId="1" xfId="0" applyNumberFormat="1" applyFont="1" applyFill="1" applyBorder="1" applyAlignment="1">
      <alignment horizontal="center"/>
    </xf>
    <xf numFmtId="164" fontId="6" fillId="0" borderId="18" xfId="1" applyNumberFormat="1" applyFont="1" applyBorder="1" applyAlignment="1">
      <alignment horizontal="center"/>
    </xf>
    <xf numFmtId="165" fontId="6" fillId="0" borderId="18" xfId="0" applyNumberFormat="1" applyFont="1" applyBorder="1"/>
    <xf numFmtId="1" fontId="13" fillId="8" borderId="21" xfId="2" applyNumberFormat="1" applyFont="1" applyFill="1" applyBorder="1" applyAlignment="1">
      <alignment horizontal="left" wrapText="1"/>
    </xf>
    <xf numFmtId="0" fontId="7" fillId="8" borderId="1" xfId="0" applyFont="1" applyFill="1" applyBorder="1" applyAlignment="1">
      <alignment horizontal="center"/>
    </xf>
    <xf numFmtId="1" fontId="13" fillId="8" borderId="0" xfId="2" applyNumberFormat="1" applyFont="1" applyFill="1" applyBorder="1" applyAlignment="1">
      <alignment horizontal="left" wrapText="1"/>
    </xf>
    <xf numFmtId="165" fontId="7" fillId="10" borderId="8" xfId="0" applyNumberFormat="1" applyFont="1" applyFill="1" applyBorder="1" applyAlignment="1">
      <alignment horizontal="center"/>
    </xf>
    <xf numFmtId="165" fontId="7" fillId="10" borderId="9" xfId="0" applyNumberFormat="1" applyFont="1" applyFill="1" applyBorder="1" applyAlignment="1">
      <alignment horizontal="center"/>
    </xf>
    <xf numFmtId="165" fontId="7" fillId="10" borderId="3" xfId="0" applyNumberFormat="1" applyFont="1" applyFill="1" applyBorder="1" applyAlignment="1">
      <alignment horizontal="center"/>
    </xf>
    <xf numFmtId="1" fontId="12" fillId="0" borderId="0" xfId="2" applyNumberFormat="1" applyFont="1" applyFill="1" applyBorder="1" applyAlignment="1">
      <alignment horizontal="left" wrapText="1"/>
    </xf>
    <xf numFmtId="1" fontId="12" fillId="0" borderId="21" xfId="2" applyNumberFormat="1" applyFont="1" applyFill="1" applyBorder="1" applyAlignment="1">
      <alignment horizontal="left" wrapText="1"/>
    </xf>
    <xf numFmtId="3" fontId="13" fillId="0" borderId="0" xfId="2" applyNumberFormat="1" applyFont="1" applyFill="1" applyBorder="1" applyAlignment="1">
      <alignment horizontal="left" wrapText="1"/>
    </xf>
    <xf numFmtId="0" fontId="7" fillId="8" borderId="5" xfId="0" applyFont="1" applyFill="1" applyBorder="1" applyAlignment="1">
      <alignment vertical="center" wrapText="1"/>
    </xf>
    <xf numFmtId="164" fontId="7" fillId="8" borderId="7" xfId="1" applyNumberFormat="1" applyFont="1" applyFill="1" applyBorder="1" applyAlignment="1">
      <alignment horizontal="center"/>
    </xf>
    <xf numFmtId="0" fontId="7" fillId="8" borderId="1" xfId="0" applyFont="1" applyFill="1" applyBorder="1"/>
    <xf numFmtId="0" fontId="6" fillId="0" borderId="0" xfId="0" applyFont="1" applyFill="1" applyBorder="1" applyAlignment="1">
      <alignment horizontal="center"/>
    </xf>
    <xf numFmtId="3" fontId="12" fillId="0" borderId="0" xfId="2" applyNumberFormat="1" applyFont="1" applyFill="1" applyBorder="1" applyAlignment="1">
      <alignment horizontal="left" wrapText="1"/>
    </xf>
    <xf numFmtId="165" fontId="7" fillId="0" borderId="17" xfId="0" applyNumberFormat="1" applyFont="1" applyFill="1" applyBorder="1" applyAlignment="1">
      <alignment horizontal="center"/>
    </xf>
    <xf numFmtId="171" fontId="7" fillId="0" borderId="8" xfId="0" applyNumberFormat="1" applyFont="1" applyFill="1" applyBorder="1" applyAlignment="1">
      <alignment horizontal="center"/>
    </xf>
    <xf numFmtId="171" fontId="7" fillId="0" borderId="19" xfId="0" applyNumberFormat="1" applyFont="1" applyFill="1" applyBorder="1" applyAlignment="1">
      <alignment horizontal="center"/>
    </xf>
    <xf numFmtId="165" fontId="6" fillId="0" borderId="8" xfId="0" applyNumberFormat="1" applyFont="1" applyBorder="1"/>
    <xf numFmtId="165" fontId="6" fillId="0" borderId="9" xfId="0" applyNumberFormat="1" applyFont="1" applyBorder="1"/>
    <xf numFmtId="165" fontId="6" fillId="0" borderId="3" xfId="0" applyNumberFormat="1" applyFont="1" applyBorder="1"/>
    <xf numFmtId="3" fontId="13" fillId="10" borderId="1" xfId="2" applyNumberFormat="1" applyFont="1" applyFill="1" applyBorder="1" applyAlignment="1">
      <alignment horizontal="left" wrapText="1"/>
    </xf>
    <xf numFmtId="165" fontId="6" fillId="0" borderId="1" xfId="0" applyNumberFormat="1" applyFont="1" applyFill="1" applyBorder="1" applyAlignment="1">
      <alignment horizontal="center"/>
    </xf>
    <xf numFmtId="171" fontId="6" fillId="2" borderId="1" xfId="0" applyNumberFormat="1" applyFont="1" applyFill="1" applyBorder="1" applyAlignment="1">
      <alignment horizontal="center"/>
    </xf>
    <xf numFmtId="0" fontId="6" fillId="0" borderId="10" xfId="0" applyFont="1" applyBorder="1"/>
    <xf numFmtId="1" fontId="12" fillId="0" borderId="0" xfId="2" applyNumberFormat="1" applyFont="1" applyFill="1" applyBorder="1" applyAlignment="1">
      <alignment horizontal="left" wrapText="1"/>
    </xf>
    <xf numFmtId="165" fontId="6" fillId="0" borderId="0" xfId="0" applyNumberFormat="1" applyFont="1" applyFill="1" applyBorder="1" applyAlignment="1">
      <alignment horizontal="center"/>
    </xf>
    <xf numFmtId="3" fontId="13" fillId="10" borderId="0" xfId="2" applyNumberFormat="1" applyFont="1" applyFill="1" applyBorder="1" applyAlignment="1">
      <alignment horizontal="left" wrapText="1"/>
    </xf>
    <xf numFmtId="164" fontId="7" fillId="8" borderId="6" xfId="1" applyNumberFormat="1" applyFont="1" applyFill="1" applyBorder="1" applyAlignment="1">
      <alignment horizontal="center"/>
    </xf>
    <xf numFmtId="1" fontId="12" fillId="0" borderId="17" xfId="2" applyNumberFormat="1" applyFont="1" applyFill="1" applyBorder="1" applyAlignment="1">
      <alignment horizontal="left" wrapText="1"/>
    </xf>
    <xf numFmtId="1" fontId="12" fillId="0" borderId="19" xfId="2" applyNumberFormat="1" applyFont="1" applyFill="1" applyBorder="1" applyAlignment="1">
      <alignment horizontal="left" wrapText="1"/>
    </xf>
    <xf numFmtId="1" fontId="12" fillId="0" borderId="10" xfId="2" applyNumberFormat="1" applyFont="1" applyFill="1" applyBorder="1" applyAlignment="1">
      <alignment horizontal="left" wrapText="1"/>
    </xf>
    <xf numFmtId="1" fontId="12" fillId="0" borderId="21" xfId="2" applyNumberFormat="1" applyFont="1" applyFill="1" applyBorder="1" applyAlignment="1">
      <alignment horizontal="left" wrapText="1"/>
    </xf>
    <xf numFmtId="1" fontId="12" fillId="0" borderId="16" xfId="2" applyNumberFormat="1" applyFont="1" applyFill="1" applyBorder="1" applyAlignment="1">
      <alignment horizontal="left" wrapText="1"/>
    </xf>
    <xf numFmtId="1" fontId="12" fillId="0" borderId="20" xfId="2" applyNumberFormat="1" applyFont="1" applyFill="1" applyBorder="1" applyAlignment="1">
      <alignment horizontal="left" wrapText="1"/>
    </xf>
    <xf numFmtId="1" fontId="12" fillId="0" borderId="15" xfId="2" applyNumberFormat="1" applyFont="1" applyFill="1" applyBorder="1" applyAlignment="1">
      <alignment horizontal="left" wrapText="1"/>
    </xf>
    <xf numFmtId="0" fontId="7" fillId="8" borderId="5" xfId="0" applyFont="1" applyFill="1" applyBorder="1" applyAlignment="1">
      <alignment horizontal="center" vertical="center" wrapText="1"/>
    </xf>
    <xf numFmtId="0" fontId="7" fillId="8" borderId="6" xfId="0" applyFont="1" applyFill="1" applyBorder="1" applyAlignment="1">
      <alignment horizontal="center" vertical="center" wrapText="1"/>
    </xf>
    <xf numFmtId="1" fontId="12" fillId="0" borderId="18" xfId="2" applyNumberFormat="1" applyFont="1" applyFill="1" applyBorder="1" applyAlignment="1">
      <alignment horizontal="left" wrapText="1"/>
    </xf>
    <xf numFmtId="1" fontId="12" fillId="0" borderId="0" xfId="2" applyNumberFormat="1" applyFont="1" applyFill="1" applyBorder="1" applyAlignment="1">
      <alignment horizontal="left" wrapText="1"/>
    </xf>
    <xf numFmtId="0" fontId="13" fillId="11" borderId="1" xfId="0" applyFont="1" applyFill="1" applyBorder="1" applyAlignment="1">
      <alignment horizontal="left" wrapText="1"/>
    </xf>
    <xf numFmtId="9" fontId="18" fillId="2" borderId="3" xfId="0" applyNumberFormat="1" applyFont="1" applyFill="1" applyBorder="1" applyAlignment="1">
      <alignment horizontal="center"/>
    </xf>
    <xf numFmtId="0" fontId="13" fillId="10" borderId="0" xfId="0" applyFont="1" applyFill="1" applyAlignment="1">
      <alignment horizontal="center"/>
    </xf>
    <xf numFmtId="169" fontId="19" fillId="6" borderId="13" xfId="2" applyNumberFormat="1" applyFont="1" applyFill="1" applyBorder="1" applyAlignment="1">
      <alignment horizontal="center" wrapText="1"/>
    </xf>
    <xf numFmtId="169" fontId="19" fillId="6" borderId="2" xfId="2" applyNumberFormat="1" applyFont="1" applyFill="1" applyBorder="1" applyAlignment="1">
      <alignment horizontal="center" wrapText="1"/>
    </xf>
    <xf numFmtId="169" fontId="19" fillId="6" borderId="14" xfId="2" applyNumberFormat="1" applyFont="1" applyFill="1" applyBorder="1" applyAlignment="1">
      <alignment horizontal="center" wrapText="1"/>
    </xf>
    <xf numFmtId="169" fontId="13" fillId="6" borderId="4" xfId="2" applyNumberFormat="1" applyFont="1" applyFill="1" applyBorder="1" applyAlignment="1">
      <alignment horizontal="center" wrapText="1"/>
    </xf>
    <xf numFmtId="0" fontId="12" fillId="3" borderId="3" xfId="0" applyFont="1" applyFill="1" applyBorder="1" applyAlignment="1">
      <alignment horizontal="left" wrapText="1"/>
    </xf>
    <xf numFmtId="0" fontId="12" fillId="3" borderId="1" xfId="0" applyFont="1" applyFill="1" applyBorder="1" applyAlignment="1">
      <alignment horizontal="left" wrapText="1"/>
    </xf>
    <xf numFmtId="3" fontId="0" fillId="0" borderId="0" xfId="0" applyNumberFormat="1" applyAlignment="1">
      <alignment horizontal="right" vertical="center"/>
    </xf>
    <xf numFmtId="0" fontId="8" fillId="0" borderId="17" xfId="0" applyFont="1" applyBorder="1" applyAlignment="1">
      <alignment horizontal="center" vertical="center"/>
    </xf>
    <xf numFmtId="0" fontId="8" fillId="0" borderId="16" xfId="0" applyFont="1" applyBorder="1" applyAlignment="1">
      <alignment horizontal="center" vertical="center"/>
    </xf>
    <xf numFmtId="0" fontId="8" fillId="0" borderId="1" xfId="0" applyFont="1" applyBorder="1" applyAlignment="1">
      <alignment horizontal="center" vertical="center"/>
    </xf>
    <xf numFmtId="0" fontId="8" fillId="0" borderId="19" xfId="0" applyFont="1" applyBorder="1" applyAlignment="1">
      <alignment horizontal="center" vertical="center"/>
    </xf>
    <xf numFmtId="0" fontId="8" fillId="0" borderId="3" xfId="0" applyFont="1" applyBorder="1" applyAlignment="1">
      <alignment horizontal="center" vertical="center"/>
    </xf>
    <xf numFmtId="0" fontId="8" fillId="0" borderId="8" xfId="0" applyFont="1" applyBorder="1" applyAlignment="1">
      <alignment horizontal="center" vertical="center"/>
    </xf>
    <xf numFmtId="0" fontId="12" fillId="3" borderId="1" xfId="0" applyFont="1" applyFill="1" applyBorder="1" applyAlignment="1">
      <alignment horizontal="left"/>
    </xf>
    <xf numFmtId="9" fontId="18" fillId="2" borderId="1" xfId="0" applyNumberFormat="1" applyFont="1" applyFill="1" applyBorder="1" applyAlignment="1">
      <alignment horizontal="center"/>
    </xf>
    <xf numFmtId="9" fontId="18" fillId="2" borderId="5" xfId="0" applyNumberFormat="1" applyFont="1" applyFill="1" applyBorder="1" applyAlignment="1">
      <alignment horizontal="center"/>
    </xf>
    <xf numFmtId="169" fontId="13" fillId="6" borderId="4" xfId="2" applyNumberFormat="1" applyFont="1" applyFill="1" applyBorder="1" applyAlignment="1">
      <alignment horizontal="center"/>
    </xf>
    <xf numFmtId="0" fontId="12" fillId="3" borderId="3" xfId="0" applyFont="1" applyFill="1" applyBorder="1" applyAlignment="1">
      <alignment horizontal="left"/>
    </xf>
  </cellXfs>
  <cellStyles count="4">
    <cellStyle name="Komma" xfId="1" builtinId="3"/>
    <cellStyle name="Procent" xfId="3" builtinId="5"/>
    <cellStyle name="Standaard" xfId="0" builtinId="0"/>
    <cellStyle name="Valuta" xfId="2" builtinId="4"/>
  </cellStyles>
  <dxfs count="93">
    <dxf>
      <font>
        <b val="0"/>
        <i val="0"/>
        <strike val="0"/>
        <condense val="0"/>
        <extend val="0"/>
        <outline val="0"/>
        <shadow val="0"/>
        <u val="none"/>
        <vertAlign val="baseline"/>
        <sz val="12"/>
        <color theme="1"/>
        <name val="Calibri"/>
        <family val="2"/>
        <scheme val="minor"/>
      </font>
      <numFmt numFmtId="171" formatCode="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_ &quot;€&quot;\ * #,##0.00_ ;_ &quot;€&quot;\ * \-#,##0.00_ ;_ &quot;€&quot;\ * &quot;-&quot;??_ ;_ @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_ &quot;€&quot;\ * #,##0.00_ ;_ &quot;€&quot;\ * \-#,##0.00_ ;_ &quot;€&quot;\ * &quot;-&quot;??_ ;_ @_ "/>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center" textRotation="0" wrapText="0" indent="0" justifyLastLine="0" shrinkToFit="0" readingOrder="0"/>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2"/>
        <color theme="1"/>
        <name val="Calibri"/>
        <family val="2"/>
        <scheme val="minor"/>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71"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_ &quot;€&quot;\ * #,##0.00_ ;_ &quot;€&quot;\ * \-#,##0.00_ ;_ &quot;€&quot;\ * &quot;-&quot;??_ ;_ @_ "/>
      <fill>
        <patternFill patternType="none">
          <fgColor indexed="64"/>
          <bgColor auto="1"/>
        </patternFill>
      </fill>
      <alignment horizontal="general" vertical="center" textRotation="0" wrapText="0" indent="0" justifyLastLine="0" shrinkToFit="0" readingOrder="0"/>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2"/>
        <color theme="1"/>
        <name val="Calibri"/>
        <family val="2"/>
        <scheme val="minor"/>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center" textRotation="0" wrapText="0" indent="0" justifyLastLine="0" shrinkToFit="0" readingOrder="0"/>
    </dxf>
    <dxf>
      <numFmt numFmtId="166" formatCode="_ &quot;€&quot;\ * #,##0.00_ ;_ &quot;€&quot;\ * \-#,##0.00_ ;_ &quot;€&quot;\ * &quot;-&quot;??_ ;_ @_ "/>
    </dxf>
    <dxf>
      <font>
        <b/>
        <i val="0"/>
        <strike val="0"/>
        <condense val="0"/>
        <extend val="0"/>
        <outline val="0"/>
        <shadow val="0"/>
        <u val="none"/>
        <vertAlign val="baseline"/>
        <sz val="12"/>
        <color theme="1"/>
        <name val="Calibr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center" textRotation="0" wrapText="0" indent="0" justifyLastLine="0" shrinkToFit="0" readingOrder="0"/>
    </dxf>
    <dxf>
      <numFmt numFmtId="14" formatCode="0.00%"/>
      <fill>
        <patternFill patternType="solid">
          <fgColor indexed="64"/>
          <bgColor theme="0"/>
        </patternFill>
      </fill>
      <alignment horizontal="right" vertical="bottom" textRotation="0" wrapText="0" indent="0" justifyLastLine="0" shrinkToFit="0" readingOrder="0"/>
    </dxf>
    <dxf>
      <numFmt numFmtId="13" formatCode="0%"/>
      <fill>
        <patternFill patternType="solid">
          <fgColor indexed="64"/>
          <bgColor theme="0"/>
        </patternFill>
      </fill>
      <alignment horizontal="right" vertical="bottom" textRotation="0" wrapText="0" indent="0" justifyLastLine="0" shrinkToFit="0" readingOrder="0"/>
    </dxf>
    <dxf>
      <numFmt numFmtId="2" formatCode="0.00"/>
      <fill>
        <patternFill patternType="solid">
          <fgColor indexed="64"/>
          <bgColor theme="0"/>
        </patternFill>
      </fill>
      <alignment horizontal="right" vertical="bottom" textRotation="0" wrapText="0" indent="0" justifyLastLine="0" shrinkToFit="0" readingOrder="0"/>
    </dxf>
    <dxf>
      <numFmt numFmtId="2" formatCode="0.00"/>
      <fill>
        <patternFill patternType="solid">
          <fgColor indexed="64"/>
          <bgColor theme="0"/>
        </patternFill>
      </fill>
      <alignment horizontal="right" vertical="bottom" textRotation="0" wrapText="0" indent="0" justifyLastLine="0" shrinkToFit="0" readingOrder="0"/>
    </dxf>
    <dxf>
      <fill>
        <patternFill patternType="solid">
          <fgColor rgb="FF000000"/>
          <bgColor rgb="FFFFFFFF"/>
        </patternFill>
      </fill>
    </dxf>
    <dxf>
      <numFmt numFmtId="166" formatCode="_ &quot;€&quot;\ * #,##0.00_ ;_ &quot;€&quot;\ * \-#,##0.00_ ;_ &quot;€&quot;\ * &quot;-&quot;??_ ;_ @_ "/>
      <fill>
        <patternFill patternType="solid">
          <fgColor indexed="64"/>
          <bgColor theme="9"/>
        </patternFill>
      </fill>
    </dxf>
    <dxf>
      <alignment horizontal="center" vertical="top" textRotation="0" wrapText="0" indent="0" justifyLastLine="0" shrinkToFit="0" readingOrder="0"/>
    </dxf>
    <dxf>
      <numFmt numFmtId="166" formatCode="_ &quot;€&quot;\ * #,##0.00_ ;_ &quot;€&quot;\ * \-#,##0.00_ ;_ &quot;€&quot;\ * &quot;-&quot;??_ ;_ @_ "/>
      <alignment horizontal="center" vertical="top" textRotation="0" wrapText="0" indent="0" justifyLastLine="0" shrinkToFit="0" readingOrder="0"/>
    </dxf>
    <dxf>
      <numFmt numFmtId="171" formatCode="0.0%"/>
      <alignment horizontal="center" vertical="top" textRotation="0" wrapText="0" indent="0" justifyLastLine="0" shrinkToFit="0" readingOrder="0"/>
    </dxf>
    <dxf>
      <numFmt numFmtId="166" formatCode="_ &quot;€&quot;\ * #,##0.00_ ;_ &quot;€&quot;\ * \-#,##0.00_ ;_ &quot;€&quot;\ * &quot;-&quot;??_ ;_ @_ "/>
      <alignment horizontal="center" vertical="top" textRotation="0" wrapText="0" indent="0" justifyLastLine="0" shrinkToFit="0" readingOrder="0"/>
    </dxf>
    <dxf>
      <numFmt numFmtId="171" formatCode="0.0%"/>
      <alignment horizontal="center" vertical="top" textRotation="0" wrapText="0" indent="0" justifyLastLine="0" shrinkToFit="0" readingOrder="0"/>
    </dxf>
    <dxf>
      <numFmt numFmtId="166" formatCode="_ &quot;€&quot;\ * #,##0.00_ ;_ &quot;€&quot;\ * \-#,##0.00_ ;_ &quot;€&quot;\ * &quot;-&quot;??_ ;_ @_ "/>
      <alignment horizontal="center" vertical="top" textRotation="0" wrapText="0" indent="0" justifyLastLine="0" shrinkToFit="0" readingOrder="0"/>
    </dxf>
    <dxf>
      <numFmt numFmtId="171" formatCode="0.0%"/>
      <alignment horizontal="center" vertical="top" textRotation="0" wrapText="0" indent="0" justifyLastLine="0" shrinkToFit="0" readingOrder="0"/>
    </dxf>
    <dxf>
      <numFmt numFmtId="166" formatCode="_ &quot;€&quot;\ * #,##0.00_ ;_ &quot;€&quot;\ * \-#,##0.00_ ;_ &quot;€&quot;\ * &quot;-&quot;??_ ;_ @_ "/>
      <alignment horizontal="center" vertical="top" textRotation="0" wrapText="0" indent="0" justifyLastLine="0" shrinkToFit="0" readingOrder="0"/>
    </dxf>
    <dxf>
      <numFmt numFmtId="171" formatCode="0.0%"/>
      <alignment horizontal="center" vertical="top" textRotation="0" wrapText="0" indent="0" justifyLastLine="0" shrinkToFit="0" readingOrder="0"/>
    </dxf>
    <dxf>
      <font>
        <b val="0"/>
        <i val="0"/>
        <strike val="0"/>
        <condense val="0"/>
        <extend val="0"/>
        <outline val="0"/>
        <shadow val="0"/>
        <u val="none"/>
        <vertAlign val="baseline"/>
        <sz val="9"/>
        <color rgb="FF000000"/>
        <name val="Calibri"/>
        <family val="2"/>
        <scheme val="minor"/>
      </font>
      <alignment horizontal="general" vertical="top" textRotation="0" wrapText="0" indent="0" justifyLastLine="0" shrinkToFit="0" readingOrder="0"/>
    </dxf>
    <dxf>
      <font>
        <b val="0"/>
        <i val="0"/>
        <strike val="0"/>
        <condense val="0"/>
        <extend val="0"/>
        <outline val="0"/>
        <shadow val="0"/>
        <u val="none"/>
        <vertAlign val="baseline"/>
        <sz val="9"/>
        <color rgb="FF000000"/>
        <name val="Calibri"/>
        <family val="2"/>
        <scheme val="minor"/>
      </font>
      <numFmt numFmtId="166" formatCode="_ &quot;€&quot;\ * #,##0.00_ ;_ &quot;€&quot;\ * \-#,##0.00_ ;_ &quot;€&quot;\ * &quot;-&quot;??_ ;_ @_ "/>
      <alignment horizontal="left" vertical="top" textRotation="0" wrapText="0" indent="0" justifyLastLine="0" shrinkToFit="0" readingOrder="0"/>
    </dxf>
    <dxf>
      <alignment vertical="top" textRotation="0" indent="0" justifyLastLine="0" shrinkToFit="0" readingOrder="0"/>
    </dxf>
    <dxf>
      <numFmt numFmtId="14" formatCode="0.00%"/>
      <fill>
        <patternFill patternType="solid">
          <fgColor indexed="64"/>
          <bgColor theme="0"/>
        </patternFill>
      </fill>
      <alignment horizontal="right" vertical="bottom" textRotation="0" wrapText="0" indent="0" justifyLastLine="0" shrinkToFit="0" readingOrder="0"/>
    </dxf>
    <dxf>
      <numFmt numFmtId="13" formatCode="0%"/>
      <fill>
        <patternFill patternType="solid">
          <fgColor indexed="64"/>
          <bgColor theme="0"/>
        </patternFill>
      </fill>
      <alignment horizontal="right" vertical="bottom" textRotation="0" wrapText="0" indent="0" justifyLastLine="0" shrinkToFit="0" readingOrder="0"/>
    </dxf>
    <dxf>
      <numFmt numFmtId="2" formatCode="0.00"/>
      <fill>
        <patternFill patternType="solid">
          <fgColor indexed="64"/>
          <bgColor theme="0"/>
        </patternFill>
      </fill>
      <alignment horizontal="right" vertical="bottom" textRotation="0" wrapText="0" indent="0" justifyLastLine="0" shrinkToFit="0" readingOrder="0"/>
    </dxf>
    <dxf>
      <numFmt numFmtId="2" formatCode="0.00"/>
      <fill>
        <patternFill patternType="solid">
          <fgColor indexed="64"/>
          <bgColor theme="0"/>
        </patternFill>
      </fill>
      <alignment horizontal="right" vertical="bottom" textRotation="0" wrapText="0" indent="0" justifyLastLine="0" shrinkToFit="0" readingOrder="0"/>
    </dxf>
    <dxf>
      <fill>
        <patternFill patternType="solid">
          <fgColor rgb="FF000000"/>
          <bgColor rgb="FFFFFFFF"/>
        </patternFill>
      </fill>
    </dxf>
    <dxf>
      <numFmt numFmtId="166" formatCode="_ &quot;€&quot;\ * #,##0.00_ ;_ &quot;€&quot;\ * \-#,##0.00_ ;_ &quot;€&quot;\ * &quot;-&quot;??_ ;_ @_ "/>
      <fill>
        <patternFill patternType="solid">
          <fgColor indexed="64"/>
          <bgColor theme="9"/>
        </patternFill>
      </fill>
    </dxf>
    <dxf>
      <alignment horizontal="center" vertical="top" textRotation="0" wrapText="0" indent="0" justifyLastLine="0" shrinkToFit="0" readingOrder="0"/>
    </dxf>
    <dxf>
      <numFmt numFmtId="166" formatCode="_ &quot;€&quot;\ * #,##0.00_ ;_ &quot;€&quot;\ * \-#,##0.00_ ;_ &quot;€&quot;\ * &quot;-&quot;??_ ;_ @_ "/>
      <alignment horizontal="center" vertical="top" textRotation="0" wrapText="0" indent="0" justifyLastLine="0" shrinkToFit="0" readingOrder="0"/>
    </dxf>
    <dxf>
      <numFmt numFmtId="171" formatCode="0.0%"/>
      <alignment horizontal="center" vertical="top" textRotation="0" wrapText="0" indent="0" justifyLastLine="0" shrinkToFit="0" readingOrder="0"/>
    </dxf>
    <dxf>
      <numFmt numFmtId="166" formatCode="_ &quot;€&quot;\ * #,##0.00_ ;_ &quot;€&quot;\ * \-#,##0.00_ ;_ &quot;€&quot;\ * &quot;-&quot;??_ ;_ @_ "/>
      <alignment horizontal="center" vertical="top" textRotation="0" wrapText="0" indent="0" justifyLastLine="0" shrinkToFit="0" readingOrder="0"/>
    </dxf>
    <dxf>
      <numFmt numFmtId="171" formatCode="0.0%"/>
      <alignment horizontal="center" vertical="top" textRotation="0" wrapText="0" indent="0" justifyLastLine="0" shrinkToFit="0" readingOrder="0"/>
    </dxf>
    <dxf>
      <numFmt numFmtId="166" formatCode="_ &quot;€&quot;\ * #,##0.00_ ;_ &quot;€&quot;\ * \-#,##0.00_ ;_ &quot;€&quot;\ * &quot;-&quot;??_ ;_ @_ "/>
      <alignment horizontal="center" vertical="top" textRotation="0" wrapText="0" indent="0" justifyLastLine="0" shrinkToFit="0" readingOrder="0"/>
    </dxf>
    <dxf>
      <numFmt numFmtId="171" formatCode="0.0%"/>
      <alignment horizontal="center" vertical="top" textRotation="0" wrapText="0" indent="0" justifyLastLine="0" shrinkToFit="0" readingOrder="0"/>
    </dxf>
    <dxf>
      <numFmt numFmtId="166" formatCode="_ &quot;€&quot;\ * #,##0.00_ ;_ &quot;€&quot;\ * \-#,##0.00_ ;_ &quot;€&quot;\ * &quot;-&quot;??_ ;_ @_ "/>
      <alignment horizontal="center" vertical="top" textRotation="0" wrapText="0" indent="0" justifyLastLine="0" shrinkToFit="0" readingOrder="0"/>
    </dxf>
    <dxf>
      <numFmt numFmtId="171" formatCode="0.0%"/>
      <alignment horizontal="center" vertical="top" textRotation="0" wrapText="0" indent="0" justifyLastLine="0" shrinkToFit="0" readingOrder="0"/>
    </dxf>
    <dxf>
      <font>
        <b val="0"/>
        <i val="0"/>
        <strike val="0"/>
        <condense val="0"/>
        <extend val="0"/>
        <outline val="0"/>
        <shadow val="0"/>
        <u val="none"/>
        <vertAlign val="baseline"/>
        <sz val="9"/>
        <color rgb="FF000000"/>
        <name val="Calibri"/>
        <family val="2"/>
        <scheme val="minor"/>
      </font>
      <alignment horizontal="general" vertical="top" textRotation="0" wrapText="0" indent="0" justifyLastLine="0" shrinkToFit="0" readingOrder="0"/>
    </dxf>
    <dxf>
      <font>
        <b val="0"/>
        <i val="0"/>
        <strike val="0"/>
        <condense val="0"/>
        <extend val="0"/>
        <outline val="0"/>
        <shadow val="0"/>
        <u val="none"/>
        <vertAlign val="baseline"/>
        <sz val="9"/>
        <color rgb="FF000000"/>
        <name val="Calibri"/>
        <family val="2"/>
        <scheme val="minor"/>
      </font>
      <numFmt numFmtId="166" formatCode="_ &quot;€&quot;\ * #,##0.00_ ;_ &quot;€&quot;\ * \-#,##0.00_ ;_ &quot;€&quot;\ * &quot;-&quot;??_ ;_ @_ "/>
      <alignment horizontal="left" vertical="top" textRotation="0" wrapText="0" indent="0" justifyLastLine="0" shrinkToFit="0" readingOrder="0"/>
    </dxf>
    <dxf>
      <alignment vertical="top" textRotation="0" indent="0" justifyLastLine="0" shrinkToFit="0" readingOrder="0"/>
    </dxf>
    <dxf>
      <alignment horizontal="center" vertical="top" textRotation="0" wrapText="0" indent="0" justifyLastLine="0" shrinkToFit="0" readingOrder="0"/>
    </dxf>
    <dxf>
      <numFmt numFmtId="166" formatCode="_ &quot;€&quot;\ * #,##0.00_ ;_ &quot;€&quot;\ * \-#,##0.00_ ;_ &quot;€&quot;\ * &quot;-&quot;??_ ;_ @_ "/>
      <alignment horizontal="center" vertical="top" textRotation="0" wrapText="0" indent="0" justifyLastLine="0" shrinkToFit="0" readingOrder="0"/>
    </dxf>
    <dxf>
      <numFmt numFmtId="171" formatCode="0.0%"/>
      <alignment horizontal="center" vertical="top" textRotation="0" wrapText="0" indent="0" justifyLastLine="0" shrinkToFit="0" readingOrder="0"/>
    </dxf>
    <dxf>
      <numFmt numFmtId="166" formatCode="_ &quot;€&quot;\ * #,##0.00_ ;_ &quot;€&quot;\ * \-#,##0.00_ ;_ &quot;€&quot;\ * &quot;-&quot;??_ ;_ @_ "/>
      <alignment horizontal="center" vertical="top" textRotation="0" wrapText="0" indent="0" justifyLastLine="0" shrinkToFit="0" readingOrder="0"/>
    </dxf>
    <dxf>
      <numFmt numFmtId="171" formatCode="0.0%"/>
      <alignment horizontal="center" vertical="top" textRotation="0" wrapText="0" indent="0" justifyLastLine="0" shrinkToFit="0" readingOrder="0"/>
    </dxf>
    <dxf>
      <numFmt numFmtId="166" formatCode="_ &quot;€&quot;\ * #,##0.00_ ;_ &quot;€&quot;\ * \-#,##0.00_ ;_ &quot;€&quot;\ * &quot;-&quot;??_ ;_ @_ "/>
      <alignment horizontal="center" vertical="top" textRotation="0" wrapText="0" indent="0" justifyLastLine="0" shrinkToFit="0" readingOrder="0"/>
    </dxf>
    <dxf>
      <numFmt numFmtId="171" formatCode="0.0%"/>
      <alignment horizontal="center" vertical="top" textRotation="0" wrapText="0" indent="0" justifyLastLine="0" shrinkToFit="0" readingOrder="0"/>
    </dxf>
    <dxf>
      <numFmt numFmtId="166" formatCode="_ &quot;€&quot;\ * #,##0.00_ ;_ &quot;€&quot;\ * \-#,##0.00_ ;_ &quot;€&quot;\ * &quot;-&quot;??_ ;_ @_ "/>
      <alignment horizontal="center" vertical="top" textRotation="0" wrapText="0" indent="0" justifyLastLine="0" shrinkToFit="0" readingOrder="0"/>
    </dxf>
    <dxf>
      <numFmt numFmtId="171" formatCode="0.0%"/>
      <alignment horizontal="center" vertical="top" textRotation="0" wrapText="0" indent="0" justifyLastLine="0" shrinkToFit="0" readingOrder="0"/>
    </dxf>
    <dxf>
      <font>
        <b val="0"/>
        <i val="0"/>
        <strike val="0"/>
        <condense val="0"/>
        <extend val="0"/>
        <outline val="0"/>
        <shadow val="0"/>
        <u val="none"/>
        <vertAlign val="baseline"/>
        <sz val="9"/>
        <color rgb="FF000000"/>
        <name val="Calibri"/>
        <family val="2"/>
        <scheme val="minor"/>
      </font>
      <alignment horizontal="general" vertical="top" textRotation="0" wrapText="0" indent="0" justifyLastLine="0" shrinkToFit="0" readingOrder="0"/>
    </dxf>
    <dxf>
      <font>
        <b val="0"/>
        <i val="0"/>
        <strike val="0"/>
        <condense val="0"/>
        <extend val="0"/>
        <outline val="0"/>
        <shadow val="0"/>
        <u val="none"/>
        <vertAlign val="baseline"/>
        <sz val="9"/>
        <color rgb="FF000000"/>
        <name val="Calibri"/>
        <family val="2"/>
        <scheme val="minor"/>
      </font>
      <numFmt numFmtId="166" formatCode="_ &quot;€&quot;\ * #,##0.00_ ;_ &quot;€&quot;\ * \-#,##0.00_ ;_ &quot;€&quot;\ * &quot;-&quot;??_ ;_ @_ "/>
      <alignment horizontal="left" vertical="top" textRotation="0" wrapText="0" indent="0" justifyLastLine="0" shrinkToFit="0" readingOrder="0"/>
    </dxf>
    <dxf>
      <alignment vertical="top" textRotation="0" indent="0" justifyLastLine="0" shrinkToFit="0" readingOrder="0"/>
    </dxf>
    <dxf>
      <numFmt numFmtId="14" formatCode="0.00%"/>
      <fill>
        <patternFill patternType="solid">
          <fgColor indexed="64"/>
          <bgColor theme="0"/>
        </patternFill>
      </fill>
      <alignment horizontal="right" vertical="bottom" textRotation="0" wrapText="0" indent="0" justifyLastLine="0" shrinkToFit="0" readingOrder="0"/>
    </dxf>
    <dxf>
      <numFmt numFmtId="13" formatCode="0%"/>
      <fill>
        <patternFill patternType="solid">
          <fgColor indexed="64"/>
          <bgColor theme="0"/>
        </patternFill>
      </fill>
      <alignment horizontal="right" vertical="bottom" textRotation="0" wrapText="0" indent="0" justifyLastLine="0" shrinkToFit="0" readingOrder="0"/>
    </dxf>
    <dxf>
      <numFmt numFmtId="2" formatCode="0.00"/>
      <fill>
        <patternFill patternType="solid">
          <fgColor indexed="64"/>
          <bgColor theme="0"/>
        </patternFill>
      </fill>
      <alignment horizontal="right" vertical="bottom" textRotation="0" wrapText="0" indent="0" justifyLastLine="0" shrinkToFit="0" readingOrder="0"/>
    </dxf>
    <dxf>
      <numFmt numFmtId="2" formatCode="0.00"/>
      <fill>
        <patternFill patternType="solid">
          <fgColor indexed="64"/>
          <bgColor theme="0"/>
        </patternFill>
      </fill>
      <alignment horizontal="right" vertical="bottom" textRotation="0" wrapText="0" indent="0" justifyLastLine="0" shrinkToFit="0" readingOrder="0"/>
    </dxf>
    <dxf>
      <fill>
        <patternFill patternType="solid">
          <fgColor rgb="FF000000"/>
          <bgColor rgb="FFFFFFFF"/>
        </patternFill>
      </fill>
    </dxf>
    <dxf>
      <numFmt numFmtId="166" formatCode="_ &quot;€&quot;\ * #,##0.00_ ;_ &quot;€&quot;\ * \-#,##0.00_ ;_ &quot;€&quot;\ * &quot;-&quot;??_ ;_ @_ "/>
      <fill>
        <patternFill patternType="solid">
          <fgColor indexed="64"/>
          <bgColor theme="9"/>
        </patternFill>
      </fill>
    </dxf>
    <dxf>
      <numFmt numFmtId="14" formatCode="0.00%"/>
      <fill>
        <patternFill patternType="solid">
          <fgColor indexed="64"/>
          <bgColor theme="0"/>
        </patternFill>
      </fill>
      <alignment horizontal="right" vertical="bottom" textRotation="0" wrapText="0" indent="0" justifyLastLine="0" shrinkToFit="0" readingOrder="0"/>
    </dxf>
    <dxf>
      <numFmt numFmtId="13" formatCode="0%"/>
      <fill>
        <patternFill patternType="solid">
          <fgColor indexed="64"/>
          <bgColor theme="0"/>
        </patternFill>
      </fill>
      <alignment horizontal="right" vertical="bottom" textRotation="0" wrapText="0" indent="0" justifyLastLine="0" shrinkToFit="0" readingOrder="0"/>
    </dxf>
    <dxf>
      <numFmt numFmtId="2" formatCode="0.00"/>
      <fill>
        <patternFill patternType="solid">
          <fgColor indexed="64"/>
          <bgColor theme="0"/>
        </patternFill>
      </fill>
      <alignment horizontal="right" vertical="bottom" textRotation="0" wrapText="0" indent="0" justifyLastLine="0" shrinkToFit="0" readingOrder="0"/>
    </dxf>
    <dxf>
      <numFmt numFmtId="2" formatCode="0.00"/>
      <fill>
        <patternFill patternType="solid">
          <fgColor indexed="64"/>
          <bgColor theme="0"/>
        </patternFill>
      </fill>
      <alignment horizontal="right" vertical="bottom" textRotation="0" wrapText="0" indent="0" justifyLastLine="0" shrinkToFit="0" readingOrder="0"/>
    </dxf>
    <dxf>
      <fill>
        <patternFill patternType="solid">
          <fgColor rgb="FF000000"/>
          <bgColor rgb="FFFFFFFF"/>
        </patternFill>
      </fill>
    </dxf>
    <dxf>
      <numFmt numFmtId="166" formatCode="_ &quot;€&quot;\ * #,##0.00_ ;_ &quot;€&quot;\ * \-#,##0.00_ ;_ &quot;€&quot;\ * &quot;-&quot;??_ ;_ @_ "/>
      <fill>
        <patternFill patternType="solid">
          <fgColor indexed="64"/>
          <bgColor theme="9"/>
        </patternFill>
      </fill>
    </dxf>
    <dxf>
      <alignment horizontal="center" vertical="top" textRotation="0" wrapText="0" indent="0" justifyLastLine="0" shrinkToFit="0" readingOrder="0"/>
    </dxf>
    <dxf>
      <numFmt numFmtId="166" formatCode="_ &quot;€&quot;\ * #,##0.00_ ;_ &quot;€&quot;\ * \-#,##0.00_ ;_ &quot;€&quot;\ * &quot;-&quot;??_ ;_ @_ "/>
      <alignment horizontal="center" vertical="top" textRotation="0" wrapText="0" indent="0" justifyLastLine="0" shrinkToFit="0" readingOrder="0"/>
    </dxf>
    <dxf>
      <numFmt numFmtId="171" formatCode="0.0%"/>
      <alignment horizontal="center" vertical="top" textRotation="0" wrapText="0" indent="0" justifyLastLine="0" shrinkToFit="0" readingOrder="0"/>
    </dxf>
    <dxf>
      <numFmt numFmtId="166" formatCode="_ &quot;€&quot;\ * #,##0.00_ ;_ &quot;€&quot;\ * \-#,##0.00_ ;_ &quot;€&quot;\ * &quot;-&quot;??_ ;_ @_ "/>
      <alignment horizontal="center" vertical="top" textRotation="0" wrapText="0" indent="0" justifyLastLine="0" shrinkToFit="0" readingOrder="0"/>
    </dxf>
    <dxf>
      <numFmt numFmtId="171" formatCode="0.0%"/>
      <alignment horizontal="center" vertical="top" textRotation="0" wrapText="0" indent="0" justifyLastLine="0" shrinkToFit="0" readingOrder="0"/>
    </dxf>
    <dxf>
      <numFmt numFmtId="166" formatCode="_ &quot;€&quot;\ * #,##0.00_ ;_ &quot;€&quot;\ * \-#,##0.00_ ;_ &quot;€&quot;\ * &quot;-&quot;??_ ;_ @_ "/>
      <alignment horizontal="center" vertical="top" textRotation="0" wrapText="0" indent="0" justifyLastLine="0" shrinkToFit="0" readingOrder="0"/>
    </dxf>
    <dxf>
      <numFmt numFmtId="171" formatCode="0.0%"/>
      <alignment horizontal="center" vertical="top" textRotation="0" wrapText="0" indent="0" justifyLastLine="0" shrinkToFit="0" readingOrder="0"/>
    </dxf>
    <dxf>
      <numFmt numFmtId="166" formatCode="_ &quot;€&quot;\ * #,##0.00_ ;_ &quot;€&quot;\ * \-#,##0.00_ ;_ &quot;€&quot;\ * &quot;-&quot;??_ ;_ @_ "/>
      <alignment horizontal="center" vertical="top" textRotation="0" wrapText="0" indent="0" justifyLastLine="0" shrinkToFit="0" readingOrder="0"/>
    </dxf>
    <dxf>
      <numFmt numFmtId="171" formatCode="0.0%"/>
      <alignment horizontal="center" vertical="top" textRotation="0" wrapText="0" indent="0" justifyLastLine="0" shrinkToFit="0" readingOrder="0"/>
    </dxf>
    <dxf>
      <font>
        <b val="0"/>
        <i val="0"/>
        <strike val="0"/>
        <condense val="0"/>
        <extend val="0"/>
        <outline val="0"/>
        <shadow val="0"/>
        <u val="none"/>
        <vertAlign val="baseline"/>
        <sz val="9"/>
        <color rgb="FF000000"/>
        <name val="Calibri"/>
        <family val="2"/>
        <scheme val="minor"/>
      </font>
      <alignment horizontal="general" vertical="top" textRotation="0" wrapText="0" indent="0" justifyLastLine="0" shrinkToFit="0" readingOrder="0"/>
    </dxf>
    <dxf>
      <font>
        <b val="0"/>
        <i val="0"/>
        <strike val="0"/>
        <condense val="0"/>
        <extend val="0"/>
        <outline val="0"/>
        <shadow val="0"/>
        <u val="none"/>
        <vertAlign val="baseline"/>
        <sz val="9"/>
        <color rgb="FF000000"/>
        <name val="Calibri"/>
        <family val="2"/>
        <scheme val="minor"/>
      </font>
      <numFmt numFmtId="166" formatCode="_ &quot;€&quot;\ * #,##0.00_ ;_ &quot;€&quot;\ * \-#,##0.00_ ;_ &quot;€&quot;\ * &quot;-&quot;??_ ;_ @_ "/>
      <alignment horizontal="left" vertical="top" textRotation="0" wrapText="0" indent="0" justifyLastLine="0" shrinkToFit="0" readingOrder="0"/>
    </dxf>
    <dxf>
      <alignment vertical="top"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4143374" cy="425451"/>
    <xdr:sp macro="" textlink="">
      <xdr:nvSpPr>
        <xdr:cNvPr id="3" name="Tekstvak 2">
          <a:extLst>
            <a:ext uri="{FF2B5EF4-FFF2-40B4-BE49-F238E27FC236}">
              <a16:creationId xmlns:a16="http://schemas.microsoft.com/office/drawing/2014/main" id="{1FE6D439-1F99-48C8-9288-F59485BABD92}"/>
            </a:ext>
          </a:extLst>
        </xdr:cNvPr>
        <xdr:cNvSpPr txBox="1"/>
      </xdr:nvSpPr>
      <xdr:spPr>
        <a:xfrm>
          <a:off x="0" y="12699"/>
          <a:ext cx="4143374" cy="425451"/>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l-NL" sz="1400"/>
            <a:t>Inhoud rekenmodel</a:t>
          </a:r>
          <a:r>
            <a:rPr lang="nl-NL" sz="1400" baseline="0"/>
            <a:t> </a:t>
          </a:r>
          <a:endParaRPr lang="nl-NL" sz="14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9525</xdr:colOff>
      <xdr:row>38</xdr:row>
      <xdr:rowOff>28575</xdr:rowOff>
    </xdr:from>
    <xdr:ext cx="1752457" cy="1870704"/>
    <xdr:sp macro="" textlink="">
      <xdr:nvSpPr>
        <xdr:cNvPr id="2" name="Tekstvak 1">
          <a:extLst>
            <a:ext uri="{FF2B5EF4-FFF2-40B4-BE49-F238E27FC236}">
              <a16:creationId xmlns:a16="http://schemas.microsoft.com/office/drawing/2014/main" id="{8B21942D-99E0-423E-9D5C-A5972AF4700B}"/>
            </a:ext>
          </a:extLst>
        </xdr:cNvPr>
        <xdr:cNvSpPr txBox="1"/>
      </xdr:nvSpPr>
      <xdr:spPr>
        <a:xfrm>
          <a:off x="2417948" y="8043305"/>
          <a:ext cx="1752457" cy="1870704"/>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l-NL" sz="1100"/>
            <a:t>Berekend per gebied</a:t>
          </a:r>
          <a:r>
            <a:rPr lang="nl-NL" sz="1100" baseline="0"/>
            <a:t> aan de hand van de gewogen effecten van dagbesteding basis en plus. </a:t>
          </a:r>
          <a:endParaRPr lang="nl-NL"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215B168-D8BC-4EAA-8763-2D7EE7EC939F}" name="Tabel249" displayName="Tabel249" ref="A11:K44" totalsRowShown="0" dataDxfId="92">
  <autoFilter ref="A11:K44" xr:uid="{BF526F32-50F2-437A-A3B4-C16E72E6DF7B}"/>
  <tableColumns count="11">
    <tableColumn id="1" xr3:uid="{06D60AD1-015D-4334-A40A-1AAC0146A47D}" name="Aanbieder" dataDxfId="91"/>
    <tableColumn id="3" xr3:uid="{46200B58-465A-4472-94CB-9CC2A774BD0E}" name="Factuur 2019" dataDxfId="90"/>
    <tableColumn id="4" xr3:uid="{24C5B80C-08E9-442D-AC3B-B42D88A835FE}" name="% Ouderen" dataDxfId="89"/>
    <tableColumn id="8" xr3:uid="{5B6C1D8B-4133-40F9-B9FF-78C3E0A473EA}" name="€ ouderen" dataDxfId="88">
      <calculatedColumnFormula>C12*B12</calculatedColumnFormula>
    </tableColumn>
    <tableColumn id="5" xr3:uid="{C9CFAA71-6A78-4607-889A-D7185854F455}" name="% Psygische problematiek" dataDxfId="87"/>
    <tableColumn id="9" xr3:uid="{F9E7A3B2-AACD-48D3-91AD-6DB7F9D7C69A}" name="€ psychisch totaal" dataDxfId="86">
      <calculatedColumnFormula>E12*B12</calculatedColumnFormula>
    </tableColumn>
    <tableColumn id="6" xr3:uid="{FB8B6D18-0E8A-422E-8656-6A1FD696DCC4}" name="% Verstandelijke beperking" dataDxfId="85"/>
    <tableColumn id="10" xr3:uid="{6589C847-CA9D-45B4-AA7B-54D60D292255}" name="€ Verstandelijke beperking totaal" dataDxfId="84">
      <calculatedColumnFormula>G12*B12</calculatedColumnFormula>
    </tableColumn>
    <tableColumn id="7" xr3:uid="{DF795ED0-B338-493B-B09A-E1EDA730D76F}" name="% Lichamelijke beperking of chronische ziekte" dataDxfId="83"/>
    <tableColumn id="11" xr3:uid="{37169A77-40BD-476F-850A-7CCE895133A3}" name="€ Lichamelijke beperking of chronische ziekte totaal" dataDxfId="82">
      <calculatedColumnFormula>I12*B12</calculatedColumnFormula>
    </tableColumn>
    <tableColumn id="2" xr3:uid="{3DA55448-2B4A-497F-B18D-7472218A78E2}" name="Opmerkingen" dataDxfId="81"/>
  </tableColumns>
  <tableStyleInfo name="TableStyleMedium7"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31C6109-3F51-42BB-B406-EFC075E067D6}" name="Tabel2" displayName="Tabel2" ref="E32:G35" totalsRowShown="0" headerRowDxfId="12" dataDxfId="11">
  <autoFilter ref="E32:G35" xr:uid="{960FA20B-1B79-4EBE-BB99-6389B657851C}"/>
  <tableColumns count="3">
    <tableColumn id="1" xr3:uid="{197ECFE6-9B03-48A1-8CFD-A75E7A4B9D03}" name="Begeleiding groep basis" dataDxfId="10"/>
    <tableColumn id="2" xr3:uid="{6DC20DC6-CD01-42D5-82DF-3A86572120B7}" name="Oud tarief 2019" dataDxfId="9"/>
    <tableColumn id="3" xr3:uid="{ED1388E0-CAFE-4810-A707-7BE2B8ABE3E8}" name="% afwijking nieuw tarief" dataDxfId="8">
      <calculatedColumnFormula>($G$17-F33)/F33</calculatedColumnFormula>
    </tableColumn>
  </tableColumns>
  <tableStyleInfo name="TableStyleLight1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688A934-B084-4963-BEE1-0C066B55524D}" name="Tabel26" displayName="Tabel26" ref="A32:C38" totalsRowCount="1" headerRowDxfId="7" dataDxfId="6">
  <autoFilter ref="A32:C37" xr:uid="{CF6587CD-CF02-4744-A6AB-70F96C9C624C}"/>
  <tableColumns count="3">
    <tableColumn id="1" xr3:uid="{40B5D174-CF3E-4EF0-8A85-E27B66EA134D}" name="Begeleiding groep Plus" dataDxfId="5" totalsRowDxfId="4"/>
    <tableColumn id="2" xr3:uid="{5A6184EA-0DF6-4EFD-A815-D1C1BFD31000}" name="Oud tarief 2019" dataDxfId="3" totalsRowDxfId="2"/>
    <tableColumn id="3" xr3:uid="{12A075C5-6174-4EBE-9DDA-1935AAC6E3E7}" name="% afwijking nieuw tarief" dataDxfId="1" totalsRowDxfId="0">
      <calculatedColumnFormula>($H$17-B33)/B33</calculatedColumnFormula>
    </tableColumn>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4900266-F0BD-41A0-BA82-23235E8BF947}" name="Tabel4610" displayName="Tabel4610" ref="A4:B9" totalsRowCount="1" headerRowDxfId="80" dataDxfId="79">
  <autoFilter ref="A4:B8" xr:uid="{0BAF5F4B-83F9-48C4-98C8-B370FB579BA8}"/>
  <tableColumns count="2">
    <tableColumn id="1" xr3:uid="{A5DF3564-C956-444E-A780-2FCB055CDCDE}" name="Doelgroep" dataDxfId="78" totalsRowDxfId="77"/>
    <tableColumn id="2" xr3:uid="{94D88D22-A8FD-4C27-9FFB-7F37E299790F}" name="Aandeel totaal " totalsRowFunction="custom" dataDxfId="76" totalsRowDxfId="75">
      <totalsRowFormula>SUM(B5:B8)</totalsRowFormula>
    </tableColumn>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FB0CCF84-B500-4E4C-861F-F8AC70EBA1BF}" name="Tabel46102125" displayName="Tabel46102125" ref="A4:B9" totalsRowCount="1" headerRowDxfId="74" dataDxfId="73">
  <autoFilter ref="A4:B8" xr:uid="{0BAF5F4B-83F9-48C4-98C8-B370FB579BA8}"/>
  <tableColumns count="2">
    <tableColumn id="1" xr3:uid="{D2929228-B640-449F-9188-09D84228AE47}" name="Doelgroep" dataDxfId="72" totalsRowDxfId="71"/>
    <tableColumn id="2" xr3:uid="{57955592-97FB-4090-9B81-E786ED058578}" name="Aandeel totaal " totalsRowFunction="custom" dataDxfId="70" totalsRowDxfId="69">
      <totalsRowFormula>SUM(B5:B8)</totalsRowFormula>
    </tableColumn>
  </tableColumns>
  <tableStyleInfo name="TableStyleLight1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AD226BDF-7FA7-4EE0-8AFF-2C911C3482B7}" name="Tabel2492024" displayName="Tabel2492024" ref="A11:K41" totalsRowShown="0" dataDxfId="68">
  <autoFilter ref="A11:K41" xr:uid="{BF526F32-50F2-437A-A3B4-C16E72E6DF7B}"/>
  <tableColumns count="11">
    <tableColumn id="1" xr3:uid="{B7920130-4499-423C-B41F-64AABDB2FB95}" name="Aanbieder" dataDxfId="67"/>
    <tableColumn id="3" xr3:uid="{897FCD64-0250-44D2-B38C-34E64E85D3E4}" name="Factuur 2019" dataDxfId="66"/>
    <tableColumn id="4" xr3:uid="{DF5DC46F-37D5-439E-8B71-1788893AFE6E}" name="% Ouderen" dataDxfId="65"/>
    <tableColumn id="8" xr3:uid="{0A0CE80C-4FE6-426B-B9C7-C5C448F040DB}" name="€ ouderen" dataDxfId="64">
      <calculatedColumnFormula>C12*B12</calculatedColumnFormula>
    </tableColumn>
    <tableColumn id="5" xr3:uid="{ABCCAA24-316C-4251-A75B-C3709C6B30B7}" name="% Psygische problematiek" dataDxfId="63"/>
    <tableColumn id="9" xr3:uid="{6BCC0055-2CDF-498D-AC95-79CB24AA45F4}" name="€ psychisch totaal" dataDxfId="62">
      <calculatedColumnFormula>E12*B12</calculatedColumnFormula>
    </tableColumn>
    <tableColumn id="6" xr3:uid="{4C2E8F04-9430-4460-AF99-245A745C2AF1}" name="% Verstandelijke beperking" dataDxfId="61"/>
    <tableColumn id="10" xr3:uid="{8D99BF78-E004-49CB-99B6-12F09674DFFD}" name="€ Verstandelijke beperking totaal" dataDxfId="60">
      <calculatedColumnFormula>G12*B12</calculatedColumnFormula>
    </tableColumn>
    <tableColumn id="7" xr3:uid="{C3135101-F407-4763-8CF1-35B3D1EEDFEC}" name="% Lichamelijke beperking of chronische ziekte" dataDxfId="59"/>
    <tableColumn id="11" xr3:uid="{784EB998-53BE-481B-8F75-0662C3139AFD}" name="€ Lichamelijke beperking of chronische ziekte totaal" dataDxfId="58">
      <calculatedColumnFormula>I12*B12</calculatedColumnFormula>
    </tableColumn>
    <tableColumn id="2" xr3:uid="{B25F29CA-5C1F-4DDB-AB16-7750F9C54B33}" name="Opmerkingen" dataDxfId="57"/>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5A807E52-B191-4A4F-8A79-8F1096F0FF27}" name="Tabel24920" displayName="Tabel24920" ref="A11:K43" totalsRowShown="0" dataDxfId="56">
  <autoFilter ref="A11:K43" xr:uid="{BF526F32-50F2-437A-A3B4-C16E72E6DF7B}"/>
  <tableColumns count="11">
    <tableColumn id="1" xr3:uid="{44AE7CAB-93EE-4646-B69A-6D9D89BF72E7}" name="Aanbieder" dataDxfId="55"/>
    <tableColumn id="3" xr3:uid="{5D743BB6-73E9-4B36-9C89-93C87D43E17F}" name="Factuur 2019" dataDxfId="54"/>
    <tableColumn id="4" xr3:uid="{7624A32A-3943-45B2-BBB0-04B09693A3D8}" name="% Ouderen" dataDxfId="53"/>
    <tableColumn id="8" xr3:uid="{EE69D5BA-EBA3-497C-900B-99859E433F3F}" name="€ ouderen" dataDxfId="52">
      <calculatedColumnFormula>C12*B12</calculatedColumnFormula>
    </tableColumn>
    <tableColumn id="5" xr3:uid="{4638CF73-B30B-480C-BB6C-FAA6C16E1D04}" name="% Psygische problematiek" dataDxfId="51"/>
    <tableColumn id="9" xr3:uid="{AA8EE517-CB03-4A37-8895-4467E981705E}" name="€ psychisch totaal" dataDxfId="50">
      <calculatedColumnFormula>E12*B12</calculatedColumnFormula>
    </tableColumn>
    <tableColumn id="6" xr3:uid="{F0479ED9-EEED-4776-871B-B455CC4C4168}" name="% Verstandelijke beperking" dataDxfId="49"/>
    <tableColumn id="10" xr3:uid="{CC8AF46D-94EA-421F-8ADF-B2B1784761CB}" name="€ Verstandelijke beperking totaal" dataDxfId="48">
      <calculatedColumnFormula>G12*B12</calculatedColumnFormula>
    </tableColumn>
    <tableColumn id="7" xr3:uid="{7D156FC2-6197-4A07-8ED5-CB8A363E2FE5}" name="% Lichamelijke beperking of chronische ziekte" dataDxfId="47"/>
    <tableColumn id="11" xr3:uid="{33A48BFE-8F60-4E5E-BF72-4854275CEF79}" name="€ Lichamelijke beperking of chronische ziekte totaal" dataDxfId="46">
      <calculatedColumnFormula>I12*B12</calculatedColumnFormula>
    </tableColumn>
    <tableColumn id="2" xr3:uid="{ECCFFFA6-E178-4496-B0BA-505671DB8F71}" name="Opmerkingen" dataDxfId="45"/>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450C275-B053-4DF0-B19C-B11F8A9D365D}" name="Tabel461021" displayName="Tabel461021" ref="A4:B9" totalsRowCount="1" headerRowDxfId="44" dataDxfId="43">
  <autoFilter ref="A4:B8" xr:uid="{0BAF5F4B-83F9-48C4-98C8-B370FB579BA8}"/>
  <tableColumns count="2">
    <tableColumn id="1" xr3:uid="{A91E721D-777F-47BE-8F78-3B9412DBB4B3}" name="Doelgroep" dataDxfId="42" totalsRowDxfId="41"/>
    <tableColumn id="2" xr3:uid="{0F7E641E-A693-49AD-B30F-0E53D5BB1A0D}" name="Aandeel totaal " totalsRowFunction="custom" dataDxfId="40" totalsRowDxfId="39">
      <totalsRowFormula>SUM(B5:B8)</totalsRowFormula>
    </tableColumn>
  </tableColumns>
  <tableStyleInfo name="TableStyleLight1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8224505A-B133-4166-94C5-37C7463B0489}" name="Tabel2492022" displayName="Tabel2492022" ref="A11:K37" totalsRowShown="0" dataDxfId="38">
  <autoFilter ref="A11:K37" xr:uid="{BF526F32-50F2-437A-A3B4-C16E72E6DF7B}"/>
  <tableColumns count="11">
    <tableColumn id="1" xr3:uid="{EDA06F0B-EC33-498A-88A1-CD423AA2B574}" name="Aanbieder" dataDxfId="37"/>
    <tableColumn id="3" xr3:uid="{51069EDD-3366-4800-AB0F-74B25672DE87}" name="Factuur 2019" dataDxfId="36"/>
    <tableColumn id="4" xr3:uid="{BC27FCC0-EB19-4584-B75C-A57CC3D6F4F6}" name="% Ouderen" dataDxfId="35"/>
    <tableColumn id="8" xr3:uid="{CACCDE91-D08D-40F5-B986-AD9DB1BD408C}" name="€ ouderen" dataDxfId="34">
      <calculatedColumnFormula>C12*B12</calculatedColumnFormula>
    </tableColumn>
    <tableColumn id="5" xr3:uid="{6289CA62-EDC0-4737-A49E-85FAD9568F1F}" name="% Psygische problematiek" dataDxfId="33"/>
    <tableColumn id="9" xr3:uid="{4D724A57-50CA-4B23-B3F1-739A31003E29}" name="€ psychisch totaal" dataDxfId="32">
      <calculatedColumnFormula>E12*B12</calculatedColumnFormula>
    </tableColumn>
    <tableColumn id="6" xr3:uid="{C7851AAB-E27D-4EED-B2F6-82175B079C22}" name="% Verstandelijke beperking" dataDxfId="31"/>
    <tableColumn id="10" xr3:uid="{E9E19EC7-3391-4D87-98FB-2CCE4C53F84B}" name="€ Verstandelijke beperking totaal" dataDxfId="30">
      <calculatedColumnFormula>G12*B12</calculatedColumnFormula>
    </tableColumn>
    <tableColumn id="7" xr3:uid="{F46D80B3-3A6A-4B49-BE56-E44B3FACD698}" name="% Lichamelijke beperking of chronische ziekte" dataDxfId="29"/>
    <tableColumn id="11" xr3:uid="{DEEA0F66-72B0-44B3-8411-B2DDCEC43BC4}" name="€ Lichamelijke beperking of chronische ziekte totaal" dataDxfId="28">
      <calculatedColumnFormula>I12*B12</calculatedColumnFormula>
    </tableColumn>
    <tableColumn id="2" xr3:uid="{F67804F8-492A-47B5-89D0-E06D6F1EC82A}" name="Opmerkingen" dataDxfId="27"/>
  </tableColumns>
  <tableStyleInfo name="TableStyleMedium7"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44BB6042-5F19-4445-8DD1-5431E797991F}" name="Tabel46102123" displayName="Tabel46102123" ref="A4:B9" totalsRowCount="1" headerRowDxfId="26" dataDxfId="25">
  <autoFilter ref="A4:B8" xr:uid="{0BAF5F4B-83F9-48C4-98C8-B370FB579BA8}"/>
  <tableColumns count="2">
    <tableColumn id="1" xr3:uid="{CA1AD46F-56CE-4249-92CD-8A56F9ED6AB8}" name="Doelgroep" dataDxfId="24" totalsRowDxfId="23"/>
    <tableColumn id="2" xr3:uid="{3C7E6D0C-4AAB-4DC4-94E2-DB77D45F0A4A}" name="Aandeel totaal " totalsRowFunction="custom" dataDxfId="22" totalsRowDxfId="21">
      <totalsRowFormula>SUM(B5:B8)</totalsRowFormula>
    </tableColumn>
  </tableColumns>
  <tableStyleInfo name="TableStyleLight1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CDD7783-466A-41C7-A5BB-0C3749422A4F}" name="Tabel1" displayName="Tabel1" ref="A26:G30" totalsRowShown="0" headerRowDxfId="20" dataDxfId="19" dataCellStyle="Valuta">
  <autoFilter ref="A26:G30" xr:uid="{86A3B5F0-4460-4EE0-9071-82DD7F6850FA}"/>
  <tableColumns count="7">
    <tableColumn id="1" xr3:uid="{7AF0EA72-A3DA-4B72-A3EF-D12EE1CE3725}" name="Doelgroep Vervoer" dataDxfId="18"/>
    <tableColumn id="2" xr3:uid="{AD3300D6-96E1-4955-A38A-2B8983E5AFD1}" name="0-4 km"/>
    <tableColumn id="7" xr3:uid="{67A06B0D-9C74-42A6-B99D-2498883950F0}" name="5-9 km" dataDxfId="17"/>
    <tableColumn id="3" xr3:uid="{1B6E56BC-BDD2-40EF-9A74-99A0737C2C9E}" name="10-19 km" dataDxfId="16"/>
    <tableColumn id="4" xr3:uid="{B1A42FE4-237A-4764-9C48-BD5259907119}" name="20-29 km" dataDxfId="15" dataCellStyle="Valuta"/>
    <tableColumn id="5" xr3:uid="{4BBDB2DE-EC36-458C-9386-278CB9A1CCBC}" name="30-39 km" dataDxfId="14" dataCellStyle="Valuta"/>
    <tableColumn id="6" xr3:uid="{FF0F229C-0B5A-4743-9A57-6991D302FBE0}" name="&gt; 40 km" dataDxfId="13" dataCellStyle="Valuta"/>
  </tableColumns>
  <tableStyleInfo name="TableStyleLight11"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vmlDrawing" Target="../drawings/vmlDrawing1.vml"/><Relationship Id="rId1" Type="http://schemas.openxmlformats.org/officeDocument/2006/relationships/printerSettings" Target="../printerSettings/printerSettings12.bin"/><Relationship Id="rId6" Type="http://schemas.openxmlformats.org/officeDocument/2006/relationships/comments" Target="../comments1.xml"/><Relationship Id="rId5" Type="http://schemas.openxmlformats.org/officeDocument/2006/relationships/table" Target="../tables/table11.xml"/><Relationship Id="rId4" Type="http://schemas.openxmlformats.org/officeDocument/2006/relationships/table" Target="../tables/table10.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DBFEB-A1BE-4CFC-8D66-964E881BD31B}">
  <sheetPr codeName="Blad1"/>
  <dimension ref="A1:B6"/>
  <sheetViews>
    <sheetView zoomScale="75" zoomScaleNormal="75" workbookViewId="0"/>
  </sheetViews>
  <sheetFormatPr baseColWidth="10" defaultColWidth="8.83203125" defaultRowHeight="15" x14ac:dyDescent="0.2"/>
  <cols>
    <col min="2" max="2" width="50.5" customWidth="1"/>
  </cols>
  <sheetData>
    <row r="1" spans="1:2" ht="32.5" customHeight="1" x14ac:dyDescent="0.2"/>
    <row r="2" spans="1:2" ht="43" customHeight="1" x14ac:dyDescent="0.2">
      <c r="A2" s="412"/>
      <c r="B2" s="411" t="s">
        <v>225</v>
      </c>
    </row>
    <row r="3" spans="1:2" ht="32" x14ac:dyDescent="0.2">
      <c r="A3" s="378"/>
      <c r="B3" s="411" t="s">
        <v>179</v>
      </c>
    </row>
    <row r="4" spans="1:2" ht="114.75" customHeight="1" x14ac:dyDescent="0.2">
      <c r="A4" s="380"/>
      <c r="B4" s="411" t="s">
        <v>182</v>
      </c>
    </row>
    <row r="5" spans="1:2" ht="79.5" customHeight="1" x14ac:dyDescent="0.2">
      <c r="A5" s="379"/>
      <c r="B5" s="411" t="s">
        <v>180</v>
      </c>
    </row>
    <row r="6" spans="1:2" ht="47.25" customHeight="1" x14ac:dyDescent="0.2">
      <c r="A6" s="381"/>
      <c r="B6" s="411" t="s">
        <v>226</v>
      </c>
    </row>
  </sheetData>
  <sheetProtection algorithmName="SHA-512" hashValue="nNZgLCjPp8Bh1q2B0NqF8EbHMgcBK2yL8xshek+xXn9BFTVowi/doJ8Ax64Q+z6F+O85nIAwVHW9CVQwXmMHCw==" saltValue="HpYVPKnPtnH1WP6Re51F3Q==" spinCount="100000" sheet="1" objects="1" scenarios="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8200A-173F-4659-89A7-3B5FF832C36F}">
  <sheetPr codeName="Blad10">
    <tabColor rgb="FF00B0F0"/>
    <pageSetUpPr fitToPage="1"/>
  </sheetPr>
  <dimension ref="A1:Y54"/>
  <sheetViews>
    <sheetView zoomScale="75" zoomScaleNormal="75" workbookViewId="0"/>
  </sheetViews>
  <sheetFormatPr baseColWidth="10" defaultColWidth="9.1640625" defaultRowHeight="15" x14ac:dyDescent="0.2"/>
  <cols>
    <col min="1" max="1" width="32" style="160" customWidth="1"/>
    <col min="2" max="2" width="28.5" style="9" customWidth="1"/>
    <col min="3" max="3" width="17.1640625" style="9" customWidth="1"/>
    <col min="4" max="4" width="16.5" style="9" customWidth="1"/>
    <col min="5" max="5" width="15.5" style="159" customWidth="1"/>
    <col min="6" max="6" width="17.1640625" style="158" customWidth="1"/>
    <col min="7" max="7" width="16.5" style="158" customWidth="1"/>
    <col min="8" max="8" width="14.83203125" style="158" customWidth="1"/>
    <col min="9" max="9" width="14.5" style="159" customWidth="1"/>
    <col min="10" max="12" width="14.83203125" style="158" customWidth="1"/>
    <col min="13" max="13" width="17.1640625" style="159" customWidth="1"/>
    <col min="14" max="14" width="13.83203125" style="158" customWidth="1"/>
    <col min="15" max="16" width="12.5" style="158" customWidth="1"/>
    <col min="17" max="17" width="11.1640625" style="159" customWidth="1"/>
    <col min="18" max="20" width="11.1640625" style="158" customWidth="1"/>
    <col min="21" max="22" width="87.83203125" style="9" customWidth="1"/>
    <col min="23" max="16384" width="9.1640625" style="9"/>
  </cols>
  <sheetData>
    <row r="1" spans="1:20" ht="29" x14ac:dyDescent="0.35">
      <c r="A1" s="183" t="s">
        <v>167</v>
      </c>
      <c r="H1" s="159"/>
      <c r="I1" s="158"/>
      <c r="L1" s="159"/>
      <c r="M1" s="158"/>
      <c r="P1" s="159"/>
      <c r="Q1" s="158"/>
      <c r="T1" s="9"/>
    </row>
    <row r="2" spans="1:20" x14ac:dyDescent="0.2">
      <c r="A2" s="158" t="s">
        <v>147</v>
      </c>
      <c r="H2" s="159"/>
      <c r="I2" s="158"/>
      <c r="L2" s="159"/>
      <c r="M2" s="158"/>
      <c r="P2" s="159"/>
      <c r="Q2" s="158"/>
      <c r="T2" s="9"/>
    </row>
    <row r="3" spans="1:20" x14ac:dyDescent="0.2">
      <c r="H3" s="159"/>
      <c r="I3" s="158"/>
      <c r="L3" s="159"/>
      <c r="M3" s="158"/>
      <c r="P3" s="159"/>
      <c r="Q3" s="158"/>
      <c r="T3" s="9"/>
    </row>
    <row r="4" spans="1:20" x14ac:dyDescent="0.2">
      <c r="A4" s="179" t="s">
        <v>21</v>
      </c>
      <c r="B4" s="187" t="s">
        <v>168</v>
      </c>
      <c r="C4" s="158"/>
      <c r="D4" s="158"/>
      <c r="E4" s="158"/>
      <c r="H4" s="159"/>
      <c r="I4" s="158"/>
      <c r="L4" s="159"/>
      <c r="M4" s="158"/>
      <c r="P4" s="9"/>
      <c r="Q4" s="9"/>
      <c r="R4" s="9"/>
      <c r="S4" s="9"/>
      <c r="T4" s="9"/>
    </row>
    <row r="5" spans="1:20" ht="17.25" customHeight="1" x14ac:dyDescent="0.2">
      <c r="A5" s="160" t="s">
        <v>103</v>
      </c>
      <c r="B5" s="306">
        <f>D43</f>
        <v>0.26609917694053081</v>
      </c>
      <c r="C5" s="158"/>
      <c r="D5" s="158"/>
      <c r="E5" s="158"/>
      <c r="H5" s="159"/>
      <c r="I5" s="158"/>
      <c r="L5" s="159"/>
      <c r="M5" s="158"/>
      <c r="P5" s="9"/>
      <c r="Q5" s="9"/>
      <c r="R5" s="9"/>
      <c r="S5" s="9"/>
      <c r="T5" s="9"/>
    </row>
    <row r="6" spans="1:20" x14ac:dyDescent="0.2">
      <c r="A6" s="160" t="str">
        <f>$E$42</f>
        <v>GGZ:</v>
      </c>
      <c r="B6" s="306">
        <f>F43</f>
        <v>0.45297289865178725</v>
      </c>
      <c r="C6" s="158"/>
      <c r="D6" s="158"/>
      <c r="E6" s="158"/>
      <c r="H6" s="159"/>
      <c r="I6" s="158"/>
      <c r="L6" s="159"/>
      <c r="M6" s="158"/>
      <c r="P6" s="9"/>
      <c r="Q6" s="9"/>
      <c r="R6" s="9"/>
      <c r="S6" s="9"/>
      <c r="T6" s="9"/>
    </row>
    <row r="7" spans="1:20" x14ac:dyDescent="0.2">
      <c r="A7" s="160" t="s">
        <v>149</v>
      </c>
      <c r="B7" s="306">
        <f>H43</f>
        <v>0.21111216276738165</v>
      </c>
      <c r="C7" s="158"/>
      <c r="D7" s="158"/>
      <c r="E7" s="158"/>
      <c r="H7" s="159"/>
      <c r="I7" s="158"/>
      <c r="L7" s="159"/>
      <c r="M7" s="158"/>
      <c r="P7" s="9"/>
      <c r="Q7" s="9"/>
      <c r="R7" s="9"/>
      <c r="S7" s="9"/>
      <c r="T7" s="9"/>
    </row>
    <row r="8" spans="1:20" x14ac:dyDescent="0.2">
      <c r="A8" s="160" t="str">
        <f>$I$42</f>
        <v>SOM/LG:</v>
      </c>
      <c r="B8" s="306">
        <f>J43</f>
        <v>6.9813121318564084E-2</v>
      </c>
      <c r="C8" s="158"/>
      <c r="D8" s="158"/>
      <c r="Q8" s="9"/>
      <c r="R8" s="9"/>
      <c r="S8" s="9"/>
      <c r="T8" s="9"/>
    </row>
    <row r="9" spans="1:20" x14ac:dyDescent="0.2">
      <c r="B9" s="450">
        <f>SUM(B5:B8)</f>
        <v>0.99999735967826386</v>
      </c>
      <c r="C9" s="158"/>
      <c r="D9" s="158"/>
      <c r="Q9" s="9"/>
      <c r="R9" s="9"/>
      <c r="S9" s="9"/>
      <c r="T9" s="9"/>
    </row>
    <row r="10" spans="1:20" x14ac:dyDescent="0.2">
      <c r="B10" s="178"/>
      <c r="C10" s="178"/>
      <c r="D10" s="178"/>
    </row>
    <row r="11" spans="1:20" ht="50.25" customHeight="1" x14ac:dyDescent="0.2">
      <c r="A11" s="177" t="s">
        <v>146</v>
      </c>
      <c r="B11" t="s">
        <v>152</v>
      </c>
      <c r="C11" s="176" t="s">
        <v>145</v>
      </c>
      <c r="D11" s="143" t="s">
        <v>169</v>
      </c>
      <c r="E11" s="176" t="s">
        <v>148</v>
      </c>
      <c r="F11" s="143" t="s">
        <v>151</v>
      </c>
      <c r="G11" s="176" t="s">
        <v>144</v>
      </c>
      <c r="H11" s="143" t="s">
        <v>143</v>
      </c>
      <c r="I11" s="176" t="s">
        <v>142</v>
      </c>
      <c r="J11" s="143" t="s">
        <v>141</v>
      </c>
      <c r="K11" t="s">
        <v>140</v>
      </c>
      <c r="L11" s="9"/>
      <c r="M11" s="9"/>
      <c r="N11" s="9"/>
      <c r="O11" s="9"/>
      <c r="P11" s="9"/>
      <c r="Q11" s="9"/>
      <c r="R11" s="9"/>
      <c r="S11" s="9"/>
      <c r="T11" s="9"/>
    </row>
    <row r="12" spans="1:20" ht="50.25" customHeight="1" x14ac:dyDescent="0.2">
      <c r="A12" s="185"/>
      <c r="B12" s="186">
        <v>35971.200000000004</v>
      </c>
      <c r="C12" s="308">
        <v>1</v>
      </c>
      <c r="D12" s="309">
        <f>C12*B12</f>
        <v>35971.200000000004</v>
      </c>
      <c r="E12" s="308"/>
      <c r="F12" s="309">
        <f>E12*B12</f>
        <v>0</v>
      </c>
      <c r="G12" s="308"/>
      <c r="H12" s="309">
        <f>G12*B12</f>
        <v>0</v>
      </c>
      <c r="I12" s="308"/>
      <c r="J12" s="309">
        <f>I12*B12</f>
        <v>0</v>
      </c>
      <c r="K12" s="310"/>
      <c r="L12" s="9"/>
      <c r="M12" s="9"/>
      <c r="N12" s="9"/>
      <c r="O12" s="9"/>
      <c r="P12" s="9"/>
      <c r="Q12" s="9"/>
      <c r="R12" s="9"/>
      <c r="S12" s="9"/>
      <c r="T12" s="9"/>
    </row>
    <row r="13" spans="1:20" ht="50.25" customHeight="1" x14ac:dyDescent="0.2">
      <c r="A13" s="321"/>
      <c r="B13" s="186">
        <v>15691.2</v>
      </c>
      <c r="C13" s="172"/>
      <c r="D13" s="171">
        <f t="shared" ref="D13:D27" si="0">C13*B13</f>
        <v>0</v>
      </c>
      <c r="E13" s="172">
        <v>1</v>
      </c>
      <c r="F13" s="171">
        <f t="shared" ref="F13:F27" si="1">E13*B13</f>
        <v>15691.2</v>
      </c>
      <c r="G13" s="172"/>
      <c r="H13" s="171">
        <f t="shared" ref="H13:H27" si="2">G13*B13</f>
        <v>0</v>
      </c>
      <c r="I13" s="172"/>
      <c r="J13" s="171">
        <f t="shared" ref="J13:J27" si="3">I13*B13</f>
        <v>0</v>
      </c>
      <c r="K13" s="175"/>
      <c r="L13" s="9"/>
      <c r="M13" s="9"/>
      <c r="N13" s="9"/>
      <c r="O13" s="9"/>
      <c r="P13" s="9"/>
      <c r="Q13" s="9"/>
      <c r="R13" s="9"/>
      <c r="S13" s="9"/>
      <c r="T13" s="9"/>
    </row>
    <row r="14" spans="1:20" ht="50.25" customHeight="1" x14ac:dyDescent="0.2">
      <c r="A14" s="185"/>
      <c r="B14" s="186">
        <v>15211.8</v>
      </c>
      <c r="C14" s="311"/>
      <c r="D14" s="312">
        <f t="shared" ref="D14:D20" si="4">C14*B14</f>
        <v>0</v>
      </c>
      <c r="E14" s="311">
        <v>1</v>
      </c>
      <c r="F14" s="312">
        <f>E14*B14</f>
        <v>15211.8</v>
      </c>
      <c r="G14" s="311"/>
      <c r="H14" s="312">
        <f>G14*B14</f>
        <v>0</v>
      </c>
      <c r="I14" s="311"/>
      <c r="J14" s="312">
        <f>I14*B14</f>
        <v>0</v>
      </c>
      <c r="K14" s="313"/>
      <c r="L14" s="9"/>
      <c r="M14" s="9"/>
      <c r="N14" s="9"/>
      <c r="O14" s="9"/>
      <c r="P14" s="9"/>
      <c r="Q14" s="9"/>
      <c r="R14" s="9"/>
      <c r="S14" s="9"/>
      <c r="T14" s="9"/>
    </row>
    <row r="15" spans="1:20" ht="50.25" customHeight="1" x14ac:dyDescent="0.2">
      <c r="A15" s="185"/>
      <c r="B15" s="186">
        <v>63398.400000000001</v>
      </c>
      <c r="C15" s="322"/>
      <c r="D15" s="323">
        <f t="shared" si="4"/>
        <v>0</v>
      </c>
      <c r="E15" s="322">
        <v>1</v>
      </c>
      <c r="F15" s="323">
        <f>E15*B15</f>
        <v>63398.400000000001</v>
      </c>
      <c r="G15" s="322"/>
      <c r="H15" s="323">
        <f>G15*B15</f>
        <v>0</v>
      </c>
      <c r="I15" s="322"/>
      <c r="J15" s="323">
        <f>I15*B15</f>
        <v>0</v>
      </c>
      <c r="K15" s="325"/>
      <c r="L15" s="9"/>
      <c r="M15" s="9"/>
      <c r="N15" s="9"/>
      <c r="O15" s="9"/>
      <c r="P15" s="9"/>
      <c r="Q15" s="9"/>
      <c r="R15" s="9"/>
      <c r="S15" s="9"/>
      <c r="T15" s="9"/>
    </row>
    <row r="16" spans="1:20" ht="50.25" customHeight="1" x14ac:dyDescent="0.2">
      <c r="A16" s="185"/>
      <c r="B16" s="186">
        <v>18493.079999999998</v>
      </c>
      <c r="C16" s="311"/>
      <c r="D16" s="312">
        <f t="shared" si="4"/>
        <v>0</v>
      </c>
      <c r="E16" s="311">
        <v>1</v>
      </c>
      <c r="F16" s="312">
        <f>E16*B16</f>
        <v>18493.079999999998</v>
      </c>
      <c r="G16" s="311"/>
      <c r="H16" s="312">
        <f>G16*B16</f>
        <v>0</v>
      </c>
      <c r="I16" s="311"/>
      <c r="J16" s="312">
        <f>I16*B16</f>
        <v>0</v>
      </c>
      <c r="K16" s="313"/>
      <c r="L16" s="9"/>
      <c r="M16" s="9"/>
      <c r="N16" s="9"/>
      <c r="O16" s="9"/>
      <c r="P16" s="9"/>
      <c r="Q16" s="9"/>
      <c r="R16" s="9"/>
      <c r="S16" s="9"/>
      <c r="T16" s="9"/>
    </row>
    <row r="17" spans="1:20" ht="50.25" customHeight="1" x14ac:dyDescent="0.2">
      <c r="A17" s="185"/>
      <c r="B17" s="186">
        <v>14745.599999999999</v>
      </c>
      <c r="C17" s="311"/>
      <c r="D17" s="312">
        <f t="shared" si="4"/>
        <v>0</v>
      </c>
      <c r="E17" s="311">
        <v>1</v>
      </c>
      <c r="F17" s="312">
        <f>E17*B17</f>
        <v>14745.599999999999</v>
      </c>
      <c r="G17" s="311"/>
      <c r="H17" s="312">
        <f>G17*B17</f>
        <v>0</v>
      </c>
      <c r="I17" s="311"/>
      <c r="J17" s="312">
        <f>I17*B17</f>
        <v>0</v>
      </c>
      <c r="K17" s="313"/>
      <c r="L17" s="9"/>
      <c r="M17" s="9"/>
      <c r="N17" s="9"/>
      <c r="O17" s="9"/>
      <c r="P17" s="9"/>
      <c r="Q17" s="9"/>
      <c r="R17" s="9"/>
      <c r="S17" s="9"/>
      <c r="T17" s="9"/>
    </row>
    <row r="18" spans="1:20" ht="50.25" customHeight="1" x14ac:dyDescent="0.2">
      <c r="A18" s="321"/>
      <c r="B18" s="186">
        <v>24818.41</v>
      </c>
      <c r="C18" s="172"/>
      <c r="D18" s="171">
        <f t="shared" si="4"/>
        <v>0</v>
      </c>
      <c r="E18" s="172"/>
      <c r="F18" s="171">
        <f t="shared" si="1"/>
        <v>0</v>
      </c>
      <c r="G18" s="172">
        <v>1</v>
      </c>
      <c r="H18" s="171">
        <f t="shared" si="2"/>
        <v>24818.41</v>
      </c>
      <c r="I18" s="172"/>
      <c r="J18" s="171">
        <f t="shared" si="3"/>
        <v>0</v>
      </c>
      <c r="K18" s="175"/>
      <c r="L18" s="9"/>
      <c r="M18" s="9"/>
      <c r="N18" s="9"/>
      <c r="O18" s="9"/>
      <c r="P18" s="9"/>
      <c r="Q18" s="9"/>
      <c r="R18" s="9"/>
      <c r="S18" s="9"/>
      <c r="T18" s="9"/>
    </row>
    <row r="19" spans="1:20" ht="50.25" customHeight="1" x14ac:dyDescent="0.2">
      <c r="A19" s="185"/>
      <c r="B19" s="186">
        <v>68954.920000000013</v>
      </c>
      <c r="C19" s="322">
        <v>0.5</v>
      </c>
      <c r="D19" s="323">
        <f t="shared" si="4"/>
        <v>34477.460000000006</v>
      </c>
      <c r="E19" s="322">
        <v>0.5</v>
      </c>
      <c r="F19" s="323">
        <f>E19*B19</f>
        <v>34477.460000000006</v>
      </c>
      <c r="G19" s="322"/>
      <c r="H19" s="323">
        <f>G19*B19</f>
        <v>0</v>
      </c>
      <c r="I19" s="322"/>
      <c r="J19" s="323">
        <f>I19*B19</f>
        <v>0</v>
      </c>
      <c r="K19" s="324"/>
      <c r="L19" s="9"/>
      <c r="M19" s="9"/>
      <c r="N19" s="9"/>
      <c r="O19" s="9"/>
      <c r="P19" s="9"/>
      <c r="Q19" s="9"/>
      <c r="R19" s="9"/>
      <c r="S19" s="9"/>
      <c r="T19" s="9"/>
    </row>
    <row r="20" spans="1:20" ht="50.25" customHeight="1" x14ac:dyDescent="0.2">
      <c r="A20" s="185"/>
      <c r="B20" s="186">
        <v>25148.3</v>
      </c>
      <c r="C20" s="311"/>
      <c r="D20" s="312">
        <f t="shared" si="4"/>
        <v>0</v>
      </c>
      <c r="E20" s="311"/>
      <c r="F20" s="312">
        <f>E20*B20</f>
        <v>0</v>
      </c>
      <c r="G20" s="311">
        <v>0.5</v>
      </c>
      <c r="H20" s="312">
        <f>G20*B20</f>
        <v>12574.15</v>
      </c>
      <c r="I20" s="311">
        <v>0.5</v>
      </c>
      <c r="J20" s="312">
        <f>I20*B20</f>
        <v>12574.15</v>
      </c>
      <c r="K20" s="313"/>
      <c r="L20" s="9"/>
      <c r="M20" s="9"/>
      <c r="N20" s="9"/>
      <c r="O20" s="9"/>
      <c r="P20" s="9"/>
      <c r="Q20" s="9"/>
      <c r="R20" s="9"/>
      <c r="S20" s="9"/>
      <c r="T20" s="9"/>
    </row>
    <row r="21" spans="1:20" s="140" customFormat="1" ht="50.25" customHeight="1" x14ac:dyDescent="0.2">
      <c r="A21" s="321"/>
      <c r="B21" s="186">
        <v>13977.599999999999</v>
      </c>
      <c r="C21" s="180"/>
      <c r="D21" s="181">
        <f t="shared" si="0"/>
        <v>0</v>
      </c>
      <c r="E21" s="180">
        <v>1</v>
      </c>
      <c r="F21" s="181">
        <f t="shared" si="1"/>
        <v>13977.599999999999</v>
      </c>
      <c r="G21" s="180"/>
      <c r="H21" s="181">
        <f t="shared" si="2"/>
        <v>0</v>
      </c>
      <c r="I21" s="180"/>
      <c r="J21" s="181">
        <f t="shared" si="3"/>
        <v>0</v>
      </c>
      <c r="K21" s="182"/>
      <c r="L21" s="9"/>
      <c r="M21" s="9"/>
      <c r="N21" s="9"/>
      <c r="O21" s="9"/>
      <c r="P21" s="9"/>
      <c r="Q21" s="9"/>
      <c r="R21" s="9"/>
      <c r="S21" s="9"/>
      <c r="T21" s="9"/>
    </row>
    <row r="22" spans="1:20" ht="50.25" customHeight="1" x14ac:dyDescent="0.2">
      <c r="A22" s="321"/>
      <c r="B22" s="186">
        <v>16012.8</v>
      </c>
      <c r="C22" s="172"/>
      <c r="D22" s="171">
        <f t="shared" si="0"/>
        <v>0</v>
      </c>
      <c r="E22" s="172">
        <v>0.33333000000000002</v>
      </c>
      <c r="F22" s="171">
        <f t="shared" si="1"/>
        <v>5337.5466239999996</v>
      </c>
      <c r="G22" s="172">
        <v>0.33333000000000002</v>
      </c>
      <c r="H22" s="171">
        <f t="shared" si="2"/>
        <v>5337.5466239999996</v>
      </c>
      <c r="I22" s="172">
        <v>0.33333000000000002</v>
      </c>
      <c r="J22" s="171">
        <f t="shared" si="3"/>
        <v>5337.5466239999996</v>
      </c>
      <c r="K22" s="170"/>
      <c r="L22" s="9"/>
      <c r="M22" s="9"/>
      <c r="N22" s="9"/>
      <c r="O22" s="9"/>
      <c r="P22" s="9"/>
      <c r="Q22" s="9"/>
      <c r="R22" s="9"/>
      <c r="S22" s="9"/>
      <c r="T22" s="9"/>
    </row>
    <row r="23" spans="1:20" ht="50.25" customHeight="1" x14ac:dyDescent="0.2">
      <c r="A23" s="185"/>
      <c r="B23" s="186">
        <v>68410</v>
      </c>
      <c r="C23" s="318">
        <v>1</v>
      </c>
      <c r="D23" s="312">
        <f>C23*B23</f>
        <v>68410</v>
      </c>
      <c r="E23" s="311"/>
      <c r="F23" s="312">
        <f>E23*B23</f>
        <v>0</v>
      </c>
      <c r="G23" s="311"/>
      <c r="H23" s="312">
        <f>G23*B23</f>
        <v>0</v>
      </c>
      <c r="I23" s="311"/>
      <c r="J23" s="312">
        <f>I23*B23</f>
        <v>0</v>
      </c>
      <c r="K23" s="316"/>
      <c r="L23" s="9"/>
      <c r="M23" s="9"/>
      <c r="N23" s="9"/>
      <c r="O23" s="9"/>
      <c r="P23" s="9"/>
      <c r="Q23" s="9"/>
      <c r="R23" s="9"/>
      <c r="S23" s="9"/>
      <c r="T23" s="9"/>
    </row>
    <row r="24" spans="1:20" ht="50.25" customHeight="1" x14ac:dyDescent="0.2">
      <c r="A24" s="319"/>
      <c r="B24" s="186">
        <v>34732.800000000003</v>
      </c>
      <c r="C24" s="172"/>
      <c r="D24" s="171">
        <f t="shared" si="0"/>
        <v>0</v>
      </c>
      <c r="E24" s="172">
        <v>0.5</v>
      </c>
      <c r="F24" s="171">
        <f t="shared" si="1"/>
        <v>17366.400000000001</v>
      </c>
      <c r="G24" s="172">
        <v>0.5</v>
      </c>
      <c r="H24" s="171">
        <f t="shared" si="2"/>
        <v>17366.400000000001</v>
      </c>
      <c r="I24" s="172"/>
      <c r="J24" s="171">
        <f t="shared" si="3"/>
        <v>0</v>
      </c>
      <c r="K24" s="170"/>
      <c r="L24" s="9"/>
      <c r="M24" s="9"/>
      <c r="N24" s="9"/>
      <c r="O24" s="9"/>
      <c r="P24" s="9"/>
      <c r="Q24" s="9"/>
      <c r="R24" s="9"/>
      <c r="S24" s="9"/>
      <c r="T24" s="9"/>
    </row>
    <row r="25" spans="1:20" ht="50.25" customHeight="1" x14ac:dyDescent="0.2">
      <c r="A25" s="185"/>
      <c r="B25" s="186">
        <v>123133.59999999998</v>
      </c>
      <c r="C25" s="322"/>
      <c r="D25" s="323">
        <f>C25*B25</f>
        <v>0</v>
      </c>
      <c r="E25" s="322">
        <v>1</v>
      </c>
      <c r="F25" s="323">
        <f>E25*B25</f>
        <v>123133.59999999998</v>
      </c>
      <c r="G25" s="322"/>
      <c r="H25" s="323">
        <f>G25*B25</f>
        <v>0</v>
      </c>
      <c r="I25" s="322"/>
      <c r="J25" s="323">
        <f>I25*B25</f>
        <v>0</v>
      </c>
      <c r="K25" s="325"/>
      <c r="L25" s="9"/>
      <c r="M25" s="9"/>
      <c r="N25" s="9"/>
      <c r="O25" s="9"/>
      <c r="P25" s="9"/>
      <c r="Q25" s="9"/>
      <c r="R25" s="9"/>
      <c r="S25" s="9"/>
      <c r="T25" s="9"/>
    </row>
    <row r="26" spans="1:20" ht="50.25" customHeight="1" x14ac:dyDescent="0.2">
      <c r="A26" s="319"/>
      <c r="B26" s="186">
        <v>15237.8</v>
      </c>
      <c r="C26" s="172"/>
      <c r="D26" s="171">
        <f t="shared" si="0"/>
        <v>0</v>
      </c>
      <c r="E26" s="172">
        <v>0.5</v>
      </c>
      <c r="F26" s="171">
        <f t="shared" si="1"/>
        <v>7618.9</v>
      </c>
      <c r="G26" s="172">
        <v>0.5</v>
      </c>
      <c r="H26" s="171">
        <f t="shared" si="2"/>
        <v>7618.9</v>
      </c>
      <c r="I26" s="172"/>
      <c r="J26" s="171">
        <f t="shared" si="3"/>
        <v>0</v>
      </c>
      <c r="K26" s="170"/>
      <c r="L26" s="9"/>
      <c r="M26" s="9"/>
      <c r="N26" s="9"/>
      <c r="O26" s="9"/>
      <c r="P26" s="9"/>
      <c r="Q26" s="9"/>
      <c r="R26" s="9"/>
      <c r="S26" s="9"/>
      <c r="T26" s="9"/>
    </row>
    <row r="27" spans="1:20" ht="50.25" customHeight="1" x14ac:dyDescent="0.2">
      <c r="A27" s="321"/>
      <c r="B27" s="186">
        <v>24572.97</v>
      </c>
      <c r="C27" s="172">
        <v>0.25</v>
      </c>
      <c r="D27" s="171">
        <f t="shared" si="0"/>
        <v>6143.2425000000003</v>
      </c>
      <c r="E27" s="172">
        <v>0.25</v>
      </c>
      <c r="F27" s="171">
        <f t="shared" si="1"/>
        <v>6143.2425000000003</v>
      </c>
      <c r="G27" s="172">
        <v>0.25</v>
      </c>
      <c r="H27" s="171">
        <f t="shared" si="2"/>
        <v>6143.2425000000003</v>
      </c>
      <c r="I27" s="172">
        <v>0.25</v>
      </c>
      <c r="J27" s="171">
        <f t="shared" si="3"/>
        <v>6143.2425000000003</v>
      </c>
      <c r="K27" s="170"/>
      <c r="L27" s="9"/>
      <c r="M27" s="9"/>
      <c r="N27" s="9"/>
      <c r="O27" s="9"/>
      <c r="P27" s="9"/>
      <c r="Q27" s="9"/>
      <c r="R27" s="9"/>
      <c r="S27" s="9"/>
      <c r="T27" s="9"/>
    </row>
    <row r="28" spans="1:20" ht="50.25" customHeight="1" x14ac:dyDescent="0.2">
      <c r="A28" s="185"/>
      <c r="B28" s="186">
        <v>45042</v>
      </c>
      <c r="C28" s="308"/>
      <c r="D28" s="309">
        <f t="shared" ref="D28:D33" si="5">C28*B28</f>
        <v>0</v>
      </c>
      <c r="E28" s="308">
        <v>0.5</v>
      </c>
      <c r="F28" s="309">
        <f t="shared" ref="F28:F33" si="6">E28*B28</f>
        <v>22521</v>
      </c>
      <c r="G28" s="308">
        <v>0.5</v>
      </c>
      <c r="H28" s="309">
        <f t="shared" ref="H28:H33" si="7">G28*B28</f>
        <v>22521</v>
      </c>
      <c r="I28" s="308"/>
      <c r="J28" s="309">
        <f t="shared" ref="J28:J33" si="8">I28*B28</f>
        <v>0</v>
      </c>
      <c r="K28" s="310"/>
      <c r="L28" s="9"/>
      <c r="M28" s="9"/>
      <c r="N28" s="9"/>
      <c r="O28" s="9"/>
      <c r="P28" s="9"/>
      <c r="Q28" s="9"/>
      <c r="R28" s="9"/>
      <c r="S28" s="9"/>
      <c r="T28" s="9"/>
    </row>
    <row r="29" spans="1:20" ht="50.25" customHeight="1" x14ac:dyDescent="0.2">
      <c r="A29" s="185"/>
      <c r="B29" s="186">
        <v>17464.8</v>
      </c>
      <c r="C29" s="322">
        <v>0.25</v>
      </c>
      <c r="D29" s="323">
        <f t="shared" si="5"/>
        <v>4366.2</v>
      </c>
      <c r="E29" s="322">
        <v>0.25</v>
      </c>
      <c r="F29" s="323">
        <f t="shared" si="6"/>
        <v>4366.2</v>
      </c>
      <c r="G29" s="322">
        <v>0.25</v>
      </c>
      <c r="H29" s="323">
        <f t="shared" si="7"/>
        <v>4366.2</v>
      </c>
      <c r="I29" s="322">
        <v>0.25</v>
      </c>
      <c r="J29" s="323">
        <f t="shared" si="8"/>
        <v>4366.2</v>
      </c>
      <c r="K29" s="325"/>
      <c r="L29" s="9"/>
      <c r="M29" s="9"/>
      <c r="N29" s="9"/>
      <c r="O29" s="9"/>
      <c r="P29" s="9"/>
      <c r="Q29" s="9"/>
      <c r="R29" s="9"/>
      <c r="S29" s="9"/>
      <c r="T29" s="9"/>
    </row>
    <row r="30" spans="1:20" ht="50.25" customHeight="1" x14ac:dyDescent="0.2">
      <c r="A30" s="185"/>
      <c r="B30" s="186">
        <v>30042.600000000002</v>
      </c>
      <c r="C30" s="311">
        <v>0.33329999999999999</v>
      </c>
      <c r="D30" s="312">
        <f t="shared" si="5"/>
        <v>10013.19858</v>
      </c>
      <c r="E30" s="311">
        <v>0.33333000000000002</v>
      </c>
      <c r="F30" s="312">
        <f t="shared" si="6"/>
        <v>10014.099858000001</v>
      </c>
      <c r="G30" s="311"/>
      <c r="H30" s="312">
        <f t="shared" si="7"/>
        <v>0</v>
      </c>
      <c r="I30" s="311">
        <v>0.33329999999999999</v>
      </c>
      <c r="J30" s="312">
        <f t="shared" si="8"/>
        <v>10013.19858</v>
      </c>
      <c r="K30" s="316"/>
      <c r="L30" s="9"/>
      <c r="M30" s="9"/>
      <c r="N30" s="9"/>
      <c r="O30" s="9"/>
      <c r="P30" s="9"/>
      <c r="Q30" s="9"/>
      <c r="R30" s="9"/>
      <c r="S30" s="9"/>
      <c r="T30" s="9"/>
    </row>
    <row r="31" spans="1:20" ht="50.25" customHeight="1" x14ac:dyDescent="0.2">
      <c r="A31" s="185"/>
      <c r="B31" s="186">
        <v>67965</v>
      </c>
      <c r="C31" s="322">
        <v>0.3333333</v>
      </c>
      <c r="D31" s="323">
        <f t="shared" si="5"/>
        <v>22654.997734500001</v>
      </c>
      <c r="E31" s="322">
        <v>0.3333333</v>
      </c>
      <c r="F31" s="323">
        <f t="shared" si="6"/>
        <v>22654.997734500001</v>
      </c>
      <c r="G31" s="322">
        <v>0.3333333</v>
      </c>
      <c r="H31" s="323">
        <f t="shared" si="7"/>
        <v>22654.997734500001</v>
      </c>
      <c r="I31" s="322"/>
      <c r="J31" s="323">
        <f t="shared" si="8"/>
        <v>0</v>
      </c>
      <c r="K31" s="326"/>
      <c r="L31" s="9"/>
      <c r="M31" s="9"/>
      <c r="N31" s="9"/>
      <c r="O31" s="9"/>
      <c r="P31" s="9"/>
      <c r="Q31" s="9"/>
      <c r="R31" s="9"/>
      <c r="S31" s="9"/>
      <c r="T31" s="9"/>
    </row>
    <row r="32" spans="1:20" ht="50.25" customHeight="1" x14ac:dyDescent="0.2">
      <c r="A32" s="185"/>
      <c r="B32" s="186">
        <v>30912</v>
      </c>
      <c r="C32" s="308"/>
      <c r="D32" s="309">
        <f t="shared" si="5"/>
        <v>0</v>
      </c>
      <c r="E32" s="308">
        <v>0.5</v>
      </c>
      <c r="F32" s="309">
        <f t="shared" si="6"/>
        <v>15456</v>
      </c>
      <c r="G32" s="308">
        <v>0.5</v>
      </c>
      <c r="H32" s="309">
        <f t="shared" si="7"/>
        <v>15456</v>
      </c>
      <c r="I32" s="308"/>
      <c r="J32" s="309">
        <f t="shared" si="8"/>
        <v>0</v>
      </c>
      <c r="K32" s="310"/>
      <c r="L32" s="9"/>
      <c r="M32" s="9"/>
      <c r="N32" s="9"/>
      <c r="O32" s="9"/>
      <c r="P32" s="9"/>
      <c r="Q32" s="9"/>
      <c r="R32" s="9"/>
      <c r="S32" s="9"/>
      <c r="T32" s="9"/>
    </row>
    <row r="33" spans="1:25" s="140" customFormat="1" ht="50.25" customHeight="1" x14ac:dyDescent="0.2">
      <c r="A33" s="185"/>
      <c r="B33" s="186">
        <v>14345.6</v>
      </c>
      <c r="C33" s="311"/>
      <c r="D33" s="312">
        <f t="shared" si="5"/>
        <v>0</v>
      </c>
      <c r="E33" s="311">
        <v>0.5</v>
      </c>
      <c r="F33" s="312">
        <f t="shared" si="6"/>
        <v>7172.8</v>
      </c>
      <c r="G33" s="311">
        <v>0.5</v>
      </c>
      <c r="H33" s="312">
        <f t="shared" si="7"/>
        <v>7172.8</v>
      </c>
      <c r="I33" s="311"/>
      <c r="J33" s="312">
        <f t="shared" si="8"/>
        <v>0</v>
      </c>
      <c r="K33" s="313"/>
    </row>
    <row r="34" spans="1:25" s="140" customFormat="1" ht="50.25" customHeight="1" x14ac:dyDescent="0.2">
      <c r="A34" s="319"/>
      <c r="B34" s="186">
        <v>22120.799999999996</v>
      </c>
      <c r="C34" s="172">
        <v>0.25</v>
      </c>
      <c r="D34" s="171">
        <f t="shared" ref="D34" si="9">C34*B34</f>
        <v>5530.1999999999989</v>
      </c>
      <c r="E34" s="172">
        <v>0.25</v>
      </c>
      <c r="F34" s="171">
        <f t="shared" ref="F34" si="10">E34*B34</f>
        <v>5530.1999999999989</v>
      </c>
      <c r="G34" s="172">
        <v>0.25</v>
      </c>
      <c r="H34" s="171">
        <f t="shared" ref="H34" si="11">G34*B34</f>
        <v>5530.1999999999989</v>
      </c>
      <c r="I34" s="172">
        <v>0.25</v>
      </c>
      <c r="J34" s="171">
        <f t="shared" ref="J34" si="12">I34*B34</f>
        <v>5530.1999999999989</v>
      </c>
      <c r="K34" s="170"/>
    </row>
    <row r="35" spans="1:25" ht="50.25" customHeight="1" x14ac:dyDescent="0.2">
      <c r="A35" s="185"/>
      <c r="B35" s="186">
        <v>76462.600000000006</v>
      </c>
      <c r="C35" s="322">
        <v>1</v>
      </c>
      <c r="D35" s="323">
        <f t="shared" ref="D35:D40" si="13">C35*B35</f>
        <v>76462.600000000006</v>
      </c>
      <c r="E35" s="322"/>
      <c r="F35" s="323">
        <f t="shared" ref="F35:F40" si="14">E35*B35</f>
        <v>0</v>
      </c>
      <c r="G35" s="322"/>
      <c r="H35" s="323">
        <f t="shared" ref="H35:H40" si="15">G35*B35</f>
        <v>0</v>
      </c>
      <c r="I35" s="322"/>
      <c r="J35" s="323">
        <f t="shared" ref="J35:J40" si="16">I35*B35</f>
        <v>0</v>
      </c>
      <c r="K35" s="325"/>
      <c r="L35" s="9"/>
      <c r="M35" s="9"/>
      <c r="N35" s="9"/>
      <c r="O35" s="9"/>
      <c r="P35" s="9"/>
      <c r="Q35" s="9"/>
      <c r="R35" s="9"/>
      <c r="S35" s="9"/>
      <c r="T35" s="9"/>
    </row>
    <row r="36" spans="1:25" ht="50.25" customHeight="1" x14ac:dyDescent="0.2">
      <c r="A36" s="185"/>
      <c r="B36" s="186">
        <v>34117.25</v>
      </c>
      <c r="C36" s="311"/>
      <c r="D36" s="312">
        <f t="shared" si="13"/>
        <v>0</v>
      </c>
      <c r="E36" s="311">
        <v>0.33333000000000002</v>
      </c>
      <c r="F36" s="312">
        <f t="shared" si="14"/>
        <v>11372.3029425</v>
      </c>
      <c r="G36" s="311">
        <v>0.33333000000000002</v>
      </c>
      <c r="H36" s="312">
        <f t="shared" si="15"/>
        <v>11372.3029425</v>
      </c>
      <c r="I36" s="311">
        <v>0.33333000000000002</v>
      </c>
      <c r="J36" s="312">
        <f t="shared" si="16"/>
        <v>11372.3029425</v>
      </c>
      <c r="K36" s="313"/>
      <c r="L36" s="9"/>
      <c r="M36" s="9"/>
      <c r="N36" s="9"/>
      <c r="O36" s="9"/>
      <c r="P36" s="9"/>
      <c r="Q36" s="9"/>
      <c r="R36" s="9"/>
      <c r="S36" s="9"/>
      <c r="T36" s="9"/>
    </row>
    <row r="37" spans="1:25" ht="50.25" customHeight="1" x14ac:dyDescent="0.2">
      <c r="A37" s="185"/>
      <c r="B37" s="186">
        <v>92415.6</v>
      </c>
      <c r="C37" s="322">
        <v>0.25</v>
      </c>
      <c r="D37" s="323">
        <f t="shared" si="13"/>
        <v>23103.9</v>
      </c>
      <c r="E37" s="322">
        <v>0.25</v>
      </c>
      <c r="F37" s="323">
        <f t="shared" si="14"/>
        <v>23103.9</v>
      </c>
      <c r="G37" s="322">
        <v>0.25</v>
      </c>
      <c r="H37" s="323">
        <f t="shared" si="15"/>
        <v>23103.9</v>
      </c>
      <c r="I37" s="322">
        <v>0.25</v>
      </c>
      <c r="J37" s="323">
        <f t="shared" si="16"/>
        <v>23103.9</v>
      </c>
      <c r="K37" s="324"/>
      <c r="L37" s="9"/>
      <c r="M37" s="9"/>
      <c r="N37" s="9"/>
      <c r="O37" s="9"/>
      <c r="P37" s="9"/>
      <c r="Q37" s="9"/>
      <c r="R37" s="9"/>
      <c r="S37" s="9"/>
      <c r="T37" s="9"/>
    </row>
    <row r="38" spans="1:25" ht="50.25" customHeight="1" x14ac:dyDescent="0.2">
      <c r="A38" s="185"/>
      <c r="B38" s="186">
        <v>19304.399999999998</v>
      </c>
      <c r="C38" s="311"/>
      <c r="D38" s="312">
        <f t="shared" si="13"/>
        <v>0</v>
      </c>
      <c r="E38" s="311">
        <v>0.5</v>
      </c>
      <c r="F38" s="312">
        <f t="shared" si="14"/>
        <v>9652.1999999999989</v>
      </c>
      <c r="G38" s="311">
        <v>0.5</v>
      </c>
      <c r="H38" s="312">
        <f t="shared" si="15"/>
        <v>9652.1999999999989</v>
      </c>
      <c r="I38" s="311"/>
      <c r="J38" s="312">
        <f t="shared" si="16"/>
        <v>0</v>
      </c>
      <c r="K38" s="313"/>
      <c r="L38" s="9"/>
      <c r="M38" s="9"/>
      <c r="N38" s="9"/>
      <c r="O38" s="9"/>
      <c r="P38" s="9"/>
      <c r="Q38" s="9"/>
      <c r="R38" s="9"/>
      <c r="S38" s="9"/>
      <c r="T38" s="9"/>
    </row>
    <row r="39" spans="1:25" ht="50.25" customHeight="1" x14ac:dyDescent="0.2">
      <c r="A39" s="185"/>
      <c r="B39" s="186">
        <v>59324.7</v>
      </c>
      <c r="C39" s="322"/>
      <c r="D39" s="323">
        <f t="shared" si="13"/>
        <v>0</v>
      </c>
      <c r="E39" s="322">
        <v>0.5</v>
      </c>
      <c r="F39" s="323">
        <f t="shared" si="14"/>
        <v>29662.35</v>
      </c>
      <c r="G39" s="322">
        <v>0.5</v>
      </c>
      <c r="H39" s="323">
        <f t="shared" si="15"/>
        <v>29662.35</v>
      </c>
      <c r="I39" s="322"/>
      <c r="J39" s="323">
        <f t="shared" si="16"/>
        <v>0</v>
      </c>
      <c r="K39" s="324"/>
      <c r="L39" s="9"/>
      <c r="M39" s="9"/>
      <c r="N39" s="9"/>
      <c r="O39" s="9"/>
      <c r="P39" s="9"/>
      <c r="Q39" s="9"/>
      <c r="R39" s="9"/>
      <c r="S39" s="9"/>
      <c r="T39" s="9"/>
    </row>
    <row r="40" spans="1:25" ht="50.25" customHeight="1" x14ac:dyDescent="0.2">
      <c r="A40" s="185"/>
      <c r="B40" s="186">
        <v>35553.800000000003</v>
      </c>
      <c r="C40" s="311">
        <v>0.33333000000000002</v>
      </c>
      <c r="D40" s="312">
        <f t="shared" si="13"/>
        <v>11851.148154000002</v>
      </c>
      <c r="E40" s="311">
        <v>0.33333000000000002</v>
      </c>
      <c r="F40" s="312">
        <f t="shared" si="14"/>
        <v>11851.148154000002</v>
      </c>
      <c r="G40" s="311">
        <v>0.33333000000000002</v>
      </c>
      <c r="H40" s="312">
        <f t="shared" si="15"/>
        <v>11851.148154000002</v>
      </c>
      <c r="I40" s="311"/>
      <c r="J40" s="312">
        <f t="shared" si="16"/>
        <v>0</v>
      </c>
      <c r="K40" s="313"/>
      <c r="L40" s="9"/>
      <c r="M40" s="9"/>
      <c r="N40" s="9"/>
      <c r="O40" s="9"/>
      <c r="P40" s="9"/>
      <c r="Q40" s="9"/>
      <c r="R40" s="9"/>
      <c r="S40" s="9"/>
      <c r="T40" s="9"/>
    </row>
    <row r="41" spans="1:25" x14ac:dyDescent="0.2">
      <c r="A41" s="184"/>
      <c r="B41" s="173">
        <f>SUM(B12:B40)</f>
        <v>1123581.6300000001</v>
      </c>
      <c r="C41" s="172"/>
      <c r="D41" s="171">
        <f>SUM(D12:D40)</f>
        <v>298984.14696850005</v>
      </c>
      <c r="E41" s="172"/>
      <c r="F41" s="171">
        <f>SUM(F12:F40)</f>
        <v>508952.02781299996</v>
      </c>
      <c r="G41" s="172"/>
      <c r="H41" s="171">
        <f>SUM(H12:H40)</f>
        <v>237201.747955</v>
      </c>
      <c r="I41" s="172"/>
      <c r="J41" s="171">
        <f>SUM(J12:J40)</f>
        <v>78440.740646499995</v>
      </c>
      <c r="K41" s="170"/>
      <c r="L41" s="9"/>
      <c r="M41" s="9"/>
      <c r="N41" s="9"/>
      <c r="O41" s="9"/>
      <c r="P41" s="9"/>
      <c r="Q41" s="9"/>
      <c r="R41" s="9"/>
      <c r="S41" s="9"/>
      <c r="T41" s="9"/>
    </row>
    <row r="42" spans="1:25" x14ac:dyDescent="0.2">
      <c r="A42" s="169"/>
      <c r="B42" s="164" t="s">
        <v>136</v>
      </c>
      <c r="C42" s="162" t="s">
        <v>137</v>
      </c>
      <c r="D42" s="167" t="s">
        <v>10</v>
      </c>
      <c r="E42" s="162" t="s">
        <v>166</v>
      </c>
      <c r="F42" s="167" t="s">
        <v>10</v>
      </c>
      <c r="G42" s="168" t="s">
        <v>170</v>
      </c>
      <c r="H42" s="167" t="s">
        <v>10</v>
      </c>
      <c r="I42" s="168" t="s">
        <v>139</v>
      </c>
      <c r="J42" s="167" t="s">
        <v>10</v>
      </c>
      <c r="K42" s="166"/>
      <c r="L42" s="9"/>
      <c r="M42" s="9"/>
      <c r="N42" s="9"/>
      <c r="O42" s="9"/>
      <c r="P42" s="9"/>
      <c r="Q42" s="9"/>
      <c r="R42" s="9"/>
      <c r="S42" s="9"/>
      <c r="T42" s="9"/>
    </row>
    <row r="43" spans="1:25" x14ac:dyDescent="0.2">
      <c r="A43" s="165"/>
      <c r="B43" s="164" t="s">
        <v>138</v>
      </c>
      <c r="C43" s="163"/>
      <c r="D43" s="162">
        <f>D41/$B$41</f>
        <v>0.26609917694053081</v>
      </c>
      <c r="E43" s="163"/>
      <c r="F43" s="162">
        <f>F41/$B$41</f>
        <v>0.45297289865178725</v>
      </c>
      <c r="G43" s="162"/>
      <c r="H43" s="162">
        <f>H41/$B$41</f>
        <v>0.21111216276738165</v>
      </c>
      <c r="I43" s="162"/>
      <c r="J43" s="162">
        <f>J41/$B$41</f>
        <v>6.9813121318564084E-2</v>
      </c>
      <c r="K43" s="161"/>
      <c r="L43" s="9"/>
      <c r="M43" s="9"/>
      <c r="N43" s="9"/>
      <c r="O43" s="9"/>
      <c r="P43" s="9"/>
      <c r="Q43" s="9"/>
      <c r="R43" s="9"/>
      <c r="S43" s="9"/>
      <c r="T43" s="9"/>
    </row>
    <row r="45" spans="1:25" x14ac:dyDescent="0.2">
      <c r="Q45" s="158"/>
      <c r="R45" s="159"/>
      <c r="U45" s="158"/>
      <c r="V45" s="159"/>
      <c r="W45" s="158"/>
      <c r="X45" s="158"/>
      <c r="Y45" s="158"/>
    </row>
    <row r="46" spans="1:25" x14ac:dyDescent="0.2">
      <c r="Q46" s="158"/>
      <c r="R46" s="159"/>
      <c r="U46" s="158"/>
      <c r="V46" s="159"/>
      <c r="W46" s="158"/>
      <c r="X46" s="158"/>
      <c r="Y46" s="158"/>
    </row>
    <row r="47" spans="1:25" x14ac:dyDescent="0.2">
      <c r="Q47" s="158"/>
      <c r="R47" s="159"/>
      <c r="U47" s="158"/>
      <c r="V47" s="159"/>
      <c r="W47" s="158"/>
      <c r="X47" s="158"/>
      <c r="Y47" s="158"/>
    </row>
    <row r="48" spans="1:25" x14ac:dyDescent="0.2">
      <c r="Q48" s="158"/>
      <c r="R48" s="159"/>
      <c r="U48" s="158"/>
      <c r="V48" s="159"/>
      <c r="W48" s="158"/>
      <c r="X48" s="158"/>
      <c r="Y48" s="158"/>
    </row>
    <row r="49" spans="17:25" x14ac:dyDescent="0.2">
      <c r="Q49" s="158"/>
      <c r="R49" s="159"/>
      <c r="U49" s="158"/>
      <c r="V49" s="159"/>
      <c r="W49" s="158"/>
      <c r="X49" s="158"/>
      <c r="Y49" s="158"/>
    </row>
    <row r="50" spans="17:25" ht="23.5" customHeight="1" x14ac:dyDescent="0.2">
      <c r="Q50" s="158"/>
      <c r="R50" s="159"/>
      <c r="U50" s="158"/>
      <c r="V50" s="159"/>
      <c r="W50" s="158"/>
      <c r="X50" s="158"/>
      <c r="Y50" s="158"/>
    </row>
    <row r="51" spans="17:25" x14ac:dyDescent="0.2">
      <c r="Q51" s="158"/>
      <c r="R51" s="159"/>
      <c r="U51" s="158"/>
      <c r="V51" s="159"/>
      <c r="W51" s="158"/>
      <c r="X51" s="158"/>
      <c r="Y51" s="158"/>
    </row>
    <row r="52" spans="17:25" x14ac:dyDescent="0.2">
      <c r="Q52" s="158"/>
      <c r="R52" s="159"/>
      <c r="U52" s="158"/>
      <c r="V52" s="159"/>
      <c r="W52" s="158"/>
      <c r="X52" s="158"/>
      <c r="Y52" s="158"/>
    </row>
    <row r="53" spans="17:25" x14ac:dyDescent="0.2">
      <c r="Q53" s="158"/>
      <c r="R53" s="159"/>
      <c r="U53" s="158"/>
      <c r="V53" s="159"/>
      <c r="W53" s="158"/>
      <c r="X53" s="158"/>
      <c r="Y53" s="158"/>
    </row>
    <row r="54" spans="17:25" x14ac:dyDescent="0.2">
      <c r="Q54" s="158"/>
      <c r="R54" s="159"/>
      <c r="U54" s="158"/>
      <c r="V54" s="159"/>
      <c r="W54" s="158"/>
      <c r="X54" s="158"/>
      <c r="Y54" s="158"/>
    </row>
  </sheetData>
  <sheetProtection algorithmName="SHA-512" hashValue="8DDwx8DSAIzgrvjUYkpzzd6IGJQz7mVm8/HcBAUGPzn16gYjCOUS69xWUCudUOvDfmiOvMSeOPHd0eLcNlZUUw==" saltValue="UBEFvvhLvlG1TAcCUlnDJg==" spinCount="100000" sheet="1" objects="1" scenarios="1"/>
  <pageMargins left="0.7" right="0.7" top="0.75" bottom="0.75" header="0.3" footer="0.3"/>
  <pageSetup paperSize="9" scale="67" orientation="landscape" r:id="rId1"/>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182B4-BCF3-4AC1-B779-67AA606CAED8}">
  <sheetPr codeName="Blad11">
    <tabColor rgb="FF00B0F0"/>
    <pageSetUpPr fitToPage="1"/>
  </sheetPr>
  <dimension ref="A1:Y48"/>
  <sheetViews>
    <sheetView zoomScale="75" zoomScaleNormal="75" workbookViewId="0"/>
  </sheetViews>
  <sheetFormatPr baseColWidth="10" defaultColWidth="9.1640625" defaultRowHeight="15" x14ac:dyDescent="0.2"/>
  <cols>
    <col min="1" max="1" width="32" style="160" customWidth="1"/>
    <col min="2" max="2" width="28.5" style="9" customWidth="1"/>
    <col min="3" max="3" width="17.1640625" style="9" customWidth="1"/>
    <col min="4" max="4" width="16.5" style="9" customWidth="1"/>
    <col min="5" max="5" width="15.5" style="159" customWidth="1"/>
    <col min="6" max="6" width="17.1640625" style="158" customWidth="1"/>
    <col min="7" max="7" width="16.5" style="158" customWidth="1"/>
    <col min="8" max="8" width="14.83203125" style="158" customWidth="1"/>
    <col min="9" max="9" width="14.5" style="159" customWidth="1"/>
    <col min="10" max="12" width="14.83203125" style="158" customWidth="1"/>
    <col min="13" max="13" width="17.1640625" style="159" customWidth="1"/>
    <col min="14" max="14" width="13.83203125" style="158" customWidth="1"/>
    <col min="15" max="16" width="12.5" style="158" customWidth="1"/>
    <col min="17" max="17" width="11.1640625" style="159" customWidth="1"/>
    <col min="18" max="20" width="11.1640625" style="158" customWidth="1"/>
    <col min="21" max="22" width="87.83203125" style="9" customWidth="1"/>
    <col min="23" max="16384" width="9.1640625" style="9"/>
  </cols>
  <sheetData>
    <row r="1" spans="1:20" ht="29" x14ac:dyDescent="0.35">
      <c r="A1" s="183" t="s">
        <v>167</v>
      </c>
      <c r="H1" s="159"/>
      <c r="I1" s="158"/>
      <c r="L1" s="159"/>
      <c r="M1" s="158"/>
      <c r="P1" s="159"/>
      <c r="Q1" s="158"/>
      <c r="T1" s="9"/>
    </row>
    <row r="2" spans="1:20" x14ac:dyDescent="0.2">
      <c r="A2" s="158" t="s">
        <v>147</v>
      </c>
      <c r="H2" s="159"/>
      <c r="I2" s="158"/>
      <c r="L2" s="159"/>
      <c r="M2" s="158"/>
      <c r="P2" s="159"/>
      <c r="Q2" s="158"/>
      <c r="T2" s="9"/>
    </row>
    <row r="3" spans="1:20" x14ac:dyDescent="0.2">
      <c r="H3" s="159"/>
      <c r="I3" s="158"/>
      <c r="L3" s="159"/>
      <c r="M3" s="158"/>
      <c r="P3" s="159"/>
      <c r="Q3" s="158"/>
      <c r="T3" s="9"/>
    </row>
    <row r="4" spans="1:20" x14ac:dyDescent="0.2">
      <c r="A4" s="179" t="s">
        <v>21</v>
      </c>
      <c r="B4" s="187" t="s">
        <v>168</v>
      </c>
      <c r="C4" s="158"/>
      <c r="D4" s="158"/>
      <c r="E4" s="158"/>
      <c r="H4" s="159"/>
      <c r="I4" s="158"/>
      <c r="L4" s="159"/>
      <c r="M4" s="158"/>
      <c r="P4" s="9"/>
      <c r="Q4" s="9"/>
      <c r="R4" s="9"/>
      <c r="S4" s="9"/>
      <c r="T4" s="9"/>
    </row>
    <row r="5" spans="1:20" ht="17.25" customHeight="1" x14ac:dyDescent="0.2">
      <c r="A5" s="160" t="s">
        <v>103</v>
      </c>
      <c r="B5" s="306">
        <f>D37</f>
        <v>0.24688402017545993</v>
      </c>
      <c r="C5" s="158"/>
      <c r="D5" s="158"/>
      <c r="E5" s="158"/>
      <c r="H5" s="159"/>
      <c r="I5" s="158"/>
      <c r="L5" s="159"/>
      <c r="M5" s="158"/>
      <c r="P5" s="9"/>
      <c r="Q5" s="9"/>
      <c r="R5" s="9"/>
      <c r="S5" s="9"/>
      <c r="T5" s="9"/>
    </row>
    <row r="6" spans="1:20" x14ac:dyDescent="0.2">
      <c r="A6" s="160" t="str">
        <f>$E$36</f>
        <v>GGZ:</v>
      </c>
      <c r="B6" s="306">
        <f>F37</f>
        <v>0.50375467500034354</v>
      </c>
      <c r="C6" s="158"/>
      <c r="D6" s="158"/>
      <c r="E6" s="158"/>
      <c r="H6" s="159"/>
      <c r="I6" s="158"/>
      <c r="L6" s="159"/>
      <c r="M6" s="158"/>
      <c r="P6" s="9"/>
      <c r="Q6" s="9"/>
      <c r="R6" s="9"/>
      <c r="S6" s="9"/>
      <c r="T6" s="9"/>
    </row>
    <row r="7" spans="1:20" x14ac:dyDescent="0.2">
      <c r="A7" s="160" t="s">
        <v>149</v>
      </c>
      <c r="B7" s="306">
        <f>H37</f>
        <v>0.16634989803661401</v>
      </c>
      <c r="C7" s="158"/>
      <c r="D7" s="158"/>
      <c r="E7" s="158"/>
      <c r="H7" s="159"/>
      <c r="I7" s="158"/>
      <c r="L7" s="159"/>
      <c r="M7" s="158"/>
      <c r="P7" s="9"/>
      <c r="Q7" s="9"/>
      <c r="R7" s="9"/>
      <c r="S7" s="9"/>
      <c r="T7" s="9"/>
    </row>
    <row r="8" spans="1:20" x14ac:dyDescent="0.2">
      <c r="A8" s="160" t="str">
        <f>$I$36</f>
        <v>SOM/LG:</v>
      </c>
      <c r="B8" s="306">
        <f>J37</f>
        <v>8.3010155193563154E-2</v>
      </c>
      <c r="C8" s="158"/>
      <c r="D8" s="158"/>
      <c r="Q8" s="9"/>
      <c r="R8" s="9"/>
      <c r="S8" s="9"/>
      <c r="T8" s="9"/>
    </row>
    <row r="9" spans="1:20" x14ac:dyDescent="0.2">
      <c r="B9" s="450">
        <f>SUM(B5:B8)</f>
        <v>0.99999874840598069</v>
      </c>
      <c r="C9" s="158"/>
      <c r="D9" s="158"/>
      <c r="Q9" s="9"/>
      <c r="R9" s="9"/>
      <c r="S9" s="9"/>
      <c r="T9" s="9"/>
    </row>
    <row r="10" spans="1:20" x14ac:dyDescent="0.2">
      <c r="B10" s="178"/>
      <c r="C10" s="178"/>
      <c r="D10" s="178"/>
    </row>
    <row r="11" spans="1:20" ht="50.25" customHeight="1" x14ac:dyDescent="0.2">
      <c r="A11" s="177" t="s">
        <v>146</v>
      </c>
      <c r="B11" t="s">
        <v>152</v>
      </c>
      <c r="C11" s="176" t="s">
        <v>145</v>
      </c>
      <c r="D11" s="143" t="s">
        <v>169</v>
      </c>
      <c r="E11" s="176" t="s">
        <v>148</v>
      </c>
      <c r="F11" s="143" t="s">
        <v>151</v>
      </c>
      <c r="G11" s="176" t="s">
        <v>144</v>
      </c>
      <c r="H11" s="143" t="s">
        <v>143</v>
      </c>
      <c r="I11" s="176" t="s">
        <v>142</v>
      </c>
      <c r="J11" s="143" t="s">
        <v>141</v>
      </c>
      <c r="K11" t="s">
        <v>140</v>
      </c>
      <c r="L11" s="9"/>
      <c r="M11" s="9"/>
      <c r="N11" s="9"/>
      <c r="O11" s="9"/>
      <c r="P11" s="9"/>
      <c r="Q11" s="9"/>
      <c r="R11" s="9"/>
      <c r="S11" s="9"/>
      <c r="T11" s="9"/>
    </row>
    <row r="12" spans="1:20" ht="50.25" customHeight="1" x14ac:dyDescent="0.2">
      <c r="A12" s="185"/>
      <c r="B12" s="186">
        <v>44443.200000000004</v>
      </c>
      <c r="C12" s="308">
        <v>1</v>
      </c>
      <c r="D12" s="309">
        <f>C12*B12</f>
        <v>44443.200000000004</v>
      </c>
      <c r="E12" s="308"/>
      <c r="F12" s="309">
        <f t="shared" ref="F12:F18" si="0">E12*B12</f>
        <v>0</v>
      </c>
      <c r="G12" s="308"/>
      <c r="H12" s="309">
        <f t="shared" ref="H12:H18" si="1">G12*B12</f>
        <v>0</v>
      </c>
      <c r="I12" s="308"/>
      <c r="J12" s="309">
        <f t="shared" ref="J12:J18" si="2">I12*B12</f>
        <v>0</v>
      </c>
      <c r="K12" s="310"/>
      <c r="L12" s="9"/>
      <c r="M12" s="9"/>
      <c r="N12" s="9"/>
      <c r="O12" s="9"/>
      <c r="P12" s="9"/>
      <c r="Q12" s="9"/>
      <c r="R12" s="9"/>
      <c r="S12" s="9"/>
      <c r="T12" s="9"/>
    </row>
    <row r="13" spans="1:20" ht="50.25" customHeight="1" x14ac:dyDescent="0.2">
      <c r="A13" s="185"/>
      <c r="B13" s="186">
        <v>39502</v>
      </c>
      <c r="C13" s="322">
        <v>0.5</v>
      </c>
      <c r="D13" s="323">
        <f>C13*B13</f>
        <v>19751</v>
      </c>
      <c r="E13" s="322"/>
      <c r="F13" s="323">
        <f t="shared" si="0"/>
        <v>0</v>
      </c>
      <c r="G13" s="322"/>
      <c r="H13" s="323">
        <f t="shared" si="1"/>
        <v>0</v>
      </c>
      <c r="I13" s="322">
        <v>0.5</v>
      </c>
      <c r="J13" s="323">
        <f t="shared" si="2"/>
        <v>19751</v>
      </c>
      <c r="K13" s="325"/>
      <c r="L13" s="9"/>
      <c r="M13" s="9"/>
      <c r="N13" s="9"/>
      <c r="O13" s="9"/>
      <c r="P13" s="9"/>
      <c r="Q13" s="9"/>
      <c r="R13" s="9"/>
      <c r="S13" s="9"/>
      <c r="T13" s="9"/>
    </row>
    <row r="14" spans="1:20" ht="50.25" customHeight="1" x14ac:dyDescent="0.2">
      <c r="A14" s="185"/>
      <c r="B14" s="186">
        <v>19776</v>
      </c>
      <c r="C14" s="311"/>
      <c r="D14" s="312">
        <f>C14*B14</f>
        <v>0</v>
      </c>
      <c r="E14" s="311">
        <v>1</v>
      </c>
      <c r="F14" s="312">
        <f t="shared" si="0"/>
        <v>19776</v>
      </c>
      <c r="G14" s="311"/>
      <c r="H14" s="312">
        <f t="shared" si="1"/>
        <v>0</v>
      </c>
      <c r="I14" s="311"/>
      <c r="J14" s="312">
        <f t="shared" si="2"/>
        <v>0</v>
      </c>
      <c r="K14" s="313"/>
      <c r="L14" s="9"/>
      <c r="M14" s="9"/>
      <c r="N14" s="9"/>
      <c r="O14" s="9"/>
      <c r="P14" s="9"/>
      <c r="Q14" s="9"/>
      <c r="R14" s="9"/>
      <c r="S14" s="9"/>
      <c r="T14" s="9"/>
    </row>
    <row r="15" spans="1:20" ht="50.25" customHeight="1" x14ac:dyDescent="0.2">
      <c r="A15" s="185"/>
      <c r="B15" s="186">
        <v>41994.14</v>
      </c>
      <c r="C15" s="322">
        <v>0.5</v>
      </c>
      <c r="D15" s="323">
        <f>C15*B15</f>
        <v>20997.07</v>
      </c>
      <c r="E15" s="322">
        <v>0.5</v>
      </c>
      <c r="F15" s="323">
        <f t="shared" si="0"/>
        <v>20997.07</v>
      </c>
      <c r="G15" s="322"/>
      <c r="H15" s="323">
        <f t="shared" si="1"/>
        <v>0</v>
      </c>
      <c r="I15" s="322"/>
      <c r="J15" s="323">
        <f t="shared" si="2"/>
        <v>0</v>
      </c>
      <c r="K15" s="324"/>
      <c r="L15" s="9"/>
      <c r="M15" s="9"/>
      <c r="N15" s="9"/>
      <c r="O15" s="9"/>
      <c r="P15" s="9"/>
      <c r="Q15" s="9"/>
      <c r="R15" s="9"/>
      <c r="S15" s="9"/>
      <c r="T15" s="9"/>
    </row>
    <row r="16" spans="1:20" ht="50.25" customHeight="1" x14ac:dyDescent="0.2">
      <c r="A16" s="185"/>
      <c r="B16" s="186">
        <v>47028</v>
      </c>
      <c r="C16" s="308"/>
      <c r="D16" s="309">
        <f>C16*B16</f>
        <v>0</v>
      </c>
      <c r="E16" s="308">
        <v>1</v>
      </c>
      <c r="F16" s="309">
        <f t="shared" si="0"/>
        <v>47028</v>
      </c>
      <c r="G16" s="308"/>
      <c r="H16" s="309">
        <f t="shared" si="1"/>
        <v>0</v>
      </c>
      <c r="I16" s="308"/>
      <c r="J16" s="309">
        <f t="shared" si="2"/>
        <v>0</v>
      </c>
      <c r="K16" s="310"/>
      <c r="L16" s="9"/>
      <c r="M16" s="9"/>
      <c r="N16" s="9"/>
      <c r="O16" s="9"/>
      <c r="P16" s="9"/>
      <c r="Q16" s="9"/>
      <c r="R16" s="9"/>
      <c r="S16" s="9"/>
      <c r="T16" s="9"/>
    </row>
    <row r="17" spans="1:20" ht="50.25" customHeight="1" x14ac:dyDescent="0.2">
      <c r="A17" s="321"/>
      <c r="B17" s="186">
        <v>25185.399999999994</v>
      </c>
      <c r="C17" s="188"/>
      <c r="D17" s="171">
        <f t="shared" ref="D17:D28" si="3">C17*B17</f>
        <v>0</v>
      </c>
      <c r="E17" s="172">
        <v>1</v>
      </c>
      <c r="F17" s="171">
        <f t="shared" si="0"/>
        <v>25185.399999999994</v>
      </c>
      <c r="G17" s="172"/>
      <c r="H17" s="171">
        <f t="shared" si="1"/>
        <v>0</v>
      </c>
      <c r="I17" s="172"/>
      <c r="J17" s="171">
        <f t="shared" si="2"/>
        <v>0</v>
      </c>
      <c r="K17" s="175"/>
      <c r="L17" s="9"/>
      <c r="M17" s="9"/>
      <c r="N17" s="9"/>
      <c r="O17" s="9"/>
      <c r="P17" s="9"/>
      <c r="Q17" s="9"/>
      <c r="R17" s="9"/>
      <c r="S17" s="9"/>
      <c r="T17" s="9"/>
    </row>
    <row r="18" spans="1:20" ht="50.25" customHeight="1" x14ac:dyDescent="0.2">
      <c r="A18" s="185"/>
      <c r="B18" s="186">
        <v>55392.200000000004</v>
      </c>
      <c r="C18" s="320">
        <v>1</v>
      </c>
      <c r="D18" s="312">
        <f>C18*B18</f>
        <v>55392.200000000004</v>
      </c>
      <c r="E18" s="311"/>
      <c r="F18" s="312">
        <f t="shared" si="0"/>
        <v>0</v>
      </c>
      <c r="G18" s="311"/>
      <c r="H18" s="312">
        <f t="shared" si="1"/>
        <v>0</v>
      </c>
      <c r="I18" s="311"/>
      <c r="J18" s="312">
        <f t="shared" si="2"/>
        <v>0</v>
      </c>
      <c r="K18" s="316"/>
      <c r="L18" s="9"/>
      <c r="M18" s="9"/>
      <c r="N18" s="9"/>
      <c r="O18" s="9"/>
      <c r="P18" s="9"/>
      <c r="Q18" s="9"/>
      <c r="R18" s="9"/>
      <c r="S18" s="9"/>
      <c r="T18" s="9"/>
    </row>
    <row r="19" spans="1:20" ht="50.25" customHeight="1" x14ac:dyDescent="0.2">
      <c r="A19" s="321"/>
      <c r="B19" s="186">
        <v>33357.599999999999</v>
      </c>
      <c r="C19" s="172"/>
      <c r="D19" s="171">
        <f t="shared" si="3"/>
        <v>0</v>
      </c>
      <c r="E19" s="172">
        <v>1</v>
      </c>
      <c r="F19" s="171">
        <f t="shared" ref="F19:F28" si="4">E19*B19</f>
        <v>33357.599999999999</v>
      </c>
      <c r="G19" s="172"/>
      <c r="H19" s="171">
        <f t="shared" ref="H19:H28" si="5">G19*B19</f>
        <v>0</v>
      </c>
      <c r="I19" s="172"/>
      <c r="J19" s="171">
        <f t="shared" ref="J19:J28" si="6">I19*B19</f>
        <v>0</v>
      </c>
      <c r="K19" s="170"/>
      <c r="L19" s="9"/>
      <c r="M19" s="9"/>
      <c r="N19" s="9"/>
      <c r="O19" s="9"/>
      <c r="P19" s="9"/>
      <c r="Q19" s="9"/>
      <c r="R19" s="9"/>
      <c r="S19" s="9"/>
      <c r="T19" s="9"/>
    </row>
    <row r="20" spans="1:20" ht="50.25" customHeight="1" x14ac:dyDescent="0.2">
      <c r="A20" s="185"/>
      <c r="B20" s="186">
        <v>383422.45000000013</v>
      </c>
      <c r="C20" s="308"/>
      <c r="D20" s="309">
        <f>C20*B20</f>
        <v>0</v>
      </c>
      <c r="E20" s="308">
        <v>1</v>
      </c>
      <c r="F20" s="309">
        <f>E20*B20</f>
        <v>383422.45000000013</v>
      </c>
      <c r="G20" s="308"/>
      <c r="H20" s="309">
        <f>G20*B20</f>
        <v>0</v>
      </c>
      <c r="I20" s="308"/>
      <c r="J20" s="309">
        <f>I20*B20</f>
        <v>0</v>
      </c>
      <c r="K20" s="310"/>
      <c r="L20" s="9"/>
      <c r="M20" s="9"/>
      <c r="N20" s="9"/>
      <c r="O20" s="9"/>
      <c r="P20" s="9"/>
      <c r="Q20" s="9"/>
      <c r="R20" s="9"/>
      <c r="S20" s="9"/>
      <c r="T20" s="9"/>
    </row>
    <row r="21" spans="1:20" s="140" customFormat="1" ht="50.25" customHeight="1" x14ac:dyDescent="0.2">
      <c r="A21" s="185"/>
      <c r="B21" s="186">
        <v>41883.599999999999</v>
      </c>
      <c r="C21" s="311"/>
      <c r="D21" s="312">
        <f>C21*B21</f>
        <v>0</v>
      </c>
      <c r="E21" s="311">
        <v>1</v>
      </c>
      <c r="F21" s="312">
        <f>E21*B21</f>
        <v>41883.599999999999</v>
      </c>
      <c r="G21" s="311"/>
      <c r="H21" s="312">
        <f>G21*B21</f>
        <v>0</v>
      </c>
      <c r="I21" s="311"/>
      <c r="J21" s="312">
        <f>I21*B21</f>
        <v>0</v>
      </c>
      <c r="K21" s="313"/>
      <c r="L21" s="9"/>
      <c r="M21" s="9"/>
      <c r="N21" s="9"/>
      <c r="O21" s="9"/>
      <c r="P21" s="9"/>
      <c r="Q21" s="9"/>
      <c r="R21" s="9"/>
      <c r="S21" s="9"/>
      <c r="T21" s="9"/>
    </row>
    <row r="22" spans="1:20" ht="50.25" customHeight="1" x14ac:dyDescent="0.2">
      <c r="A22" s="185"/>
      <c r="B22" s="186">
        <v>33830.399999999994</v>
      </c>
      <c r="C22" s="308">
        <v>0.25</v>
      </c>
      <c r="D22" s="309">
        <f>C22*B22</f>
        <v>8457.5999999999985</v>
      </c>
      <c r="E22" s="308">
        <v>0.25</v>
      </c>
      <c r="F22" s="309">
        <f>E22*B22</f>
        <v>8457.5999999999985</v>
      </c>
      <c r="G22" s="308">
        <v>0.25</v>
      </c>
      <c r="H22" s="309">
        <f>G22*B22</f>
        <v>8457.5999999999985</v>
      </c>
      <c r="I22" s="308">
        <v>0.25</v>
      </c>
      <c r="J22" s="309">
        <f>I22*B22</f>
        <v>8457.5999999999985</v>
      </c>
      <c r="K22" s="310"/>
      <c r="L22" s="9"/>
      <c r="M22" s="9"/>
      <c r="N22" s="9"/>
      <c r="O22" s="9"/>
      <c r="P22" s="9"/>
      <c r="Q22" s="9"/>
      <c r="R22" s="9"/>
      <c r="S22" s="9"/>
      <c r="T22" s="9"/>
    </row>
    <row r="23" spans="1:20" ht="50.25" customHeight="1" x14ac:dyDescent="0.2">
      <c r="A23" s="321"/>
      <c r="B23" s="186">
        <v>19094.400000000001</v>
      </c>
      <c r="C23" s="172"/>
      <c r="D23" s="171">
        <f t="shared" si="3"/>
        <v>0</v>
      </c>
      <c r="E23" s="172">
        <v>1</v>
      </c>
      <c r="F23" s="171">
        <f t="shared" si="4"/>
        <v>19094.400000000001</v>
      </c>
      <c r="G23" s="172"/>
      <c r="H23" s="171">
        <f t="shared" si="5"/>
        <v>0</v>
      </c>
      <c r="I23" s="172"/>
      <c r="J23" s="171">
        <f t="shared" si="6"/>
        <v>0</v>
      </c>
      <c r="K23" s="170"/>
      <c r="L23" s="9"/>
      <c r="M23" s="9"/>
      <c r="N23" s="9"/>
      <c r="O23" s="9"/>
      <c r="P23" s="9"/>
      <c r="Q23" s="9"/>
      <c r="R23" s="9"/>
      <c r="S23" s="9"/>
      <c r="T23" s="9"/>
    </row>
    <row r="24" spans="1:20" ht="50.25" customHeight="1" x14ac:dyDescent="0.2">
      <c r="A24" s="185"/>
      <c r="B24" s="186">
        <v>18829.599999999999</v>
      </c>
      <c r="C24" s="311">
        <v>0.33329999999999999</v>
      </c>
      <c r="D24" s="312">
        <f>C24*B24</f>
        <v>6275.9056799999989</v>
      </c>
      <c r="E24" s="311">
        <v>0.33333000000000002</v>
      </c>
      <c r="F24" s="312">
        <f>E24*B24</f>
        <v>6276.4705679999997</v>
      </c>
      <c r="G24" s="311"/>
      <c r="H24" s="312">
        <f>G24*B24</f>
        <v>0</v>
      </c>
      <c r="I24" s="311">
        <v>0.33329999999999999</v>
      </c>
      <c r="J24" s="312">
        <f>I24*B24</f>
        <v>6275.9056799999989</v>
      </c>
      <c r="K24" s="316"/>
      <c r="L24" s="9"/>
      <c r="M24" s="9"/>
      <c r="N24" s="9"/>
      <c r="O24" s="9"/>
      <c r="P24" s="9"/>
      <c r="Q24" s="9"/>
      <c r="R24" s="9"/>
      <c r="S24" s="9"/>
      <c r="T24" s="9"/>
    </row>
    <row r="25" spans="1:20" ht="50.25" customHeight="1" x14ac:dyDescent="0.2">
      <c r="A25" s="185"/>
      <c r="B25" s="186">
        <v>160194.38</v>
      </c>
      <c r="C25" s="322">
        <v>0.3333333</v>
      </c>
      <c r="D25" s="323">
        <f>C25*B25</f>
        <v>53398.121326854001</v>
      </c>
      <c r="E25" s="322">
        <v>0.3333333</v>
      </c>
      <c r="F25" s="323">
        <f>E25*B25</f>
        <v>53398.121326854001</v>
      </c>
      <c r="G25" s="322">
        <v>0.3333333</v>
      </c>
      <c r="H25" s="323">
        <f>G25*B25</f>
        <v>53398.121326854001</v>
      </c>
      <c r="I25" s="322"/>
      <c r="J25" s="323">
        <f>I25*B25</f>
        <v>0</v>
      </c>
      <c r="K25" s="326"/>
      <c r="L25" s="9"/>
      <c r="M25" s="9"/>
      <c r="N25" s="9"/>
      <c r="O25" s="9"/>
      <c r="P25" s="9"/>
      <c r="Q25" s="9"/>
      <c r="R25" s="9"/>
      <c r="S25" s="9"/>
      <c r="T25" s="9"/>
    </row>
    <row r="26" spans="1:20" ht="50.25" customHeight="1" x14ac:dyDescent="0.2">
      <c r="A26" s="185"/>
      <c r="B26" s="186">
        <v>70832.850000000006</v>
      </c>
      <c r="C26" s="311"/>
      <c r="D26" s="312">
        <f>C26*B26</f>
        <v>0</v>
      </c>
      <c r="E26" s="311">
        <v>0.5</v>
      </c>
      <c r="F26" s="312">
        <f>E26*B26</f>
        <v>35416.425000000003</v>
      </c>
      <c r="G26" s="311">
        <v>0.5</v>
      </c>
      <c r="H26" s="312">
        <f>G26*B26</f>
        <v>35416.425000000003</v>
      </c>
      <c r="I26" s="311"/>
      <c r="J26" s="312">
        <f>I26*B26</f>
        <v>0</v>
      </c>
      <c r="K26" s="313"/>
      <c r="L26" s="9"/>
      <c r="M26" s="9"/>
      <c r="N26" s="9"/>
      <c r="O26" s="9"/>
      <c r="P26" s="9"/>
      <c r="Q26" s="9"/>
      <c r="R26" s="9"/>
      <c r="S26" s="9"/>
      <c r="T26" s="9"/>
    </row>
    <row r="27" spans="1:20" ht="50.25" customHeight="1" x14ac:dyDescent="0.2">
      <c r="A27" s="321"/>
      <c r="B27" s="186">
        <v>25346.399999999998</v>
      </c>
      <c r="C27" s="172"/>
      <c r="D27" s="171">
        <f t="shared" si="3"/>
        <v>0</v>
      </c>
      <c r="E27" s="172">
        <v>0.5</v>
      </c>
      <c r="F27" s="171">
        <f t="shared" si="4"/>
        <v>12673.199999999999</v>
      </c>
      <c r="G27" s="172">
        <v>0.5</v>
      </c>
      <c r="H27" s="171">
        <f t="shared" si="5"/>
        <v>12673.199999999999</v>
      </c>
      <c r="I27" s="172"/>
      <c r="J27" s="171">
        <f t="shared" si="6"/>
        <v>0</v>
      </c>
      <c r="K27" s="170"/>
      <c r="L27" s="9"/>
      <c r="M27" s="9"/>
      <c r="N27" s="9"/>
      <c r="O27" s="9"/>
      <c r="P27" s="9"/>
      <c r="Q27" s="9"/>
      <c r="R27" s="9"/>
      <c r="S27" s="9"/>
      <c r="T27" s="9"/>
    </row>
    <row r="28" spans="1:20" ht="50.25" customHeight="1" x14ac:dyDescent="0.2">
      <c r="A28" s="321"/>
      <c r="B28" s="186">
        <v>26356.799999999996</v>
      </c>
      <c r="C28" s="172">
        <v>0.25</v>
      </c>
      <c r="D28" s="171">
        <f t="shared" si="3"/>
        <v>6589.1999999999989</v>
      </c>
      <c r="E28" s="172">
        <v>0.25</v>
      </c>
      <c r="F28" s="171">
        <f t="shared" si="4"/>
        <v>6589.1999999999989</v>
      </c>
      <c r="G28" s="172">
        <v>0.25</v>
      </c>
      <c r="H28" s="171">
        <f t="shared" si="5"/>
        <v>6589.1999999999989</v>
      </c>
      <c r="I28" s="172">
        <v>0.25</v>
      </c>
      <c r="J28" s="171">
        <f t="shared" si="6"/>
        <v>6589.1999999999989</v>
      </c>
      <c r="K28" s="170"/>
      <c r="L28" s="9"/>
      <c r="M28" s="9"/>
      <c r="N28" s="9"/>
      <c r="O28" s="9"/>
      <c r="P28" s="9"/>
      <c r="Q28" s="9"/>
      <c r="R28" s="9"/>
      <c r="S28" s="9"/>
      <c r="T28" s="9"/>
    </row>
    <row r="29" spans="1:20" ht="50.25" customHeight="1" x14ac:dyDescent="0.2">
      <c r="A29" s="185"/>
      <c r="B29" s="186">
        <v>120553.19000000002</v>
      </c>
      <c r="C29" s="322">
        <v>1</v>
      </c>
      <c r="D29" s="323">
        <f t="shared" ref="D29:D34" si="7">C29*B29</f>
        <v>120553.19000000002</v>
      </c>
      <c r="E29" s="322"/>
      <c r="F29" s="323">
        <f t="shared" ref="F29:F34" si="8">E29*B29</f>
        <v>0</v>
      </c>
      <c r="G29" s="322"/>
      <c r="H29" s="323">
        <f t="shared" ref="H29:H34" si="9">G29*B29</f>
        <v>0</v>
      </c>
      <c r="I29" s="322"/>
      <c r="J29" s="323">
        <f t="shared" ref="J29:J34" si="10">I29*B29</f>
        <v>0</v>
      </c>
      <c r="K29" s="325"/>
      <c r="L29" s="9"/>
      <c r="M29" s="9"/>
      <c r="N29" s="9"/>
      <c r="O29" s="9"/>
      <c r="P29" s="9"/>
      <c r="Q29" s="9"/>
      <c r="R29" s="9"/>
      <c r="S29" s="9"/>
      <c r="T29" s="9"/>
    </row>
    <row r="30" spans="1:20" ht="50.25" customHeight="1" x14ac:dyDescent="0.2">
      <c r="A30" s="185"/>
      <c r="B30" s="186">
        <v>51252.85</v>
      </c>
      <c r="C30" s="311"/>
      <c r="D30" s="312">
        <f t="shared" si="7"/>
        <v>0</v>
      </c>
      <c r="E30" s="311">
        <v>0.33333000000000002</v>
      </c>
      <c r="F30" s="312">
        <f t="shared" si="8"/>
        <v>17084.1124905</v>
      </c>
      <c r="G30" s="311">
        <v>0.33333000000000002</v>
      </c>
      <c r="H30" s="312">
        <f t="shared" si="9"/>
        <v>17084.1124905</v>
      </c>
      <c r="I30" s="311">
        <v>0.33333000000000002</v>
      </c>
      <c r="J30" s="312">
        <f t="shared" si="10"/>
        <v>17084.1124905</v>
      </c>
      <c r="K30" s="313"/>
      <c r="L30" s="9"/>
      <c r="M30" s="9"/>
      <c r="N30" s="9"/>
      <c r="O30" s="9"/>
      <c r="P30" s="9"/>
      <c r="Q30" s="9"/>
      <c r="R30" s="9"/>
      <c r="S30" s="9"/>
      <c r="T30" s="9"/>
    </row>
    <row r="31" spans="1:20" ht="50.25" customHeight="1" x14ac:dyDescent="0.2">
      <c r="A31" s="185"/>
      <c r="B31" s="186">
        <v>354898.11000000004</v>
      </c>
      <c r="C31" s="322">
        <v>0.25</v>
      </c>
      <c r="D31" s="323">
        <f t="shared" si="7"/>
        <v>88724.527500000011</v>
      </c>
      <c r="E31" s="322">
        <v>0.25</v>
      </c>
      <c r="F31" s="323">
        <f t="shared" si="8"/>
        <v>88724.527500000011</v>
      </c>
      <c r="G31" s="322">
        <v>0.25</v>
      </c>
      <c r="H31" s="323">
        <f t="shared" si="9"/>
        <v>88724.527500000011</v>
      </c>
      <c r="I31" s="322">
        <v>0.25</v>
      </c>
      <c r="J31" s="323">
        <f t="shared" si="10"/>
        <v>88724.527500000011</v>
      </c>
      <c r="K31" s="324"/>
      <c r="L31" s="9"/>
      <c r="M31" s="9"/>
      <c r="N31" s="9"/>
      <c r="O31" s="9"/>
      <c r="P31" s="9"/>
      <c r="Q31" s="9"/>
      <c r="R31" s="9"/>
      <c r="S31" s="9"/>
      <c r="T31" s="9"/>
    </row>
    <row r="32" spans="1:20" ht="50.25" customHeight="1" x14ac:dyDescent="0.2">
      <c r="A32" s="185"/>
      <c r="B32" s="186">
        <v>36486.400000000001</v>
      </c>
      <c r="C32" s="311"/>
      <c r="D32" s="312">
        <f t="shared" si="7"/>
        <v>0</v>
      </c>
      <c r="E32" s="311">
        <v>0.5</v>
      </c>
      <c r="F32" s="312">
        <f t="shared" si="8"/>
        <v>18243.2</v>
      </c>
      <c r="G32" s="311">
        <v>0.5</v>
      </c>
      <c r="H32" s="312">
        <f t="shared" si="9"/>
        <v>18243.2</v>
      </c>
      <c r="I32" s="311"/>
      <c r="J32" s="312">
        <f t="shared" si="10"/>
        <v>0</v>
      </c>
      <c r="K32" s="313"/>
      <c r="L32" s="9"/>
      <c r="M32" s="9"/>
      <c r="N32" s="9"/>
      <c r="O32" s="9"/>
      <c r="P32" s="9"/>
      <c r="Q32" s="9"/>
      <c r="R32" s="9"/>
      <c r="S32" s="9"/>
      <c r="T32" s="9"/>
    </row>
    <row r="33" spans="1:25" s="140" customFormat="1" ht="50.25" customHeight="1" x14ac:dyDescent="0.2">
      <c r="A33" s="185"/>
      <c r="B33" s="186">
        <v>82988.999999999985</v>
      </c>
      <c r="C33" s="322"/>
      <c r="D33" s="323">
        <f t="shared" si="7"/>
        <v>0</v>
      </c>
      <c r="E33" s="322">
        <v>0.5</v>
      </c>
      <c r="F33" s="323">
        <f t="shared" si="8"/>
        <v>41494.499999999993</v>
      </c>
      <c r="G33" s="322">
        <v>0.5</v>
      </c>
      <c r="H33" s="323">
        <f t="shared" si="9"/>
        <v>41494.499999999993</v>
      </c>
      <c r="I33" s="322"/>
      <c r="J33" s="323">
        <f t="shared" si="10"/>
        <v>0</v>
      </c>
      <c r="K33" s="324"/>
    </row>
    <row r="34" spans="1:25" s="140" customFormat="1" ht="50.25" customHeight="1" x14ac:dyDescent="0.2">
      <c r="A34" s="185"/>
      <c r="B34" s="186">
        <v>36801.350000000006</v>
      </c>
      <c r="C34" s="311">
        <v>0.33333000000000002</v>
      </c>
      <c r="D34" s="312">
        <f t="shared" si="7"/>
        <v>12266.993995500003</v>
      </c>
      <c r="E34" s="311">
        <v>0.33333000000000002</v>
      </c>
      <c r="F34" s="312">
        <f t="shared" si="8"/>
        <v>12266.993995500003</v>
      </c>
      <c r="G34" s="311">
        <v>0.33333000000000002</v>
      </c>
      <c r="H34" s="312">
        <f t="shared" si="9"/>
        <v>12266.993995500003</v>
      </c>
      <c r="I34" s="311"/>
      <c r="J34" s="312">
        <f t="shared" si="10"/>
        <v>0</v>
      </c>
      <c r="K34" s="313"/>
    </row>
    <row r="35" spans="1:25" x14ac:dyDescent="0.2">
      <c r="A35" s="184"/>
      <c r="B35" s="173">
        <f>SUM(B12:B34)</f>
        <v>1769450.3200000003</v>
      </c>
      <c r="C35" s="172"/>
      <c r="D35" s="171">
        <f>SUM(D12:D34)</f>
        <v>436849.00850235409</v>
      </c>
      <c r="E35" s="172"/>
      <c r="F35" s="171">
        <f>SUM(F12:F34)</f>
        <v>891368.87088085397</v>
      </c>
      <c r="G35" s="172"/>
      <c r="H35" s="171">
        <f>SUM(H12:H34)</f>
        <v>294347.88031285407</v>
      </c>
      <c r="I35" s="172"/>
      <c r="J35" s="171">
        <f>SUM(J12:J34)</f>
        <v>146882.34567050001</v>
      </c>
      <c r="K35" s="170"/>
      <c r="L35" s="9"/>
      <c r="M35" s="9"/>
      <c r="N35" s="9"/>
      <c r="O35" s="9"/>
      <c r="P35" s="9"/>
      <c r="Q35" s="9"/>
      <c r="R35" s="9"/>
      <c r="S35" s="9"/>
      <c r="T35" s="9"/>
    </row>
    <row r="36" spans="1:25" x14ac:dyDescent="0.2">
      <c r="A36" s="169"/>
      <c r="B36" s="164" t="s">
        <v>136</v>
      </c>
      <c r="C36" s="162" t="s">
        <v>137</v>
      </c>
      <c r="D36" s="167" t="s">
        <v>10</v>
      </c>
      <c r="E36" s="162" t="s">
        <v>166</v>
      </c>
      <c r="F36" s="167" t="s">
        <v>10</v>
      </c>
      <c r="G36" s="168" t="s">
        <v>170</v>
      </c>
      <c r="H36" s="167" t="s">
        <v>10</v>
      </c>
      <c r="I36" s="168" t="s">
        <v>139</v>
      </c>
      <c r="J36" s="167" t="s">
        <v>10</v>
      </c>
      <c r="K36" s="166"/>
      <c r="L36" s="9"/>
      <c r="M36" s="9"/>
      <c r="N36" s="9"/>
      <c r="O36" s="9"/>
      <c r="P36" s="9"/>
      <c r="Q36" s="9"/>
      <c r="R36" s="9"/>
      <c r="S36" s="9"/>
      <c r="T36" s="9"/>
    </row>
    <row r="37" spans="1:25" x14ac:dyDescent="0.2">
      <c r="A37" s="165"/>
      <c r="B37" s="164" t="s">
        <v>138</v>
      </c>
      <c r="C37" s="163"/>
      <c r="D37" s="162">
        <f>D35/$B$35</f>
        <v>0.24688402017545993</v>
      </c>
      <c r="E37" s="163"/>
      <c r="F37" s="162">
        <f>F35/$B$35</f>
        <v>0.50375467500034354</v>
      </c>
      <c r="G37" s="162"/>
      <c r="H37" s="162">
        <f>H35/$B$35</f>
        <v>0.16634989803661401</v>
      </c>
      <c r="I37" s="162"/>
      <c r="J37" s="162">
        <f>J35/$B$35</f>
        <v>8.3010155193563154E-2</v>
      </c>
      <c r="K37" s="161"/>
      <c r="L37" s="9"/>
      <c r="M37" s="9"/>
      <c r="N37" s="9"/>
      <c r="O37" s="9"/>
      <c r="P37" s="9"/>
      <c r="Q37" s="9"/>
      <c r="R37" s="9"/>
      <c r="S37" s="9"/>
      <c r="T37" s="9"/>
    </row>
    <row r="39" spans="1:25" x14ac:dyDescent="0.2">
      <c r="Q39" s="158"/>
      <c r="R39" s="159"/>
      <c r="U39" s="158"/>
      <c r="V39" s="159"/>
      <c r="W39" s="158"/>
      <c r="X39" s="158"/>
      <c r="Y39" s="158"/>
    </row>
    <row r="40" spans="1:25" x14ac:dyDescent="0.2">
      <c r="Q40" s="158"/>
      <c r="R40" s="159"/>
      <c r="U40" s="158"/>
      <c r="V40" s="159"/>
      <c r="W40" s="158"/>
      <c r="X40" s="158"/>
      <c r="Y40" s="158"/>
    </row>
    <row r="41" spans="1:25" x14ac:dyDescent="0.2">
      <c r="Q41" s="158"/>
      <c r="R41" s="159"/>
      <c r="U41" s="158"/>
      <c r="V41" s="159"/>
      <c r="W41" s="158"/>
      <c r="X41" s="158"/>
      <c r="Y41" s="158"/>
    </row>
    <row r="42" spans="1:25" x14ac:dyDescent="0.2">
      <c r="Q42" s="158"/>
      <c r="R42" s="159"/>
      <c r="U42" s="158"/>
      <c r="V42" s="159"/>
      <c r="W42" s="158"/>
      <c r="X42" s="158"/>
      <c r="Y42" s="158"/>
    </row>
    <row r="43" spans="1:25" x14ac:dyDescent="0.2">
      <c r="Q43" s="158"/>
      <c r="R43" s="159"/>
      <c r="U43" s="158"/>
      <c r="V43" s="159"/>
      <c r="W43" s="158"/>
      <c r="X43" s="158"/>
      <c r="Y43" s="158"/>
    </row>
    <row r="44" spans="1:25" ht="23.5" customHeight="1" x14ac:dyDescent="0.2">
      <c r="Q44" s="158"/>
      <c r="R44" s="159"/>
      <c r="U44" s="158"/>
      <c r="V44" s="159"/>
      <c r="W44" s="158"/>
      <c r="X44" s="158"/>
      <c r="Y44" s="158"/>
    </row>
    <row r="45" spans="1:25" x14ac:dyDescent="0.2">
      <c r="Q45" s="158"/>
      <c r="R45" s="159"/>
      <c r="U45" s="158"/>
      <c r="V45" s="159"/>
      <c r="W45" s="158"/>
      <c r="X45" s="158"/>
      <c r="Y45" s="158"/>
    </row>
    <row r="46" spans="1:25" x14ac:dyDescent="0.2">
      <c r="Q46" s="158"/>
      <c r="R46" s="159"/>
      <c r="U46" s="158"/>
      <c r="V46" s="159"/>
      <c r="W46" s="158"/>
      <c r="X46" s="158"/>
      <c r="Y46" s="158"/>
    </row>
    <row r="47" spans="1:25" x14ac:dyDescent="0.2">
      <c r="Q47" s="158"/>
      <c r="R47" s="159"/>
      <c r="U47" s="158"/>
      <c r="V47" s="159"/>
      <c r="W47" s="158"/>
      <c r="X47" s="158"/>
      <c r="Y47" s="158"/>
    </row>
    <row r="48" spans="1:25" x14ac:dyDescent="0.2">
      <c r="Q48" s="158"/>
      <c r="R48" s="159"/>
      <c r="U48" s="158"/>
      <c r="V48" s="159"/>
      <c r="W48" s="158"/>
      <c r="X48" s="158"/>
      <c r="Y48" s="158"/>
    </row>
  </sheetData>
  <sheetProtection algorithmName="SHA-512" hashValue="IHozrdbcDlt0WKgrajSteKbMs8Tu4aT6L1pXWvd3iHHLx9+LTELEzYvuaAUUhfTF3KCl8GyUAMxKalIO+6ajtA==" saltValue="WFZfPRwQVo8YmFCpX6GulQ==" spinCount="100000" sheet="1" objects="1" scenarios="1"/>
  <pageMargins left="0.7" right="0.7" top="0.75" bottom="0.75" header="0.3" footer="0.3"/>
  <pageSetup paperSize="9" scale="67" orientation="landscape" r:id="rId1"/>
  <tableParts count="2">
    <tablePart r:id="rId2"/>
    <tablePart r:id="rId3"/>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71C46-56DC-420B-B53D-583DAB01D2B3}">
  <sheetPr codeName="Blad12">
    <tabColor rgb="FFFFFF00"/>
  </sheetPr>
  <dimension ref="A1:N40"/>
  <sheetViews>
    <sheetView zoomScale="75" zoomScaleNormal="75" workbookViewId="0"/>
  </sheetViews>
  <sheetFormatPr baseColWidth="10" defaultColWidth="8.5" defaultRowHeight="16" x14ac:dyDescent="0.2"/>
  <cols>
    <col min="1" max="1" width="35.5" style="66" customWidth="1"/>
    <col min="2" max="2" width="16.5" style="64" bestFit="1" customWidth="1"/>
    <col min="3" max="10" width="16.5" style="66" customWidth="1"/>
    <col min="11" max="11" width="16" style="66" customWidth="1"/>
    <col min="12" max="12" width="14.5" style="66" customWidth="1"/>
    <col min="13" max="13" width="10.6640625" style="66" customWidth="1"/>
    <col min="14" max="18" width="14.5" style="66" customWidth="1"/>
    <col min="19" max="16384" width="8.5" style="66"/>
  </cols>
  <sheetData>
    <row r="1" spans="1:14" s="63" customFormat="1" ht="68" x14ac:dyDescent="0.2">
      <c r="A1" s="63" t="s">
        <v>29</v>
      </c>
      <c r="B1" s="64" t="s">
        <v>30</v>
      </c>
      <c r="C1" s="65" t="s">
        <v>27</v>
      </c>
      <c r="D1" s="65" t="s">
        <v>209</v>
      </c>
      <c r="E1" s="65" t="s">
        <v>130</v>
      </c>
      <c r="F1" s="65" t="s">
        <v>131</v>
      </c>
      <c r="G1" s="65" t="s">
        <v>31</v>
      </c>
      <c r="H1" s="65" t="s">
        <v>32</v>
      </c>
      <c r="I1" s="65" t="s">
        <v>99</v>
      </c>
      <c r="J1" s="65" t="s">
        <v>100</v>
      </c>
      <c r="K1" s="65" t="s">
        <v>176</v>
      </c>
      <c r="L1" s="65" t="s">
        <v>177</v>
      </c>
      <c r="N1" s="63" t="s">
        <v>212</v>
      </c>
    </row>
    <row r="2" spans="1:14" x14ac:dyDescent="0.2">
      <c r="A2" s="66" t="s">
        <v>33</v>
      </c>
      <c r="B2" s="67"/>
      <c r="C2" s="205">
        <f>Salarissen!G28</f>
        <v>2483.5065</v>
      </c>
      <c r="D2" s="68"/>
      <c r="E2" s="68">
        <f>Salarissen!G29</f>
        <v>3015.8694</v>
      </c>
      <c r="F2" s="68">
        <f>Salarissen!G30</f>
        <v>3681.4177000000004</v>
      </c>
      <c r="G2" s="68">
        <f>Salarissen!G31</f>
        <v>3026.7553499999999</v>
      </c>
      <c r="H2" s="68">
        <f>Salarissen!G32</f>
        <v>3143.1727000000001</v>
      </c>
      <c r="I2" s="68"/>
      <c r="J2" s="68">
        <f>Salarissen!G33</f>
        <v>3124.0478000000007</v>
      </c>
      <c r="K2" s="205">
        <f t="shared" ref="K2:K10" si="0">E2</f>
        <v>3015.8694</v>
      </c>
      <c r="L2" s="68">
        <f t="shared" ref="L2:L10" si="1">F2</f>
        <v>3681.4177000000004</v>
      </c>
    </row>
    <row r="3" spans="1:14" x14ac:dyDescent="0.2">
      <c r="A3" s="66" t="s">
        <v>34</v>
      </c>
      <c r="B3" s="69">
        <v>0.9</v>
      </c>
      <c r="C3" s="70">
        <f>12*C2*$B$3</f>
        <v>26821.870200000001</v>
      </c>
      <c r="D3" s="70"/>
      <c r="E3" s="70">
        <f t="shared" ref="E3:J3" si="2">12*E2*$B$3</f>
        <v>32571.389520000004</v>
      </c>
      <c r="F3" s="70">
        <f>12*F2*$B$3</f>
        <v>39759.311160000005</v>
      </c>
      <c r="G3" s="70">
        <f t="shared" si="2"/>
        <v>32688.957780000001</v>
      </c>
      <c r="H3" s="70">
        <f t="shared" si="2"/>
        <v>33946.265160000003</v>
      </c>
      <c r="I3" s="70">
        <f t="shared" si="2"/>
        <v>0</v>
      </c>
      <c r="J3" s="70">
        <f t="shared" si="2"/>
        <v>33739.716240000009</v>
      </c>
      <c r="K3" s="70">
        <f t="shared" si="0"/>
        <v>32571.389520000004</v>
      </c>
      <c r="L3" s="70">
        <f t="shared" si="1"/>
        <v>39759.311160000005</v>
      </c>
    </row>
    <row r="4" spans="1:14" x14ac:dyDescent="0.2">
      <c r="A4" s="66" t="s">
        <v>35</v>
      </c>
      <c r="B4" s="69">
        <v>0.26</v>
      </c>
      <c r="C4" s="70">
        <v>0</v>
      </c>
      <c r="D4" s="70"/>
      <c r="E4" s="70">
        <v>0</v>
      </c>
      <c r="F4" s="70">
        <v>0</v>
      </c>
      <c r="G4" s="70">
        <v>0</v>
      </c>
      <c r="H4" s="70">
        <v>0</v>
      </c>
      <c r="I4" s="70">
        <f>$B$4*I3</f>
        <v>0</v>
      </c>
      <c r="J4" s="70">
        <f>$B$4*J3</f>
        <v>8772.3262224000027</v>
      </c>
      <c r="K4" s="70">
        <f t="shared" si="0"/>
        <v>0</v>
      </c>
      <c r="L4" s="70">
        <f t="shared" si="1"/>
        <v>0</v>
      </c>
    </row>
    <row r="5" spans="1:14" x14ac:dyDescent="0.2">
      <c r="A5" s="66" t="s">
        <v>36</v>
      </c>
      <c r="B5" s="64">
        <v>0.08</v>
      </c>
      <c r="C5" s="70">
        <f t="shared" ref="C5:J5" si="3">$B$5*C3</f>
        <v>2145.7496160000001</v>
      </c>
      <c r="D5" s="70"/>
      <c r="E5" s="70">
        <f t="shared" si="3"/>
        <v>2605.7111616000002</v>
      </c>
      <c r="F5" s="70">
        <f>$B$5*F3</f>
        <v>3180.7448928000003</v>
      </c>
      <c r="G5" s="70">
        <f t="shared" si="3"/>
        <v>2615.1166224000003</v>
      </c>
      <c r="H5" s="70">
        <f t="shared" si="3"/>
        <v>2715.7012128000001</v>
      </c>
      <c r="I5" s="70">
        <f t="shared" si="3"/>
        <v>0</v>
      </c>
      <c r="J5" s="70">
        <f t="shared" si="3"/>
        <v>2699.1772992000006</v>
      </c>
      <c r="K5" s="70">
        <f t="shared" si="0"/>
        <v>2605.7111616000002</v>
      </c>
      <c r="L5" s="70">
        <f t="shared" si="1"/>
        <v>3180.7448928000003</v>
      </c>
      <c r="N5" s="332">
        <v>1934.78</v>
      </c>
    </row>
    <row r="6" spans="1:14" x14ac:dyDescent="0.2">
      <c r="A6" s="66" t="s">
        <v>37</v>
      </c>
      <c r="B6" s="71">
        <v>8.3299999999999999E-2</v>
      </c>
      <c r="C6" s="70">
        <f t="shared" ref="C6:J6" si="4">$B$6*C3</f>
        <v>2234.2617876600002</v>
      </c>
      <c r="D6" s="70"/>
      <c r="E6" s="70">
        <f t="shared" si="4"/>
        <v>2713.1967470160002</v>
      </c>
      <c r="F6" s="70">
        <f>$B$6*F3</f>
        <v>3311.9506196280004</v>
      </c>
      <c r="G6" s="70">
        <f t="shared" si="4"/>
        <v>2722.990183074</v>
      </c>
      <c r="H6" s="70">
        <f t="shared" si="4"/>
        <v>2827.723887828</v>
      </c>
      <c r="I6" s="70">
        <f t="shared" si="4"/>
        <v>0</v>
      </c>
      <c r="J6" s="70">
        <f t="shared" si="4"/>
        <v>2810.5183627920005</v>
      </c>
      <c r="K6" s="70">
        <f t="shared" si="0"/>
        <v>2713.1967470160002</v>
      </c>
      <c r="L6" s="70">
        <f t="shared" si="1"/>
        <v>3311.9506196280004</v>
      </c>
      <c r="N6" s="332">
        <v>2132.61</v>
      </c>
    </row>
    <row r="7" spans="1:14" x14ac:dyDescent="0.2">
      <c r="A7" s="67" t="s">
        <v>38</v>
      </c>
      <c r="C7" s="70">
        <f t="shared" ref="C7:J7" si="5">SUM(C3:C6)</f>
        <v>31201.881603660004</v>
      </c>
      <c r="D7" s="70"/>
      <c r="E7" s="70">
        <f t="shared" si="5"/>
        <v>37890.297428616002</v>
      </c>
      <c r="F7" s="70">
        <f t="shared" si="5"/>
        <v>46252.006672428004</v>
      </c>
      <c r="G7" s="70">
        <f t="shared" si="5"/>
        <v>38027.064585474</v>
      </c>
      <c r="H7" s="70">
        <f t="shared" si="5"/>
        <v>39489.690260627998</v>
      </c>
      <c r="I7" s="70">
        <f t="shared" si="5"/>
        <v>0</v>
      </c>
      <c r="J7" s="70">
        <f t="shared" si="5"/>
        <v>48021.738124392017</v>
      </c>
      <c r="K7" s="70">
        <f t="shared" si="0"/>
        <v>37890.297428616002</v>
      </c>
      <c r="L7" s="70">
        <f t="shared" si="1"/>
        <v>46252.006672428004</v>
      </c>
    </row>
    <row r="8" spans="1:14" x14ac:dyDescent="0.2">
      <c r="A8" s="66" t="s">
        <v>39</v>
      </c>
      <c r="B8" s="72">
        <f>'Declarabiliteit &amp; soc lasten'!C32</f>
        <v>0.26861418241448382</v>
      </c>
      <c r="C8" s="70">
        <f t="shared" ref="C8" si="6">$B$8*C7</f>
        <v>8381.2679167606548</v>
      </c>
      <c r="D8" s="438">
        <f>'Declarabiliteit &amp; soc lasten'!D32</f>
        <v>0.28066766660909725</v>
      </c>
      <c r="E8" s="70">
        <f>$D$8*E7</f>
        <v>10634.581366414332</v>
      </c>
      <c r="F8" s="70">
        <f>$D$8*F7</f>
        <v>12981.442788738765</v>
      </c>
      <c r="G8" s="70">
        <f t="shared" ref="G8:L8" si="7">$D$8*G7</f>
        <v>10672.967485198425</v>
      </c>
      <c r="H8" s="70">
        <f t="shared" si="7"/>
        <v>11083.479220566454</v>
      </c>
      <c r="I8" s="70">
        <f t="shared" si="7"/>
        <v>0</v>
      </c>
      <c r="J8" s="70">
        <f>$M$8*J7</f>
        <v>13788.68358961079</v>
      </c>
      <c r="K8" s="70">
        <f t="shared" si="7"/>
        <v>10634.581366414332</v>
      </c>
      <c r="L8" s="70">
        <f t="shared" si="7"/>
        <v>12981.442788738765</v>
      </c>
      <c r="M8" s="72">
        <f>'Declarabiliteit &amp; soc lasten'!E32</f>
        <v>0.28713420480311619</v>
      </c>
      <c r="N8" s="437" t="s">
        <v>213</v>
      </c>
    </row>
    <row r="9" spans="1:14" x14ac:dyDescent="0.2">
      <c r="A9" s="67" t="s">
        <v>40</v>
      </c>
      <c r="C9" s="73">
        <f>SUM(C7:C8)</f>
        <v>39583.149520420659</v>
      </c>
      <c r="D9" s="73"/>
      <c r="E9" s="73">
        <f t="shared" ref="E9:J9" si="8">SUM(E7:E8)</f>
        <v>48524.878795030338</v>
      </c>
      <c r="F9" s="73">
        <f t="shared" si="8"/>
        <v>59233.449461166769</v>
      </c>
      <c r="G9" s="73">
        <f t="shared" si="8"/>
        <v>48700.032070672423</v>
      </c>
      <c r="H9" s="73">
        <f t="shared" si="8"/>
        <v>50573.169481194454</v>
      </c>
      <c r="I9" s="73">
        <f t="shared" si="8"/>
        <v>0</v>
      </c>
      <c r="J9" s="73">
        <f t="shared" si="8"/>
        <v>61810.421714002805</v>
      </c>
      <c r="K9" s="73">
        <f t="shared" si="0"/>
        <v>48524.878795030338</v>
      </c>
      <c r="L9" s="73">
        <f t="shared" si="1"/>
        <v>59233.449461166769</v>
      </c>
    </row>
    <row r="10" spans="1:14" x14ac:dyDescent="0.2">
      <c r="A10" s="66" t="s">
        <v>41</v>
      </c>
      <c r="B10" s="69">
        <v>0.3</v>
      </c>
      <c r="C10" s="70">
        <f>$B$10*C9</f>
        <v>11874.944856126198</v>
      </c>
      <c r="D10" s="70"/>
      <c r="E10" s="70">
        <f t="shared" ref="E10:J10" si="9">$B$10*E9</f>
        <v>14557.463638509102</v>
      </c>
      <c r="F10" s="70">
        <f t="shared" si="9"/>
        <v>17770.034838350031</v>
      </c>
      <c r="G10" s="70">
        <f t="shared" si="9"/>
        <v>14610.009621201727</v>
      </c>
      <c r="H10" s="70">
        <f t="shared" si="9"/>
        <v>15171.950844358336</v>
      </c>
      <c r="I10" s="70">
        <f t="shared" si="9"/>
        <v>0</v>
      </c>
      <c r="J10" s="70">
        <f t="shared" si="9"/>
        <v>18543.126514200841</v>
      </c>
      <c r="K10" s="70">
        <f t="shared" si="0"/>
        <v>14557.463638509102</v>
      </c>
      <c r="L10" s="70">
        <f t="shared" si="1"/>
        <v>17770.034838350031</v>
      </c>
      <c r="N10" s="333">
        <v>0.15</v>
      </c>
    </row>
    <row r="11" spans="1:14" x14ac:dyDescent="0.2">
      <c r="A11" s="437" t="s">
        <v>42</v>
      </c>
      <c r="B11" s="64">
        <v>0.02</v>
      </c>
      <c r="C11" s="70">
        <f>$B$11*(C9+C10)</f>
        <v>1029.1618875309371</v>
      </c>
      <c r="D11" s="70">
        <f t="shared" ref="D11:K11" si="10">$B$11*(D9+D10)</f>
        <v>0</v>
      </c>
      <c r="E11" s="70">
        <f t="shared" si="10"/>
        <v>1261.6468486707888</v>
      </c>
      <c r="F11" s="70">
        <f t="shared" si="10"/>
        <v>1540.069685990336</v>
      </c>
      <c r="G11" s="70">
        <f t="shared" si="10"/>
        <v>1266.2008338374831</v>
      </c>
      <c r="H11" s="70">
        <f t="shared" si="10"/>
        <v>1314.9024065110559</v>
      </c>
      <c r="I11" s="70">
        <f t="shared" si="10"/>
        <v>0</v>
      </c>
      <c r="J11" s="70">
        <f t="shared" si="10"/>
        <v>1607.0709645640727</v>
      </c>
      <c r="K11" s="70">
        <f t="shared" si="10"/>
        <v>1261.6468486707888</v>
      </c>
      <c r="L11" s="70">
        <f>$B$11*(L9+L10)</f>
        <v>1540.069685990336</v>
      </c>
    </row>
    <row r="12" spans="1:14" x14ac:dyDescent="0.2">
      <c r="A12" s="67" t="s">
        <v>23</v>
      </c>
      <c r="C12" s="73">
        <f>SUM(C9:C11)</f>
        <v>52487.256264077791</v>
      </c>
      <c r="D12" s="73"/>
      <c r="E12" s="73">
        <f t="shared" ref="E12:J12" si="11">SUM(E9:E11)</f>
        <v>64343.989282210227</v>
      </c>
      <c r="F12" s="73">
        <f t="shared" si="11"/>
        <v>78543.55398550714</v>
      </c>
      <c r="G12" s="73">
        <f t="shared" si="11"/>
        <v>64576.242525711634</v>
      </c>
      <c r="H12" s="73">
        <f t="shared" si="11"/>
        <v>67060.022732063851</v>
      </c>
      <c r="I12" s="73">
        <f t="shared" si="11"/>
        <v>0</v>
      </c>
      <c r="J12" s="73">
        <f t="shared" si="11"/>
        <v>81960.619192767714</v>
      </c>
      <c r="K12" s="73">
        <f>E12</f>
        <v>64343.989282210227</v>
      </c>
      <c r="L12" s="73">
        <f>F12</f>
        <v>78543.55398550714</v>
      </c>
    </row>
    <row r="13" spans="1:14" x14ac:dyDescent="0.2">
      <c r="A13" s="66" t="s">
        <v>43</v>
      </c>
      <c r="B13" s="74"/>
      <c r="C13" s="75">
        <f>'Declarabiliteit &amp; soc lasten'!E14</f>
        <v>1188.0075999999999</v>
      </c>
      <c r="D13" s="75"/>
      <c r="E13" s="75">
        <f>'Declarabiliteit &amp; soc lasten'!E14</f>
        <v>1188.0075999999999</v>
      </c>
      <c r="F13" s="376">
        <f>'Declarabiliteit &amp; soc lasten'!E14*0.98</f>
        <v>1164.2474479999998</v>
      </c>
      <c r="G13" s="75">
        <f>'Declarabiliteit &amp; soc lasten'!D14</f>
        <v>1313.0075999999999</v>
      </c>
      <c r="H13" s="75">
        <f>'Declarabiliteit &amp; soc lasten'!D14</f>
        <v>1313.0075999999999</v>
      </c>
      <c r="I13" s="75"/>
      <c r="J13" s="75">
        <f>'Declarabiliteit &amp; soc lasten'!F14</f>
        <v>1313.0075999999999</v>
      </c>
      <c r="K13" s="376">
        <f>E13-65</f>
        <v>1123.0075999999999</v>
      </c>
      <c r="L13" s="376">
        <f>F13-65</f>
        <v>1099.2474479999998</v>
      </c>
    </row>
    <row r="14" spans="1:14" x14ac:dyDescent="0.2">
      <c r="A14" s="66" t="s">
        <v>44</v>
      </c>
      <c r="C14" s="76"/>
      <c r="D14" s="76"/>
      <c r="E14" s="76"/>
      <c r="F14" s="76"/>
      <c r="G14" s="77">
        <v>7</v>
      </c>
      <c r="H14" s="77">
        <v>5</v>
      </c>
      <c r="I14" s="77">
        <v>1</v>
      </c>
      <c r="J14" s="77">
        <v>9</v>
      </c>
      <c r="K14" s="76"/>
      <c r="L14" s="76"/>
    </row>
    <row r="15" spans="1:14" x14ac:dyDescent="0.2">
      <c r="A15" s="66" t="s">
        <v>45</v>
      </c>
      <c r="B15" s="67"/>
      <c r="C15" s="76"/>
      <c r="D15" s="76"/>
      <c r="E15" s="76"/>
      <c r="F15" s="76"/>
      <c r="G15" s="77">
        <v>4</v>
      </c>
      <c r="H15" s="77">
        <v>4</v>
      </c>
      <c r="I15" s="77">
        <v>24</v>
      </c>
      <c r="J15" s="77">
        <v>24</v>
      </c>
      <c r="K15" s="76"/>
      <c r="L15" s="76"/>
    </row>
    <row r="16" spans="1:14" x14ac:dyDescent="0.2">
      <c r="A16" s="155" t="s">
        <v>46</v>
      </c>
      <c r="B16" s="152"/>
      <c r="C16" s="76"/>
      <c r="D16" s="76"/>
      <c r="E16" s="76"/>
      <c r="F16" s="76"/>
      <c r="G16" s="78">
        <v>8</v>
      </c>
      <c r="H16" s="78">
        <v>8</v>
      </c>
      <c r="I16" s="78">
        <v>53.92</v>
      </c>
      <c r="J16" s="78">
        <v>53.92</v>
      </c>
      <c r="K16" s="76"/>
      <c r="L16" s="76"/>
    </row>
    <row r="17" spans="1:12" x14ac:dyDescent="0.2">
      <c r="A17" s="153" t="s">
        <v>219</v>
      </c>
      <c r="B17" s="153"/>
      <c r="C17" s="79">
        <f>C12/$C$13</f>
        <v>44.180909502664626</v>
      </c>
      <c r="D17" s="79"/>
      <c r="E17" s="79">
        <f>E12/$E$13</f>
        <v>54.161260653728334</v>
      </c>
      <c r="F17" s="79">
        <f>F12/$F$13</f>
        <v>67.462938501976552</v>
      </c>
      <c r="G17" s="79">
        <f>(((G12/G13)*G15)/G14)+G16</f>
        <v>36.10395767297338</v>
      </c>
      <c r="H17" s="79">
        <f>(((H12/H13)*H15)/H14)+H16</f>
        <v>48.858878642934805</v>
      </c>
      <c r="I17" s="79">
        <f>I16</f>
        <v>53.92</v>
      </c>
      <c r="J17" s="79">
        <f>((J12/J13)*(J15/J14))+J16</f>
        <v>220.37878605783692</v>
      </c>
      <c r="K17" s="79">
        <f>K12/$K$13</f>
        <v>57.296129858969991</v>
      </c>
      <c r="L17" s="79">
        <f>L12/$L$13</f>
        <v>71.452114015285076</v>
      </c>
    </row>
    <row r="18" spans="1:12" x14ac:dyDescent="0.2">
      <c r="A18" s="153" t="s">
        <v>126</v>
      </c>
      <c r="B18" s="153"/>
      <c r="C18" s="148" t="s">
        <v>128</v>
      </c>
      <c r="D18" s="148"/>
      <c r="E18" s="148" t="s">
        <v>128</v>
      </c>
      <c r="F18" s="148" t="s">
        <v>128</v>
      </c>
      <c r="G18" s="150" t="s">
        <v>127</v>
      </c>
      <c r="H18" s="148" t="s">
        <v>127</v>
      </c>
      <c r="I18" s="148" t="s">
        <v>132</v>
      </c>
      <c r="J18" s="150" t="s">
        <v>132</v>
      </c>
      <c r="K18" s="148" t="s">
        <v>128</v>
      </c>
      <c r="L18" s="148" t="s">
        <v>128</v>
      </c>
    </row>
    <row r="19" spans="1:12" x14ac:dyDescent="0.2">
      <c r="A19" s="156" t="s">
        <v>111</v>
      </c>
      <c r="B19" s="153"/>
      <c r="C19" s="454">
        <v>42.6</v>
      </c>
      <c r="D19" s="454"/>
      <c r="E19" s="454">
        <v>45.6</v>
      </c>
      <c r="F19" s="454">
        <v>76.8</v>
      </c>
      <c r="G19" s="455" t="s">
        <v>165</v>
      </c>
      <c r="H19" s="455"/>
      <c r="I19" s="456">
        <v>30.84</v>
      </c>
      <c r="J19" s="456">
        <v>250.57</v>
      </c>
      <c r="K19" s="454">
        <v>45.6</v>
      </c>
      <c r="L19" s="454">
        <v>76.8</v>
      </c>
    </row>
    <row r="20" spans="1:12" x14ac:dyDescent="0.2">
      <c r="A20" s="157" t="s">
        <v>114</v>
      </c>
      <c r="B20" s="154"/>
      <c r="C20" s="149">
        <f>(C17-C19)/C19</f>
        <v>3.7110551705742366E-2</v>
      </c>
      <c r="D20" s="149"/>
      <c r="E20" s="149">
        <f>(E17-E19)/E19</f>
        <v>0.18774694416070906</v>
      </c>
      <c r="F20" s="149">
        <f t="shared" ref="F20:J20" si="12">(F17-F19)/F19</f>
        <v>-0.12157632158884694</v>
      </c>
      <c r="G20" s="151"/>
      <c r="H20" s="149"/>
      <c r="I20" s="149">
        <f t="shared" si="12"/>
        <v>0.74837872892347612</v>
      </c>
      <c r="J20" s="151">
        <f t="shared" si="12"/>
        <v>-0.12049013825343446</v>
      </c>
      <c r="K20" s="149">
        <f>(K17-K19)/K19</f>
        <v>0.25649407585460504</v>
      </c>
      <c r="L20" s="149">
        <f t="shared" ref="L20" si="13">(L17-L19)/L19</f>
        <v>-6.9633932092642209E-2</v>
      </c>
    </row>
    <row r="21" spans="1:12" x14ac:dyDescent="0.2">
      <c r="B21" s="82"/>
      <c r="C21" s="80"/>
      <c r="D21" s="81"/>
      <c r="E21" s="83"/>
    </row>
    <row r="22" spans="1:12" x14ac:dyDescent="0.2">
      <c r="A22" s="401" t="s">
        <v>197</v>
      </c>
      <c r="B22" s="402" t="s">
        <v>192</v>
      </c>
      <c r="C22" s="402" t="s">
        <v>108</v>
      </c>
      <c r="D22" s="81"/>
      <c r="E22" s="83"/>
    </row>
    <row r="23" spans="1:12" x14ac:dyDescent="0.2">
      <c r="A23" s="403" t="s">
        <v>195</v>
      </c>
      <c r="B23" s="404">
        <f>AVERAGE(B27:D28)</f>
        <v>15.326666666666668</v>
      </c>
      <c r="C23" s="404">
        <f>AVERAGE(B27:E28)</f>
        <v>18.622499999999999</v>
      </c>
      <c r="D23" s="81"/>
      <c r="E23" s="83"/>
    </row>
    <row r="24" spans="1:12" x14ac:dyDescent="0.2">
      <c r="A24" s="405" t="s">
        <v>193</v>
      </c>
      <c r="B24" s="406">
        <f>AVERAGE(B29:D29)</f>
        <v>24.846666666666668</v>
      </c>
      <c r="C24" s="406">
        <f>AVERAGE(B29:E29)</f>
        <v>26.900000000000002</v>
      </c>
      <c r="D24" s="81"/>
      <c r="E24" s="83"/>
    </row>
    <row r="25" spans="1:12" x14ac:dyDescent="0.2">
      <c r="A25" s="407"/>
      <c r="B25" s="408"/>
      <c r="C25" s="408"/>
      <c r="D25" s="81"/>
      <c r="E25" s="83"/>
    </row>
    <row r="26" spans="1:12" x14ac:dyDescent="0.2">
      <c r="A26" s="388" t="s">
        <v>194</v>
      </c>
      <c r="B26" s="389" t="s">
        <v>183</v>
      </c>
      <c r="C26" s="389" t="s">
        <v>184</v>
      </c>
      <c r="D26" s="389" t="s">
        <v>185</v>
      </c>
      <c r="E26" s="389" t="s">
        <v>186</v>
      </c>
      <c r="F26" s="389" t="s">
        <v>187</v>
      </c>
      <c r="G26" s="389" t="s">
        <v>188</v>
      </c>
    </row>
    <row r="27" spans="1:12" x14ac:dyDescent="0.2">
      <c r="A27" s="388" t="s">
        <v>189</v>
      </c>
      <c r="B27" s="390">
        <v>7.72</v>
      </c>
      <c r="C27" s="392">
        <v>7.72</v>
      </c>
      <c r="D27" s="393">
        <v>17.52</v>
      </c>
      <c r="E27" s="377">
        <v>23.96</v>
      </c>
      <c r="F27" s="377">
        <v>33.06</v>
      </c>
      <c r="G27" s="377">
        <v>33.06</v>
      </c>
    </row>
    <row r="28" spans="1:12" x14ac:dyDescent="0.2">
      <c r="A28" s="388" t="s">
        <v>196</v>
      </c>
      <c r="B28" s="390">
        <v>17.52</v>
      </c>
      <c r="C28" s="392">
        <v>17.52</v>
      </c>
      <c r="D28" s="393">
        <v>23.96</v>
      </c>
      <c r="E28" s="377">
        <v>33.06</v>
      </c>
      <c r="F28" s="377">
        <v>33.06</v>
      </c>
      <c r="G28" s="377">
        <v>46.18</v>
      </c>
    </row>
    <row r="29" spans="1:12" x14ac:dyDescent="0.2">
      <c r="A29" s="67" t="s">
        <v>190</v>
      </c>
      <c r="B29" s="396">
        <v>17.52</v>
      </c>
      <c r="C29" s="397">
        <v>23.96</v>
      </c>
      <c r="D29" s="393">
        <v>33.06</v>
      </c>
      <c r="E29" s="377">
        <v>33.06</v>
      </c>
      <c r="F29" s="377">
        <v>46.18</v>
      </c>
      <c r="G29" s="377">
        <v>63.92</v>
      </c>
    </row>
    <row r="30" spans="1:12" x14ac:dyDescent="0.2">
      <c r="A30" s="398" t="s">
        <v>191</v>
      </c>
      <c r="B30" s="399">
        <v>17.52</v>
      </c>
      <c r="C30" s="400">
        <v>23.96</v>
      </c>
      <c r="D30" s="394">
        <v>46.18</v>
      </c>
      <c r="E30" s="395">
        <v>46.18</v>
      </c>
      <c r="F30" s="395">
        <v>63.92</v>
      </c>
      <c r="G30" s="395">
        <v>94.64</v>
      </c>
    </row>
    <row r="31" spans="1:12" x14ac:dyDescent="0.2">
      <c r="A31" s="87"/>
      <c r="B31" s="391"/>
      <c r="C31" s="391"/>
      <c r="D31"/>
      <c r="E31"/>
      <c r="F31"/>
      <c r="G31"/>
      <c r="H31" s="377"/>
      <c r="I31" s="377"/>
    </row>
    <row r="32" spans="1:12" ht="34" x14ac:dyDescent="0.2">
      <c r="A32" s="144" t="s">
        <v>123</v>
      </c>
      <c r="B32" s="144" t="s">
        <v>113</v>
      </c>
      <c r="C32" s="144" t="s">
        <v>114</v>
      </c>
      <c r="D32" s="144"/>
      <c r="E32" s="144" t="s">
        <v>112</v>
      </c>
      <c r="F32" s="144" t="s">
        <v>113</v>
      </c>
      <c r="G32" s="144" t="s">
        <v>114</v>
      </c>
    </row>
    <row r="33" spans="1:7" x14ac:dyDescent="0.2">
      <c r="A33" s="140" t="s">
        <v>118</v>
      </c>
      <c r="B33" s="145">
        <v>45.72</v>
      </c>
      <c r="C33" s="146">
        <f>($H$17-B33)/B33</f>
        <v>6.8654388515634421E-2</v>
      </c>
      <c r="D33" s="146"/>
      <c r="E33" s="140" t="s">
        <v>115</v>
      </c>
      <c r="F33" s="145">
        <v>38.4</v>
      </c>
      <c r="G33" s="146">
        <f t="shared" ref="G33:G35" si="14">($G$17-F33)/F33</f>
        <v>-5.9792768932984873E-2</v>
      </c>
    </row>
    <row r="34" spans="1:7" x14ac:dyDescent="0.2">
      <c r="A34" s="140" t="s">
        <v>119</v>
      </c>
      <c r="B34" s="145">
        <v>48.91</v>
      </c>
      <c r="C34" s="146">
        <f t="shared" ref="C34:C37" si="15">($H$17-B34)/B34</f>
        <v>-1.0452127799057828E-3</v>
      </c>
      <c r="D34" s="146"/>
      <c r="E34" s="140" t="s">
        <v>116</v>
      </c>
      <c r="F34" s="145">
        <v>40.4</v>
      </c>
      <c r="G34" s="146">
        <f t="shared" si="14"/>
        <v>-0.10633768136204504</v>
      </c>
    </row>
    <row r="35" spans="1:7" x14ac:dyDescent="0.2">
      <c r="A35" s="140" t="s">
        <v>120</v>
      </c>
      <c r="B35" s="145">
        <v>54.23</v>
      </c>
      <c r="C35" s="146">
        <f t="shared" si="15"/>
        <v>-9.9043358972251389E-2</v>
      </c>
      <c r="D35" s="146"/>
      <c r="E35" s="140" t="s">
        <v>117</v>
      </c>
      <c r="F35" s="145">
        <v>29.78</v>
      </c>
      <c r="G35" s="146">
        <f t="shared" si="14"/>
        <v>0.21235586544571453</v>
      </c>
    </row>
    <row r="36" spans="1:7" x14ac:dyDescent="0.2">
      <c r="A36" s="140" t="s">
        <v>121</v>
      </c>
      <c r="B36" s="145">
        <v>39.340000000000003</v>
      </c>
      <c r="C36" s="146">
        <f t="shared" si="15"/>
        <v>0.24196437831557704</v>
      </c>
      <c r="D36" s="146"/>
    </row>
    <row r="37" spans="1:7" x14ac:dyDescent="0.2">
      <c r="A37" s="140" t="s">
        <v>122</v>
      </c>
      <c r="B37" s="145">
        <v>60.61</v>
      </c>
      <c r="C37" s="146">
        <f t="shared" si="15"/>
        <v>-0.19388090013306705</v>
      </c>
      <c r="D37" s="146"/>
    </row>
    <row r="38" spans="1:7" x14ac:dyDescent="0.2">
      <c r="A38" s="147"/>
      <c r="B38" s="145"/>
      <c r="C38" s="146"/>
    </row>
    <row r="40" spans="1:7" x14ac:dyDescent="0.2">
      <c r="A40" s="67"/>
    </row>
  </sheetData>
  <sheetProtection algorithmName="SHA-512" hashValue="szI4Ui29bVks+rHH29XGQEhFFnyevSfGYuqSCKZrBtKjeQKNoMQSZK+mLcEuOQScmNPtSvfhTS3el9JU58gnug==" saltValue="MSyYDOVn33MC5AWTDiyr7Q==" spinCount="100000" sheet="1" objects="1" scenarios="1"/>
  <pageMargins left="0.7" right="0.7" top="0.75" bottom="0.75" header="0.3" footer="0.3"/>
  <pageSetup paperSize="9" orientation="portrait" r:id="rId1"/>
  <legacyDrawing r:id="rId2"/>
  <tableParts count="3">
    <tablePart r:id="rId3"/>
    <tablePart r:id="rId4"/>
    <tablePart r:id="rId5"/>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29028-3DCC-4579-8191-5C58F39A3936}">
  <sheetPr codeName="Blad13">
    <tabColor rgb="FFFFFF00"/>
  </sheetPr>
  <dimension ref="A1:G32"/>
  <sheetViews>
    <sheetView zoomScale="75" zoomScaleNormal="75" workbookViewId="0"/>
  </sheetViews>
  <sheetFormatPr baseColWidth="10" defaultColWidth="11.5" defaultRowHeight="15" x14ac:dyDescent="0.2"/>
  <cols>
    <col min="1" max="1" width="46.5" bestFit="1" customWidth="1"/>
    <col min="2" max="2" width="8.1640625" bestFit="1" customWidth="1"/>
  </cols>
  <sheetData>
    <row r="1" spans="1:7" ht="19" x14ac:dyDescent="0.25">
      <c r="A1" s="84" t="s">
        <v>47</v>
      </c>
      <c r="B1" s="14"/>
      <c r="C1" s="14" t="s">
        <v>171</v>
      </c>
      <c r="D1" s="85" t="s">
        <v>48</v>
      </c>
      <c r="E1" s="86" t="s">
        <v>49</v>
      </c>
      <c r="F1" s="14" t="s">
        <v>50</v>
      </c>
    </row>
    <row r="2" spans="1:7" x14ac:dyDescent="0.2">
      <c r="A2" s="86" t="s">
        <v>51</v>
      </c>
      <c r="B2" s="14"/>
      <c r="C2" s="62">
        <v>1878</v>
      </c>
      <c r="D2" s="62">
        <v>1878</v>
      </c>
      <c r="E2" s="62">
        <v>1878</v>
      </c>
      <c r="F2" s="62">
        <v>1878</v>
      </c>
    </row>
    <row r="3" spans="1:7" x14ac:dyDescent="0.2">
      <c r="A3" s="87" t="s">
        <v>52</v>
      </c>
      <c r="C3" s="529">
        <v>243</v>
      </c>
      <c r="D3" s="61">
        <v>50</v>
      </c>
      <c r="E3" s="61">
        <v>50</v>
      </c>
      <c r="F3" s="61">
        <v>50</v>
      </c>
    </row>
    <row r="4" spans="1:7" x14ac:dyDescent="0.2">
      <c r="A4" s="87" t="s">
        <v>53</v>
      </c>
      <c r="C4" s="529"/>
      <c r="D4" s="61">
        <v>210</v>
      </c>
      <c r="E4" s="61">
        <v>210</v>
      </c>
      <c r="F4" s="61">
        <v>210</v>
      </c>
      <c r="G4" t="s">
        <v>135</v>
      </c>
    </row>
    <row r="5" spans="1:7" x14ac:dyDescent="0.2">
      <c r="A5" s="87" t="s">
        <v>54</v>
      </c>
      <c r="B5" s="88">
        <v>6.1800000000000001E-2</v>
      </c>
      <c r="C5" s="61">
        <f>$B$5*(C2-(C3))</f>
        <v>101.04300000000001</v>
      </c>
      <c r="D5" s="61">
        <f>$B$5*(D2-(D3+D4))</f>
        <v>99.992400000000004</v>
      </c>
      <c r="E5" s="61">
        <f t="shared" ref="E5:F5" si="0">$B$5*(E2-(E3+E4))</f>
        <v>99.992400000000004</v>
      </c>
      <c r="F5" s="61">
        <f t="shared" si="0"/>
        <v>99.992400000000004</v>
      </c>
    </row>
    <row r="6" spans="1:7" x14ac:dyDescent="0.2">
      <c r="A6" s="86" t="s">
        <v>55</v>
      </c>
      <c r="B6" s="14"/>
      <c r="C6" s="89">
        <f>C2-C3-C4-C5</f>
        <v>1533.9569999999999</v>
      </c>
      <c r="D6" s="89">
        <f>D2-D3-D4-D5</f>
        <v>1518.0075999999999</v>
      </c>
      <c r="E6" s="89">
        <f>E2-E3-E4-E5</f>
        <v>1518.0075999999999</v>
      </c>
      <c r="F6" s="89">
        <f>F2-F3-F4-F5</f>
        <v>1518.0075999999999</v>
      </c>
      <c r="G6" s="90"/>
    </row>
    <row r="7" spans="1:7" x14ac:dyDescent="0.2">
      <c r="A7" s="91" t="s">
        <v>56</v>
      </c>
      <c r="C7" s="61"/>
      <c r="D7" s="61"/>
      <c r="E7" s="61"/>
      <c r="F7" s="61"/>
    </row>
    <row r="8" spans="1:7" x14ac:dyDescent="0.2">
      <c r="A8" s="87" t="s">
        <v>57</v>
      </c>
      <c r="C8" s="61">
        <v>21</v>
      </c>
      <c r="D8" s="61">
        <v>30</v>
      </c>
      <c r="E8" s="61">
        <v>30</v>
      </c>
      <c r="F8" s="61">
        <v>30</v>
      </c>
      <c r="G8" s="90"/>
    </row>
    <row r="9" spans="1:7" x14ac:dyDescent="0.2">
      <c r="A9" s="87" t="s">
        <v>58</v>
      </c>
      <c r="C9" s="61">
        <v>15</v>
      </c>
      <c r="D9" s="61">
        <v>80</v>
      </c>
      <c r="E9" s="61">
        <v>80</v>
      </c>
      <c r="F9" s="61">
        <v>80</v>
      </c>
      <c r="G9" s="90"/>
    </row>
    <row r="10" spans="1:7" x14ac:dyDescent="0.2">
      <c r="A10" s="87" t="s">
        <v>59</v>
      </c>
      <c r="C10" s="61"/>
      <c r="D10" s="61">
        <v>20</v>
      </c>
      <c r="E10" s="61">
        <v>20</v>
      </c>
      <c r="F10" s="61">
        <v>20</v>
      </c>
      <c r="G10" s="90"/>
    </row>
    <row r="11" spans="1:7" x14ac:dyDescent="0.2">
      <c r="A11" s="86" t="s">
        <v>60</v>
      </c>
      <c r="B11" s="14"/>
      <c r="C11" s="62">
        <f>C6-(SUM(C8:C10))</f>
        <v>1497.9569999999999</v>
      </c>
      <c r="D11" s="62">
        <f>D6-(SUM(D8:D10))</f>
        <v>1388.0075999999999</v>
      </c>
      <c r="E11" s="62">
        <f>E6-(SUM(E8:E10))</f>
        <v>1388.0075999999999</v>
      </c>
      <c r="F11" s="62">
        <f>F6-(SUM(F8:F10))</f>
        <v>1388.0075999999999</v>
      </c>
    </row>
    <row r="12" spans="1:7" x14ac:dyDescent="0.2">
      <c r="A12" s="87" t="s">
        <v>61</v>
      </c>
      <c r="C12" s="61">
        <v>35</v>
      </c>
      <c r="D12" s="61"/>
      <c r="E12" s="375">
        <v>125</v>
      </c>
      <c r="G12" s="9" t="s">
        <v>178</v>
      </c>
    </row>
    <row r="13" spans="1:7" x14ac:dyDescent="0.2">
      <c r="A13" s="87" t="s">
        <v>62</v>
      </c>
      <c r="B13" s="92"/>
      <c r="C13" s="61"/>
      <c r="D13" s="61">
        <v>75</v>
      </c>
      <c r="E13" s="61">
        <v>75</v>
      </c>
      <c r="F13" s="61">
        <v>75</v>
      </c>
      <c r="G13" s="90"/>
    </row>
    <row r="14" spans="1:7" x14ac:dyDescent="0.2">
      <c r="A14" s="87" t="s">
        <v>63</v>
      </c>
      <c r="B14" s="93"/>
      <c r="C14" s="94">
        <f>C11-C12-C13</f>
        <v>1462.9569999999999</v>
      </c>
      <c r="D14" s="94">
        <f>D11-D12-D13</f>
        <v>1313.0075999999999</v>
      </c>
      <c r="E14" s="94">
        <f>E11-E12-E13</f>
        <v>1188.0075999999999</v>
      </c>
      <c r="F14" s="94">
        <f>F11-F12-F13</f>
        <v>1313.0075999999999</v>
      </c>
    </row>
    <row r="17" spans="1:6" ht="19" x14ac:dyDescent="0.25">
      <c r="A17" s="84" t="s">
        <v>64</v>
      </c>
      <c r="B17" s="87"/>
      <c r="C17" s="141">
        <v>2021</v>
      </c>
      <c r="D17" s="87"/>
      <c r="E17" s="84" t="s">
        <v>198</v>
      </c>
    </row>
    <row r="18" spans="1:6" x14ac:dyDescent="0.2">
      <c r="A18" s="87" t="s">
        <v>65</v>
      </c>
      <c r="B18" s="87"/>
      <c r="C18" s="95">
        <v>7.5300000000000006E-2</v>
      </c>
      <c r="D18" s="87"/>
      <c r="E18" s="429">
        <v>0.125</v>
      </c>
      <c r="F18" t="s">
        <v>199</v>
      </c>
    </row>
    <row r="19" spans="1:6" x14ac:dyDescent="0.2">
      <c r="A19" s="87" t="s">
        <v>66</v>
      </c>
      <c r="B19" s="431">
        <v>0.85</v>
      </c>
      <c r="C19" s="95">
        <v>2.7E-2</v>
      </c>
      <c r="D19" s="87"/>
      <c r="E19" s="430">
        <v>12770</v>
      </c>
      <c r="F19" t="s">
        <v>229</v>
      </c>
    </row>
    <row r="20" spans="1:6" x14ac:dyDescent="0.2">
      <c r="A20" s="87" t="s">
        <v>67</v>
      </c>
      <c r="B20" s="96">
        <f>1-B19</f>
        <v>0.15000000000000002</v>
      </c>
      <c r="C20" s="95">
        <v>7.6999999999999999E-2</v>
      </c>
      <c r="D20" s="87"/>
      <c r="E20" s="429">
        <v>2.5000000000000001E-3</v>
      </c>
      <c r="F20" t="s">
        <v>200</v>
      </c>
    </row>
    <row r="21" spans="1:6" x14ac:dyDescent="0.2">
      <c r="A21" s="87" t="s">
        <v>68</v>
      </c>
      <c r="B21" s="87"/>
      <c r="C21" s="95">
        <v>7.0000000000000007E-2</v>
      </c>
      <c r="D21" s="87"/>
      <c r="E21" s="430">
        <v>21430</v>
      </c>
      <c r="F21" t="s">
        <v>230</v>
      </c>
    </row>
    <row r="22" spans="1:6" x14ac:dyDescent="0.2">
      <c r="A22" s="87" t="s">
        <v>69</v>
      </c>
      <c r="B22" s="87"/>
      <c r="C22" s="95">
        <v>1.2800000000000001E-2</v>
      </c>
      <c r="D22" s="87"/>
    </row>
    <row r="23" spans="1:6" x14ac:dyDescent="0.2">
      <c r="A23" s="87" t="s">
        <v>214</v>
      </c>
      <c r="B23" s="87"/>
      <c r="C23" s="95">
        <f>D23*E23*B20</f>
        <v>1.3900000000000002E-3</v>
      </c>
      <c r="D23" s="439">
        <v>2.7799999999999998E-2</v>
      </c>
      <c r="E23">
        <f>1/3</f>
        <v>0.33333333333333331</v>
      </c>
    </row>
    <row r="24" spans="1:6" x14ac:dyDescent="0.2">
      <c r="A24" s="87"/>
      <c r="B24" s="87" t="s">
        <v>70</v>
      </c>
      <c r="C24" s="440">
        <f>C18+(B19*C19)+(B20*C20)+C21+C22+C23</f>
        <v>0.19399000000000002</v>
      </c>
      <c r="D24" s="87"/>
    </row>
    <row r="25" spans="1:6" x14ac:dyDescent="0.2">
      <c r="A25" s="87"/>
      <c r="D25" s="87"/>
    </row>
    <row r="26" spans="1:6" ht="19" x14ac:dyDescent="0.25">
      <c r="A26" s="84" t="s">
        <v>207</v>
      </c>
      <c r="B26" s="87"/>
      <c r="C26" s="86" t="s">
        <v>210</v>
      </c>
      <c r="D26" s="86" t="s">
        <v>208</v>
      </c>
      <c r="E26" s="86" t="s">
        <v>211</v>
      </c>
    </row>
    <row r="27" spans="1:6" x14ac:dyDescent="0.2">
      <c r="A27" s="87" t="s">
        <v>202</v>
      </c>
      <c r="C27" s="432">
        <f>'producten &amp; tarieven'!C7</f>
        <v>31201.881603660004</v>
      </c>
      <c r="D27" s="432">
        <f>AVERAGE('producten &amp; tarieven'!E7:H7)</f>
        <v>40414.764736786499</v>
      </c>
      <c r="E27" s="432">
        <f>'producten &amp; tarieven'!J7</f>
        <v>48021.738124392017</v>
      </c>
    </row>
    <row r="28" spans="1:6" ht="16" x14ac:dyDescent="0.2">
      <c r="A28" s="433" t="s">
        <v>203</v>
      </c>
      <c r="C28" s="434">
        <f>$E$18*(C27-$E$19)</f>
        <v>2303.9852004575005</v>
      </c>
      <c r="D28" s="434">
        <f>$E$18*(D27-$E$19)</f>
        <v>3455.5955920983124</v>
      </c>
      <c r="E28" s="434">
        <f>$E$18*(E27-$E$19)</f>
        <v>4406.4672655490021</v>
      </c>
    </row>
    <row r="29" spans="1:6" ht="16" x14ac:dyDescent="0.2">
      <c r="A29" s="433" t="s">
        <v>204</v>
      </c>
      <c r="C29" s="435">
        <f>$E$20*(C27-$E$21)</f>
        <v>24.429704009150012</v>
      </c>
      <c r="D29" s="435">
        <f>$E$20*(D27-$E$21)</f>
        <v>47.461911841966248</v>
      </c>
      <c r="E29" s="435">
        <f>$E$20*(E27-$E$21)</f>
        <v>66.479345310980051</v>
      </c>
    </row>
    <row r="30" spans="1:6" ht="16" x14ac:dyDescent="0.2">
      <c r="A30" s="433" t="s">
        <v>201</v>
      </c>
      <c r="C30" s="434">
        <f>SUM(C28:C29)</f>
        <v>2328.4149044666506</v>
      </c>
      <c r="D30" s="434">
        <f>SUM(D28:D29)</f>
        <v>3503.0575039402788</v>
      </c>
      <c r="E30" s="434">
        <f>SUM(E28:E29)</f>
        <v>4472.9466108599818</v>
      </c>
    </row>
    <row r="31" spans="1:6" ht="16" x14ac:dyDescent="0.2">
      <c r="A31" s="433" t="s">
        <v>205</v>
      </c>
      <c r="C31" s="436">
        <f>C30/C27</f>
        <v>7.4624182414483806E-2</v>
      </c>
      <c r="D31" s="436">
        <f>D30/D27</f>
        <v>8.6677666609097218E-2</v>
      </c>
      <c r="E31" s="436">
        <f>E30/E27</f>
        <v>9.3144204803116165E-2</v>
      </c>
    </row>
    <row r="32" spans="1:6" ht="16" x14ac:dyDescent="0.2">
      <c r="A32" s="441" t="s">
        <v>206</v>
      </c>
      <c r="C32" s="442">
        <f>$C$24+C31</f>
        <v>0.26861418241448382</v>
      </c>
      <c r="D32" s="442">
        <f>$C$24+D31</f>
        <v>0.28066766660909725</v>
      </c>
      <c r="E32" s="442">
        <f>$C$24+E31</f>
        <v>0.28713420480311619</v>
      </c>
    </row>
  </sheetData>
  <sheetProtection algorithmName="SHA-512" hashValue="dHAQt1OstpBSCU91Ply3fh+eeaJLUME34Ps1y+OpXvUGxYQXC2+SNDJATwGYTJdVA8f1T0yrcg+yZoGx+LKEng==" saltValue="nIBTm6FGSAr978OgyrJkJA==" spinCount="100000" sheet="1" objects="1" scenarios="1"/>
  <mergeCells count="1">
    <mergeCell ref="C3:C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CCCC3-A3D2-4629-8812-6DC9B9D4F2F8}">
  <sheetPr codeName="Blad14">
    <tabColor rgb="FFFFFF00"/>
  </sheetPr>
  <dimension ref="B1:N35"/>
  <sheetViews>
    <sheetView tabSelected="1" zoomScale="75" zoomScaleNormal="75" workbookViewId="0"/>
  </sheetViews>
  <sheetFormatPr baseColWidth="10" defaultColWidth="10.5" defaultRowHeight="15" x14ac:dyDescent="0.2"/>
  <cols>
    <col min="1" max="1" width="9.5" style="97" customWidth="1"/>
    <col min="2" max="10" width="12.83203125" style="97" customWidth="1"/>
    <col min="11" max="13" width="10.5" style="97"/>
    <col min="14" max="14" width="11.5" style="97" customWidth="1"/>
    <col min="15" max="15" width="28.5" style="97" customWidth="1"/>
    <col min="16" max="16" width="51.5" style="97" customWidth="1"/>
    <col min="17" max="16384" width="10.5" style="97"/>
  </cols>
  <sheetData>
    <row r="1" spans="2:14" x14ac:dyDescent="0.2">
      <c r="B1" s="97" t="s">
        <v>71</v>
      </c>
    </row>
    <row r="2" spans="2:14" x14ac:dyDescent="0.2">
      <c r="B2" s="97" t="s">
        <v>220</v>
      </c>
    </row>
    <row r="4" spans="2:14" x14ac:dyDescent="0.2">
      <c r="C4" s="530" t="s">
        <v>72</v>
      </c>
      <c r="D4" s="533"/>
      <c r="E4" s="530" t="s">
        <v>73</v>
      </c>
      <c r="F4" s="533"/>
      <c r="G4" s="530" t="s">
        <v>74</v>
      </c>
      <c r="H4" s="533"/>
      <c r="I4" s="530" t="s">
        <v>75</v>
      </c>
      <c r="J4" s="533"/>
    </row>
    <row r="5" spans="2:14" x14ac:dyDescent="0.2">
      <c r="B5" s="530" t="s">
        <v>76</v>
      </c>
      <c r="C5" s="98" t="s">
        <v>77</v>
      </c>
      <c r="D5" s="99">
        <v>2344.9299999999998</v>
      </c>
      <c r="E5" s="98" t="s">
        <v>77</v>
      </c>
      <c r="F5" s="99">
        <v>2357</v>
      </c>
      <c r="G5" s="98" t="s">
        <v>77</v>
      </c>
      <c r="H5" s="99">
        <v>2365</v>
      </c>
      <c r="I5" s="98"/>
      <c r="J5" s="99"/>
      <c r="K5" s="100">
        <v>0.2</v>
      </c>
      <c r="N5" s="101"/>
    </row>
    <row r="6" spans="2:14" x14ac:dyDescent="0.2">
      <c r="B6" s="531"/>
      <c r="C6" s="102" t="s">
        <v>78</v>
      </c>
      <c r="D6" s="103">
        <v>2481.3000000000002</v>
      </c>
      <c r="E6" s="102" t="s">
        <v>78</v>
      </c>
      <c r="F6" s="103">
        <v>2487</v>
      </c>
      <c r="G6" s="102" t="s">
        <v>78</v>
      </c>
      <c r="H6" s="103">
        <v>2495</v>
      </c>
      <c r="I6" s="102" t="s">
        <v>79</v>
      </c>
      <c r="J6" s="103">
        <v>2550</v>
      </c>
      <c r="K6" s="104">
        <f>1-K5</f>
        <v>0.8</v>
      </c>
      <c r="N6" s="101"/>
    </row>
    <row r="7" spans="2:14" x14ac:dyDescent="0.2">
      <c r="B7" s="532" t="s">
        <v>80</v>
      </c>
      <c r="C7" s="105" t="s">
        <v>81</v>
      </c>
      <c r="D7" s="106">
        <v>2554.98</v>
      </c>
      <c r="E7" s="105" t="s">
        <v>81</v>
      </c>
      <c r="F7" s="106">
        <v>2622</v>
      </c>
      <c r="G7" s="105" t="s">
        <v>81</v>
      </c>
      <c r="H7" s="106">
        <v>2633</v>
      </c>
      <c r="I7" s="105" t="s">
        <v>82</v>
      </c>
      <c r="J7" s="106">
        <v>2763</v>
      </c>
      <c r="K7" s="104"/>
    </row>
    <row r="8" spans="2:14" x14ac:dyDescent="0.2">
      <c r="B8" s="532"/>
      <c r="C8" s="107" t="s">
        <v>83</v>
      </c>
      <c r="D8" s="108">
        <v>2762.34</v>
      </c>
      <c r="E8" s="107" t="s">
        <v>83</v>
      </c>
      <c r="F8" s="108">
        <v>2757</v>
      </c>
      <c r="G8" s="107" t="s">
        <v>83</v>
      </c>
      <c r="H8" s="108">
        <v>2766</v>
      </c>
      <c r="I8" s="107" t="s">
        <v>84</v>
      </c>
      <c r="J8" s="108">
        <v>2936</v>
      </c>
      <c r="K8" s="104"/>
    </row>
    <row r="9" spans="2:14" x14ac:dyDescent="0.2">
      <c r="B9" s="534" t="s">
        <v>85</v>
      </c>
      <c r="C9" s="105" t="s">
        <v>86</v>
      </c>
      <c r="D9" s="122">
        <v>2971.05</v>
      </c>
      <c r="E9" s="105" t="s">
        <v>86</v>
      </c>
      <c r="F9" s="106">
        <v>3037</v>
      </c>
      <c r="G9" s="105" t="s">
        <v>86</v>
      </c>
      <c r="H9" s="106">
        <v>2902</v>
      </c>
      <c r="I9" s="105" t="s">
        <v>87</v>
      </c>
      <c r="J9" s="106">
        <v>3279</v>
      </c>
      <c r="K9" s="104"/>
    </row>
    <row r="10" spans="2:14" x14ac:dyDescent="0.2">
      <c r="B10" s="535"/>
      <c r="C10" s="105" t="s">
        <v>88</v>
      </c>
      <c r="D10" s="106">
        <v>3264.29</v>
      </c>
      <c r="E10" s="105" t="s">
        <v>88</v>
      </c>
      <c r="F10" s="106">
        <v>3326</v>
      </c>
      <c r="G10" s="105" t="s">
        <v>88</v>
      </c>
      <c r="H10" s="106">
        <v>3189</v>
      </c>
      <c r="I10" s="105" t="s">
        <v>89</v>
      </c>
      <c r="J10" s="106">
        <v>3494</v>
      </c>
      <c r="K10" s="104"/>
    </row>
    <row r="11" spans="2:14" x14ac:dyDescent="0.2">
      <c r="B11" s="532" t="s">
        <v>90</v>
      </c>
      <c r="C11" s="109" t="s">
        <v>91</v>
      </c>
      <c r="D11" s="110">
        <v>3707.64</v>
      </c>
      <c r="E11" s="109" t="s">
        <v>91</v>
      </c>
      <c r="F11" s="110">
        <v>3678</v>
      </c>
      <c r="G11" s="109" t="s">
        <v>91</v>
      </c>
      <c r="H11" s="110">
        <v>3624</v>
      </c>
      <c r="I11" s="109" t="s">
        <v>92</v>
      </c>
      <c r="J11" s="110">
        <v>3864</v>
      </c>
      <c r="K11" s="100">
        <v>0.8</v>
      </c>
    </row>
    <row r="12" spans="2:14" x14ac:dyDescent="0.2">
      <c r="B12" s="532"/>
      <c r="C12" s="107" t="s">
        <v>93</v>
      </c>
      <c r="D12" s="108">
        <v>4161.92</v>
      </c>
      <c r="E12" s="107" t="s">
        <v>93</v>
      </c>
      <c r="F12" s="108">
        <v>4131</v>
      </c>
      <c r="G12" s="107" t="s">
        <v>93</v>
      </c>
      <c r="H12" s="108">
        <v>4082</v>
      </c>
      <c r="I12" s="107" t="s">
        <v>94</v>
      </c>
      <c r="J12" s="108">
        <v>4252</v>
      </c>
      <c r="K12" s="104">
        <f>1-K11</f>
        <v>0.19999999999999996</v>
      </c>
    </row>
    <row r="13" spans="2:14" x14ac:dyDescent="0.2">
      <c r="C13" s="109"/>
      <c r="D13" s="111"/>
      <c r="E13" s="109"/>
      <c r="F13" s="111"/>
      <c r="G13" s="109"/>
      <c r="H13" s="111"/>
      <c r="I13" s="109"/>
      <c r="J13" s="111"/>
    </row>
    <row r="14" spans="2:14" x14ac:dyDescent="0.2">
      <c r="C14" s="112"/>
      <c r="D14" s="113"/>
      <c r="E14" s="105"/>
      <c r="F14" s="114"/>
      <c r="G14" s="112"/>
      <c r="H14" s="113"/>
      <c r="I14" s="112"/>
      <c r="J14" s="113"/>
    </row>
    <row r="15" spans="2:14" x14ac:dyDescent="0.2">
      <c r="C15" s="115"/>
      <c r="D15" s="116"/>
      <c r="E15" s="107"/>
      <c r="F15" s="117"/>
      <c r="G15" s="107"/>
      <c r="H15" s="117"/>
      <c r="I15" s="107"/>
      <c r="J15" s="117"/>
    </row>
    <row r="18" spans="2:13" x14ac:dyDescent="0.2">
      <c r="C18" s="530" t="s">
        <v>76</v>
      </c>
      <c r="D18" s="533"/>
      <c r="E18" s="530" t="s">
        <v>80</v>
      </c>
      <c r="F18" s="533"/>
      <c r="G18" s="530" t="s">
        <v>85</v>
      </c>
      <c r="H18" s="533"/>
      <c r="I18" s="530" t="s">
        <v>90</v>
      </c>
      <c r="J18" s="533"/>
    </row>
    <row r="19" spans="2:13" x14ac:dyDescent="0.2">
      <c r="B19" s="109" t="s">
        <v>72</v>
      </c>
      <c r="C19" s="118"/>
      <c r="D19" s="119">
        <f>(K$5*D5)+(K$6*D6)</f>
        <v>2454.0260000000003</v>
      </c>
      <c r="E19" s="120"/>
      <c r="F19" s="121">
        <f>AVERAGE(D7:D8)</f>
        <v>2658.66</v>
      </c>
      <c r="G19" s="109"/>
      <c r="H19" s="121">
        <f>AVERAGE(D9:D10)</f>
        <v>3117.67</v>
      </c>
      <c r="I19" s="109"/>
      <c r="J19" s="121">
        <f>($K11*D11)+($K12*D12)</f>
        <v>3798.4960000000001</v>
      </c>
      <c r="K19" s="122"/>
      <c r="M19" s="122"/>
    </row>
    <row r="20" spans="2:13" x14ac:dyDescent="0.2">
      <c r="B20" s="105" t="s">
        <v>73</v>
      </c>
      <c r="C20" s="123"/>
      <c r="D20" s="124">
        <f>(K$5*F5)+(K$6*F6)</f>
        <v>2461</v>
      </c>
      <c r="E20" s="104"/>
      <c r="F20" s="125">
        <f>AVERAGE(F7:F8)</f>
        <v>2689.5</v>
      </c>
      <c r="G20" s="105"/>
      <c r="H20" s="125">
        <f>AVERAGE(F9:F10)</f>
        <v>3181.5</v>
      </c>
      <c r="I20" s="105"/>
      <c r="J20" s="125">
        <f>($K11*F11)+($K12*F12)</f>
        <v>3768.6</v>
      </c>
    </row>
    <row r="21" spans="2:13" x14ac:dyDescent="0.2">
      <c r="B21" s="105" t="s">
        <v>74</v>
      </c>
      <c r="C21" s="123"/>
      <c r="D21" s="124">
        <f>(K$5*H5)+(K$6*H6)</f>
        <v>2469</v>
      </c>
      <c r="E21" s="104"/>
      <c r="F21" s="125">
        <f>AVERAGE(H7:H8)</f>
        <v>2699.5</v>
      </c>
      <c r="G21" s="105"/>
      <c r="H21" s="125">
        <f>AVERAGE(H9:H10)</f>
        <v>3045.5</v>
      </c>
      <c r="I21" s="105"/>
      <c r="J21" s="125">
        <f>($K11*H11)+($K12*H12)</f>
        <v>3715.6000000000004</v>
      </c>
    </row>
    <row r="22" spans="2:13" x14ac:dyDescent="0.2">
      <c r="B22" s="107" t="s">
        <v>75</v>
      </c>
      <c r="C22" s="126"/>
      <c r="D22" s="127">
        <f>J6</f>
        <v>2550</v>
      </c>
      <c r="E22" s="128"/>
      <c r="F22" s="129">
        <f>AVERAGE(J7:J8)</f>
        <v>2849.5</v>
      </c>
      <c r="G22" s="107"/>
      <c r="H22" s="129">
        <f>AVERAGE(J9:J10)</f>
        <v>3386.5</v>
      </c>
      <c r="I22" s="107"/>
      <c r="J22" s="129">
        <f>($K11*J11)+($K12*J12)</f>
        <v>3941.6000000000004</v>
      </c>
    </row>
    <row r="23" spans="2:13" x14ac:dyDescent="0.2">
      <c r="C23" s="105"/>
      <c r="D23" s="114"/>
      <c r="E23" s="105"/>
      <c r="F23" s="114"/>
      <c r="G23" s="105"/>
      <c r="H23" s="114"/>
      <c r="I23" s="105"/>
      <c r="J23" s="114"/>
    </row>
    <row r="24" spans="2:13" x14ac:dyDescent="0.2">
      <c r="B24" s="130" t="s">
        <v>95</v>
      </c>
      <c r="C24" s="131"/>
      <c r="D24" s="132">
        <f>AVERAGE(D19:D22)</f>
        <v>2483.5065</v>
      </c>
      <c r="E24" s="131"/>
      <c r="F24" s="132">
        <f>AVERAGE(F19:F22)</f>
        <v>2724.29</v>
      </c>
      <c r="G24" s="133"/>
      <c r="H24" s="132">
        <f>AVERAGE(H19:H22)</f>
        <v>3182.7925</v>
      </c>
      <c r="I24" s="133"/>
      <c r="J24" s="132">
        <f>AVERAGE(J19:J22)</f>
        <v>3806.0740000000001</v>
      </c>
    </row>
    <row r="27" spans="2:13" x14ac:dyDescent="0.2">
      <c r="C27" s="134" t="s">
        <v>76</v>
      </c>
      <c r="D27" s="134" t="s">
        <v>80</v>
      </c>
      <c r="E27" s="134" t="s">
        <v>85</v>
      </c>
      <c r="F27" s="134" t="s">
        <v>90</v>
      </c>
    </row>
    <row r="28" spans="2:13" x14ac:dyDescent="0.2">
      <c r="B28" s="134" t="s">
        <v>96</v>
      </c>
      <c r="C28" s="135">
        <v>1</v>
      </c>
      <c r="D28" s="135"/>
      <c r="E28" s="135"/>
      <c r="F28" s="136"/>
      <c r="G28" s="137">
        <f>(C28*D$24)+(D28*F$24)+(E28*H$24)+(F28*J$24)</f>
        <v>2483.5065</v>
      </c>
    </row>
    <row r="29" spans="2:13" x14ac:dyDescent="0.2">
      <c r="B29" s="134" t="s">
        <v>28</v>
      </c>
      <c r="C29" s="138"/>
      <c r="D29" s="139">
        <v>0.5</v>
      </c>
      <c r="E29" s="139">
        <v>0.4</v>
      </c>
      <c r="F29" s="139">
        <v>0.1</v>
      </c>
      <c r="G29" s="137">
        <f t="shared" ref="G29:G33" si="0">(C29*D$24)+(D29*F$24)+(E29*H$24)+(F29*J$24)</f>
        <v>3015.8694</v>
      </c>
    </row>
    <row r="30" spans="2:13" x14ac:dyDescent="0.2">
      <c r="B30" s="134" t="s">
        <v>106</v>
      </c>
      <c r="C30" s="136"/>
      <c r="D30" s="139"/>
      <c r="E30" s="139">
        <v>0.2</v>
      </c>
      <c r="F30" s="139">
        <v>0.8</v>
      </c>
      <c r="G30" s="137">
        <f t="shared" si="0"/>
        <v>3681.4177000000004</v>
      </c>
    </row>
    <row r="31" spans="2:13" x14ac:dyDescent="0.2">
      <c r="B31" s="134" t="s">
        <v>133</v>
      </c>
      <c r="C31" s="135">
        <v>0.05</v>
      </c>
      <c r="D31" s="139">
        <v>0.4</v>
      </c>
      <c r="E31" s="139">
        <v>0.45</v>
      </c>
      <c r="F31" s="139">
        <v>0.1</v>
      </c>
      <c r="G31" s="137">
        <f t="shared" si="0"/>
        <v>3026.7553499999999</v>
      </c>
    </row>
    <row r="32" spans="2:13" x14ac:dyDescent="0.2">
      <c r="B32" s="134" t="s">
        <v>134</v>
      </c>
      <c r="C32" s="135">
        <v>0.05</v>
      </c>
      <c r="D32" s="139">
        <v>0.35</v>
      </c>
      <c r="E32" s="139">
        <v>0.35</v>
      </c>
      <c r="F32" s="139">
        <v>0.25</v>
      </c>
      <c r="G32" s="137">
        <f t="shared" si="0"/>
        <v>3143.1727000000001</v>
      </c>
    </row>
    <row r="33" spans="2:7" x14ac:dyDescent="0.2">
      <c r="B33" s="134" t="s">
        <v>129</v>
      </c>
      <c r="C33" s="136"/>
      <c r="D33" s="139">
        <v>0.4</v>
      </c>
      <c r="E33" s="139">
        <v>0.4</v>
      </c>
      <c r="F33" s="139">
        <v>0.2</v>
      </c>
      <c r="G33" s="137">
        <f t="shared" si="0"/>
        <v>3124.0478000000007</v>
      </c>
    </row>
    <row r="35" spans="2:7" x14ac:dyDescent="0.2">
      <c r="B35" s="134"/>
    </row>
  </sheetData>
  <sheetProtection algorithmName="SHA-512" hashValue="bOWEtqiPJcbWkCPmyJBQWaCHc3PQIcvHerhhUxNnmJDxSVvhqwFKjjf2Qi6aTi/SQK7OLY+eocKL5qEx6MGIVg==" saltValue="6L/fd5sQ5mqSoFnslbL4Kw==" spinCount="100000" sheet="1" objects="1" scenarios="1"/>
  <mergeCells count="12">
    <mergeCell ref="B5:B6"/>
    <mergeCell ref="B7:B8"/>
    <mergeCell ref="I18:J18"/>
    <mergeCell ref="C4:D4"/>
    <mergeCell ref="E4:F4"/>
    <mergeCell ref="G4:H4"/>
    <mergeCell ref="I4:J4"/>
    <mergeCell ref="B9:B10"/>
    <mergeCell ref="B11:B12"/>
    <mergeCell ref="C18:D18"/>
    <mergeCell ref="E18:F18"/>
    <mergeCell ref="G18:H18"/>
  </mergeCells>
  <phoneticPr fontId="28"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7ACD3-D968-4256-90A7-790913257AC7}">
  <sheetPr codeName="Blad15">
    <tabColor rgb="FF7030A0"/>
  </sheetPr>
  <dimension ref="A2:G52"/>
  <sheetViews>
    <sheetView zoomScale="75" zoomScaleNormal="75" workbookViewId="0"/>
  </sheetViews>
  <sheetFormatPr baseColWidth="10" defaultColWidth="8.83203125" defaultRowHeight="15" x14ac:dyDescent="0.2"/>
  <cols>
    <col min="1" max="1" width="34.5" style="97" customWidth="1"/>
    <col min="2" max="3" width="12.5" customWidth="1"/>
    <col min="4" max="7" width="12.5" style="176" customWidth="1"/>
  </cols>
  <sheetData>
    <row r="2" spans="1:7" ht="30" thickBot="1" x14ac:dyDescent="0.25">
      <c r="A2" s="382" t="s">
        <v>0</v>
      </c>
      <c r="B2" s="217" t="s">
        <v>11</v>
      </c>
      <c r="C2" s="217" t="s">
        <v>12</v>
      </c>
      <c r="D2" s="457" t="s">
        <v>19</v>
      </c>
      <c r="E2" s="458"/>
      <c r="F2" s="458"/>
      <c r="G2" s="458"/>
    </row>
    <row r="3" spans="1:7" ht="17" thickTop="1" thickBot="1" x14ac:dyDescent="0.25">
      <c r="A3" s="383" t="s">
        <v>105</v>
      </c>
      <c r="B3" s="198"/>
      <c r="C3" s="198"/>
      <c r="D3" s="459" t="s">
        <v>107</v>
      </c>
      <c r="E3" s="460" t="s">
        <v>108</v>
      </c>
      <c r="F3" s="460" t="s">
        <v>109</v>
      </c>
      <c r="G3" s="460" t="s">
        <v>110</v>
      </c>
    </row>
    <row r="4" spans="1:7" ht="23" thickTop="1" x14ac:dyDescent="0.2">
      <c r="A4" s="384" t="s">
        <v>2</v>
      </c>
      <c r="B4" s="27">
        <v>-0.5</v>
      </c>
      <c r="C4" s="27">
        <v>0</v>
      </c>
      <c r="D4" s="461">
        <v>0.14900662251655628</v>
      </c>
      <c r="E4" s="461">
        <v>0.15002970885323827</v>
      </c>
      <c r="F4" s="461">
        <v>0.14516896715849595</v>
      </c>
      <c r="G4" s="461">
        <v>0.15345056403450563</v>
      </c>
    </row>
    <row r="5" spans="1:7" x14ac:dyDescent="0.2">
      <c r="A5" s="385" t="s">
        <v>154</v>
      </c>
      <c r="B5" s="27">
        <v>-0.25</v>
      </c>
      <c r="C5" s="27">
        <v>0</v>
      </c>
      <c r="D5" s="462"/>
      <c r="E5" s="462"/>
      <c r="F5" s="462"/>
      <c r="G5" s="462"/>
    </row>
    <row r="6" spans="1:7" x14ac:dyDescent="0.2">
      <c r="A6" s="385" t="s">
        <v>4</v>
      </c>
      <c r="B6" s="27">
        <v>-0.2</v>
      </c>
      <c r="C6" s="27">
        <v>0</v>
      </c>
      <c r="D6" s="462"/>
      <c r="E6" s="462"/>
      <c r="F6" s="462"/>
      <c r="G6" s="462"/>
    </row>
    <row r="7" spans="1:7" ht="22" x14ac:dyDescent="0.2">
      <c r="A7" s="385" t="s">
        <v>5</v>
      </c>
      <c r="B7" s="27">
        <v>-0.2</v>
      </c>
      <c r="C7" s="27">
        <v>-0.1</v>
      </c>
      <c r="D7" s="462"/>
      <c r="E7" s="462"/>
      <c r="F7" s="462"/>
      <c r="G7" s="462"/>
    </row>
    <row r="8" spans="1:7" ht="16" thickBot="1" x14ac:dyDescent="0.25">
      <c r="A8" s="386" t="s">
        <v>104</v>
      </c>
      <c r="B8" s="197"/>
      <c r="C8" s="197"/>
      <c r="D8" s="463"/>
      <c r="E8" s="460"/>
      <c r="F8" s="460"/>
      <c r="G8" s="460"/>
    </row>
    <row r="9" spans="1:7" ht="23" thickTop="1" x14ac:dyDescent="0.2">
      <c r="A9" s="387" t="s">
        <v>2</v>
      </c>
      <c r="B9" s="27">
        <v>-0.2</v>
      </c>
      <c r="C9" s="27">
        <v>-0.1</v>
      </c>
      <c r="D9" s="461">
        <f>D4</f>
        <v>0.14900662251655628</v>
      </c>
      <c r="E9" s="461">
        <f t="shared" ref="E9:G9" si="0">E4</f>
        <v>0.15002970885323827</v>
      </c>
      <c r="F9" s="461">
        <f t="shared" si="0"/>
        <v>0.14516896715849595</v>
      </c>
      <c r="G9" s="461">
        <f t="shared" si="0"/>
        <v>0.15345056403450563</v>
      </c>
    </row>
    <row r="10" spans="1:7" x14ac:dyDescent="0.2">
      <c r="A10" s="385" t="s">
        <v>154</v>
      </c>
      <c r="B10" s="27">
        <v>-0.15</v>
      </c>
      <c r="C10" s="27">
        <v>-0.1</v>
      </c>
      <c r="D10" s="462"/>
      <c r="E10" s="462"/>
      <c r="F10" s="462"/>
      <c r="G10" s="462"/>
    </row>
    <row r="11" spans="1:7" x14ac:dyDescent="0.2">
      <c r="A11" s="385" t="s">
        <v>4</v>
      </c>
      <c r="B11" s="27">
        <v>-0.2</v>
      </c>
      <c r="C11" s="27">
        <v>-0.1</v>
      </c>
      <c r="D11" s="462"/>
      <c r="E11" s="462"/>
      <c r="F11" s="462"/>
      <c r="G11" s="462"/>
    </row>
    <row r="12" spans="1:7" ht="22" x14ac:dyDescent="0.2">
      <c r="A12" s="385" t="s">
        <v>5</v>
      </c>
      <c r="B12" s="27">
        <v>-0.1</v>
      </c>
      <c r="C12" s="199">
        <v>-0.05</v>
      </c>
      <c r="D12" s="462"/>
      <c r="E12" s="462"/>
      <c r="F12" s="462"/>
      <c r="G12" s="462"/>
    </row>
    <row r="13" spans="1:7" ht="16" thickBot="1" x14ac:dyDescent="0.25">
      <c r="A13" s="386" t="s">
        <v>101</v>
      </c>
      <c r="B13" s="197"/>
      <c r="C13" s="197"/>
      <c r="D13" s="463"/>
      <c r="E13" s="460"/>
      <c r="F13" s="460"/>
      <c r="G13" s="460"/>
    </row>
    <row r="14" spans="1:7" ht="23" thickTop="1" x14ac:dyDescent="0.2">
      <c r="A14" s="387" t="s">
        <v>2</v>
      </c>
      <c r="B14" s="199">
        <v>-0.7</v>
      </c>
      <c r="C14" s="27">
        <v>0</v>
      </c>
      <c r="D14" s="461">
        <f>D4</f>
        <v>0.14900662251655628</v>
      </c>
      <c r="E14" s="461">
        <f t="shared" ref="E14:G14" si="1">E4</f>
        <v>0.15002970885323827</v>
      </c>
      <c r="F14" s="461">
        <f t="shared" si="1"/>
        <v>0.14516896715849595</v>
      </c>
      <c r="G14" s="461">
        <f t="shared" si="1"/>
        <v>0.15345056403450563</v>
      </c>
    </row>
    <row r="15" spans="1:7" x14ac:dyDescent="0.2">
      <c r="A15" s="385" t="s">
        <v>154</v>
      </c>
      <c r="B15" s="27">
        <v>-0.2</v>
      </c>
      <c r="C15" s="27">
        <v>-0.1</v>
      </c>
      <c r="D15" s="462"/>
      <c r="E15" s="462"/>
      <c r="F15" s="462"/>
      <c r="G15" s="462"/>
    </row>
    <row r="16" spans="1:7" x14ac:dyDescent="0.2">
      <c r="A16" s="385" t="s">
        <v>4</v>
      </c>
      <c r="B16" s="27">
        <v>-0.4</v>
      </c>
      <c r="C16" s="27">
        <v>0</v>
      </c>
      <c r="D16" s="462"/>
      <c r="E16" s="462"/>
      <c r="F16" s="462"/>
      <c r="G16" s="462"/>
    </row>
    <row r="17" spans="1:7" ht="22" x14ac:dyDescent="0.2">
      <c r="A17" s="385" t="s">
        <v>5</v>
      </c>
      <c r="B17" s="27">
        <v>-0.2</v>
      </c>
      <c r="C17" s="27">
        <v>0</v>
      </c>
      <c r="D17" s="462"/>
      <c r="E17" s="462"/>
      <c r="F17" s="462"/>
      <c r="G17" s="462"/>
    </row>
    <row r="18" spans="1:7" ht="16" thickBot="1" x14ac:dyDescent="0.25">
      <c r="A18" s="386" t="s">
        <v>102</v>
      </c>
      <c r="B18" s="197"/>
      <c r="C18" s="197"/>
      <c r="D18" s="463"/>
      <c r="E18" s="460"/>
      <c r="F18" s="460"/>
      <c r="G18" s="460"/>
    </row>
    <row r="19" spans="1:7" ht="23" thickTop="1" x14ac:dyDescent="0.2">
      <c r="A19" s="387" t="s">
        <v>2</v>
      </c>
      <c r="B19" s="199">
        <v>-0.1</v>
      </c>
      <c r="C19" s="199">
        <v>-0.1</v>
      </c>
      <c r="D19" s="461">
        <f>D4</f>
        <v>0.14900662251655628</v>
      </c>
      <c r="E19" s="461">
        <f t="shared" ref="E19:G19" si="2">E4</f>
        <v>0.15002970885323827</v>
      </c>
      <c r="F19" s="461">
        <f t="shared" si="2"/>
        <v>0.14516896715849595</v>
      </c>
      <c r="G19" s="461">
        <f t="shared" si="2"/>
        <v>0.15345056403450563</v>
      </c>
    </row>
    <row r="20" spans="1:7" x14ac:dyDescent="0.2">
      <c r="A20" s="385" t="s">
        <v>154</v>
      </c>
      <c r="B20" s="27">
        <v>-0.1</v>
      </c>
      <c r="C20" s="27">
        <v>-0.1</v>
      </c>
      <c r="D20" s="462"/>
      <c r="E20" s="462"/>
      <c r="F20" s="462"/>
      <c r="G20" s="462"/>
    </row>
    <row r="21" spans="1:7" x14ac:dyDescent="0.2">
      <c r="A21" s="385" t="s">
        <v>4</v>
      </c>
      <c r="B21" s="27">
        <v>-0.1</v>
      </c>
      <c r="C21" s="27">
        <v>-0.1</v>
      </c>
      <c r="D21" s="462"/>
      <c r="E21" s="462"/>
      <c r="F21" s="462"/>
      <c r="G21" s="462"/>
    </row>
    <row r="22" spans="1:7" ht="22" x14ac:dyDescent="0.2">
      <c r="A22" s="385" t="s">
        <v>5</v>
      </c>
      <c r="B22" s="27">
        <v>-0.05</v>
      </c>
      <c r="C22" s="27">
        <v>0</v>
      </c>
      <c r="D22" s="462"/>
      <c r="E22" s="462"/>
      <c r="F22" s="462"/>
      <c r="G22" s="462"/>
    </row>
    <row r="23" spans="1:7" ht="16" thickBot="1" x14ac:dyDescent="0.25">
      <c r="A23" s="386" t="s">
        <v>27</v>
      </c>
      <c r="B23" s="197"/>
      <c r="C23" s="197"/>
      <c r="D23" s="463"/>
      <c r="E23" s="460"/>
      <c r="F23" s="460"/>
      <c r="G23" s="460"/>
    </row>
    <row r="24" spans="1:7" ht="23" thickTop="1" x14ac:dyDescent="0.2">
      <c r="A24" s="387" t="s">
        <v>2</v>
      </c>
      <c r="B24" s="27"/>
      <c r="C24" s="27"/>
      <c r="D24" s="461">
        <f>D4</f>
        <v>0.14900662251655628</v>
      </c>
      <c r="E24" s="461">
        <f t="shared" ref="E24:G24" si="3">E4</f>
        <v>0.15002970885323827</v>
      </c>
      <c r="F24" s="461">
        <f t="shared" si="3"/>
        <v>0.14516896715849595</v>
      </c>
      <c r="G24" s="461">
        <f t="shared" si="3"/>
        <v>0.15345056403450563</v>
      </c>
    </row>
    <row r="25" spans="1:7" x14ac:dyDescent="0.2">
      <c r="A25" s="385" t="s">
        <v>154</v>
      </c>
      <c r="B25" s="27"/>
      <c r="C25" s="27"/>
      <c r="D25" s="464"/>
      <c r="E25" s="464"/>
      <c r="F25" s="464"/>
      <c r="G25" s="464"/>
    </row>
    <row r="26" spans="1:7" x14ac:dyDescent="0.2">
      <c r="A26" s="385" t="s">
        <v>4</v>
      </c>
      <c r="B26" s="27"/>
      <c r="C26" s="27"/>
      <c r="D26" s="464"/>
      <c r="E26" s="464"/>
      <c r="F26" s="464"/>
      <c r="G26" s="464"/>
    </row>
    <row r="27" spans="1:7" ht="22" x14ac:dyDescent="0.2">
      <c r="A27" s="385" t="s">
        <v>5</v>
      </c>
      <c r="B27" s="27"/>
      <c r="C27" s="27"/>
      <c r="D27" s="464"/>
      <c r="E27" s="464"/>
      <c r="F27" s="464"/>
      <c r="G27" s="464"/>
    </row>
    <row r="28" spans="1:7" ht="16" thickBot="1" x14ac:dyDescent="0.25">
      <c r="A28" s="386" t="s">
        <v>157</v>
      </c>
      <c r="B28" s="197"/>
      <c r="C28" s="197"/>
      <c r="D28" s="463"/>
      <c r="E28" s="460"/>
      <c r="F28" s="460"/>
      <c r="G28" s="460"/>
    </row>
    <row r="29" spans="1:7" ht="23" thickTop="1" x14ac:dyDescent="0.2">
      <c r="A29" s="387" t="s">
        <v>2</v>
      </c>
      <c r="B29" s="27"/>
      <c r="C29" s="27"/>
      <c r="D29" s="461">
        <f>D4</f>
        <v>0.14900662251655628</v>
      </c>
      <c r="E29" s="461">
        <f t="shared" ref="E29:G29" si="4">E4</f>
        <v>0.15002970885323827</v>
      </c>
      <c r="F29" s="461">
        <f t="shared" si="4"/>
        <v>0.14516896715849595</v>
      </c>
      <c r="G29" s="461">
        <f t="shared" si="4"/>
        <v>0.15345056403450563</v>
      </c>
    </row>
    <row r="30" spans="1:7" x14ac:dyDescent="0.2">
      <c r="A30" s="385" t="s">
        <v>154</v>
      </c>
      <c r="B30" s="27"/>
      <c r="C30" s="27"/>
      <c r="D30" s="462"/>
      <c r="E30" s="462"/>
      <c r="F30" s="462"/>
      <c r="G30" s="462"/>
    </row>
    <row r="31" spans="1:7" x14ac:dyDescent="0.2">
      <c r="A31" s="385" t="s">
        <v>4</v>
      </c>
      <c r="B31" s="27"/>
      <c r="C31" s="27"/>
      <c r="D31" s="462"/>
      <c r="E31" s="462"/>
      <c r="F31" s="462"/>
      <c r="G31" s="462"/>
    </row>
    <row r="32" spans="1:7" ht="22" x14ac:dyDescent="0.2">
      <c r="A32" s="385" t="s">
        <v>5</v>
      </c>
      <c r="B32" s="27"/>
      <c r="C32" s="27"/>
      <c r="D32" s="462"/>
      <c r="E32" s="462"/>
      <c r="F32" s="462"/>
      <c r="G32" s="462"/>
    </row>
    <row r="33" spans="1:7" ht="16" thickBot="1" x14ac:dyDescent="0.25">
      <c r="A33" s="386" t="s">
        <v>158</v>
      </c>
      <c r="B33" s="197"/>
      <c r="C33" s="197"/>
      <c r="D33" s="463"/>
      <c r="E33" s="460"/>
      <c r="F33" s="460"/>
      <c r="G33" s="460"/>
    </row>
    <row r="34" spans="1:7" ht="23" thickTop="1" x14ac:dyDescent="0.2">
      <c r="A34" s="387" t="s">
        <v>2</v>
      </c>
      <c r="B34" s="27"/>
      <c r="C34" s="27"/>
      <c r="D34" s="461">
        <f>D4</f>
        <v>0.14900662251655628</v>
      </c>
      <c r="E34" s="461">
        <f t="shared" ref="E34:G34" si="5">E4</f>
        <v>0.15002970885323827</v>
      </c>
      <c r="F34" s="461">
        <f t="shared" si="5"/>
        <v>0.14516896715849595</v>
      </c>
      <c r="G34" s="461">
        <f t="shared" si="5"/>
        <v>0.15345056403450563</v>
      </c>
    </row>
    <row r="35" spans="1:7" x14ac:dyDescent="0.2">
      <c r="A35" s="385" t="s">
        <v>154</v>
      </c>
      <c r="B35" s="27"/>
      <c r="C35" s="27"/>
      <c r="D35" s="462"/>
      <c r="E35" s="462"/>
      <c r="F35" s="462"/>
      <c r="G35" s="462"/>
    </row>
    <row r="36" spans="1:7" x14ac:dyDescent="0.2">
      <c r="A36" s="385" t="s">
        <v>4</v>
      </c>
      <c r="B36" s="27"/>
      <c r="C36" s="27"/>
      <c r="D36" s="462"/>
      <c r="E36" s="462"/>
      <c r="F36" s="462"/>
      <c r="G36" s="462"/>
    </row>
    <row r="37" spans="1:7" ht="22" x14ac:dyDescent="0.2">
      <c r="A37" s="385" t="s">
        <v>5</v>
      </c>
      <c r="B37" s="27"/>
      <c r="C37" s="27"/>
      <c r="D37" s="462"/>
      <c r="E37" s="462"/>
      <c r="F37" s="462"/>
      <c r="G37" s="462"/>
    </row>
    <row r="38" spans="1:7" ht="16" thickBot="1" x14ac:dyDescent="0.25">
      <c r="A38" s="386" t="s">
        <v>125</v>
      </c>
      <c r="B38" s="197"/>
      <c r="C38" s="197"/>
      <c r="D38" s="463"/>
      <c r="E38" s="460"/>
      <c r="F38" s="460"/>
      <c r="G38" s="460"/>
    </row>
    <row r="39" spans="1:7" ht="23" thickTop="1" x14ac:dyDescent="0.2">
      <c r="A39" s="387" t="s">
        <v>2</v>
      </c>
      <c r="B39" s="451"/>
      <c r="C39" s="410"/>
      <c r="D39" s="461">
        <f>D4</f>
        <v>0.14900662251655628</v>
      </c>
      <c r="E39" s="461">
        <f t="shared" ref="E39:G39" si="6">E4</f>
        <v>0.15002970885323827</v>
      </c>
      <c r="F39" s="461">
        <f t="shared" si="6"/>
        <v>0.14516896715849595</v>
      </c>
      <c r="G39" s="461">
        <f t="shared" si="6"/>
        <v>0.15345056403450563</v>
      </c>
    </row>
    <row r="40" spans="1:7" x14ac:dyDescent="0.2">
      <c r="A40" s="385" t="s">
        <v>154</v>
      </c>
      <c r="B40" s="410"/>
      <c r="C40" s="410"/>
      <c r="D40" s="462"/>
      <c r="E40" s="462"/>
      <c r="F40" s="462"/>
      <c r="G40" s="462"/>
    </row>
    <row r="41" spans="1:7" x14ac:dyDescent="0.2">
      <c r="A41" s="385" t="s">
        <v>4</v>
      </c>
      <c r="B41" s="410"/>
      <c r="C41" s="410"/>
      <c r="D41" s="462"/>
      <c r="E41" s="462"/>
      <c r="F41" s="462"/>
      <c r="G41" s="462"/>
    </row>
    <row r="42" spans="1:7" ht="22" x14ac:dyDescent="0.2">
      <c r="A42" s="385" t="s">
        <v>5</v>
      </c>
      <c r="B42" s="410"/>
      <c r="C42" s="410"/>
      <c r="D42" s="462"/>
      <c r="E42" s="462"/>
      <c r="F42" s="462"/>
      <c r="G42" s="462"/>
    </row>
    <row r="43" spans="1:7" ht="16" thickBot="1" x14ac:dyDescent="0.25">
      <c r="A43" s="386" t="s">
        <v>124</v>
      </c>
      <c r="B43" s="293"/>
      <c r="C43" s="293"/>
      <c r="D43" s="465"/>
      <c r="E43" s="466"/>
      <c r="F43" s="466"/>
      <c r="G43" s="466"/>
    </row>
    <row r="44" spans="1:7" ht="23" thickTop="1" x14ac:dyDescent="0.2">
      <c r="A44" s="387" t="s">
        <v>2</v>
      </c>
      <c r="B44" s="452"/>
      <c r="C44" s="452"/>
      <c r="D44" s="467">
        <f>D4</f>
        <v>0.14900662251655628</v>
      </c>
      <c r="E44" s="467">
        <f t="shared" ref="E44:G44" si="7">E4</f>
        <v>0.15002970885323827</v>
      </c>
      <c r="F44" s="467">
        <f t="shared" si="7"/>
        <v>0.14516896715849595</v>
      </c>
      <c r="G44" s="467">
        <f t="shared" si="7"/>
        <v>0.15345056403450563</v>
      </c>
    </row>
    <row r="45" spans="1:7" x14ac:dyDescent="0.2">
      <c r="A45" s="385" t="s">
        <v>154</v>
      </c>
      <c r="B45" s="453"/>
      <c r="C45" s="453"/>
      <c r="D45" s="462"/>
      <c r="E45" s="462"/>
      <c r="F45" s="462"/>
      <c r="G45" s="462"/>
    </row>
    <row r="46" spans="1:7" x14ac:dyDescent="0.2">
      <c r="A46" s="385" t="s">
        <v>4</v>
      </c>
      <c r="B46" s="453"/>
      <c r="C46" s="453"/>
      <c r="D46" s="462"/>
      <c r="E46" s="462"/>
      <c r="F46" s="462"/>
      <c r="G46" s="462"/>
    </row>
    <row r="47" spans="1:7" ht="22" x14ac:dyDescent="0.2">
      <c r="A47" s="385" t="s">
        <v>5</v>
      </c>
      <c r="B47" s="453"/>
      <c r="C47" s="453"/>
      <c r="D47" s="462"/>
      <c r="E47" s="462"/>
      <c r="F47" s="462"/>
      <c r="G47" s="462"/>
    </row>
    <row r="48" spans="1:7" ht="16" thickBot="1" x14ac:dyDescent="0.25">
      <c r="A48" s="386" t="s">
        <v>160</v>
      </c>
      <c r="B48" s="202"/>
      <c r="C48" s="202"/>
      <c r="D48" s="465"/>
      <c r="E48" s="466"/>
      <c r="F48" s="466"/>
      <c r="G48" s="466"/>
    </row>
    <row r="49" spans="1:7" ht="23" thickTop="1" x14ac:dyDescent="0.2">
      <c r="A49" s="387" t="s">
        <v>2</v>
      </c>
      <c r="B49" s="142"/>
      <c r="C49" s="142"/>
      <c r="D49" s="468">
        <f>D4</f>
        <v>0.14900662251655628</v>
      </c>
      <c r="E49" s="468">
        <f t="shared" ref="E49:G49" si="8">E4</f>
        <v>0.15002970885323827</v>
      </c>
      <c r="F49" s="468">
        <f t="shared" si="8"/>
        <v>0.14516896715849595</v>
      </c>
      <c r="G49" s="468">
        <f t="shared" si="8"/>
        <v>0.15345056403450563</v>
      </c>
    </row>
    <row r="50" spans="1:7" x14ac:dyDescent="0.2">
      <c r="A50" s="385" t="s">
        <v>154</v>
      </c>
      <c r="B50" s="142"/>
      <c r="C50" s="142"/>
      <c r="D50" s="469"/>
      <c r="E50" s="462"/>
      <c r="F50" s="462"/>
      <c r="G50" s="462"/>
    </row>
    <row r="51" spans="1:7" x14ac:dyDescent="0.2">
      <c r="A51" s="385" t="s">
        <v>4</v>
      </c>
      <c r="B51" s="142"/>
      <c r="C51" s="142"/>
      <c r="D51" s="469"/>
      <c r="E51" s="462"/>
      <c r="F51" s="462"/>
      <c r="G51" s="462"/>
    </row>
    <row r="52" spans="1:7" ht="22" x14ac:dyDescent="0.2">
      <c r="A52" s="385" t="s">
        <v>5</v>
      </c>
      <c r="B52" s="27"/>
      <c r="C52" s="27"/>
      <c r="D52" s="462"/>
      <c r="E52" s="462"/>
      <c r="F52" s="462"/>
      <c r="G52" s="462"/>
    </row>
  </sheetData>
  <sheetProtection algorithmName="SHA-512" hashValue="Zk6aJR0JHfrik9XU1dxJ6BjR6sogIGmJUlMBAPV+yDvmZfWNytlV4LZHFGgQKxvG6sdjQcRf3bMq4E2UIza02g==" saltValue="L2EAfF/S1b/nrPCAUixuNA==" spinCount="100000" sheet="1" objects="1" scenarios="1"/>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BEC3A-6F3B-4814-B438-69D7E76E0C8B}">
  <sheetPr codeName="Blad16">
    <tabColor rgb="FF7030A0"/>
  </sheetPr>
  <dimension ref="A1:F6"/>
  <sheetViews>
    <sheetView zoomScale="75" zoomScaleNormal="75" workbookViewId="0"/>
  </sheetViews>
  <sheetFormatPr baseColWidth="10" defaultColWidth="8.83203125" defaultRowHeight="15" x14ac:dyDescent="0.2"/>
  <cols>
    <col min="3" max="3" width="55.5" customWidth="1"/>
  </cols>
  <sheetData>
    <row r="1" spans="1:6" ht="16" thickBot="1" x14ac:dyDescent="0.25">
      <c r="A1" s="539" t="s">
        <v>21</v>
      </c>
      <c r="B1" s="539"/>
      <c r="C1" s="539"/>
      <c r="D1" s="523" t="s">
        <v>14</v>
      </c>
      <c r="E1" s="524"/>
      <c r="F1" s="525"/>
    </row>
    <row r="2" spans="1:6" ht="16" thickTop="1" x14ac:dyDescent="0.2">
      <c r="A2" s="540" t="s">
        <v>2</v>
      </c>
      <c r="B2" s="540"/>
      <c r="C2" s="540"/>
      <c r="D2" s="521">
        <v>0.09</v>
      </c>
      <c r="E2" s="521"/>
      <c r="F2" s="521"/>
    </row>
    <row r="3" spans="1:6" x14ac:dyDescent="0.2">
      <c r="A3" s="536" t="s">
        <v>3</v>
      </c>
      <c r="B3" s="536"/>
      <c r="C3" s="536"/>
      <c r="D3" s="537">
        <v>0.05</v>
      </c>
      <c r="E3" s="537"/>
      <c r="F3" s="537"/>
    </row>
    <row r="4" spans="1:6" x14ac:dyDescent="0.2">
      <c r="A4" s="536" t="s">
        <v>181</v>
      </c>
      <c r="B4" s="536"/>
      <c r="C4" s="536"/>
      <c r="D4" s="537">
        <v>0.05</v>
      </c>
      <c r="E4" s="537"/>
      <c r="F4" s="537"/>
    </row>
    <row r="5" spans="1:6" x14ac:dyDescent="0.2">
      <c r="A5" s="536" t="s">
        <v>5</v>
      </c>
      <c r="B5" s="536"/>
      <c r="C5" s="536"/>
      <c r="D5" s="537">
        <v>0.02</v>
      </c>
      <c r="E5" s="537"/>
      <c r="F5" s="537"/>
    </row>
    <row r="6" spans="1:6" x14ac:dyDescent="0.2">
      <c r="A6" s="520" t="s">
        <v>13</v>
      </c>
      <c r="B6" s="520"/>
      <c r="C6" s="520"/>
      <c r="D6" s="537">
        <v>0.05</v>
      </c>
      <c r="E6" s="537"/>
      <c r="F6" s="538"/>
    </row>
  </sheetData>
  <sheetProtection algorithmName="SHA-512" hashValue="oUnz7b0oNFgBOWgXm2d7O0af0GGh+XLA2ruXPlEM90AjTi2GwswP5Zcd0N+ZciMGfGuTuUX+X8TC88fq9VuhBA==" saltValue="RxkAinKEUCRqcF9xFZHucw==" spinCount="100000" sheet="1" objects="1" scenarios="1"/>
  <mergeCells count="12">
    <mergeCell ref="A1:C1"/>
    <mergeCell ref="D1:F1"/>
    <mergeCell ref="A2:C2"/>
    <mergeCell ref="D2:F2"/>
    <mergeCell ref="A3:C3"/>
    <mergeCell ref="D3:F3"/>
    <mergeCell ref="A4:C4"/>
    <mergeCell ref="D4:F4"/>
    <mergeCell ref="A5:C5"/>
    <mergeCell ref="D5:F5"/>
    <mergeCell ref="A6:C6"/>
    <mergeCell ref="D6:F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tabColor rgb="FF92D050"/>
  </sheetPr>
  <dimension ref="A1:J83"/>
  <sheetViews>
    <sheetView zoomScale="75" zoomScaleNormal="75" workbookViewId="0">
      <selection sqref="A1:B1"/>
    </sheetView>
  </sheetViews>
  <sheetFormatPr baseColWidth="10" defaultColWidth="8.83203125" defaultRowHeight="13" x14ac:dyDescent="0.15"/>
  <cols>
    <col min="1" max="1" width="19.83203125" style="339" customWidth="1"/>
    <col min="2" max="2" width="15.83203125" style="340" customWidth="1"/>
    <col min="3" max="3" width="15.5" style="341" customWidth="1"/>
    <col min="4" max="6" width="15.5" style="341" bestFit="1" customWidth="1"/>
    <col min="7" max="9" width="15.5" style="341" customWidth="1"/>
    <col min="10" max="10" width="8.83203125" style="2"/>
    <col min="11" max="11" width="11.5" style="2" bestFit="1" customWidth="1"/>
    <col min="12" max="16384" width="8.83203125" style="2"/>
  </cols>
  <sheetData>
    <row r="1" spans="1:9" ht="45" customHeight="1" x14ac:dyDescent="0.15">
      <c r="A1" s="516" t="s">
        <v>215</v>
      </c>
      <c r="B1" s="517"/>
      <c r="C1" s="335"/>
      <c r="D1" s="372"/>
      <c r="E1" s="335"/>
      <c r="F1" s="335"/>
      <c r="G1" s="335"/>
      <c r="H1" s="335"/>
      <c r="I1" s="336"/>
    </row>
    <row r="2" spans="1:9" ht="45" customHeight="1" x14ac:dyDescent="0.15">
      <c r="A2" s="483" t="s">
        <v>221</v>
      </c>
      <c r="B2" s="481"/>
      <c r="C2" s="482" t="s">
        <v>107</v>
      </c>
      <c r="D2" s="371" t="s">
        <v>108</v>
      </c>
      <c r="E2" s="371" t="s">
        <v>109</v>
      </c>
      <c r="F2" s="371" t="s">
        <v>110</v>
      </c>
      <c r="G2" s="371" t="s">
        <v>222</v>
      </c>
      <c r="H2" s="373" t="s">
        <v>223</v>
      </c>
      <c r="I2" s="373" t="s">
        <v>224</v>
      </c>
    </row>
    <row r="3" spans="1:9" ht="14.25" customHeight="1" x14ac:dyDescent="0.15">
      <c r="A3" s="518">
        <v>2022</v>
      </c>
      <c r="B3" s="510"/>
      <c r="C3" s="503">
        <f>(C10-'Bolsward REKENMODEL'!$E$54)/'Bolsward REKENMODEL'!$E$54</f>
        <v>0.11227076452377803</v>
      </c>
      <c r="D3" s="503">
        <f>(D10-'Buitengebied REKENMODEL'!$E$54)/'Buitengebied REKENMODEL'!$E$54</f>
        <v>0.16679437630565244</v>
      </c>
      <c r="E3" s="503">
        <f>(E10-'Sneek Noord REKENMODEL'!$E$54)/'Sneek Noord REKENMODEL'!$E$54</f>
        <v>0.13413540130603396</v>
      </c>
      <c r="F3" s="503">
        <f>(F10-'Sneek Zuid REKENMODEL'!$E$54)/'Sneek Zuid REKENMODEL'!$E$54</f>
        <v>9.950865034172833E-2</v>
      </c>
      <c r="G3" s="419">
        <f>G10-('Bolsward REKENMODEL'!E$54+'Buitengebied REKENMODEL'!E$54+'Sneek Noord REKENMODEL'!E$54+'Sneek Zuid REKENMODEL'!E$54)</f>
        <v>1268202.9928852133</v>
      </c>
      <c r="H3" s="374">
        <f>(G10-('Bolsward REKENMODEL'!E$54+'Buitengebied REKENMODEL'!E$54+'Sneek Noord REKENMODEL'!E$54+'Sneek Zuid REKENMODEL'!E$54))/('Bolsward REKENMODEL'!E$54+'Buitengebied REKENMODEL'!E$54+'Sneek Noord REKENMODEL'!E$54+'Sneek Zuid REKENMODEL'!E$54)</f>
        <v>0.12803070102387826</v>
      </c>
      <c r="I3" s="420">
        <f>(G10-('Bolsward REKENMODEL'!E$53+'Buitengebied REKENMODEL'!E$53+'Sneek Noord REKENMODEL'!E$53+'Sneek Zuid REKENMODEL'!E$53))/('Bolsward REKENMODEL'!E$53+'Buitengebied REKENMODEL'!E$53+'Sneek Noord REKENMODEL'!E$53+'Sneek Zuid REKENMODEL'!E$53)</f>
        <v>5.5160461921197917E-2</v>
      </c>
    </row>
    <row r="4" spans="1:9" ht="14.25" customHeight="1" x14ac:dyDescent="0.15">
      <c r="A4" s="519">
        <v>2023</v>
      </c>
      <c r="B4" s="512"/>
      <c r="C4" s="503">
        <f>(C11-'Bolsward REKENMODEL'!$E$54)/'Bolsward REKENMODEL'!$E$54</f>
        <v>2.8611932111337161E-2</v>
      </c>
      <c r="D4" s="503">
        <f>(D11-'Buitengebied REKENMODEL'!$E$54)/'Buitengebied REKENMODEL'!$E$54</f>
        <v>7.8165446540784597E-2</v>
      </c>
      <c r="E4" s="503">
        <f>(E11-'Sneek Noord REKENMODEL'!$E$54)/'Sneek Noord REKENMODEL'!$E$54</f>
        <v>4.0628007127423552E-2</v>
      </c>
      <c r="F4" s="503">
        <f>(F11-'Sneek Zuid REKENMODEL'!$E$54)/'Sneek Zuid REKENMODEL'!$E$54</f>
        <v>2.276523566691822E-2</v>
      </c>
      <c r="G4" s="419">
        <f>G11-('Bolsward REKENMODEL'!E$54+'Buitengebied REKENMODEL'!E$54+'Sneek Noord REKENMODEL'!E$54+'Sneek Zuid REKENMODEL'!E$54)</f>
        <v>424674.19965001754</v>
      </c>
      <c r="H4" s="374">
        <f>(G11-('Bolsward REKENMODEL'!E$54+'Buitengebied REKENMODEL'!E$54+'Sneek Noord REKENMODEL'!E$54+'Sneek Zuid REKENMODEL'!E$54))/('Bolsward REKENMODEL'!E$54+'Buitengebied REKENMODEL'!E$54+'Sneek Noord REKENMODEL'!E$54+'Sneek Zuid REKENMODEL'!E$54)</f>
        <v>4.2872738664848274E-2</v>
      </c>
      <c r="I4" s="420">
        <f>(G11-('Bolsward REKENMODEL'!E$53+'Buitengebied REKENMODEL'!E$53+'Sneek Noord REKENMODEL'!E$53+'Sneek Zuid REKENMODEL'!E$53))/('Bolsward REKENMODEL'!E$53+'Buitengebied REKENMODEL'!E$53+'Sneek Noord REKENMODEL'!E$53+'Sneek Zuid REKENMODEL'!E$53)</f>
        <v>-2.4496337151259245E-2</v>
      </c>
    </row>
    <row r="5" spans="1:9" ht="13.5" customHeight="1" x14ac:dyDescent="0.15">
      <c r="A5" s="519">
        <v>2024</v>
      </c>
      <c r="B5" s="512"/>
      <c r="C5" s="503">
        <f>(C12-'Bolsward REKENMODEL'!$E$54)/'Bolsward REKENMODEL'!$E$54</f>
        <v>-7.0812334092296675E-2</v>
      </c>
      <c r="D5" s="503">
        <f>(D12-'Buitengebied REKENMODEL'!$E$54)/'Buitengebied REKENMODEL'!$E$54</f>
        <v>-2.746887543513293E-2</v>
      </c>
      <c r="E5" s="503">
        <f>(E12-'Sneek Noord REKENMODEL'!$E$54)/'Sneek Noord REKENMODEL'!$E$54</f>
        <v>-6.5596954225803611E-2</v>
      </c>
      <c r="F5" s="503">
        <f>(F12-'Sneek Zuid REKENMODEL'!$E$54)/'Sneek Zuid REKENMODEL'!$E$54</f>
        <v>-7.2145225376519656E-2</v>
      </c>
      <c r="G5" s="419">
        <f>G12-('Bolsward REKENMODEL'!E$54+'Buitengebied REKENMODEL'!E$54+'Sneek Noord REKENMODEL'!E$54+'Sneek Zuid REKENMODEL'!E$54)</f>
        <v>-578554.94790477864</v>
      </c>
      <c r="H5" s="374">
        <f>(G12-('Bolsward REKENMODEL'!E$54+'Buitengebied REKENMODEL'!E$54+'Sneek Noord REKENMODEL'!E$54+'Sneek Zuid REKENMODEL'!E$54))/('Bolsward REKENMODEL'!E$54+'Buitengebied REKENMODEL'!E$54+'Sneek Noord REKENMODEL'!E$54+'Sneek Zuid REKENMODEL'!E$54)</f>
        <v>-5.84076807708548E-2</v>
      </c>
      <c r="I5" s="420">
        <f>(G12-('Bolsward REKENMODEL'!E$53+'Buitengebied REKENMODEL'!E$53+'Sneek Noord REKENMODEL'!E$53+'Sneek Zuid REKENMODEL'!E$53))/('Bolsward REKENMODEL'!E$53+'Buitengebied REKENMODEL'!E$53+'Sneek Noord REKENMODEL'!E$53+'Sneek Zuid REKENMODEL'!E$53)</f>
        <v>-0.1192340903510163</v>
      </c>
    </row>
    <row r="6" spans="1:9" ht="13" customHeight="1" x14ac:dyDescent="0.15">
      <c r="A6" s="519">
        <v>2025</v>
      </c>
      <c r="B6" s="512"/>
      <c r="C6" s="503">
        <f>(C13-'Bolsward REKENMODEL'!$E$54)/'Bolsward REKENMODEL'!$E$54</f>
        <v>-0.15969113411154884</v>
      </c>
      <c r="D6" s="503">
        <f>(D13-'Buitengebied REKENMODEL'!$E$54)/'Buitengebied REKENMODEL'!$E$54</f>
        <v>-0.12205749071995162</v>
      </c>
      <c r="E6" s="503">
        <f>(E13-'Sneek Noord REKENMODEL'!$E$54)/'Sneek Noord REKENMODEL'!$E$54</f>
        <v>-0.16107146008043249</v>
      </c>
      <c r="F6" s="503">
        <f>(F13-'Sneek Zuid REKENMODEL'!$E$54)/'Sneek Zuid REKENMODEL'!$E$54</f>
        <v>-0.15662843232857421</v>
      </c>
      <c r="G6" s="419">
        <f>G13-('Bolsward REKENMODEL'!E$54+'Buitengebied REKENMODEL'!E$54+'Sneek Noord REKENMODEL'!E$54+'Sneek Zuid REKENMODEL'!E$54)</f>
        <v>-1475888.0045629907</v>
      </c>
      <c r="H6" s="374">
        <f>(G13-('Bolsward REKENMODEL'!E$54+'Buitengebied REKENMODEL'!E$54+'Sneek Noord REKENMODEL'!E$54+'Sneek Zuid REKENMODEL'!E$54))/('Bolsward REKENMODEL'!E$54+'Buitengebied REKENMODEL'!E$54+'Sneek Noord REKENMODEL'!E$54+'Sneek Zuid REKENMODEL'!E$54)</f>
        <v>-0.14899742148300973</v>
      </c>
      <c r="I6" s="420">
        <f>(G13-('Bolsward REKENMODEL'!E$53+'Buitengebied REKENMODEL'!E$53+'Sneek Noord REKENMODEL'!E$53+'Sneek Zuid REKENMODEL'!E$53))/('Bolsward REKENMODEL'!E$53+'Buitengebied REKENMODEL'!E$53+'Sneek Noord REKENMODEL'!E$53+'Sneek Zuid REKENMODEL'!E$53)</f>
        <v>-0.20397177751537973</v>
      </c>
    </row>
    <row r="7" spans="1:9" ht="14.25" customHeight="1" x14ac:dyDescent="0.15">
      <c r="A7" s="515">
        <v>2026</v>
      </c>
      <c r="B7" s="514"/>
      <c r="C7" s="503">
        <f>(C14-'Bolsward REKENMODEL'!$E$54)/'Bolsward REKENMODEL'!$E$54</f>
        <v>-0.15245312197426111</v>
      </c>
      <c r="D7" s="503">
        <f>(D14-'Buitengebied REKENMODEL'!$E$54)/'Buitengebied REKENMODEL'!$E$54</f>
        <v>-0.1127374720873572</v>
      </c>
      <c r="E7" s="503">
        <f>(E14-'Sneek Noord REKENMODEL'!$E$54)/'Sneek Noord REKENMODEL'!$E$54</f>
        <v>-0.15355943867367916</v>
      </c>
      <c r="F7" s="503">
        <f>(F14-'Sneek Zuid REKENMODEL'!$E$54)/'Sneek Zuid REKENMODEL'!$E$54</f>
        <v>-0.14971898160452496</v>
      </c>
      <c r="G7" s="419">
        <f>G14-('Bolsward REKENMODEL'!E$54+'Buitengebied REKENMODEL'!E$54+'Sneek Noord REKENMODEL'!E$54+'Sneek Zuid REKENMODEL'!E$54)</f>
        <v>-1398973.0610781945</v>
      </c>
      <c r="H7" s="374">
        <f>(G14-('Bolsward REKENMODEL'!E$54+'Buitengebied REKENMODEL'!E$54+'Sneek Noord REKENMODEL'!E$54+'Sneek Zuid REKENMODEL'!E$54))/('Bolsward REKENMODEL'!E$54+'Buitengebied REKENMODEL'!E$54+'Sneek Noord REKENMODEL'!E$54+'Sneek Zuid REKENMODEL'!E$54)</f>
        <v>-0.14123251776584769</v>
      </c>
      <c r="I7" s="420">
        <f>(G14-('Bolsward REKENMODEL'!E$53+'Buitengebied REKENMODEL'!E$53+'Sneek Noord REKENMODEL'!E$53+'Sneek Zuid REKENMODEL'!E$53))/('Bolsward REKENMODEL'!E$53+'Buitengebied REKENMODEL'!E$53+'Sneek Noord REKENMODEL'!E$53+'Sneek Zuid REKENMODEL'!E$53)</f>
        <v>-0.19670848283240913</v>
      </c>
    </row>
    <row r="8" spans="1:9" ht="7" customHeight="1" x14ac:dyDescent="0.15">
      <c r="A8" s="487"/>
      <c r="B8" s="488"/>
      <c r="C8" s="478"/>
      <c r="D8" s="478"/>
      <c r="E8" s="478"/>
      <c r="F8" s="478"/>
      <c r="G8" s="495"/>
      <c r="H8" s="496"/>
      <c r="I8" s="497"/>
    </row>
    <row r="9" spans="1:9" ht="44" customHeight="1" x14ac:dyDescent="0.15">
      <c r="A9" s="490" t="s">
        <v>228</v>
      </c>
      <c r="B9" s="491"/>
      <c r="C9" s="371" t="s">
        <v>107</v>
      </c>
      <c r="D9" s="371" t="s">
        <v>108</v>
      </c>
      <c r="E9" s="371" t="s">
        <v>109</v>
      </c>
      <c r="F9" s="371" t="s">
        <v>110</v>
      </c>
      <c r="G9" s="373" t="s">
        <v>10</v>
      </c>
      <c r="H9" s="492" t="s">
        <v>227</v>
      </c>
      <c r="I9" s="504"/>
    </row>
    <row r="10" spans="1:9" ht="16.5" customHeight="1" x14ac:dyDescent="0.15">
      <c r="A10" s="509">
        <v>2022</v>
      </c>
      <c r="B10" s="510"/>
      <c r="C10" s="502">
        <f t="shared" ref="C10:F14" si="0">C24+((C24/$G24)*$H10)</f>
        <v>2627866.6468951954</v>
      </c>
      <c r="D10" s="502">
        <f t="shared" si="0"/>
        <v>3111316.687596329</v>
      </c>
      <c r="E10" s="502">
        <f t="shared" si="0"/>
        <v>2389384.1581024481</v>
      </c>
      <c r="F10" s="502">
        <f t="shared" si="0"/>
        <v>3045095.5402912418</v>
      </c>
      <c r="G10" s="501">
        <f>SUM(C10:F10)</f>
        <v>11173663.032885214</v>
      </c>
      <c r="H10" s="498">
        <v>80000</v>
      </c>
      <c r="I10" s="2"/>
    </row>
    <row r="11" spans="1:9" ht="16.5" customHeight="1" x14ac:dyDescent="0.15">
      <c r="A11" s="511">
        <v>2023</v>
      </c>
      <c r="B11" s="512"/>
      <c r="C11" s="502">
        <f t="shared" si="0"/>
        <v>2430213.105665084</v>
      </c>
      <c r="D11" s="502">
        <f t="shared" si="0"/>
        <v>2874983.1280754693</v>
      </c>
      <c r="E11" s="502">
        <f t="shared" si="0"/>
        <v>2192383.7946021785</v>
      </c>
      <c r="F11" s="502">
        <f t="shared" si="0"/>
        <v>2832554.2113072868</v>
      </c>
      <c r="G11" s="501">
        <f t="shared" ref="G11:G14" si="1">SUM(C11:F11)</f>
        <v>10330134.239650019</v>
      </c>
      <c r="H11" s="499">
        <v>80000</v>
      </c>
      <c r="I11" s="2"/>
    </row>
    <row r="12" spans="1:9" ht="16.5" customHeight="1" x14ac:dyDescent="0.15">
      <c r="A12" s="511">
        <v>2024</v>
      </c>
      <c r="B12" s="512"/>
      <c r="C12" s="502">
        <f t="shared" si="0"/>
        <v>2195311.9274790119</v>
      </c>
      <c r="D12" s="502">
        <f t="shared" si="0"/>
        <v>2593303.8232889506</v>
      </c>
      <c r="E12" s="502">
        <f t="shared" si="0"/>
        <v>1968590.1985640302</v>
      </c>
      <c r="F12" s="502">
        <f t="shared" si="0"/>
        <v>2569699.14276323</v>
      </c>
      <c r="G12" s="501">
        <f t="shared" si="1"/>
        <v>9326905.0920952223</v>
      </c>
      <c r="H12" s="499">
        <v>80000</v>
      </c>
      <c r="I12" s="2"/>
    </row>
    <row r="13" spans="1:9" ht="16.5" customHeight="1" x14ac:dyDescent="0.15">
      <c r="A13" s="511">
        <v>2025</v>
      </c>
      <c r="B13" s="512"/>
      <c r="C13" s="502">
        <f t="shared" si="0"/>
        <v>1985325.6169185066</v>
      </c>
      <c r="D13" s="502">
        <f t="shared" si="0"/>
        <v>2341078.4585043741</v>
      </c>
      <c r="E13" s="502">
        <f t="shared" si="0"/>
        <v>1767445.5455278866</v>
      </c>
      <c r="F13" s="502">
        <f t="shared" si="0"/>
        <v>2335722.4144862429</v>
      </c>
      <c r="G13" s="501">
        <f t="shared" si="1"/>
        <v>8429572.0354370102</v>
      </c>
      <c r="H13" s="499">
        <v>80000</v>
      </c>
      <c r="I13" s="2"/>
    </row>
    <row r="14" spans="1:9" ht="14.5" customHeight="1" x14ac:dyDescent="0.15">
      <c r="A14" s="513">
        <v>2026</v>
      </c>
      <c r="B14" s="514"/>
      <c r="C14" s="502">
        <f t="shared" si="0"/>
        <v>2002426.2468119343</v>
      </c>
      <c r="D14" s="502">
        <f t="shared" si="0"/>
        <v>2365930.7633227371</v>
      </c>
      <c r="E14" s="502">
        <f t="shared" si="0"/>
        <v>1783271.7907222023</v>
      </c>
      <c r="F14" s="502">
        <f t="shared" si="0"/>
        <v>2354858.1780649335</v>
      </c>
      <c r="G14" s="501">
        <f t="shared" si="1"/>
        <v>8506486.9789218064</v>
      </c>
      <c r="H14" s="500">
        <v>80000</v>
      </c>
      <c r="I14" s="2"/>
    </row>
    <row r="15" spans="1:9" ht="14.5" customHeight="1" x14ac:dyDescent="0.15">
      <c r="A15" s="505"/>
      <c r="B15" s="505"/>
      <c r="C15" s="506"/>
      <c r="D15" s="506"/>
      <c r="E15" s="506"/>
      <c r="F15" s="506"/>
      <c r="G15" s="507"/>
      <c r="H15" s="348"/>
      <c r="I15" s="2"/>
    </row>
    <row r="16" spans="1:9" ht="35" customHeight="1" x14ac:dyDescent="0.15">
      <c r="A16" s="490" t="s">
        <v>232</v>
      </c>
      <c r="B16" s="491"/>
      <c r="C16" s="373" t="s">
        <v>107</v>
      </c>
      <c r="D16" s="373" t="s">
        <v>108</v>
      </c>
      <c r="E16" s="373" t="s">
        <v>109</v>
      </c>
      <c r="F16" s="373" t="s">
        <v>110</v>
      </c>
      <c r="G16" s="373" t="s">
        <v>10</v>
      </c>
      <c r="H16" s="2"/>
      <c r="I16" s="2"/>
    </row>
    <row r="17" spans="1:9" ht="14.5" customHeight="1" x14ac:dyDescent="0.15">
      <c r="A17" s="509">
        <v>2022</v>
      </c>
      <c r="B17" s="510"/>
      <c r="C17" s="502">
        <f>C10-C24</f>
        <v>18814.719142047688</v>
      </c>
      <c r="D17" s="502">
        <f t="shared" ref="D17:F17" si="2">D10-D24</f>
        <v>22276.073144066613</v>
      </c>
      <c r="E17" s="502">
        <f t="shared" si="2"/>
        <v>17107.257672405336</v>
      </c>
      <c r="F17" s="502">
        <f t="shared" si="2"/>
        <v>21801.950041480362</v>
      </c>
      <c r="G17" s="501">
        <f>SUM(C17:F17)</f>
        <v>80000</v>
      </c>
      <c r="H17" s="2"/>
      <c r="I17" s="2"/>
    </row>
    <row r="18" spans="1:9" ht="14.5" customHeight="1" x14ac:dyDescent="0.15">
      <c r="A18" s="511">
        <v>2023</v>
      </c>
      <c r="B18" s="512"/>
      <c r="C18" s="502">
        <f t="shared" ref="C18:F21" si="3">C11-C25</f>
        <v>18820.379672025796</v>
      </c>
      <c r="D18" s="502">
        <f t="shared" si="3"/>
        <v>22264.826856096275</v>
      </c>
      <c r="E18" s="502">
        <f t="shared" si="3"/>
        <v>16978.550278172828</v>
      </c>
      <c r="F18" s="502">
        <f t="shared" si="3"/>
        <v>21936.243193705101</v>
      </c>
      <c r="G18" s="501">
        <f t="shared" ref="G18:G21" si="4">SUM(C18:F18)</f>
        <v>80000</v>
      </c>
      <c r="H18" s="2"/>
      <c r="I18" s="2"/>
    </row>
    <row r="19" spans="1:9" ht="14.5" customHeight="1" x14ac:dyDescent="0.15">
      <c r="A19" s="511">
        <v>2024</v>
      </c>
      <c r="B19" s="512"/>
      <c r="C19" s="502">
        <f t="shared" si="3"/>
        <v>18829.928305710666</v>
      </c>
      <c r="D19" s="502">
        <f t="shared" si="3"/>
        <v>22243.638571914751</v>
      </c>
      <c r="E19" s="502">
        <f t="shared" si="3"/>
        <v>16885.259829500923</v>
      </c>
      <c r="F19" s="502">
        <f t="shared" si="3"/>
        <v>22041.173292873893</v>
      </c>
      <c r="G19" s="501">
        <f t="shared" si="4"/>
        <v>80000.000000000233</v>
      </c>
      <c r="H19" s="2"/>
      <c r="I19" s="2"/>
    </row>
    <row r="20" spans="1:9" ht="14.5" customHeight="1" x14ac:dyDescent="0.15">
      <c r="A20" s="511">
        <v>2025</v>
      </c>
      <c r="B20" s="512"/>
      <c r="C20" s="502">
        <f t="shared" si="3"/>
        <v>18841.531774779549</v>
      </c>
      <c r="D20" s="502">
        <f t="shared" si="3"/>
        <v>22217.768101751804</v>
      </c>
      <c r="E20" s="502">
        <f t="shared" si="3"/>
        <v>16773.763015229953</v>
      </c>
      <c r="F20" s="502">
        <f t="shared" si="3"/>
        <v>22166.937108238693</v>
      </c>
      <c r="G20" s="501">
        <f t="shared" si="4"/>
        <v>80000</v>
      </c>
      <c r="H20" s="2"/>
      <c r="I20" s="2"/>
    </row>
    <row r="21" spans="1:9" ht="14.5" customHeight="1" x14ac:dyDescent="0.15">
      <c r="A21" s="513">
        <v>2026</v>
      </c>
      <c r="B21" s="514"/>
      <c r="C21" s="502">
        <f t="shared" si="3"/>
        <v>18831.992588938214</v>
      </c>
      <c r="D21" s="502">
        <f t="shared" si="3"/>
        <v>22250.602573638316</v>
      </c>
      <c r="E21" s="502">
        <f t="shared" si="3"/>
        <v>16770.935359247262</v>
      </c>
      <c r="F21" s="502">
        <f>F14-F28</f>
        <v>22146.469478175975</v>
      </c>
      <c r="G21" s="501">
        <f t="shared" si="4"/>
        <v>79999.999999999767</v>
      </c>
      <c r="H21" s="2"/>
      <c r="I21" s="2"/>
    </row>
    <row r="22" spans="1:9" ht="15.5" customHeight="1" x14ac:dyDescent="0.15">
      <c r="A22" s="487"/>
      <c r="B22" s="487"/>
      <c r="C22" s="493"/>
      <c r="D22" s="494"/>
      <c r="E22" s="494"/>
      <c r="F22" s="494"/>
      <c r="G22" s="489"/>
      <c r="H22" s="489"/>
      <c r="I22" s="489"/>
    </row>
    <row r="23" spans="1:9" ht="28" x14ac:dyDescent="0.15">
      <c r="A23" s="490" t="s">
        <v>231</v>
      </c>
      <c r="B23" s="508"/>
      <c r="C23" s="373" t="s">
        <v>107</v>
      </c>
      <c r="D23" s="373" t="s">
        <v>108</v>
      </c>
      <c r="E23" s="373" t="s">
        <v>109</v>
      </c>
      <c r="F23" s="373" t="s">
        <v>110</v>
      </c>
      <c r="G23" s="373" t="s">
        <v>10</v>
      </c>
      <c r="H23" s="2"/>
      <c r="I23" s="2"/>
    </row>
    <row r="24" spans="1:9" x14ac:dyDescent="0.15">
      <c r="A24" s="518">
        <v>2022</v>
      </c>
      <c r="B24" s="510"/>
      <c r="C24" s="342">
        <f>'Bolsward REKENMODEL'!$E$53+(C31+C38+C45+C52+C59)</f>
        <v>2609051.9277531477</v>
      </c>
      <c r="D24" s="342">
        <f>'Buitengebied REKENMODEL'!$E$53+(D31+D38+D45+D52+D59)</f>
        <v>3089040.6144522624</v>
      </c>
      <c r="E24" s="342">
        <f>'Sneek Noord REKENMODEL'!$E$53+(E31+E38+E45+E52+E59)</f>
        <v>2372276.9004300428</v>
      </c>
      <c r="F24" s="342">
        <f>'Sneek Zuid REKENMODEL'!$E$53+(F31+F38+F45+F52+F59)</f>
        <v>3023293.5902497615</v>
      </c>
      <c r="G24" s="484">
        <f>SUM(C24:F24)</f>
        <v>11093663.032885214</v>
      </c>
      <c r="H24" s="2"/>
      <c r="I24" s="343"/>
    </row>
    <row r="25" spans="1:9" x14ac:dyDescent="0.15">
      <c r="A25" s="519">
        <v>2023</v>
      </c>
      <c r="B25" s="512"/>
      <c r="C25" s="342">
        <f>'Bolsward REKENMODEL'!$E$53+(C32+C39+C46+C53+C60)</f>
        <v>2411392.7259930582</v>
      </c>
      <c r="D25" s="342">
        <f>'Buitengebied REKENMODEL'!$E$53+(D32+D39+D46+D53+D60)</f>
        <v>2852718.301219373</v>
      </c>
      <c r="E25" s="342">
        <f>'Sneek Noord REKENMODEL'!$E$53+(E32+E39+E46+E53+E60)</f>
        <v>2175405.2443240057</v>
      </c>
      <c r="F25" s="342">
        <f>'Sneek Zuid REKENMODEL'!$E$53+(F32+F39+F46+F53+F60)</f>
        <v>2810617.9681135816</v>
      </c>
      <c r="G25" s="485">
        <f t="shared" ref="G25:G27" si="5">SUM(C25:F25)</f>
        <v>10250134.239650019</v>
      </c>
      <c r="H25" s="2"/>
      <c r="I25" s="343"/>
    </row>
    <row r="26" spans="1:9" x14ac:dyDescent="0.15">
      <c r="A26" s="519">
        <v>2024</v>
      </c>
      <c r="B26" s="512"/>
      <c r="C26" s="342">
        <f>'Bolsward REKENMODEL'!$E$53+(C33+C40+C47+C54+C61)</f>
        <v>2176481.9991733013</v>
      </c>
      <c r="D26" s="342">
        <f>'Buitengebied REKENMODEL'!$E$53+(D33+D40+D47+D54+D61)</f>
        <v>2571060.1847170359</v>
      </c>
      <c r="E26" s="342">
        <f>'Sneek Noord REKENMODEL'!$E$53+(E33+E40+E47+E54+E61)</f>
        <v>1951704.9387345293</v>
      </c>
      <c r="F26" s="342">
        <f>'Sneek Zuid REKENMODEL'!$E$53+(F33+F40+F47+F54+F61)</f>
        <v>2547657.9694703561</v>
      </c>
      <c r="G26" s="485">
        <f>SUM(C26:F26)</f>
        <v>9246905.0920952223</v>
      </c>
      <c r="H26" s="2"/>
      <c r="I26" s="343"/>
    </row>
    <row r="27" spans="1:9" x14ac:dyDescent="0.15">
      <c r="A27" s="519">
        <v>2025</v>
      </c>
      <c r="B27" s="512"/>
      <c r="C27" s="342">
        <f>'Bolsward REKENMODEL'!$E$53+(C34+C41+C48+C55+C62)</f>
        <v>1966484.085143727</v>
      </c>
      <c r="D27" s="342">
        <f>'Buitengebied REKENMODEL'!$E$53+(D34+D41+D48+D55+D62)</f>
        <v>2318860.6904026223</v>
      </c>
      <c r="E27" s="342">
        <f>'Sneek Noord REKENMODEL'!$E$53+(E34+E41+E48+E55+E62)</f>
        <v>1750671.7825126566</v>
      </c>
      <c r="F27" s="342">
        <f>'Sneek Zuid REKENMODEL'!$E$53+(F34+F41+F48+F55+F62)</f>
        <v>2313555.4773780042</v>
      </c>
      <c r="G27" s="485">
        <f t="shared" si="5"/>
        <v>8349572.0354370102</v>
      </c>
      <c r="H27" s="2"/>
      <c r="I27" s="343"/>
    </row>
    <row r="28" spans="1:9" x14ac:dyDescent="0.15">
      <c r="A28" s="515">
        <v>2026</v>
      </c>
      <c r="B28" s="514"/>
      <c r="C28" s="342">
        <f>'Bolsward REKENMODEL'!$E$53+(C35+C42+C49+C56+C63)</f>
        <v>1983594.2542229961</v>
      </c>
      <c r="D28" s="342">
        <f>'Buitengebied REKENMODEL'!$E$53+(D35+D42+D49+D56+D63)</f>
        <v>2343680.1607490988</v>
      </c>
      <c r="E28" s="342">
        <f>'Sneek Noord REKENMODEL'!$E$53+(E35+E42+E49+E56+E63)</f>
        <v>1766500.855362955</v>
      </c>
      <c r="F28" s="342">
        <f>'Sneek Zuid REKENMODEL'!$E$53+(F35+F42+F49+F56+F63)</f>
        <v>2332711.7085867575</v>
      </c>
      <c r="G28" s="486">
        <f>SUM(C28:F28)</f>
        <v>8426486.9789218083</v>
      </c>
      <c r="H28" s="2"/>
      <c r="I28" s="343"/>
    </row>
    <row r="29" spans="1:9" s="362" customFormat="1" ht="13.5" customHeight="1" x14ac:dyDescent="0.15">
      <c r="A29" s="358"/>
      <c r="B29" s="338"/>
      <c r="C29" s="338"/>
      <c r="D29" s="356"/>
      <c r="E29" s="357"/>
      <c r="F29" s="357"/>
      <c r="G29" s="357"/>
    </row>
    <row r="30" spans="1:9" ht="14" x14ac:dyDescent="0.15">
      <c r="A30" s="366" t="s">
        <v>19</v>
      </c>
      <c r="B30" s="334" t="s">
        <v>173</v>
      </c>
      <c r="C30" s="347">
        <f>'Bolsward REKENMODEL'!J53</f>
        <v>85550.845396345627</v>
      </c>
      <c r="D30" s="347">
        <f>'Buitengebied REKENMODEL'!J53</f>
        <v>124097.3517323815</v>
      </c>
      <c r="E30" s="347">
        <f>'Sneek Noord REKENMODEL'!J53</f>
        <v>79145.364251492458</v>
      </c>
      <c r="F30" s="347">
        <f>'Sneek Zuid REKENMODEL'!J53</f>
        <v>95781.156043766561</v>
      </c>
      <c r="G30" s="347">
        <f>SUM(C30:F30)</f>
        <v>384574.71742398618</v>
      </c>
      <c r="H30" s="2"/>
      <c r="I30" s="2"/>
    </row>
    <row r="31" spans="1:9" x14ac:dyDescent="0.15">
      <c r="A31" s="363">
        <v>2022</v>
      </c>
      <c r="B31" s="346">
        <v>0.2</v>
      </c>
      <c r="C31" s="355">
        <f>$C$30*B31</f>
        <v>17110.169079269126</v>
      </c>
      <c r="D31" s="343">
        <f>$D$30*B31</f>
        <v>24819.470346476301</v>
      </c>
      <c r="E31" s="343">
        <f>$E$30*B31</f>
        <v>15829.072850298493</v>
      </c>
      <c r="F31" s="343">
        <f>$F$30*B31</f>
        <v>19156.231208753314</v>
      </c>
      <c r="G31" s="368">
        <f>SUM(C31:F31)</f>
        <v>76914.94348479723</v>
      </c>
      <c r="H31" s="2"/>
      <c r="I31" s="2"/>
    </row>
    <row r="32" spans="1:9" x14ac:dyDescent="0.15">
      <c r="A32" s="364">
        <v>2023</v>
      </c>
      <c r="B32" s="346">
        <v>0.4</v>
      </c>
      <c r="C32" s="355">
        <f t="shared" ref="C32:C35" si="6">$C$30*B32</f>
        <v>34220.338158538252</v>
      </c>
      <c r="D32" s="343">
        <f t="shared" ref="D32:D35" si="7">$D$30*B32</f>
        <v>49638.940692952601</v>
      </c>
      <c r="E32" s="343">
        <f t="shared" ref="E32:E35" si="8">$E$30*B32</f>
        <v>31658.145700596986</v>
      </c>
      <c r="F32" s="343">
        <f t="shared" ref="F32:F35" si="9">$F$30*B32</f>
        <v>38312.462417506627</v>
      </c>
      <c r="G32" s="368">
        <f t="shared" ref="G32:G35" si="10">SUM(C32:F32)</f>
        <v>153829.88696959446</v>
      </c>
      <c r="H32" s="2"/>
      <c r="I32" s="2"/>
    </row>
    <row r="33" spans="1:10" x14ac:dyDescent="0.15">
      <c r="A33" s="364">
        <v>2024</v>
      </c>
      <c r="B33" s="346">
        <v>0.6</v>
      </c>
      <c r="C33" s="355">
        <f t="shared" si="6"/>
        <v>51330.507237807375</v>
      </c>
      <c r="D33" s="343">
        <f t="shared" si="7"/>
        <v>74458.411039428902</v>
      </c>
      <c r="E33" s="343">
        <f t="shared" si="8"/>
        <v>47487.218550895472</v>
      </c>
      <c r="F33" s="343">
        <f t="shared" si="9"/>
        <v>57468.693626259934</v>
      </c>
      <c r="G33" s="368">
        <f t="shared" si="10"/>
        <v>230744.83045439166</v>
      </c>
      <c r="H33" s="2"/>
      <c r="I33" s="2"/>
    </row>
    <row r="34" spans="1:10" x14ac:dyDescent="0.15">
      <c r="A34" s="364">
        <v>2025</v>
      </c>
      <c r="B34" s="346">
        <v>0.8</v>
      </c>
      <c r="C34" s="355">
        <f t="shared" si="6"/>
        <v>68440.676317076504</v>
      </c>
      <c r="D34" s="343">
        <f t="shared" si="7"/>
        <v>99277.881385905202</v>
      </c>
      <c r="E34" s="343">
        <f t="shared" si="8"/>
        <v>63316.291401193972</v>
      </c>
      <c r="F34" s="343">
        <f t="shared" si="9"/>
        <v>76624.924835013255</v>
      </c>
      <c r="G34" s="368">
        <f t="shared" si="10"/>
        <v>307659.77393918892</v>
      </c>
      <c r="H34" s="2"/>
      <c r="I34" s="2"/>
    </row>
    <row r="35" spans="1:10" x14ac:dyDescent="0.15">
      <c r="A35" s="365">
        <v>2026</v>
      </c>
      <c r="B35" s="346">
        <v>1</v>
      </c>
      <c r="C35" s="355">
        <f t="shared" si="6"/>
        <v>85550.845396345627</v>
      </c>
      <c r="D35" s="343">
        <f t="shared" si="7"/>
        <v>124097.3517323815</v>
      </c>
      <c r="E35" s="343">
        <f t="shared" si="8"/>
        <v>79145.364251492458</v>
      </c>
      <c r="F35" s="343">
        <f t="shared" si="9"/>
        <v>95781.156043766561</v>
      </c>
      <c r="G35" s="369">
        <f t="shared" si="10"/>
        <v>384574.71742398618</v>
      </c>
      <c r="H35" s="2"/>
      <c r="I35" s="2"/>
    </row>
    <row r="36" spans="1:10" ht="3.75" customHeight="1" x14ac:dyDescent="0.15">
      <c r="A36" s="359"/>
      <c r="B36" s="353"/>
      <c r="C36" s="354"/>
      <c r="D36" s="354"/>
      <c r="E36" s="354"/>
      <c r="F36" s="354"/>
      <c r="G36" s="348"/>
      <c r="H36" s="2"/>
      <c r="I36" s="2"/>
    </row>
    <row r="37" spans="1:10" s="351" customFormat="1" ht="15.75" customHeight="1" x14ac:dyDescent="0.15">
      <c r="A37" s="367" t="s">
        <v>174</v>
      </c>
      <c r="B37" s="334" t="s">
        <v>173</v>
      </c>
      <c r="C37" s="347">
        <f>'Bolsward REKENMODEL'!K53</f>
        <v>-656019.10171355703</v>
      </c>
      <c r="D37" s="347">
        <f>'Buitengebied REKENMODEL'!K53</f>
        <v>-807284.42944203166</v>
      </c>
      <c r="E37" s="347">
        <f>'Sneek Noord REKENMODEL'!K53</f>
        <v>-649382.11581008136</v>
      </c>
      <c r="F37" s="347">
        <f>'Sneek Zuid REKENMODEL'!K53</f>
        <v>-703695.18832779909</v>
      </c>
      <c r="G37" s="347">
        <f>SUM(C37:F37)</f>
        <v>-2816380.835293469</v>
      </c>
      <c r="J37" s="352"/>
    </row>
    <row r="38" spans="1:10" x14ac:dyDescent="0.15">
      <c r="A38" s="364">
        <v>2022</v>
      </c>
      <c r="B38" s="346">
        <v>0.05</v>
      </c>
      <c r="C38" s="355">
        <f>$C$37*B38</f>
        <v>-32800.955085677851</v>
      </c>
      <c r="D38" s="343">
        <f>$D$37*B38</f>
        <v>-40364.221472101584</v>
      </c>
      <c r="E38" s="343">
        <f>$E$37*B38</f>
        <v>-32469.105790504069</v>
      </c>
      <c r="F38" s="343">
        <f>$F$37*B38</f>
        <v>-35184.759416389956</v>
      </c>
      <c r="G38" s="368">
        <f>SUM(C38:F38)</f>
        <v>-140819.04176467346</v>
      </c>
      <c r="H38" s="2"/>
      <c r="I38" s="2"/>
    </row>
    <row r="39" spans="1:10" x14ac:dyDescent="0.15">
      <c r="A39" s="364">
        <v>2023</v>
      </c>
      <c r="B39" s="346">
        <v>0.5</v>
      </c>
      <c r="C39" s="355">
        <f t="shared" ref="C39:C42" si="11">$C$37*B39</f>
        <v>-328009.55085677851</v>
      </c>
      <c r="D39" s="343">
        <f t="shared" ref="D39:D42" si="12">$D$37*B39</f>
        <v>-403642.21472101583</v>
      </c>
      <c r="E39" s="343">
        <f t="shared" ref="E39:E42" si="13">$E$37*B39</f>
        <v>-324691.05790504068</v>
      </c>
      <c r="F39" s="343">
        <f t="shared" ref="F39:F42" si="14">$F$37*B39</f>
        <v>-351847.59416389954</v>
      </c>
      <c r="G39" s="368">
        <f t="shared" ref="G39:G42" si="15">SUM(C39:F39)</f>
        <v>-1408190.4176467345</v>
      </c>
      <c r="H39" s="2"/>
      <c r="I39" s="2"/>
    </row>
    <row r="40" spans="1:10" x14ac:dyDescent="0.15">
      <c r="A40" s="364">
        <v>2024</v>
      </c>
      <c r="B40" s="346">
        <v>0.75</v>
      </c>
      <c r="C40" s="355">
        <f t="shared" si="11"/>
        <v>-492014.32628516777</v>
      </c>
      <c r="D40" s="343">
        <f t="shared" si="12"/>
        <v>-605463.32208152371</v>
      </c>
      <c r="E40" s="343">
        <f t="shared" si="13"/>
        <v>-487036.58685756102</v>
      </c>
      <c r="F40" s="343">
        <f t="shared" si="14"/>
        <v>-527771.39124584931</v>
      </c>
      <c r="G40" s="368">
        <f t="shared" si="15"/>
        <v>-2112285.626470102</v>
      </c>
      <c r="H40" s="2"/>
      <c r="I40" s="2"/>
    </row>
    <row r="41" spans="1:10" x14ac:dyDescent="0.15">
      <c r="A41" s="364">
        <v>2025</v>
      </c>
      <c r="B41" s="346">
        <v>1</v>
      </c>
      <c r="C41" s="355">
        <f t="shared" si="11"/>
        <v>-656019.10171355703</v>
      </c>
      <c r="D41" s="343">
        <f t="shared" si="12"/>
        <v>-807284.42944203166</v>
      </c>
      <c r="E41" s="343">
        <f t="shared" si="13"/>
        <v>-649382.11581008136</v>
      </c>
      <c r="F41" s="343">
        <f t="shared" si="14"/>
        <v>-703695.18832779909</v>
      </c>
      <c r="G41" s="368">
        <f t="shared" si="15"/>
        <v>-2816380.835293469</v>
      </c>
      <c r="H41" s="2"/>
      <c r="I41" s="2"/>
    </row>
    <row r="42" spans="1:10" x14ac:dyDescent="0.15">
      <c r="A42" s="365">
        <v>2026</v>
      </c>
      <c r="B42" s="346">
        <v>1</v>
      </c>
      <c r="C42" s="355">
        <f t="shared" si="11"/>
        <v>-656019.10171355703</v>
      </c>
      <c r="D42" s="343">
        <f t="shared" si="12"/>
        <v>-807284.42944203166</v>
      </c>
      <c r="E42" s="343">
        <f t="shared" si="13"/>
        <v>-649382.11581008136</v>
      </c>
      <c r="F42" s="343">
        <f t="shared" si="14"/>
        <v>-703695.18832779909</v>
      </c>
      <c r="G42" s="369">
        <f t="shared" si="15"/>
        <v>-2816380.835293469</v>
      </c>
      <c r="H42" s="2"/>
      <c r="I42" s="2"/>
    </row>
    <row r="43" spans="1:10" ht="3.75" customHeight="1" x14ac:dyDescent="0.15">
      <c r="A43" s="359"/>
      <c r="B43" s="353"/>
      <c r="C43" s="354"/>
      <c r="D43" s="354"/>
      <c r="E43" s="354"/>
      <c r="F43" s="354"/>
      <c r="G43" s="354"/>
      <c r="H43" s="2"/>
      <c r="I43" s="2"/>
    </row>
    <row r="44" spans="1:10" s="351" customFormat="1" ht="14.25" customHeight="1" x14ac:dyDescent="0.15">
      <c r="A44" s="367" t="s">
        <v>12</v>
      </c>
      <c r="B44" s="334" t="s">
        <v>173</v>
      </c>
      <c r="C44" s="347">
        <f>'Bolsward REKENMODEL'!L53</f>
        <v>-102936.3539807199</v>
      </c>
      <c r="D44" s="347">
        <f>'Buitengebied REKENMODEL'!L53</f>
        <v>-124039.69607398564</v>
      </c>
      <c r="E44" s="347">
        <f>'Sneek Noord REKENMODEL'!L53</f>
        <v>-82063.904272982807</v>
      </c>
      <c r="F44" s="347">
        <f>'Sneek Zuid REKENMODEL'!L53</f>
        <v>-136194.66557137627</v>
      </c>
      <c r="G44" s="347">
        <f>SUM(C44:F44)</f>
        <v>-445234.61989906459</v>
      </c>
      <c r="J44" s="352"/>
    </row>
    <row r="45" spans="1:10" x14ac:dyDescent="0.15">
      <c r="A45" s="364">
        <v>2022</v>
      </c>
      <c r="B45" s="346">
        <v>0.05</v>
      </c>
      <c r="C45" s="355">
        <f>$C$44*B45</f>
        <v>-5146.8176990359952</v>
      </c>
      <c r="D45" s="343">
        <f>$D$44*B45</f>
        <v>-6201.9848036992826</v>
      </c>
      <c r="E45" s="343">
        <f>$E$44*B45</f>
        <v>-4103.1952136491409</v>
      </c>
      <c r="F45" s="343">
        <f>$F$44*B45</f>
        <v>-6809.7332785688141</v>
      </c>
      <c r="G45" s="370">
        <f>SUM(C45:F45)</f>
        <v>-22261.730994953235</v>
      </c>
      <c r="H45" s="2"/>
      <c r="I45" s="2"/>
    </row>
    <row r="46" spans="1:10" x14ac:dyDescent="0.15">
      <c r="A46" s="364">
        <v>2023</v>
      </c>
      <c r="B46" s="346">
        <v>0.5</v>
      </c>
      <c r="C46" s="355">
        <f t="shared" ref="C46:C49" si="16">$C$44*B46</f>
        <v>-51468.176990359949</v>
      </c>
      <c r="D46" s="343">
        <f t="shared" ref="D46:D49" si="17">$D$44*B46</f>
        <v>-62019.848036992822</v>
      </c>
      <c r="E46" s="343">
        <f t="shared" ref="E46:E49" si="18">$E$44*B46</f>
        <v>-41031.952136491404</v>
      </c>
      <c r="F46" s="343">
        <f t="shared" ref="F46:F49" si="19">$F$44*B46</f>
        <v>-68097.332785688137</v>
      </c>
      <c r="G46" s="368">
        <f t="shared" ref="G46:G49" si="20">SUM(C46:F46)</f>
        <v>-222617.3099495323</v>
      </c>
      <c r="H46" s="2"/>
      <c r="I46" s="2"/>
    </row>
    <row r="47" spans="1:10" x14ac:dyDescent="0.15">
      <c r="A47" s="364">
        <v>2024</v>
      </c>
      <c r="B47" s="346">
        <v>0.75</v>
      </c>
      <c r="C47" s="355">
        <f t="shared" si="16"/>
        <v>-77202.265485539916</v>
      </c>
      <c r="D47" s="343">
        <f t="shared" si="17"/>
        <v>-93029.772055489229</v>
      </c>
      <c r="E47" s="343">
        <f t="shared" si="18"/>
        <v>-61547.928204737109</v>
      </c>
      <c r="F47" s="343">
        <f t="shared" si="19"/>
        <v>-102145.99917853221</v>
      </c>
      <c r="G47" s="368">
        <f t="shared" si="20"/>
        <v>-333925.96492429846</v>
      </c>
      <c r="H47" s="2"/>
      <c r="I47" s="2"/>
    </row>
    <row r="48" spans="1:10" x14ac:dyDescent="0.15">
      <c r="A48" s="364">
        <v>2025</v>
      </c>
      <c r="B48" s="346">
        <v>1</v>
      </c>
      <c r="C48" s="355">
        <f t="shared" si="16"/>
        <v>-102936.3539807199</v>
      </c>
      <c r="D48" s="343">
        <f t="shared" si="17"/>
        <v>-124039.69607398564</v>
      </c>
      <c r="E48" s="343">
        <f t="shared" si="18"/>
        <v>-82063.904272982807</v>
      </c>
      <c r="F48" s="343">
        <f t="shared" si="19"/>
        <v>-136194.66557137627</v>
      </c>
      <c r="G48" s="368">
        <f t="shared" si="20"/>
        <v>-445234.61989906459</v>
      </c>
      <c r="H48" s="2"/>
      <c r="I48" s="2"/>
    </row>
    <row r="49" spans="1:10" x14ac:dyDescent="0.15">
      <c r="A49" s="365">
        <v>2026</v>
      </c>
      <c r="B49" s="346">
        <v>1</v>
      </c>
      <c r="C49" s="355">
        <f t="shared" si="16"/>
        <v>-102936.3539807199</v>
      </c>
      <c r="D49" s="343">
        <f t="shared" si="17"/>
        <v>-124039.69607398564</v>
      </c>
      <c r="E49" s="343">
        <f t="shared" si="18"/>
        <v>-82063.904272982807</v>
      </c>
      <c r="F49" s="343">
        <f t="shared" si="19"/>
        <v>-136194.66557137627</v>
      </c>
      <c r="G49" s="369">
        <f t="shared" si="20"/>
        <v>-445234.61989906459</v>
      </c>
      <c r="H49" s="2"/>
      <c r="I49" s="2"/>
    </row>
    <row r="50" spans="1:10" ht="3.75" customHeight="1" x14ac:dyDescent="0.15">
      <c r="A50" s="359"/>
      <c r="B50" s="353"/>
      <c r="C50" s="354"/>
      <c r="D50" s="354"/>
      <c r="E50" s="354"/>
      <c r="F50" s="354"/>
      <c r="G50" s="354"/>
      <c r="H50" s="2"/>
      <c r="I50" s="2"/>
    </row>
    <row r="51" spans="1:10" s="351" customFormat="1" ht="14.25" customHeight="1" x14ac:dyDescent="0.15">
      <c r="A51" s="367" t="s">
        <v>172</v>
      </c>
      <c r="B51" s="334" t="s">
        <v>173</v>
      </c>
      <c r="C51" s="347">
        <f>SUM('Bolsward REKENMODEL'!N59:N62)</f>
        <v>140845.09358118442</v>
      </c>
      <c r="D51" s="347">
        <f>SUM('Buitengebied REKENMODEL'!N59:N62)</f>
        <v>175504.52544760201</v>
      </c>
      <c r="E51" s="347">
        <f>SUM('Sneek Noord REKENMODEL'!N59:N62)</f>
        <v>129388.86675671459</v>
      </c>
      <c r="F51" s="347">
        <f>SUM('Sneek Zuid REKENMODEL'!N59:N62)</f>
        <v>162353.97878855126</v>
      </c>
      <c r="G51" s="347">
        <f>SUM(C51:F51)</f>
        <v>608092.46457405225</v>
      </c>
      <c r="J51" s="352"/>
    </row>
    <row r="52" spans="1:10" x14ac:dyDescent="0.15">
      <c r="A52" s="364">
        <v>2022</v>
      </c>
      <c r="B52" s="346">
        <v>0.1</v>
      </c>
      <c r="C52" s="355">
        <f>$C$51*B52</f>
        <v>14084.509358118443</v>
      </c>
      <c r="D52" s="348">
        <f>$D$51*B52</f>
        <v>17550.452544760203</v>
      </c>
      <c r="E52" s="348">
        <f>$E$51*B52</f>
        <v>12938.88667567146</v>
      </c>
      <c r="F52" s="348">
        <f>$F$51*B52</f>
        <v>16235.397878855127</v>
      </c>
      <c r="G52" s="370">
        <f>SUM(C52:F52)</f>
        <v>60809.246457405236</v>
      </c>
      <c r="H52" s="2"/>
      <c r="I52" s="2"/>
    </row>
    <row r="53" spans="1:10" x14ac:dyDescent="0.15">
      <c r="A53" s="364">
        <v>2023</v>
      </c>
      <c r="B53" s="346">
        <v>1</v>
      </c>
      <c r="C53" s="355">
        <f>$C$51*B53</f>
        <v>140845.09358118442</v>
      </c>
      <c r="D53" s="348">
        <f t="shared" ref="D53:D56" si="21">$D$51*B53</f>
        <v>175504.52544760201</v>
      </c>
      <c r="E53" s="348">
        <f t="shared" ref="E53:E56" si="22">$E$51*B53</f>
        <v>129388.86675671459</v>
      </c>
      <c r="F53" s="348">
        <f t="shared" ref="F53:F56" si="23">$F$51*B53</f>
        <v>162353.97878855126</v>
      </c>
      <c r="G53" s="368">
        <f t="shared" ref="G53:G56" si="24">SUM(C53:F53)</f>
        <v>608092.46457405225</v>
      </c>
      <c r="H53" s="2"/>
      <c r="I53" s="2"/>
    </row>
    <row r="54" spans="1:10" x14ac:dyDescent="0.15">
      <c r="A54" s="364">
        <v>2024</v>
      </c>
      <c r="B54" s="346">
        <v>1</v>
      </c>
      <c r="C54" s="355">
        <f t="shared" ref="C54:C56" si="25">$C$51*B54</f>
        <v>140845.09358118442</v>
      </c>
      <c r="D54" s="348">
        <f t="shared" si="21"/>
        <v>175504.52544760201</v>
      </c>
      <c r="E54" s="348">
        <f t="shared" si="22"/>
        <v>129388.86675671459</v>
      </c>
      <c r="F54" s="348">
        <f t="shared" si="23"/>
        <v>162353.97878855126</v>
      </c>
      <c r="G54" s="368">
        <f t="shared" si="24"/>
        <v>608092.46457405225</v>
      </c>
      <c r="H54" s="2"/>
      <c r="I54" s="2"/>
    </row>
    <row r="55" spans="1:10" x14ac:dyDescent="0.15">
      <c r="A55" s="364">
        <v>2025</v>
      </c>
      <c r="B55" s="346">
        <v>1</v>
      </c>
      <c r="C55" s="355">
        <f t="shared" si="25"/>
        <v>140845.09358118442</v>
      </c>
      <c r="D55" s="348">
        <f t="shared" si="21"/>
        <v>175504.52544760201</v>
      </c>
      <c r="E55" s="348">
        <f t="shared" si="22"/>
        <v>129388.86675671459</v>
      </c>
      <c r="F55" s="348">
        <f t="shared" si="23"/>
        <v>162353.97878855126</v>
      </c>
      <c r="G55" s="368">
        <f t="shared" si="24"/>
        <v>608092.46457405225</v>
      </c>
      <c r="H55" s="2"/>
      <c r="I55" s="2"/>
    </row>
    <row r="56" spans="1:10" x14ac:dyDescent="0.15">
      <c r="A56" s="365">
        <v>2026</v>
      </c>
      <c r="B56" s="361">
        <v>1</v>
      </c>
      <c r="C56" s="360">
        <f t="shared" si="25"/>
        <v>140845.09358118442</v>
      </c>
      <c r="D56" s="349">
        <f t="shared" si="21"/>
        <v>175504.52544760201</v>
      </c>
      <c r="E56" s="349">
        <f t="shared" si="22"/>
        <v>129388.86675671459</v>
      </c>
      <c r="F56" s="349">
        <f t="shared" si="23"/>
        <v>162353.97878855126</v>
      </c>
      <c r="G56" s="369">
        <f t="shared" si="24"/>
        <v>608092.46457405225</v>
      </c>
      <c r="H56" s="2"/>
      <c r="I56" s="2"/>
    </row>
    <row r="57" spans="1:10" ht="3.75" customHeight="1" x14ac:dyDescent="0.15">
      <c r="A57" s="359"/>
      <c r="B57" s="353"/>
      <c r="C57" s="354"/>
      <c r="D57" s="354"/>
      <c r="E57" s="354"/>
      <c r="F57" s="354"/>
      <c r="G57" s="354"/>
      <c r="H57" s="2"/>
      <c r="I57" s="2"/>
    </row>
    <row r="58" spans="1:10" s="351" customFormat="1" ht="14.25" customHeight="1" x14ac:dyDescent="0.15">
      <c r="A58" s="367" t="s">
        <v>13</v>
      </c>
      <c r="B58" s="334" t="s">
        <v>173</v>
      </c>
      <c r="C58" s="347">
        <f>'Bolsward REKENMODEL'!N63</f>
        <v>124564.06395091357</v>
      </c>
      <c r="D58" s="347">
        <f>'Buitengebied REKENMODEL'!N63</f>
        <v>147293.11093961788</v>
      </c>
      <c r="E58" s="347">
        <f>'Sneek Noord REKENMODEL'!N63</f>
        <v>113335.74683801731</v>
      </c>
      <c r="F58" s="347">
        <f>'Sneek Zuid REKENMODEL'!N63</f>
        <v>144287.5327543708</v>
      </c>
      <c r="G58" s="347">
        <f>SUM(C58:F58)</f>
        <v>529480.45448291954</v>
      </c>
      <c r="J58" s="352"/>
    </row>
    <row r="59" spans="1:10" x14ac:dyDescent="0.15">
      <c r="A59" s="364">
        <v>2022</v>
      </c>
      <c r="B59" s="346">
        <v>1</v>
      </c>
      <c r="C59" s="355">
        <f>$C$58*B59</f>
        <v>124564.06395091357</v>
      </c>
      <c r="D59" s="348">
        <f>$D$58*B59</f>
        <v>147293.11093961788</v>
      </c>
      <c r="E59" s="348">
        <f>$E$58*B59</f>
        <v>113335.74683801731</v>
      </c>
      <c r="F59" s="348">
        <f>$F$58*B59</f>
        <v>144287.5327543708</v>
      </c>
      <c r="G59" s="370">
        <f>SUM(C59:F59)</f>
        <v>529480.45448291954</v>
      </c>
      <c r="H59" s="2"/>
      <c r="I59" s="2"/>
    </row>
    <row r="60" spans="1:10" x14ac:dyDescent="0.15">
      <c r="A60" s="364">
        <v>2023</v>
      </c>
      <c r="B60" s="346">
        <v>1</v>
      </c>
      <c r="C60" s="355">
        <f t="shared" ref="C60:C63" si="26">$C$58*B60</f>
        <v>124564.06395091357</v>
      </c>
      <c r="D60" s="348">
        <f t="shared" ref="D60:D63" si="27">$D$58*B60</f>
        <v>147293.11093961788</v>
      </c>
      <c r="E60" s="348">
        <f t="shared" ref="E60:E63" si="28">$E$58*B60</f>
        <v>113335.74683801731</v>
      </c>
      <c r="F60" s="348">
        <f t="shared" ref="F60:F63" si="29">$F$58*B60</f>
        <v>144287.5327543708</v>
      </c>
      <c r="G60" s="368">
        <f t="shared" ref="G60:G63" si="30">SUM(C60:F60)</f>
        <v>529480.45448291954</v>
      </c>
      <c r="H60" s="2"/>
      <c r="I60" s="2"/>
    </row>
    <row r="61" spans="1:10" x14ac:dyDescent="0.15">
      <c r="A61" s="364">
        <v>2024</v>
      </c>
      <c r="B61" s="346">
        <v>0.5</v>
      </c>
      <c r="C61" s="355">
        <f t="shared" si="26"/>
        <v>62282.031975456783</v>
      </c>
      <c r="D61" s="348">
        <f t="shared" si="27"/>
        <v>73646.55546980894</v>
      </c>
      <c r="E61" s="348">
        <f t="shared" si="28"/>
        <v>56667.873419008654</v>
      </c>
      <c r="F61" s="348">
        <f t="shared" si="29"/>
        <v>72143.766377185399</v>
      </c>
      <c r="G61" s="368">
        <f t="shared" si="30"/>
        <v>264740.22724145977</v>
      </c>
      <c r="H61" s="2"/>
      <c r="I61" s="2"/>
    </row>
    <row r="62" spans="1:10" x14ac:dyDescent="0.15">
      <c r="A62" s="364">
        <v>2025</v>
      </c>
      <c r="B62" s="346">
        <v>0.2</v>
      </c>
      <c r="C62" s="355">
        <f t="shared" si="26"/>
        <v>24912.812790182714</v>
      </c>
      <c r="D62" s="348">
        <f t="shared" si="27"/>
        <v>29458.622187923578</v>
      </c>
      <c r="E62" s="348">
        <f t="shared" si="28"/>
        <v>22667.149367603462</v>
      </c>
      <c r="F62" s="348">
        <f t="shared" si="29"/>
        <v>28857.506550874161</v>
      </c>
      <c r="G62" s="368">
        <f t="shared" si="30"/>
        <v>105896.09089658392</v>
      </c>
      <c r="H62" s="2"/>
      <c r="I62" s="2"/>
    </row>
    <row r="63" spans="1:10" x14ac:dyDescent="0.15">
      <c r="A63" s="365">
        <v>2026</v>
      </c>
      <c r="B63" s="346">
        <v>0.2</v>
      </c>
      <c r="C63" s="355">
        <f t="shared" si="26"/>
        <v>24912.812790182714</v>
      </c>
      <c r="D63" s="349">
        <f t="shared" si="27"/>
        <v>29458.622187923578</v>
      </c>
      <c r="E63" s="349">
        <f t="shared" si="28"/>
        <v>22667.149367603462</v>
      </c>
      <c r="F63" s="349">
        <f t="shared" si="29"/>
        <v>28857.506550874161</v>
      </c>
      <c r="G63" s="369">
        <f t="shared" si="30"/>
        <v>105896.09089658392</v>
      </c>
      <c r="H63" s="2"/>
      <c r="I63" s="2"/>
    </row>
    <row r="64" spans="1:10" x14ac:dyDescent="0.15">
      <c r="A64" s="344"/>
      <c r="B64" s="479"/>
      <c r="C64" s="480"/>
      <c r="D64" s="343"/>
      <c r="E64" s="343"/>
      <c r="F64" s="343"/>
      <c r="G64" s="343"/>
      <c r="H64" s="343"/>
      <c r="I64" s="343"/>
    </row>
    <row r="65" spans="1:9" x14ac:dyDescent="0.15">
      <c r="A65" s="345"/>
      <c r="B65" s="337"/>
      <c r="C65" s="350"/>
      <c r="D65" s="350"/>
      <c r="E65" s="350"/>
      <c r="F65" s="350"/>
      <c r="G65" s="350"/>
      <c r="H65" s="350"/>
      <c r="I65" s="350"/>
    </row>
    <row r="66" spans="1:9" x14ac:dyDescent="0.15">
      <c r="A66" s="345"/>
      <c r="B66" s="337"/>
      <c r="C66" s="350"/>
      <c r="D66" s="350"/>
      <c r="E66" s="350"/>
      <c r="F66" s="350"/>
      <c r="G66" s="350"/>
      <c r="H66" s="350"/>
      <c r="I66" s="350"/>
    </row>
    <row r="67" spans="1:9" x14ac:dyDescent="0.15">
      <c r="A67" s="345"/>
      <c r="B67" s="337"/>
      <c r="C67" s="350"/>
      <c r="D67" s="350"/>
      <c r="E67" s="350"/>
      <c r="F67" s="350"/>
      <c r="G67" s="350"/>
      <c r="H67" s="350"/>
      <c r="I67" s="350"/>
    </row>
    <row r="68" spans="1:9" x14ac:dyDescent="0.15">
      <c r="A68" s="345"/>
      <c r="B68" s="337"/>
      <c r="C68" s="350"/>
      <c r="D68" s="350"/>
      <c r="E68" s="350"/>
      <c r="F68" s="350"/>
      <c r="G68" s="350"/>
      <c r="H68" s="350"/>
      <c r="I68" s="350"/>
    </row>
    <row r="69" spans="1:9" x14ac:dyDescent="0.15">
      <c r="A69" s="345"/>
      <c r="B69" s="337"/>
      <c r="C69" s="350"/>
      <c r="D69" s="350"/>
      <c r="E69" s="350"/>
      <c r="F69" s="350"/>
      <c r="G69" s="350"/>
      <c r="H69" s="350"/>
      <c r="I69" s="350"/>
    </row>
    <row r="70" spans="1:9" x14ac:dyDescent="0.15">
      <c r="A70" s="345"/>
      <c r="B70" s="337"/>
      <c r="C70" s="350"/>
      <c r="D70" s="350"/>
      <c r="E70" s="350"/>
      <c r="F70" s="350"/>
      <c r="G70" s="350"/>
      <c r="H70" s="350"/>
      <c r="I70" s="350"/>
    </row>
    <row r="71" spans="1:9" x14ac:dyDescent="0.15">
      <c r="A71" s="345"/>
      <c r="B71" s="337"/>
      <c r="C71" s="350"/>
      <c r="D71" s="350"/>
      <c r="E71" s="350"/>
      <c r="F71" s="350"/>
      <c r="G71" s="350"/>
      <c r="H71" s="350"/>
      <c r="I71" s="350"/>
    </row>
    <row r="72" spans="1:9" x14ac:dyDescent="0.15">
      <c r="A72" s="345"/>
      <c r="B72" s="337"/>
      <c r="C72" s="350"/>
      <c r="D72" s="350"/>
      <c r="E72" s="350"/>
      <c r="F72" s="350"/>
      <c r="G72" s="350"/>
      <c r="H72" s="350"/>
      <c r="I72" s="350"/>
    </row>
    <row r="73" spans="1:9" x14ac:dyDescent="0.15">
      <c r="A73" s="345"/>
      <c r="B73" s="337"/>
      <c r="C73" s="350"/>
      <c r="D73" s="350"/>
      <c r="E73" s="350"/>
      <c r="F73" s="350"/>
      <c r="G73" s="350"/>
      <c r="H73" s="350"/>
      <c r="I73" s="350"/>
    </row>
    <row r="74" spans="1:9" x14ac:dyDescent="0.15">
      <c r="A74" s="345"/>
      <c r="B74" s="337"/>
      <c r="C74" s="350"/>
      <c r="D74" s="350"/>
      <c r="E74" s="350"/>
      <c r="F74" s="350"/>
      <c r="G74" s="350"/>
      <c r="H74" s="350"/>
      <c r="I74" s="350"/>
    </row>
    <row r="75" spans="1:9" x14ac:dyDescent="0.15">
      <c r="A75" s="345"/>
      <c r="B75" s="337"/>
      <c r="C75" s="350"/>
      <c r="D75" s="350"/>
      <c r="E75" s="350"/>
      <c r="F75" s="350"/>
      <c r="G75" s="350"/>
      <c r="H75" s="350"/>
      <c r="I75" s="350"/>
    </row>
    <row r="76" spans="1:9" x14ac:dyDescent="0.15">
      <c r="A76" s="345"/>
      <c r="B76" s="337"/>
      <c r="C76" s="350"/>
      <c r="D76" s="350"/>
      <c r="E76" s="350"/>
      <c r="F76" s="350"/>
      <c r="G76" s="350"/>
      <c r="H76" s="350"/>
      <c r="I76" s="350"/>
    </row>
    <row r="77" spans="1:9" x14ac:dyDescent="0.15">
      <c r="A77" s="345"/>
      <c r="B77" s="337"/>
      <c r="C77" s="350"/>
      <c r="D77" s="350"/>
      <c r="E77" s="350"/>
      <c r="F77" s="350"/>
      <c r="G77" s="350"/>
      <c r="H77" s="350"/>
      <c r="I77" s="350"/>
    </row>
    <row r="78" spans="1:9" x14ac:dyDescent="0.15">
      <c r="A78" s="345"/>
      <c r="B78" s="337"/>
      <c r="C78" s="350"/>
      <c r="D78" s="350"/>
      <c r="E78" s="350"/>
      <c r="F78" s="350"/>
      <c r="G78" s="350"/>
      <c r="H78" s="350"/>
      <c r="I78" s="350"/>
    </row>
    <row r="79" spans="1:9" x14ac:dyDescent="0.15">
      <c r="A79" s="345"/>
      <c r="B79" s="337"/>
      <c r="C79" s="350"/>
      <c r="D79" s="350"/>
      <c r="E79" s="350"/>
      <c r="F79" s="350"/>
      <c r="G79" s="350"/>
      <c r="H79" s="350"/>
      <c r="I79" s="350"/>
    </row>
    <row r="80" spans="1:9" x14ac:dyDescent="0.15">
      <c r="A80" s="345"/>
      <c r="B80" s="337"/>
      <c r="C80" s="350"/>
      <c r="D80" s="350"/>
      <c r="E80" s="350"/>
      <c r="F80" s="350"/>
      <c r="G80" s="350"/>
      <c r="H80" s="350"/>
      <c r="I80" s="350"/>
    </row>
    <row r="81" spans="1:9" x14ac:dyDescent="0.15">
      <c r="A81" s="345"/>
      <c r="B81" s="337"/>
      <c r="C81" s="350"/>
      <c r="D81" s="350"/>
      <c r="E81" s="350"/>
      <c r="F81" s="350"/>
      <c r="G81" s="350"/>
      <c r="H81" s="350"/>
      <c r="I81" s="350"/>
    </row>
    <row r="82" spans="1:9" x14ac:dyDescent="0.15">
      <c r="A82" s="345"/>
      <c r="B82" s="337"/>
      <c r="C82" s="350"/>
      <c r="D82" s="350"/>
      <c r="E82" s="350"/>
      <c r="F82" s="350"/>
      <c r="G82" s="350"/>
      <c r="H82" s="350"/>
      <c r="I82" s="350"/>
    </row>
    <row r="83" spans="1:9" x14ac:dyDescent="0.15">
      <c r="A83" s="345"/>
      <c r="B83" s="337"/>
      <c r="C83" s="350"/>
      <c r="D83" s="350"/>
      <c r="E83" s="350"/>
      <c r="F83" s="350"/>
      <c r="G83" s="350"/>
      <c r="H83" s="350"/>
      <c r="I83" s="350"/>
    </row>
  </sheetData>
  <sheetProtection algorithmName="SHA-512" hashValue="8/wXQH+lJtCOvEx/zPJu6wfNH0kzHusJGmbiGHmJ8oKsUZO/qhefCJEcO0Rfd6pDKlOotgSM79Br3b3hU5Meaw==" saltValue="kwya6/hW1mX8RgDh0031Zw==" spinCount="100000" sheet="1" objects="1" scenarios="1"/>
  <mergeCells count="21">
    <mergeCell ref="A14:B14"/>
    <mergeCell ref="A13:B13"/>
    <mergeCell ref="A12:B12"/>
    <mergeCell ref="A28:B28"/>
    <mergeCell ref="A1:B1"/>
    <mergeCell ref="A24:B24"/>
    <mergeCell ref="A25:B25"/>
    <mergeCell ref="A26:B26"/>
    <mergeCell ref="A27:B27"/>
    <mergeCell ref="A3:B3"/>
    <mergeCell ref="A4:B4"/>
    <mergeCell ref="A5:B5"/>
    <mergeCell ref="A6:B6"/>
    <mergeCell ref="A7:B7"/>
    <mergeCell ref="A11:B11"/>
    <mergeCell ref="A10:B10"/>
    <mergeCell ref="A17:B17"/>
    <mergeCell ref="A18:B18"/>
    <mergeCell ref="A19:B19"/>
    <mergeCell ref="A20:B20"/>
    <mergeCell ref="A21:B21"/>
  </mergeCells>
  <phoneticPr fontId="2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3">
    <tabColor theme="5"/>
    <pageSetUpPr fitToPage="1"/>
  </sheetPr>
  <dimension ref="A1:AS200"/>
  <sheetViews>
    <sheetView zoomScale="75" zoomScaleNormal="75" workbookViewId="0"/>
  </sheetViews>
  <sheetFormatPr baseColWidth="10" defaultColWidth="9.5" defaultRowHeight="14" outlineLevelRow="1" x14ac:dyDescent="0.15"/>
  <cols>
    <col min="1" max="1" width="3.5" style="15" customWidth="1"/>
    <col min="2" max="2" width="50.5" style="55" customWidth="1"/>
    <col min="3" max="4" width="15.5" style="55" customWidth="1"/>
    <col min="5" max="5" width="16.83203125" style="56" customWidth="1"/>
    <col min="6" max="8" width="15.5" style="55" customWidth="1"/>
    <col min="9" max="9" width="3.5" style="16" customWidth="1"/>
    <col min="10" max="12" width="15.5" style="57" customWidth="1"/>
    <col min="13" max="13" width="3.1640625" style="19" customWidth="1"/>
    <col min="14" max="14" width="26.5" style="57" bestFit="1" customWidth="1"/>
    <col min="15" max="15" width="21.5" style="58" bestFit="1" customWidth="1"/>
    <col min="16" max="16" width="9.5" style="5" bestFit="1" customWidth="1"/>
    <col min="17" max="17" width="10.5" style="4" customWidth="1"/>
    <col min="18" max="18" width="10.5" style="4" bestFit="1" customWidth="1"/>
    <col min="19" max="45" width="9.5" style="4"/>
    <col min="46" max="16384" width="9.5" style="2"/>
  </cols>
  <sheetData>
    <row r="1" spans="1:45" s="4" customFormat="1" ht="36" customHeight="1" x14ac:dyDescent="0.25">
      <c r="A1" s="15"/>
      <c r="B1" s="194" t="s">
        <v>153</v>
      </c>
      <c r="C1" s="195"/>
      <c r="D1" s="195"/>
      <c r="E1" s="196"/>
      <c r="F1" s="522" t="s">
        <v>159</v>
      </c>
      <c r="G1" s="522"/>
      <c r="H1" s="522"/>
      <c r="I1" s="522"/>
      <c r="J1" s="522"/>
      <c r="K1" s="522"/>
      <c r="L1" s="18"/>
      <c r="M1" s="19"/>
      <c r="N1" s="20"/>
      <c r="O1" s="21"/>
      <c r="P1" s="5"/>
    </row>
    <row r="2" spans="1:45" s="1" customFormat="1" ht="51" customHeight="1" thickBot="1" x14ac:dyDescent="0.2">
      <c r="A2" s="22"/>
      <c r="B2" s="217" t="s">
        <v>0</v>
      </c>
      <c r="C2" s="217" t="s">
        <v>217</v>
      </c>
      <c r="D2" s="217" t="s">
        <v>97</v>
      </c>
      <c r="E2" s="217" t="s">
        <v>218</v>
      </c>
      <c r="F2" s="217" t="s">
        <v>11</v>
      </c>
      <c r="G2" s="217" t="s">
        <v>12</v>
      </c>
      <c r="H2" s="217" t="s">
        <v>19</v>
      </c>
      <c r="I2" s="218"/>
      <c r="J2" s="219" t="s">
        <v>18</v>
      </c>
      <c r="K2" s="219" t="s">
        <v>24</v>
      </c>
      <c r="L2" s="219" t="s">
        <v>15</v>
      </c>
      <c r="M2" s="16"/>
      <c r="N2" s="217" t="s">
        <v>16</v>
      </c>
      <c r="O2" s="217" t="s">
        <v>1</v>
      </c>
      <c r="P2" s="5"/>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row>
    <row r="3" spans="1:45" ht="19.5" customHeight="1" thickTop="1" thickBot="1" x14ac:dyDescent="0.2">
      <c r="A3" s="15">
        <v>1</v>
      </c>
      <c r="B3" s="200" t="s">
        <v>105</v>
      </c>
      <c r="C3" s="206">
        <f>'producten &amp; tarieven'!E17</f>
        <v>54.161260653728334</v>
      </c>
      <c r="D3" s="280">
        <f>'Eenheden 2019'!B3</f>
        <v>12280.347826086956</v>
      </c>
      <c r="E3" s="216">
        <f>C3*D3</f>
        <v>665119.11952714168</v>
      </c>
      <c r="F3" s="198"/>
      <c r="G3" s="198"/>
      <c r="H3" s="198"/>
      <c r="J3" s="226">
        <f>SUM(J4:J7)</f>
        <v>25389.478522253783</v>
      </c>
      <c r="K3" s="226">
        <f>SUM(K4:K7)</f>
        <v>-211935.04662558751</v>
      </c>
      <c r="L3" s="226">
        <f>SUM(L4:L7)</f>
        <v>-3162.6943297177136</v>
      </c>
      <c r="N3" s="216">
        <f>SUM(J3:L3)</f>
        <v>-189708.26243305145</v>
      </c>
      <c r="O3" s="24">
        <f>+E3+N3</f>
        <v>475410.8570940902</v>
      </c>
      <c r="S3" s="7"/>
    </row>
    <row r="4" spans="1:45" outlineLevel="1" thickTop="1" x14ac:dyDescent="0.15">
      <c r="A4" s="25" t="s">
        <v>6</v>
      </c>
      <c r="B4" s="204" t="s">
        <v>2</v>
      </c>
      <c r="C4" s="208">
        <f>'producten &amp; tarieven'!E17</f>
        <v>54.161260653728334</v>
      </c>
      <c r="D4" s="282">
        <f>'Eenheden 2019'!B4</f>
        <v>3146.0052694376295</v>
      </c>
      <c r="E4" s="213">
        <f t="shared" ref="E4:E52" si="0">C4*D4</f>
        <v>170391.61141601429</v>
      </c>
      <c r="F4" s="27">
        <f>'T-effecten'!B4</f>
        <v>-0.5</v>
      </c>
      <c r="G4" s="27">
        <f>'T-effecten'!C4</f>
        <v>0</v>
      </c>
      <c r="H4" s="470">
        <f>'T-effecten'!D4</f>
        <v>0.14900662251655628</v>
      </c>
      <c r="J4" s="29">
        <f>H4*E4</f>
        <v>25389.478522253783</v>
      </c>
      <c r="K4" s="29">
        <f>F4*(E4+J4)</f>
        <v>-97890.544969134033</v>
      </c>
      <c r="L4" s="59">
        <f>G4*(E4+J4+K4)</f>
        <v>0</v>
      </c>
      <c r="N4" s="30">
        <f>SUM(J4:L4)</f>
        <v>-72501.066446880257</v>
      </c>
      <c r="O4" s="31">
        <f t="shared" ref="O4:O29" si="1">+E4+N4</f>
        <v>97890.544969134033</v>
      </c>
    </row>
    <row r="5" spans="1:45" ht="13" outlineLevel="1" x14ac:dyDescent="0.15">
      <c r="A5" s="25" t="s">
        <v>7</v>
      </c>
      <c r="B5" s="26" t="s">
        <v>154</v>
      </c>
      <c r="C5" s="208">
        <f>'producten &amp; tarieven'!E17</f>
        <v>54.161260653728334</v>
      </c>
      <c r="D5" s="281">
        <f>'Eenheden 2019'!B5</f>
        <v>5575.6281019725693</v>
      </c>
      <c r="E5" s="209">
        <f t="shared" si="0"/>
        <v>301983.04693918891</v>
      </c>
      <c r="F5" s="27">
        <f>'T-effecten'!B5</f>
        <v>-0.25</v>
      </c>
      <c r="G5" s="27">
        <f>'T-effecten'!C5</f>
        <v>0</v>
      </c>
      <c r="H5" s="471"/>
      <c r="J5" s="29">
        <f>H5*E5</f>
        <v>0</v>
      </c>
      <c r="K5" s="29">
        <f>F5*(E5+J5)</f>
        <v>-75495.761734797226</v>
      </c>
      <c r="L5" s="59">
        <f>G5*(E5+J5+K5)</f>
        <v>0</v>
      </c>
      <c r="N5" s="30">
        <f t="shared" ref="N5:N38" si="2">SUM(J5:L5)</f>
        <v>-75495.761734797226</v>
      </c>
      <c r="O5" s="31">
        <f t="shared" si="1"/>
        <v>226487.28520439169</v>
      </c>
    </row>
    <row r="6" spans="1:45" ht="13" outlineLevel="1" x14ac:dyDescent="0.15">
      <c r="A6" s="25" t="s">
        <v>8</v>
      </c>
      <c r="B6" s="26" t="s">
        <v>181</v>
      </c>
      <c r="C6" s="210">
        <f>'producten &amp; tarieven'!E17</f>
        <v>54.161260653728334</v>
      </c>
      <c r="D6" s="281">
        <f>'Eenheden 2019'!B6</f>
        <v>2828.7750070356492</v>
      </c>
      <c r="E6" s="209">
        <f t="shared" si="0"/>
        <v>153210.02048681001</v>
      </c>
      <c r="F6" s="27">
        <f>'T-effecten'!B6</f>
        <v>-0.2</v>
      </c>
      <c r="G6" s="27">
        <f>'T-effecten'!C6</f>
        <v>0</v>
      </c>
      <c r="H6" s="471"/>
      <c r="J6" s="29">
        <f>H6*E6</f>
        <v>0</v>
      </c>
      <c r="K6" s="29">
        <f>F6*(E6+J6)</f>
        <v>-30642.004097362005</v>
      </c>
      <c r="L6" s="59">
        <f>G6*(E6+J6+K6)</f>
        <v>0</v>
      </c>
      <c r="N6" s="30">
        <f t="shared" si="2"/>
        <v>-30642.004097362005</v>
      </c>
      <c r="O6" s="31">
        <f t="shared" si="1"/>
        <v>122568.01638944801</v>
      </c>
    </row>
    <row r="7" spans="1:45" ht="13" outlineLevel="1" x14ac:dyDescent="0.15">
      <c r="A7" s="25" t="s">
        <v>9</v>
      </c>
      <c r="B7" s="26" t="s">
        <v>5</v>
      </c>
      <c r="C7" s="210">
        <f>'producten &amp; tarieven'!E17</f>
        <v>54.161260653728334</v>
      </c>
      <c r="D7" s="281">
        <f>'Eenheden 2019'!B7</f>
        <v>729.92538660102275</v>
      </c>
      <c r="E7" s="209">
        <f t="shared" si="0"/>
        <v>39533.679121471418</v>
      </c>
      <c r="F7" s="27">
        <f>'T-effecten'!B7</f>
        <v>-0.2</v>
      </c>
      <c r="G7" s="27">
        <f>'T-effecten'!C7</f>
        <v>-0.1</v>
      </c>
      <c r="H7" s="471"/>
      <c r="J7" s="29">
        <f>H7*E7</f>
        <v>0</v>
      </c>
      <c r="K7" s="29">
        <f>F7*(E7+J7)</f>
        <v>-7906.7358242942837</v>
      </c>
      <c r="L7" s="59">
        <f>G7*(E7+J7+K7)</f>
        <v>-3162.6943297177136</v>
      </c>
      <c r="N7" s="30">
        <f t="shared" si="2"/>
        <v>-11069.430154011998</v>
      </c>
      <c r="O7" s="31">
        <f t="shared" si="1"/>
        <v>28464.248967459418</v>
      </c>
    </row>
    <row r="8" spans="1:45" ht="15" thickBot="1" x14ac:dyDescent="0.2">
      <c r="A8" s="15">
        <v>2</v>
      </c>
      <c r="B8" s="201" t="s">
        <v>104</v>
      </c>
      <c r="C8" s="211">
        <f>'producten &amp; tarieven'!F17</f>
        <v>67.462938501976552</v>
      </c>
      <c r="D8" s="280">
        <f>'Eenheden 2019'!B8</f>
        <v>12087.269243457762</v>
      </c>
      <c r="E8" s="216">
        <f t="shared" si="0"/>
        <v>815442.70162822364</v>
      </c>
      <c r="F8" s="197"/>
      <c r="G8" s="197"/>
      <c r="H8" s="463"/>
      <c r="J8" s="227">
        <f>SUM(J9:J12)</f>
        <v>31127.754940855408</v>
      </c>
      <c r="K8" s="227">
        <f>SUM(K9:K12)</f>
        <v>-145955.32393051923</v>
      </c>
      <c r="L8" s="227">
        <f>SUM(L9:L12)</f>
        <v>-67880.329001630569</v>
      </c>
      <c r="N8" s="212">
        <f t="shared" si="2"/>
        <v>-182707.89799129439</v>
      </c>
      <c r="O8" s="34">
        <f t="shared" si="1"/>
        <v>632734.80363692925</v>
      </c>
    </row>
    <row r="9" spans="1:45" outlineLevel="1" thickTop="1" x14ac:dyDescent="0.15">
      <c r="A9" s="25" t="s">
        <v>6</v>
      </c>
      <c r="B9" s="193" t="s">
        <v>2</v>
      </c>
      <c r="C9" s="208">
        <f>'producten &amp; tarieven'!F17</f>
        <v>67.462938501976552</v>
      </c>
      <c r="D9" s="282">
        <f>'Eenheden 2019'!B9</f>
        <v>3096.5419930736944</v>
      </c>
      <c r="E9" s="213">
        <f t="shared" si="0"/>
        <v>208901.82204751854</v>
      </c>
      <c r="F9" s="27">
        <f>'T-effecten'!B9</f>
        <v>-0.2</v>
      </c>
      <c r="G9" s="27">
        <f>'T-effecten'!C9</f>
        <v>-0.1</v>
      </c>
      <c r="H9" s="470">
        <f>'T-effecten'!D9</f>
        <v>0.14900662251655628</v>
      </c>
      <c r="J9" s="29">
        <f>H9*E9</f>
        <v>31127.754940855408</v>
      </c>
      <c r="K9" s="29">
        <f>F9*(E9+J9)</f>
        <v>-48005.915397674791</v>
      </c>
      <c r="L9" s="59">
        <f>G9*(E9+J9+K9)</f>
        <v>-19202.366159069916</v>
      </c>
      <c r="N9" s="30">
        <f t="shared" ref="N9:N12" si="3">SUM(J9:L9)</f>
        <v>-36080.526615889299</v>
      </c>
      <c r="O9" s="31">
        <f t="shared" si="1"/>
        <v>172821.29543162923</v>
      </c>
      <c r="Q9" s="10"/>
      <c r="R9" s="10"/>
    </row>
    <row r="10" spans="1:45" ht="13" outlineLevel="1" x14ac:dyDescent="0.15">
      <c r="A10" s="25" t="s">
        <v>7</v>
      </c>
      <c r="B10" s="26" t="s">
        <v>154</v>
      </c>
      <c r="C10" s="210">
        <f>'producten &amp; tarieven'!F17</f>
        <v>67.462938501976552</v>
      </c>
      <c r="D10" s="281">
        <f>'Eenheden 2019'!B10</f>
        <v>5487.9649195902666</v>
      </c>
      <c r="E10" s="209">
        <f t="shared" si="0"/>
        <v>370234.23987132288</v>
      </c>
      <c r="F10" s="27">
        <f>'T-effecten'!B10</f>
        <v>-0.15</v>
      </c>
      <c r="G10" s="27">
        <f>'T-effecten'!C10</f>
        <v>-0.1</v>
      </c>
      <c r="H10" s="471"/>
      <c r="J10" s="29">
        <f>H10*E10</f>
        <v>0</v>
      </c>
      <c r="K10" s="29">
        <f>F10*(E10+J10)</f>
        <v>-55535.135980698433</v>
      </c>
      <c r="L10" s="59">
        <f>G10*(E10+J10+K10)</f>
        <v>-31469.910389062443</v>
      </c>
      <c r="N10" s="30">
        <f t="shared" si="3"/>
        <v>-87005.046369760879</v>
      </c>
      <c r="O10" s="31">
        <f t="shared" si="1"/>
        <v>283229.193501562</v>
      </c>
    </row>
    <row r="11" spans="1:45" ht="13" outlineLevel="1" x14ac:dyDescent="0.15">
      <c r="A11" s="25" t="s">
        <v>8</v>
      </c>
      <c r="B11" s="26" t="s">
        <v>181</v>
      </c>
      <c r="C11" s="210">
        <f>'producten &amp; tarieven'!F17</f>
        <v>67.462938501976552</v>
      </c>
      <c r="D11" s="281">
        <f>'Eenheden 2019'!B11</f>
        <v>2784.299404498146</v>
      </c>
      <c r="E11" s="209">
        <f t="shared" si="0"/>
        <v>187837.01949674837</v>
      </c>
      <c r="F11" s="27">
        <f>'T-effecten'!B11</f>
        <v>-0.2</v>
      </c>
      <c r="G11" s="27">
        <f>'T-effecten'!C11</f>
        <v>-0.1</v>
      </c>
      <c r="H11" s="471"/>
      <c r="J11" s="29">
        <f>H11*E11</f>
        <v>0</v>
      </c>
      <c r="K11" s="29">
        <f>F11*(E11+J11)</f>
        <v>-37567.403899349672</v>
      </c>
      <c r="L11" s="59">
        <f>G11*(E11+J11+K11)</f>
        <v>-15026.96155973987</v>
      </c>
      <c r="N11" s="30">
        <f t="shared" si="3"/>
        <v>-52594.365459089546</v>
      </c>
      <c r="O11" s="31">
        <f t="shared" si="1"/>
        <v>135242.65403765882</v>
      </c>
    </row>
    <row r="12" spans="1:45" ht="13" outlineLevel="1" x14ac:dyDescent="0.15">
      <c r="A12" s="25" t="s">
        <v>9</v>
      </c>
      <c r="B12" s="26" t="s">
        <v>5</v>
      </c>
      <c r="C12" s="210">
        <f>'producten &amp; tarieven'!F17</f>
        <v>67.462938501976552</v>
      </c>
      <c r="D12" s="281">
        <f>'Eenheden 2019'!B12</f>
        <v>718.44908633120383</v>
      </c>
      <c r="E12" s="209">
        <f t="shared" si="0"/>
        <v>48468.686527963247</v>
      </c>
      <c r="F12" s="27">
        <f>'T-effecten'!B12</f>
        <v>-0.1</v>
      </c>
      <c r="G12" s="199">
        <f>'T-effecten'!C12</f>
        <v>-0.05</v>
      </c>
      <c r="H12" s="471"/>
      <c r="J12" s="29">
        <f>H12*E12</f>
        <v>0</v>
      </c>
      <c r="K12" s="29">
        <f>F12*(E12+J12)</f>
        <v>-4846.8686527963246</v>
      </c>
      <c r="L12" s="59">
        <f>G12*(E12+J12+K12)</f>
        <v>-2181.0908937583463</v>
      </c>
      <c r="N12" s="30">
        <f t="shared" si="3"/>
        <v>-7027.9595465546709</v>
      </c>
      <c r="O12" s="31">
        <f t="shared" si="1"/>
        <v>41440.726981408574</v>
      </c>
    </row>
    <row r="13" spans="1:45" ht="15" thickBot="1" x14ac:dyDescent="0.2">
      <c r="A13" s="15">
        <v>3</v>
      </c>
      <c r="B13" s="201" t="s">
        <v>101</v>
      </c>
      <c r="C13" s="211">
        <f>'producten &amp; tarieven'!G17</f>
        <v>36.10395767297338</v>
      </c>
      <c r="D13" s="280">
        <f>'Eenheden 2019'!B13</f>
        <v>13122</v>
      </c>
      <c r="E13" s="216">
        <f t="shared" si="0"/>
        <v>473756.13258475671</v>
      </c>
      <c r="F13" s="197"/>
      <c r="G13" s="197"/>
      <c r="H13" s="463"/>
      <c r="J13" s="227">
        <f>SUM(J14:J17)</f>
        <v>13382.310624434882</v>
      </c>
      <c r="K13" s="227">
        <f>SUM(K14:K17)</f>
        <v>-191137.44716592791</v>
      </c>
      <c r="L13" s="227">
        <f>SUM(L14:L17)</f>
        <v>-12076.884979150149</v>
      </c>
      <c r="N13" s="212">
        <f t="shared" si="2"/>
        <v>-189832.02152064317</v>
      </c>
      <c r="O13" s="34">
        <f t="shared" si="1"/>
        <v>283924.11106411356</v>
      </c>
    </row>
    <row r="14" spans="1:45" outlineLevel="1" thickTop="1" x14ac:dyDescent="0.15">
      <c r="A14" s="25" t="s">
        <v>6</v>
      </c>
      <c r="B14" s="193" t="s">
        <v>2</v>
      </c>
      <c r="C14" s="208">
        <f>'producten &amp; tarieven'!G17</f>
        <v>36.10395767297338</v>
      </c>
      <c r="D14" s="282">
        <f>'Eenheden 2019'!B14</f>
        <v>2487.5437296231685</v>
      </c>
      <c r="E14" s="213">
        <f t="shared" si="0"/>
        <v>89810.173523985213</v>
      </c>
      <c r="F14" s="199">
        <f>'T-effecten'!B14</f>
        <v>-0.7</v>
      </c>
      <c r="G14" s="27">
        <f>'T-effecten'!C14</f>
        <v>0</v>
      </c>
      <c r="H14" s="470">
        <f>'T-effecten'!D14</f>
        <v>0.14900662251655628</v>
      </c>
      <c r="J14" s="29">
        <f>H14*E14</f>
        <v>13382.310624434882</v>
      </c>
      <c r="K14" s="29">
        <f>F14*(E14+J14)</f>
        <v>-72234.73890389406</v>
      </c>
      <c r="L14" s="59">
        <f>G14*(E14+J14+K14)</f>
        <v>0</v>
      </c>
      <c r="N14" s="30">
        <f t="shared" ref="N14:N17" si="4">SUM(J14:L14)</f>
        <v>-58852.428279459178</v>
      </c>
      <c r="O14" s="31">
        <f t="shared" si="1"/>
        <v>30957.745244526035</v>
      </c>
    </row>
    <row r="15" spans="1:45" ht="13" outlineLevel="1" x14ac:dyDescent="0.15">
      <c r="A15" s="25" t="s">
        <v>7</v>
      </c>
      <c r="B15" s="26" t="s">
        <v>154</v>
      </c>
      <c r="C15" s="210">
        <f>'producten &amp; tarieven'!G17</f>
        <v>36.10395767297338</v>
      </c>
      <c r="D15" s="281">
        <f>'Eenheden 2019'!B15</f>
        <v>4181.2884783094833</v>
      </c>
      <c r="E15" s="209">
        <f t="shared" si="0"/>
        <v>150961.06223937686</v>
      </c>
      <c r="F15" s="27">
        <f>'T-effecten'!B15</f>
        <v>-0.2</v>
      </c>
      <c r="G15" s="27">
        <f>'T-effecten'!C15</f>
        <v>-0.1</v>
      </c>
      <c r="H15" s="471"/>
      <c r="J15" s="29">
        <f>H15*E15</f>
        <v>0</v>
      </c>
      <c r="K15" s="29">
        <f>F15*(E15+J15)</f>
        <v>-30192.212447875372</v>
      </c>
      <c r="L15" s="59">
        <f>G15*(E15+J15+K15)</f>
        <v>-12076.884979150149</v>
      </c>
      <c r="N15" s="30">
        <f t="shared" si="4"/>
        <v>-42269.097427025525</v>
      </c>
      <c r="O15" s="31">
        <f t="shared" si="1"/>
        <v>108691.96481235133</v>
      </c>
    </row>
    <row r="16" spans="1:45" ht="13" outlineLevel="1" x14ac:dyDescent="0.15">
      <c r="A16" s="25" t="s">
        <v>8</v>
      </c>
      <c r="B16" s="26" t="s">
        <v>181</v>
      </c>
      <c r="C16" s="210">
        <f>'producten &amp; tarieven'!G17</f>
        <v>36.10395767297338</v>
      </c>
      <c r="D16" s="281">
        <f>'Eenheden 2019'!B16</f>
        <v>5831.4562703768315</v>
      </c>
      <c r="E16" s="209">
        <f t="shared" si="0"/>
        <v>210538.65035748034</v>
      </c>
      <c r="F16" s="27">
        <f>'T-effecten'!B16</f>
        <v>-0.4</v>
      </c>
      <c r="G16" s="27">
        <f>'T-effecten'!C16</f>
        <v>0</v>
      </c>
      <c r="H16" s="471"/>
      <c r="J16" s="29">
        <f>H16*E16</f>
        <v>0</v>
      </c>
      <c r="K16" s="29">
        <f>F16*(E16+J16)</f>
        <v>-84215.460142992146</v>
      </c>
      <c r="L16" s="59">
        <f>G16*(E16+J16+K16)</f>
        <v>0</v>
      </c>
      <c r="N16" s="30">
        <f t="shared" si="4"/>
        <v>-84215.460142992146</v>
      </c>
      <c r="O16" s="31">
        <f t="shared" si="1"/>
        <v>126323.19021448819</v>
      </c>
    </row>
    <row r="17" spans="1:17" ht="13" outlineLevel="1" x14ac:dyDescent="0.15">
      <c r="A17" s="25" t="s">
        <v>9</v>
      </c>
      <c r="B17" s="26" t="s">
        <v>5</v>
      </c>
      <c r="C17" s="210">
        <f>'producten &amp; tarieven'!G17</f>
        <v>36.10395767297338</v>
      </c>
      <c r="D17" s="281">
        <f>'Eenheden 2019'!B17</f>
        <v>622.51287128712875</v>
      </c>
      <c r="E17" s="209">
        <f t="shared" si="0"/>
        <v>22475.17835583162</v>
      </c>
      <c r="F17" s="27">
        <f>'T-effecten'!B17</f>
        <v>-0.2</v>
      </c>
      <c r="G17" s="27">
        <f>'T-effecten'!C17</f>
        <v>0</v>
      </c>
      <c r="H17" s="471"/>
      <c r="J17" s="29">
        <f>H17*E17</f>
        <v>0</v>
      </c>
      <c r="K17" s="29">
        <f>F17*(E17+J17)</f>
        <v>-4495.0356711663244</v>
      </c>
      <c r="L17" s="59">
        <f>G17*(E17+J17+K17)</f>
        <v>0</v>
      </c>
      <c r="N17" s="30">
        <f t="shared" si="4"/>
        <v>-4495.0356711663244</v>
      </c>
      <c r="O17" s="31">
        <f t="shared" si="1"/>
        <v>17980.142684665298</v>
      </c>
      <c r="Q17" s="10"/>
    </row>
    <row r="18" spans="1:17" ht="15" thickBot="1" x14ac:dyDescent="0.2">
      <c r="A18" s="15">
        <v>4</v>
      </c>
      <c r="B18" s="201" t="s">
        <v>102</v>
      </c>
      <c r="C18" s="211">
        <f>'producten &amp; tarieven'!H17</f>
        <v>48.858878642934805</v>
      </c>
      <c r="D18" s="280">
        <f>'Eenheden 2019'!B18</f>
        <v>4066.261103284387</v>
      </c>
      <c r="E18" s="216">
        <f t="shared" si="0"/>
        <v>198672.95777585806</v>
      </c>
      <c r="F18" s="197"/>
      <c r="G18" s="197"/>
      <c r="H18" s="463"/>
      <c r="J18" s="227">
        <f>SUM(J19:J22)</f>
        <v>5557.0531273869929</v>
      </c>
      <c r="K18" s="227">
        <f>SUM(K19:K22)</f>
        <v>-16725.400241158532</v>
      </c>
      <c r="L18" s="227">
        <f>SUM(L19:L22)</f>
        <v>-11725.019452793304</v>
      </c>
      <c r="N18" s="212">
        <f t="shared" si="2"/>
        <v>-22893.366566564844</v>
      </c>
      <c r="O18" s="34">
        <f t="shared" si="1"/>
        <v>175779.59120929323</v>
      </c>
    </row>
    <row r="19" spans="1:17" outlineLevel="1" thickTop="1" x14ac:dyDescent="0.15">
      <c r="A19" s="25" t="s">
        <v>6</v>
      </c>
      <c r="B19" s="193" t="s">
        <v>2</v>
      </c>
      <c r="C19" s="208">
        <f>'producten &amp; tarieven'!H17</f>
        <v>48.858878642934805</v>
      </c>
      <c r="D19" s="282">
        <f>'Eenheden 2019'!B19</f>
        <v>763.30038723953533</v>
      </c>
      <c r="E19" s="213">
        <f t="shared" si="0"/>
        <v>37294.000988241598</v>
      </c>
      <c r="F19" s="199">
        <f>'T-effecten'!B19</f>
        <v>-0.1</v>
      </c>
      <c r="G19" s="199">
        <f>'T-effecten'!C19</f>
        <v>-0.1</v>
      </c>
      <c r="H19" s="470">
        <f>'T-effecten'!D19</f>
        <v>0.14900662251655628</v>
      </c>
      <c r="J19" s="29">
        <f>H19*E19</f>
        <v>5557.0531273869929</v>
      </c>
      <c r="K19" s="29">
        <f>F19*(E19+J19)</f>
        <v>-4285.1054115628594</v>
      </c>
      <c r="L19" s="59">
        <f>G19*(E19+J19+K19)</f>
        <v>-3856.5948704065736</v>
      </c>
      <c r="N19" s="30">
        <f t="shared" ref="N19:N22" si="5">SUM(J19:L19)</f>
        <v>-2584.6471545824402</v>
      </c>
      <c r="O19" s="31">
        <f t="shared" si="1"/>
        <v>34709.353833659159</v>
      </c>
    </row>
    <row r="20" spans="1:17" ht="13" outlineLevel="1" x14ac:dyDescent="0.15">
      <c r="A20" s="25" t="s">
        <v>7</v>
      </c>
      <c r="B20" s="26" t="s">
        <v>154</v>
      </c>
      <c r="C20" s="210">
        <f>'producten &amp; tarieven'!H17</f>
        <v>48.858878642934805</v>
      </c>
      <c r="D20" s="281">
        <f>'Eenheden 2019'!B20</f>
        <v>0</v>
      </c>
      <c r="E20" s="209">
        <f t="shared" si="0"/>
        <v>0</v>
      </c>
      <c r="F20" s="27">
        <f>'T-effecten'!B20</f>
        <v>-0.1</v>
      </c>
      <c r="G20" s="27">
        <f>'T-effecten'!C20</f>
        <v>-0.1</v>
      </c>
      <c r="H20" s="471"/>
      <c r="J20" s="29">
        <f>H20*E20</f>
        <v>0</v>
      </c>
      <c r="K20" s="29">
        <f>F20*(E20+J20)</f>
        <v>0</v>
      </c>
      <c r="L20" s="59">
        <f t="shared" ref="L20:L22" si="6">G20*(E20+J20+K20)</f>
        <v>0</v>
      </c>
      <c r="N20" s="30">
        <f t="shared" si="5"/>
        <v>0</v>
      </c>
      <c r="O20" s="31">
        <f t="shared" si="1"/>
        <v>0</v>
      </c>
    </row>
    <row r="21" spans="1:17" ht="13" outlineLevel="1" x14ac:dyDescent="0.15">
      <c r="A21" s="25" t="s">
        <v>8</v>
      </c>
      <c r="B21" s="26" t="s">
        <v>181</v>
      </c>
      <c r="C21" s="210">
        <f>'producten &amp; tarieven'!H17</f>
        <v>48.858878642934805</v>
      </c>
      <c r="D21" s="281">
        <f>'Eenheden 2019'!B21</f>
        <v>1789.3767158108794</v>
      </c>
      <c r="E21" s="209">
        <f t="shared" si="0"/>
        <v>87426.939804296999</v>
      </c>
      <c r="F21" s="27">
        <f>'T-effecten'!B21</f>
        <v>-0.1</v>
      </c>
      <c r="G21" s="27">
        <f>'T-effecten'!C21</f>
        <v>-0.1</v>
      </c>
      <c r="H21" s="471"/>
      <c r="J21" s="29">
        <f>H21*E21</f>
        <v>0</v>
      </c>
      <c r="K21" s="29">
        <f t="shared" ref="K21:K22" si="7">F21*(E21+J21)</f>
        <v>-8742.6939804296999</v>
      </c>
      <c r="L21" s="59">
        <f t="shared" si="6"/>
        <v>-7868.4245823867304</v>
      </c>
      <c r="N21" s="30">
        <f t="shared" si="5"/>
        <v>-16611.118562816431</v>
      </c>
      <c r="O21" s="31">
        <f t="shared" si="1"/>
        <v>70815.82124148056</v>
      </c>
    </row>
    <row r="22" spans="1:17" ht="13" outlineLevel="1" x14ac:dyDescent="0.15">
      <c r="A22" s="25" t="s">
        <v>9</v>
      </c>
      <c r="B22" s="26" t="s">
        <v>5</v>
      </c>
      <c r="C22" s="210">
        <f>'producten &amp; tarieven'!H17</f>
        <v>48.858878642934805</v>
      </c>
      <c r="D22" s="281">
        <f>'Eenheden 2019'!B22</f>
        <v>1513.5840002339721</v>
      </c>
      <c r="E22" s="209">
        <f t="shared" si="0"/>
        <v>73952.016983319452</v>
      </c>
      <c r="F22" s="27">
        <f>'T-effecten'!B22</f>
        <v>-0.05</v>
      </c>
      <c r="G22" s="27">
        <f>'T-effecten'!C22</f>
        <v>0</v>
      </c>
      <c r="H22" s="471"/>
      <c r="J22" s="29">
        <f>H22*E22</f>
        <v>0</v>
      </c>
      <c r="K22" s="29">
        <f t="shared" si="7"/>
        <v>-3697.6008491659727</v>
      </c>
      <c r="L22" s="59">
        <f t="shared" si="6"/>
        <v>0</v>
      </c>
      <c r="N22" s="30">
        <f t="shared" si="5"/>
        <v>-3697.6008491659727</v>
      </c>
      <c r="O22" s="31">
        <f t="shared" si="1"/>
        <v>70254.416134153478</v>
      </c>
    </row>
    <row r="23" spans="1:17" ht="15" thickBot="1" x14ac:dyDescent="0.2">
      <c r="A23" s="15">
        <v>5</v>
      </c>
      <c r="B23" s="201" t="s">
        <v>27</v>
      </c>
      <c r="C23" s="211">
        <f>'producten &amp; tarieven'!C17</f>
        <v>44.180909502664626</v>
      </c>
      <c r="D23" s="280">
        <f>'Eenheden 2019'!B23</f>
        <v>64.916666666666657</v>
      </c>
      <c r="E23" s="216">
        <f t="shared" si="0"/>
        <v>2868.0773752146447</v>
      </c>
      <c r="F23" s="197"/>
      <c r="G23" s="197"/>
      <c r="H23" s="463"/>
      <c r="J23" s="227">
        <f>SUM(J24:J27)</f>
        <v>109.48262766817467</v>
      </c>
      <c r="K23" s="227">
        <f>SUM(K24:K27)</f>
        <v>0</v>
      </c>
      <c r="L23" s="227">
        <f>SUM(L24:L27)</f>
        <v>0</v>
      </c>
      <c r="N23" s="212">
        <f t="shared" si="2"/>
        <v>109.48262766817467</v>
      </c>
      <c r="O23" s="34">
        <f t="shared" si="1"/>
        <v>2977.5600028828194</v>
      </c>
    </row>
    <row r="24" spans="1:17" outlineLevel="1" thickTop="1" x14ac:dyDescent="0.15">
      <c r="A24" s="25" t="s">
        <v>6</v>
      </c>
      <c r="B24" s="193" t="s">
        <v>2</v>
      </c>
      <c r="C24" s="208">
        <f>'producten &amp; tarieven'!C17</f>
        <v>44.180909502664626</v>
      </c>
      <c r="D24" s="282">
        <f>'Eenheden 2019'!B24</f>
        <v>16.630487857503564</v>
      </c>
      <c r="E24" s="213">
        <f t="shared" si="0"/>
        <v>734.75007901752792</v>
      </c>
      <c r="F24" s="27">
        <f>'T-effecten'!B24</f>
        <v>0</v>
      </c>
      <c r="G24" s="27">
        <f>'T-effecten'!C24</f>
        <v>0</v>
      </c>
      <c r="H24" s="470">
        <f>'T-effecten'!D24</f>
        <v>0.14900662251655628</v>
      </c>
      <c r="J24" s="29">
        <f>H24*E24</f>
        <v>109.48262766817467</v>
      </c>
      <c r="K24" s="29">
        <f>F24*(E24+J24)</f>
        <v>0</v>
      </c>
      <c r="L24" s="59">
        <f>G24*(E24+J24+K24)</f>
        <v>0</v>
      </c>
      <c r="N24" s="30">
        <f t="shared" ref="N24:N28" si="8">SUM(J24:L24)</f>
        <v>109.48262766817467</v>
      </c>
      <c r="O24" s="31">
        <f t="shared" si="1"/>
        <v>844.23270668570262</v>
      </c>
    </row>
    <row r="25" spans="1:17" ht="13" outlineLevel="1" x14ac:dyDescent="0.15">
      <c r="A25" s="25" t="s">
        <v>7</v>
      </c>
      <c r="B25" s="26" t="s">
        <v>154</v>
      </c>
      <c r="C25" s="210">
        <f>'producten &amp; tarieven'!C17</f>
        <v>44.180909502664626</v>
      </c>
      <c r="D25" s="281">
        <f>'Eenheden 2019'!B25</f>
        <v>29.474017843710026</v>
      </c>
      <c r="E25" s="209">
        <f t="shared" si="0"/>
        <v>1302.188915032875</v>
      </c>
      <c r="F25" s="27">
        <f>'T-effecten'!B25</f>
        <v>0</v>
      </c>
      <c r="G25" s="27">
        <f>'T-effecten'!C25</f>
        <v>0</v>
      </c>
      <c r="H25" s="472"/>
      <c r="J25" s="29">
        <f>H25*E25</f>
        <v>0</v>
      </c>
      <c r="K25" s="29">
        <f>F25*(E25+J25)</f>
        <v>0</v>
      </c>
      <c r="L25" s="59">
        <f>G25*(E25+J25+K25)</f>
        <v>0</v>
      </c>
      <c r="N25" s="30">
        <f t="shared" si="8"/>
        <v>0</v>
      </c>
      <c r="O25" s="31">
        <f t="shared" si="1"/>
        <v>1302.188915032875</v>
      </c>
    </row>
    <row r="26" spans="1:17" ht="13" outlineLevel="1" x14ac:dyDescent="0.15">
      <c r="A26" s="25" t="s">
        <v>8</v>
      </c>
      <c r="B26" s="26" t="s">
        <v>181</v>
      </c>
      <c r="C26" s="210">
        <f>'producten &amp; tarieven'!C17</f>
        <v>44.180909502664626</v>
      </c>
      <c r="D26" s="281">
        <f>'Eenheden 2019'!B26</f>
        <v>14.953537701647063</v>
      </c>
      <c r="E26" s="209">
        <f t="shared" si="0"/>
        <v>660.66089594115249</v>
      </c>
      <c r="F26" s="27">
        <f>'T-effecten'!B26</f>
        <v>0</v>
      </c>
      <c r="G26" s="27">
        <f>'T-effecten'!C26</f>
        <v>0</v>
      </c>
      <c r="H26" s="472"/>
      <c r="J26" s="29">
        <f>H26*E26</f>
        <v>0</v>
      </c>
      <c r="K26" s="29">
        <f>F26*(E26+J26)</f>
        <v>0</v>
      </c>
      <c r="L26" s="59">
        <f>G26*(E26+J26+K26)</f>
        <v>0</v>
      </c>
      <c r="N26" s="30">
        <f t="shared" si="8"/>
        <v>0</v>
      </c>
      <c r="O26" s="31">
        <f t="shared" si="1"/>
        <v>660.66089594115249</v>
      </c>
    </row>
    <row r="27" spans="1:17" ht="13" outlineLevel="1" x14ac:dyDescent="0.15">
      <c r="A27" s="25" t="s">
        <v>9</v>
      </c>
      <c r="B27" s="26" t="s">
        <v>5</v>
      </c>
      <c r="C27" s="210">
        <f>'producten &amp; tarieven'!C17</f>
        <v>44.180909502664626</v>
      </c>
      <c r="D27" s="281">
        <f>'Eenheden 2019'!B27</f>
        <v>3.8585489340015755</v>
      </c>
      <c r="E27" s="209">
        <f t="shared" si="0"/>
        <v>170.47420126472667</v>
      </c>
      <c r="F27" s="27">
        <f>'T-effecten'!B27</f>
        <v>0</v>
      </c>
      <c r="G27" s="27">
        <f>'T-effecten'!C27</f>
        <v>0</v>
      </c>
      <c r="H27" s="472"/>
      <c r="J27" s="29">
        <f>H27*E27</f>
        <v>0</v>
      </c>
      <c r="K27" s="29">
        <f>F27*(E27+J27)</f>
        <v>0</v>
      </c>
      <c r="L27" s="59">
        <f>G27*(E27+J27+K27)</f>
        <v>0</v>
      </c>
      <c r="N27" s="30">
        <f t="shared" si="8"/>
        <v>0</v>
      </c>
      <c r="O27" s="31">
        <f t="shared" si="1"/>
        <v>170.47420126472667</v>
      </c>
    </row>
    <row r="28" spans="1:17" ht="15" thickBot="1" x14ac:dyDescent="0.2">
      <c r="A28" s="15">
        <v>6</v>
      </c>
      <c r="B28" s="201" t="s">
        <v>157</v>
      </c>
      <c r="C28" s="211">
        <f>'producten &amp; tarieven'!I17</f>
        <v>53.92</v>
      </c>
      <c r="D28" s="280">
        <f>'Eenheden 2019'!B28</f>
        <v>123.06095979247729</v>
      </c>
      <c r="E28" s="216">
        <f t="shared" si="0"/>
        <v>6635.4469520103758</v>
      </c>
      <c r="F28" s="197"/>
      <c r="G28" s="197"/>
      <c r="H28" s="463"/>
      <c r="J28" s="227">
        <f>SUM(J29:J32)</f>
        <v>253.29378291424524</v>
      </c>
      <c r="K28" s="227">
        <f>SUM(K29:K32)</f>
        <v>0</v>
      </c>
      <c r="L28" s="227">
        <f>SUM(L29:L32)</f>
        <v>0</v>
      </c>
      <c r="N28" s="212">
        <f t="shared" si="8"/>
        <v>253.29378291424524</v>
      </c>
      <c r="O28" s="34">
        <f t="shared" si="1"/>
        <v>6888.7407349246214</v>
      </c>
    </row>
    <row r="29" spans="1:17" outlineLevel="1" thickTop="1" x14ac:dyDescent="0.15">
      <c r="A29" s="25" t="s">
        <v>6</v>
      </c>
      <c r="B29" s="193" t="s">
        <v>2</v>
      </c>
      <c r="C29" s="208">
        <f>'producten &amp; tarieven'!I17</f>
        <v>53.92</v>
      </c>
      <c r="D29" s="282">
        <f>'Eenheden 2019'!B29</f>
        <v>31.526014853322646</v>
      </c>
      <c r="E29" s="213">
        <f t="shared" si="0"/>
        <v>1699.8827208911571</v>
      </c>
      <c r="F29" s="27">
        <f>'T-effecten'!B29</f>
        <v>0</v>
      </c>
      <c r="G29" s="27">
        <f>'T-effecten'!C29</f>
        <v>0</v>
      </c>
      <c r="H29" s="470">
        <f>'T-effecten'!D29</f>
        <v>0.14900662251655628</v>
      </c>
      <c r="J29" s="29">
        <f>H29*E29</f>
        <v>253.29378291424524</v>
      </c>
      <c r="K29" s="29">
        <f>F29*(E29+J29)</f>
        <v>0</v>
      </c>
      <c r="L29" s="59">
        <f>G29*(E29+J29+K29)</f>
        <v>0</v>
      </c>
      <c r="N29" s="30">
        <f t="shared" ref="N29:N33" si="9">SUM(J29:L29)</f>
        <v>253.29378291424524</v>
      </c>
      <c r="O29" s="31">
        <f t="shared" si="1"/>
        <v>1953.1765038054023</v>
      </c>
    </row>
    <row r="30" spans="1:17" ht="13" outlineLevel="1" x14ac:dyDescent="0.15">
      <c r="A30" s="25" t="s">
        <v>7</v>
      </c>
      <c r="B30" s="26" t="s">
        <v>154</v>
      </c>
      <c r="C30" s="210">
        <f>'producten &amp; tarieven'!I17</f>
        <v>53.92</v>
      </c>
      <c r="D30" s="281">
        <f>'Eenheden 2019'!B30</f>
        <v>55.873184977472015</v>
      </c>
      <c r="E30" s="209">
        <f t="shared" si="0"/>
        <v>3012.6821339852913</v>
      </c>
      <c r="F30" s="27">
        <f>'T-effecten'!B30</f>
        <v>0</v>
      </c>
      <c r="G30" s="27">
        <f>'T-effecten'!C30</f>
        <v>0</v>
      </c>
      <c r="H30" s="471"/>
      <c r="J30" s="29">
        <f t="shared" ref="J30:J32" si="10">H30*E30</f>
        <v>0</v>
      </c>
      <c r="K30" s="29">
        <f t="shared" ref="K30:K31" si="11">F30*(E30+J30)</f>
        <v>0</v>
      </c>
      <c r="L30" s="59">
        <f t="shared" ref="L30:L32" si="12">G30*(E30+J30+K30)</f>
        <v>0</v>
      </c>
      <c r="N30" s="30">
        <f t="shared" si="9"/>
        <v>0</v>
      </c>
      <c r="O30" s="31"/>
    </row>
    <row r="31" spans="1:17" ht="13" outlineLevel="1" x14ac:dyDescent="0.15">
      <c r="A31" s="25" t="s">
        <v>8</v>
      </c>
      <c r="B31" s="26" t="s">
        <v>181</v>
      </c>
      <c r="C31" s="210">
        <f>'producten &amp; tarieven'!I17</f>
        <v>53.92</v>
      </c>
      <c r="D31" s="281">
        <f>'Eenheden 2019'!B31</f>
        <v>28.347060875856474</v>
      </c>
      <c r="E31" s="209">
        <f t="shared" si="0"/>
        <v>1528.473522426181</v>
      </c>
      <c r="F31" s="27">
        <f>'T-effecten'!B31</f>
        <v>0</v>
      </c>
      <c r="G31" s="27">
        <f>'T-effecten'!C31</f>
        <v>0</v>
      </c>
      <c r="H31" s="471"/>
      <c r="J31" s="29">
        <f t="shared" si="10"/>
        <v>0</v>
      </c>
      <c r="K31" s="29">
        <f t="shared" si="11"/>
        <v>0</v>
      </c>
      <c r="L31" s="59">
        <f t="shared" si="12"/>
        <v>0</v>
      </c>
      <c r="N31" s="30">
        <f t="shared" si="9"/>
        <v>0</v>
      </c>
      <c r="O31" s="31"/>
    </row>
    <row r="32" spans="1:17" ht="13" outlineLevel="1" x14ac:dyDescent="0.15">
      <c r="A32" s="25" t="s">
        <v>9</v>
      </c>
      <c r="B32" s="26" t="s">
        <v>5</v>
      </c>
      <c r="C32" s="210">
        <f>'producten &amp; tarieven'!I17</f>
        <v>53.92</v>
      </c>
      <c r="D32" s="281">
        <f>'Eenheden 2019'!B32</f>
        <v>7.3145581806080733</v>
      </c>
      <c r="E32" s="209">
        <f t="shared" si="0"/>
        <v>394.40097709838733</v>
      </c>
      <c r="F32" s="27">
        <f>'T-effecten'!B32</f>
        <v>0</v>
      </c>
      <c r="G32" s="27">
        <f>'T-effecten'!C32</f>
        <v>0</v>
      </c>
      <c r="H32" s="471"/>
      <c r="J32" s="29">
        <f t="shared" si="10"/>
        <v>0</v>
      </c>
      <c r="K32" s="29">
        <f>F32*(E32+J32)</f>
        <v>0</v>
      </c>
      <c r="L32" s="59">
        <f t="shared" si="12"/>
        <v>0</v>
      </c>
      <c r="N32" s="30">
        <f t="shared" si="9"/>
        <v>0</v>
      </c>
      <c r="O32" s="31">
        <f>+E32+N32</f>
        <v>394.40097709838733</v>
      </c>
    </row>
    <row r="33" spans="1:15" ht="15" thickBot="1" x14ac:dyDescent="0.2">
      <c r="A33" s="15">
        <v>7</v>
      </c>
      <c r="B33" s="201" t="s">
        <v>158</v>
      </c>
      <c r="C33" s="211">
        <f>'producten &amp; tarieven'!J17</f>
        <v>220.37878605783692</v>
      </c>
      <c r="D33" s="280">
        <f>'Eenheden 2019'!B33</f>
        <v>212</v>
      </c>
      <c r="E33" s="216">
        <f t="shared" si="0"/>
        <v>46720.302644261428</v>
      </c>
      <c r="F33" s="197"/>
      <c r="G33" s="197"/>
      <c r="H33" s="463"/>
      <c r="J33" s="227">
        <f>SUM(J34:J37)</f>
        <v>1783.4461312478722</v>
      </c>
      <c r="K33" s="227">
        <f>SUM(K34:K37)</f>
        <v>0</v>
      </c>
      <c r="L33" s="227">
        <f>SUM(L34:L37)</f>
        <v>0</v>
      </c>
      <c r="N33" s="212">
        <f t="shared" si="9"/>
        <v>1783.4461312478722</v>
      </c>
      <c r="O33" s="34">
        <f>+E33+N33</f>
        <v>48503.748775509303</v>
      </c>
    </row>
    <row r="34" spans="1:15" outlineLevel="1" thickTop="1" x14ac:dyDescent="0.15">
      <c r="A34" s="25" t="s">
        <v>6</v>
      </c>
      <c r="B34" s="193" t="s">
        <v>2</v>
      </c>
      <c r="C34" s="208">
        <f>'producten &amp; tarieven'!J17</f>
        <v>220.37878605783692</v>
      </c>
      <c r="D34" s="282">
        <f>'Eenheden 2019'!B34</f>
        <v>54.310604761860176</v>
      </c>
      <c r="E34" s="213">
        <f t="shared" si="0"/>
        <v>11968.905147485722</v>
      </c>
      <c r="F34" s="27">
        <f>'T-effecten'!B34</f>
        <v>0</v>
      </c>
      <c r="G34" s="27">
        <f>'T-effecten'!C34</f>
        <v>0</v>
      </c>
      <c r="H34" s="470">
        <f>'T-effecten'!D34</f>
        <v>0.14900662251655628</v>
      </c>
      <c r="J34" s="29">
        <f>H34*E34</f>
        <v>1783.4461312478722</v>
      </c>
      <c r="K34" s="29">
        <f>F34*(E34+J34)</f>
        <v>0</v>
      </c>
      <c r="L34" s="59">
        <f>G34*(E34+J34+K34)</f>
        <v>0</v>
      </c>
      <c r="N34" s="30">
        <f t="shared" ref="N34:N37" si="13">SUM(J34:L34)</f>
        <v>1783.4461312478722</v>
      </c>
      <c r="O34" s="31">
        <f>+E34+N34</f>
        <v>13752.351278733595</v>
      </c>
    </row>
    <row r="35" spans="1:15" ht="13" outlineLevel="1" x14ac:dyDescent="0.15">
      <c r="A35" s="25" t="s">
        <v>7</v>
      </c>
      <c r="B35" s="26" t="s">
        <v>154</v>
      </c>
      <c r="C35" s="210">
        <f>'producten &amp; tarieven'!J17</f>
        <v>220.37878605783692</v>
      </c>
      <c r="D35" s="281">
        <f>'Eenheden 2019'!B35</f>
        <v>96.254045435684617</v>
      </c>
      <c r="E35" s="209">
        <f t="shared" si="0"/>
        <v>21212.349686272053</v>
      </c>
      <c r="F35" s="27">
        <f>'T-effecten'!B35</f>
        <v>0</v>
      </c>
      <c r="G35" s="27">
        <f>'T-effecten'!C35</f>
        <v>0</v>
      </c>
      <c r="H35" s="471"/>
      <c r="J35" s="29">
        <f t="shared" ref="J35:J37" si="14">H35*E35</f>
        <v>0</v>
      </c>
      <c r="K35" s="29">
        <f t="shared" ref="K35:K36" si="15">F35*(E35+J35)</f>
        <v>0</v>
      </c>
      <c r="L35" s="59">
        <f t="shared" ref="L35:L37" si="16">G35*(E35+J35+K35)</f>
        <v>0</v>
      </c>
      <c r="M35" s="16"/>
      <c r="N35" s="30">
        <f t="shared" si="13"/>
        <v>0</v>
      </c>
      <c r="O35" s="31">
        <f t="shared" ref="O35:O36" si="17">+E35+N35</f>
        <v>21212.349686272053</v>
      </c>
    </row>
    <row r="36" spans="1:15" ht="13" outlineLevel="1" x14ac:dyDescent="0.15">
      <c r="A36" s="25" t="s">
        <v>8</v>
      </c>
      <c r="B36" s="26" t="s">
        <v>181</v>
      </c>
      <c r="C36" s="210">
        <f>'producten &amp; tarieven'!J17</f>
        <v>220.37878605783692</v>
      </c>
      <c r="D36" s="281">
        <f>'Eenheden 2019'!B36</f>
        <v>48.834146229769111</v>
      </c>
      <c r="E36" s="209">
        <f t="shared" si="0"/>
        <v>10762.009864287411</v>
      </c>
      <c r="F36" s="27">
        <f>'T-effecten'!B36</f>
        <v>0</v>
      </c>
      <c r="G36" s="27">
        <f>'T-effecten'!C36</f>
        <v>0</v>
      </c>
      <c r="H36" s="471"/>
      <c r="J36" s="29">
        <f t="shared" si="14"/>
        <v>0</v>
      </c>
      <c r="K36" s="29">
        <f t="shared" si="15"/>
        <v>0</v>
      </c>
      <c r="L36" s="59">
        <f t="shared" si="16"/>
        <v>0</v>
      </c>
      <c r="M36" s="16"/>
      <c r="N36" s="30">
        <f t="shared" si="13"/>
        <v>0</v>
      </c>
      <c r="O36" s="31">
        <f t="shared" si="17"/>
        <v>10762.009864287411</v>
      </c>
    </row>
    <row r="37" spans="1:15" ht="13" outlineLevel="1" x14ac:dyDescent="0.15">
      <c r="A37" s="25" t="s">
        <v>9</v>
      </c>
      <c r="B37" s="26" t="s">
        <v>5</v>
      </c>
      <c r="C37" s="210">
        <f>'producten &amp; tarieven'!J17</f>
        <v>220.37878605783692</v>
      </c>
      <c r="D37" s="281">
        <f>'Eenheden 2019'!B37</f>
        <v>12.600960831964068</v>
      </c>
      <c r="E37" s="209">
        <f t="shared" si="0"/>
        <v>2776.9844513105922</v>
      </c>
      <c r="F37" s="27">
        <f>'T-effecten'!B37</f>
        <v>0</v>
      </c>
      <c r="G37" s="27">
        <f>'T-effecten'!C37</f>
        <v>0</v>
      </c>
      <c r="H37" s="471"/>
      <c r="J37" s="29">
        <f t="shared" si="14"/>
        <v>0</v>
      </c>
      <c r="K37" s="29">
        <f>F37*(E37+J37)</f>
        <v>0</v>
      </c>
      <c r="L37" s="59">
        <f t="shared" si="16"/>
        <v>0</v>
      </c>
      <c r="M37" s="16"/>
      <c r="N37" s="30">
        <f t="shared" si="13"/>
        <v>0</v>
      </c>
      <c r="O37" s="222">
        <f>+E37+N37</f>
        <v>2776.9844513105922</v>
      </c>
    </row>
    <row r="38" spans="1:15" ht="15" thickBot="1" x14ac:dyDescent="0.2">
      <c r="A38" s="15">
        <v>8</v>
      </c>
      <c r="B38" s="201" t="s">
        <v>125</v>
      </c>
      <c r="C38" s="211">
        <f>'producten &amp; tarieven'!B23</f>
        <v>15.326666666666668</v>
      </c>
      <c r="D38" s="280">
        <f>'Eenheden 2019'!B38</f>
        <v>15409.651339250899</v>
      </c>
      <c r="E38" s="216">
        <f t="shared" si="0"/>
        <v>236178.58952625212</v>
      </c>
      <c r="F38" s="197"/>
      <c r="G38" s="197"/>
      <c r="H38" s="463"/>
      <c r="J38" s="212">
        <f>SUM(J39:J42)</f>
        <v>6655.9537880009539</v>
      </c>
      <c r="K38" s="212">
        <f>SUM(K39:K42)</f>
        <v>-75231.444208070723</v>
      </c>
      <c r="L38" s="212">
        <f>SUM(L39:L42)</f>
        <v>-6776.0424317199577</v>
      </c>
      <c r="M38" s="16"/>
      <c r="N38" s="212">
        <f t="shared" si="2"/>
        <v>-75351.532851789729</v>
      </c>
      <c r="O38" s="224">
        <f>+E38+N38</f>
        <v>160827.05667446239</v>
      </c>
    </row>
    <row r="39" spans="1:15" outlineLevel="1" thickTop="1" x14ac:dyDescent="0.15">
      <c r="A39" s="25" t="s">
        <v>6</v>
      </c>
      <c r="B39" s="193" t="s">
        <v>2</v>
      </c>
      <c r="C39" s="208">
        <f>'producten &amp; tarieven'!$B$23</f>
        <v>15.326666666666668</v>
      </c>
      <c r="D39" s="282">
        <f>'Eenheden 2019'!B39</f>
        <v>2914.452724338536</v>
      </c>
      <c r="E39" s="213">
        <f t="shared" si="0"/>
        <v>44668.845421695296</v>
      </c>
      <c r="F39" s="199">
        <f>($D$14/($D$14+$D$19)*F14)+($D$19/($D$14+$D$19)*F19)</f>
        <v>-0.55911959605565309</v>
      </c>
      <c r="G39" s="199">
        <f>(D14/(D14+D19)*G14)+(D19/(D14+D19)*G19)</f>
        <v>-2.3480067324057809E-2</v>
      </c>
      <c r="H39" s="470">
        <f>'T-effecten'!D39</f>
        <v>0.14900662251655628</v>
      </c>
      <c r="J39" s="220">
        <f>H39*E39</f>
        <v>6655.9537880009539</v>
      </c>
      <c r="K39" s="220">
        <f>F39*(E39+J39)</f>
        <v>-28696.701001762871</v>
      </c>
      <c r="L39" s="221">
        <f>G39*(E39+J39+K39)</f>
        <v>-531.3092693376675</v>
      </c>
      <c r="M39" s="16"/>
      <c r="N39" s="30">
        <f t="shared" ref="N39:N52" si="18">SUM(J39:L39)</f>
        <v>-22572.056483099586</v>
      </c>
      <c r="O39" s="222">
        <f>+E39+N39</f>
        <v>22096.78893859571</v>
      </c>
    </row>
    <row r="40" spans="1:15" ht="13" outlineLevel="1" x14ac:dyDescent="0.15">
      <c r="A40" s="25" t="s">
        <v>7</v>
      </c>
      <c r="B40" s="26" t="s">
        <v>154</v>
      </c>
      <c r="C40" s="208">
        <f>'producten &amp; tarieven'!$B$23</f>
        <v>15.326666666666668</v>
      </c>
      <c r="D40" s="281">
        <f>'Eenheden 2019'!B40</f>
        <v>3748.6164081638358</v>
      </c>
      <c r="E40" s="209">
        <f t="shared" si="0"/>
        <v>57453.794149124398</v>
      </c>
      <c r="F40" s="199">
        <f>(D15/(D15+D20)*F15)+(D20/(D15+D20)*F20)</f>
        <v>-0.2</v>
      </c>
      <c r="G40" s="199">
        <f t="shared" ref="G40:G42" si="19">(D15/(D15+D20)*G15)+(D20/(D15+D20)*G20)</f>
        <v>-0.1</v>
      </c>
      <c r="H40" s="471"/>
      <c r="J40" s="220">
        <f>H40*E40</f>
        <v>0</v>
      </c>
      <c r="K40" s="220">
        <f>F40*(E40+J40)</f>
        <v>-11490.758829824881</v>
      </c>
      <c r="L40" s="221">
        <f>G40*(E40+J40+K40)</f>
        <v>-4596.3035319299515</v>
      </c>
      <c r="M40" s="16"/>
      <c r="N40" s="30">
        <f t="shared" si="18"/>
        <v>-16087.062361754834</v>
      </c>
      <c r="O40" s="222">
        <f>+E40+N40</f>
        <v>41366.731787369565</v>
      </c>
    </row>
    <row r="41" spans="1:15" ht="13" outlineLevel="1" x14ac:dyDescent="0.15">
      <c r="A41" s="25" t="s">
        <v>8</v>
      </c>
      <c r="B41" s="26" t="s">
        <v>181</v>
      </c>
      <c r="C41" s="208">
        <f>'producten &amp; tarieven'!$B$23</f>
        <v>15.326666666666668</v>
      </c>
      <c r="D41" s="281">
        <f>'Eenheden 2019'!B41</f>
        <v>6832.2431528210354</v>
      </c>
      <c r="E41" s="209">
        <f t="shared" si="0"/>
        <v>104715.51338890374</v>
      </c>
      <c r="F41" s="199">
        <f>(D16/(D16+D21)*F16)+(D21/(D16+D21)*F21)</f>
        <v>-0.32955979802782664</v>
      </c>
      <c r="G41" s="199">
        <f>(D16/(D16+D21)*G16)+(D21/(D16+D21)*G21)</f>
        <v>-2.3480067324057805E-2</v>
      </c>
      <c r="H41" s="471"/>
      <c r="J41" s="220">
        <f>H41*E41</f>
        <v>0</v>
      </c>
      <c r="K41" s="220">
        <f>F41*(E41+J41)</f>
        <v>-34510.023442827296</v>
      </c>
      <c r="L41" s="221">
        <f>G41*(E41+J41+K41)</f>
        <v>-1648.4296304523382</v>
      </c>
      <c r="M41" s="16"/>
      <c r="N41" s="30">
        <f t="shared" si="18"/>
        <v>-36158.453073279634</v>
      </c>
      <c r="O41" s="222">
        <f>+E41+N41</f>
        <v>68557.060315624112</v>
      </c>
    </row>
    <row r="42" spans="1:15" ht="13" outlineLevel="1" x14ac:dyDescent="0.15">
      <c r="A42" s="25" t="s">
        <v>9</v>
      </c>
      <c r="B42" s="26" t="s">
        <v>5</v>
      </c>
      <c r="C42" s="208">
        <f>'producten &amp; tarieven'!$B$23</f>
        <v>15.326666666666668</v>
      </c>
      <c r="D42" s="281">
        <f>'Eenheden 2019'!B42</f>
        <v>1915.0574813362014</v>
      </c>
      <c r="E42" s="209">
        <f t="shared" si="0"/>
        <v>29351.447663946183</v>
      </c>
      <c r="F42" s="199">
        <f>(D17/(D17+D22)*F17)+(D22/(D17+D22)*F22)</f>
        <v>-9.3713809021487016E-2</v>
      </c>
      <c r="G42" s="199">
        <f t="shared" si="19"/>
        <v>0</v>
      </c>
      <c r="H42" s="471"/>
      <c r="J42" s="220">
        <f>H42*E42</f>
        <v>0</v>
      </c>
      <c r="K42" s="220">
        <f>F42*(E47+J42)</f>
        <v>-533.96093365567538</v>
      </c>
      <c r="L42" s="221">
        <f>G42*(E47+J42+K42)</f>
        <v>0</v>
      </c>
      <c r="M42" s="16"/>
      <c r="N42" s="30">
        <f t="shared" si="18"/>
        <v>-533.96093365567538</v>
      </c>
      <c r="O42" s="222">
        <f>+E47+N42</f>
        <v>5163.8219142621492</v>
      </c>
    </row>
    <row r="43" spans="1:15" thickBot="1" x14ac:dyDescent="0.2">
      <c r="A43" s="25">
        <v>9</v>
      </c>
      <c r="B43" s="201" t="s">
        <v>124</v>
      </c>
      <c r="C43" s="211">
        <f>'producten &amp; tarieven'!B24</f>
        <v>24.846666666666668</v>
      </c>
      <c r="D43" s="280">
        <f>'Eenheden 2019'!B43</f>
        <v>1845.2225705329151</v>
      </c>
      <c r="E43" s="216">
        <f t="shared" si="0"/>
        <v>45847.630135841166</v>
      </c>
      <c r="F43" s="202"/>
      <c r="G43" s="202"/>
      <c r="H43" s="473"/>
      <c r="J43" s="212">
        <f>SUM(J44:J47)</f>
        <v>1292.0718515833084</v>
      </c>
      <c r="K43" s="212">
        <f>SUM(K44:K47)</f>
        <v>-15034.439542293036</v>
      </c>
      <c r="L43" s="212">
        <f>SUM(L44:L47)</f>
        <v>-1315.383785708191</v>
      </c>
      <c r="M43" s="16"/>
      <c r="N43" s="229">
        <f t="shared" si="18"/>
        <v>-15057.751476417918</v>
      </c>
      <c r="O43" s="224">
        <f>+E43+N43</f>
        <v>30789.878659423248</v>
      </c>
    </row>
    <row r="44" spans="1:15" outlineLevel="1" thickTop="1" x14ac:dyDescent="0.15">
      <c r="A44" s="25" t="s">
        <v>6</v>
      </c>
      <c r="B44" s="193" t="s">
        <v>2</v>
      </c>
      <c r="C44" s="208">
        <f>'producten &amp; tarieven'!$B$24</f>
        <v>24.846666666666668</v>
      </c>
      <c r="D44" s="282">
        <f>'Eenheden 2019'!B44</f>
        <v>348.98998227185325</v>
      </c>
      <c r="E44" s="213">
        <f t="shared" si="0"/>
        <v>8671.2377595146481</v>
      </c>
      <c r="F44" s="199">
        <f>(D14/(D14+D19)*F14)+(D19/(D14+D19)*F19)</f>
        <v>-0.55911959605565309</v>
      </c>
      <c r="G44" s="199">
        <f>(D14/(D14+D19)*G14)+(D19/(D14+D19)*G19)</f>
        <v>-2.3480067324057809E-2</v>
      </c>
      <c r="H44" s="474">
        <f>'T-effecten'!D44</f>
        <v>0.14900662251655628</v>
      </c>
      <c r="J44" s="220">
        <f>H44*E44</f>
        <v>1292.0718515833084</v>
      </c>
      <c r="K44" s="220">
        <f>F44*(E44+J44)</f>
        <v>-5570.6816451344957</v>
      </c>
      <c r="L44" s="221">
        <f>G44*(E44+J44+K44)</f>
        <v>-103.13920037036118</v>
      </c>
      <c r="M44" s="16"/>
      <c r="N44" s="30">
        <f t="shared" si="18"/>
        <v>-4381.7489939215484</v>
      </c>
      <c r="O44" s="230">
        <f>+E44+N44</f>
        <v>4289.4887655930997</v>
      </c>
    </row>
    <row r="45" spans="1:15" ht="13" outlineLevel="1" x14ac:dyDescent="0.15">
      <c r="A45" s="25" t="s">
        <v>7</v>
      </c>
      <c r="B45" s="26" t="s">
        <v>154</v>
      </c>
      <c r="C45" s="208">
        <f>'producten &amp; tarieven'!$B$24</f>
        <v>24.846666666666668</v>
      </c>
      <c r="D45" s="281">
        <f>'Eenheden 2019'!B45</f>
        <v>448.87658080849161</v>
      </c>
      <c r="E45" s="209">
        <f t="shared" si="0"/>
        <v>11153.086777821656</v>
      </c>
      <c r="F45" s="199">
        <f t="shared" ref="F45:F47" si="20">(D15/(D15+D20)*F15)+(D20/(D15+D20)*F20)</f>
        <v>-0.2</v>
      </c>
      <c r="G45" s="199">
        <f t="shared" ref="G45:G47" si="21">(D15/(D15+D20)*G15)+(D20/(D15+D20)*G20)</f>
        <v>-0.1</v>
      </c>
      <c r="H45" s="471"/>
      <c r="J45" s="220">
        <f t="shared" ref="J45:J47" si="22">H45*E45</f>
        <v>0</v>
      </c>
      <c r="K45" s="220">
        <f t="shared" ref="K45:K46" si="23">F45*(E45+J45)</f>
        <v>-2230.6173555643313</v>
      </c>
      <c r="L45" s="221">
        <f t="shared" ref="L45:L47" si="24">G45*(E45+J45+K45)</f>
        <v>-892.2469422257326</v>
      </c>
      <c r="M45" s="16"/>
      <c r="N45" s="30">
        <f t="shared" si="18"/>
        <v>-3122.864297790064</v>
      </c>
      <c r="O45" s="230">
        <f>+E45+N45</f>
        <v>8030.2224800315926</v>
      </c>
    </row>
    <row r="46" spans="1:15" ht="13" outlineLevel="1" x14ac:dyDescent="0.15">
      <c r="A46" s="25" t="s">
        <v>8</v>
      </c>
      <c r="B46" s="26" t="s">
        <v>181</v>
      </c>
      <c r="C46" s="208">
        <f>'producten &amp; tarieven'!$B$24</f>
        <v>24.846666666666668</v>
      </c>
      <c r="D46" s="281">
        <f>'Eenheden 2019'!B46</f>
        <v>818.12423885556893</v>
      </c>
      <c r="E46" s="209">
        <f t="shared" si="0"/>
        <v>20327.660254764702</v>
      </c>
      <c r="F46" s="199">
        <f>(D16/(D16+D21)*F16)+(D21/(D16+D21)*F21)</f>
        <v>-0.32955979802782664</v>
      </c>
      <c r="G46" s="199">
        <f t="shared" si="21"/>
        <v>-2.3480067324057805E-2</v>
      </c>
      <c r="H46" s="471"/>
      <c r="J46" s="220">
        <f t="shared" si="22"/>
        <v>0</v>
      </c>
      <c r="K46" s="220">
        <f t="shared" si="23"/>
        <v>-6699.179607938534</v>
      </c>
      <c r="L46" s="221">
        <f t="shared" si="24"/>
        <v>-319.99764311209725</v>
      </c>
      <c r="M46" s="16"/>
      <c r="N46" s="30">
        <f t="shared" si="18"/>
        <v>-7019.1772510506316</v>
      </c>
      <c r="O46" s="222">
        <f t="shared" ref="O46:O52" si="25">+E46+N46</f>
        <v>13308.483003714071</v>
      </c>
    </row>
    <row r="47" spans="1:15" ht="13" outlineLevel="1" x14ac:dyDescent="0.15">
      <c r="A47" s="25" t="s">
        <v>9</v>
      </c>
      <c r="B47" s="26" t="s">
        <v>5</v>
      </c>
      <c r="C47" s="208">
        <f>'producten &amp; tarieven'!$B$24</f>
        <v>24.846666666666668</v>
      </c>
      <c r="D47" s="281">
        <f>'Eenheden 2019'!B47</f>
        <v>229.31779640130765</v>
      </c>
      <c r="E47" s="209">
        <f t="shared" si="0"/>
        <v>5697.7828479178243</v>
      </c>
      <c r="F47" s="199">
        <f t="shared" si="20"/>
        <v>-9.3713809021487016E-2</v>
      </c>
      <c r="G47" s="199">
        <f t="shared" si="21"/>
        <v>0</v>
      </c>
      <c r="H47" s="471"/>
      <c r="J47" s="220">
        <f t="shared" si="22"/>
        <v>0</v>
      </c>
      <c r="K47" s="220">
        <f>F47*(E47+J47)</f>
        <v>-533.96093365567538</v>
      </c>
      <c r="L47" s="221">
        <f t="shared" si="24"/>
        <v>0</v>
      </c>
      <c r="M47" s="16"/>
      <c r="N47" s="30">
        <f t="shared" si="18"/>
        <v>-533.96093365567538</v>
      </c>
      <c r="O47" s="222">
        <f t="shared" si="25"/>
        <v>5163.8219142621492</v>
      </c>
    </row>
    <row r="48" spans="1:15" thickBot="1" x14ac:dyDescent="0.2">
      <c r="A48" s="25">
        <v>10</v>
      </c>
      <c r="B48" s="201" t="s">
        <v>160</v>
      </c>
      <c r="C48" s="211"/>
      <c r="D48" s="207"/>
      <c r="E48" s="216">
        <f t="shared" si="0"/>
        <v>0</v>
      </c>
      <c r="F48" s="202"/>
      <c r="G48" s="202"/>
      <c r="H48" s="473"/>
      <c r="J48" s="228">
        <f>SUM(J49:J52)</f>
        <v>0</v>
      </c>
      <c r="K48" s="228">
        <f t="shared" ref="K48:L48" si="26">SUM(K49:K52)</f>
        <v>0</v>
      </c>
      <c r="L48" s="228">
        <f t="shared" si="26"/>
        <v>0</v>
      </c>
      <c r="M48" s="16"/>
      <c r="N48" s="229">
        <f t="shared" si="18"/>
        <v>0</v>
      </c>
      <c r="O48" s="224">
        <f t="shared" si="25"/>
        <v>0</v>
      </c>
    </row>
    <row r="49" spans="1:45" outlineLevel="1" thickTop="1" x14ac:dyDescent="0.15">
      <c r="A49" s="25" t="s">
        <v>6</v>
      </c>
      <c r="B49" s="193" t="s">
        <v>2</v>
      </c>
      <c r="C49" s="214"/>
      <c r="D49" s="215"/>
      <c r="E49" s="213">
        <f t="shared" si="0"/>
        <v>0</v>
      </c>
      <c r="F49" s="142">
        <f>'T-effecten'!B49</f>
        <v>0</v>
      </c>
      <c r="G49" s="142">
        <f>'T-effecten'!C49</f>
        <v>0</v>
      </c>
      <c r="H49" s="475">
        <f>'T-effecten'!D49</f>
        <v>0.14900662251655628</v>
      </c>
      <c r="J49" s="220">
        <f>H49*E49</f>
        <v>0</v>
      </c>
      <c r="K49" s="220">
        <f t="shared" ref="K49:K52" si="27">F49*(E49+J49)</f>
        <v>0</v>
      </c>
      <c r="L49" s="221">
        <f t="shared" ref="L49:L52" si="28">G49*(E49+J49+K49)</f>
        <v>0</v>
      </c>
      <c r="M49" s="16"/>
      <c r="N49" s="30">
        <f t="shared" si="18"/>
        <v>0</v>
      </c>
      <c r="O49" s="230">
        <f t="shared" si="25"/>
        <v>0</v>
      </c>
    </row>
    <row r="50" spans="1:45" ht="13" outlineLevel="1" x14ac:dyDescent="0.15">
      <c r="A50" s="25" t="s">
        <v>7</v>
      </c>
      <c r="B50" s="26" t="s">
        <v>154</v>
      </c>
      <c r="C50" s="214"/>
      <c r="D50" s="215"/>
      <c r="E50" s="209">
        <f t="shared" si="0"/>
        <v>0</v>
      </c>
      <c r="F50" s="142">
        <f>'T-effecten'!B50</f>
        <v>0</v>
      </c>
      <c r="G50" s="142">
        <f>'T-effecten'!C50</f>
        <v>0</v>
      </c>
      <c r="H50" s="476"/>
      <c r="J50" s="220">
        <f t="shared" ref="J50:J51" si="29">H50*E50</f>
        <v>0</v>
      </c>
      <c r="K50" s="220">
        <f t="shared" si="27"/>
        <v>0</v>
      </c>
      <c r="L50" s="221">
        <f t="shared" si="28"/>
        <v>0</v>
      </c>
      <c r="M50" s="16"/>
      <c r="N50" s="30">
        <f t="shared" si="18"/>
        <v>0</v>
      </c>
      <c r="O50" s="222">
        <f t="shared" si="25"/>
        <v>0</v>
      </c>
    </row>
    <row r="51" spans="1:45" ht="13" outlineLevel="1" x14ac:dyDescent="0.15">
      <c r="A51" s="25" t="s">
        <v>8</v>
      </c>
      <c r="B51" s="26" t="s">
        <v>181</v>
      </c>
      <c r="C51" s="214"/>
      <c r="D51" s="215"/>
      <c r="E51" s="209">
        <f t="shared" si="0"/>
        <v>0</v>
      </c>
      <c r="F51" s="142">
        <f>'T-effecten'!B51</f>
        <v>0</v>
      </c>
      <c r="G51" s="142">
        <f>'T-effecten'!C51</f>
        <v>0</v>
      </c>
      <c r="H51" s="476"/>
      <c r="J51" s="220">
        <f t="shared" si="29"/>
        <v>0</v>
      </c>
      <c r="K51" s="220">
        <f t="shared" si="27"/>
        <v>0</v>
      </c>
      <c r="L51" s="221">
        <f t="shared" si="28"/>
        <v>0</v>
      </c>
      <c r="M51" s="16"/>
      <c r="N51" s="30">
        <f t="shared" si="18"/>
        <v>0</v>
      </c>
      <c r="O51" s="222">
        <f t="shared" si="25"/>
        <v>0</v>
      </c>
    </row>
    <row r="52" spans="1:45" outlineLevel="1" thickBot="1" x14ac:dyDescent="0.2">
      <c r="A52" s="25" t="s">
        <v>9</v>
      </c>
      <c r="B52" s="26" t="s">
        <v>5</v>
      </c>
      <c r="C52" s="214"/>
      <c r="D52" s="215"/>
      <c r="E52" s="209">
        <f t="shared" si="0"/>
        <v>0</v>
      </c>
      <c r="F52" s="142">
        <f>'T-effecten'!B52</f>
        <v>0</v>
      </c>
      <c r="G52" s="142">
        <f>'T-effecten'!C52</f>
        <v>0</v>
      </c>
      <c r="H52" s="476"/>
      <c r="J52" s="220">
        <f>H52*E52</f>
        <v>0</v>
      </c>
      <c r="K52" s="220">
        <f t="shared" si="27"/>
        <v>0</v>
      </c>
      <c r="L52" s="221">
        <f t="shared" si="28"/>
        <v>0</v>
      </c>
      <c r="M52" s="16"/>
      <c r="N52" s="30">
        <f t="shared" si="18"/>
        <v>0</v>
      </c>
      <c r="O52" s="222">
        <f t="shared" si="25"/>
        <v>0</v>
      </c>
    </row>
    <row r="53" spans="1:45" s="232" customFormat="1" ht="16" thickTop="1" thickBot="1" x14ac:dyDescent="0.2">
      <c r="A53" s="15"/>
      <c r="B53" s="291" t="s">
        <v>164</v>
      </c>
      <c r="C53" s="276"/>
      <c r="D53" s="292"/>
      <c r="E53" s="292">
        <f>E3+E8+E13+E18+E23+E28+E33+E38+E43+E48</f>
        <v>2491240.9581495603</v>
      </c>
      <c r="F53" s="293"/>
      <c r="G53" s="293"/>
      <c r="H53" s="293"/>
      <c r="I53" s="275"/>
      <c r="J53" s="294">
        <f>J3+J8+J13+J18+J23+J28+J33+J38+J43+J48</f>
        <v>85550.845396345627</v>
      </c>
      <c r="K53" s="295">
        <f>K3+K8+K13+K18+K23+K28+K33+K38+K43+K48</f>
        <v>-656019.10171355703</v>
      </c>
      <c r="L53" s="294">
        <f>L3+L8+L13+L18+L23+L28+L33+L38+L43+L48</f>
        <v>-102936.3539807199</v>
      </c>
      <c r="M53" s="296"/>
      <c r="N53" s="294">
        <f>N3+N8+N13+N18+N23+N28+N33+N38+N43+N48</f>
        <v>-673404.61029793113</v>
      </c>
      <c r="O53" s="297">
        <f>O3+O8+O13+O18+O23+O28+O33+O38+O43+O48</f>
        <v>1817836.3478516287</v>
      </c>
      <c r="P53" s="231"/>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row>
    <row r="54" spans="1:45" s="4" customFormat="1" ht="14.5" customHeight="1" thickTop="1" x14ac:dyDescent="0.2">
      <c r="A54" s="15"/>
      <c r="B54" s="16"/>
      <c r="C54" s="203" t="s">
        <v>155</v>
      </c>
      <c r="D54" s="203"/>
      <c r="E54" s="298">
        <v>2362614.1499999994</v>
      </c>
      <c r="F54" s="16"/>
      <c r="H54" s="35"/>
      <c r="I54" s="35"/>
      <c r="J54" s="189"/>
      <c r="K54" s="189"/>
      <c r="L54" s="190"/>
      <c r="M54" s="19"/>
      <c r="N54" s="191"/>
      <c r="O54" s="192"/>
      <c r="R54" s="5"/>
    </row>
    <row r="55" spans="1:45" s="4" customFormat="1" ht="15" customHeight="1" outlineLevel="1" x14ac:dyDescent="0.15">
      <c r="A55" s="16"/>
      <c r="B55" s="16"/>
      <c r="C55" s="203" t="s">
        <v>156</v>
      </c>
      <c r="D55" s="203"/>
      <c r="E55" s="301">
        <f>(E53-E54)/E54</f>
        <v>5.4442579271592378E-2</v>
      </c>
      <c r="F55" s="16"/>
      <c r="G55" s="16"/>
      <c r="H55" s="16"/>
      <c r="I55" s="16"/>
      <c r="J55" s="16"/>
      <c r="K55" s="16"/>
      <c r="L55" s="16"/>
      <c r="M55" s="19"/>
      <c r="N55" s="16"/>
      <c r="O55" s="16"/>
    </row>
    <row r="56" spans="1:45" s="4" customFormat="1" ht="14.5" customHeight="1" outlineLevel="1" x14ac:dyDescent="0.15">
      <c r="A56" s="16"/>
      <c r="B56" s="16"/>
      <c r="C56" s="299"/>
      <c r="D56" s="299"/>
      <c r="E56" s="300"/>
      <c r="F56" s="16"/>
      <c r="G56" s="16"/>
      <c r="H56" s="16"/>
      <c r="I56" s="16"/>
      <c r="J56" s="16"/>
      <c r="K56" s="16"/>
      <c r="L56" s="16"/>
      <c r="M56" s="19"/>
      <c r="N56" s="16"/>
      <c r="O56" s="16"/>
    </row>
    <row r="57" spans="1:45" s="4" customFormat="1" ht="24.75" customHeight="1" outlineLevel="1" x14ac:dyDescent="0.25">
      <c r="A57" s="16"/>
      <c r="B57" s="37" t="s">
        <v>25</v>
      </c>
      <c r="C57" s="16"/>
      <c r="D57" s="16"/>
      <c r="E57" s="38"/>
      <c r="F57" s="16"/>
      <c r="G57" s="16"/>
      <c r="H57" s="16"/>
      <c r="I57" s="16"/>
      <c r="J57" s="16"/>
      <c r="K57" s="60"/>
      <c r="L57" s="38"/>
      <c r="M57" s="19"/>
      <c r="N57" s="60"/>
      <c r="O57" s="16"/>
    </row>
    <row r="58" spans="1:45" s="1" customFormat="1" ht="16" thickBot="1" x14ac:dyDescent="0.2">
      <c r="A58" s="22"/>
      <c r="B58" s="526" t="s">
        <v>21</v>
      </c>
      <c r="C58" s="526"/>
      <c r="D58" s="526"/>
      <c r="E58" s="23" t="s">
        <v>98</v>
      </c>
      <c r="F58" s="523" t="s">
        <v>14</v>
      </c>
      <c r="G58" s="524"/>
      <c r="H58" s="525"/>
      <c r="I58" s="39"/>
      <c r="J58" s="16"/>
      <c r="K58" s="38"/>
      <c r="L58" s="38"/>
      <c r="M58" s="19"/>
      <c r="N58" s="40" t="s">
        <v>22</v>
      </c>
      <c r="O58" s="16"/>
      <c r="P58" s="4"/>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row>
    <row r="59" spans="1:45" ht="15" outlineLevel="1" thickTop="1" x14ac:dyDescent="0.15">
      <c r="A59" s="25" t="s">
        <v>6</v>
      </c>
      <c r="B59" s="527" t="s">
        <v>2</v>
      </c>
      <c r="C59" s="527"/>
      <c r="D59" s="527"/>
      <c r="E59" s="41">
        <f>+E80</f>
        <v>574141.22910436394</v>
      </c>
      <c r="F59" s="521">
        <f>Investeringen!D2</f>
        <v>0.09</v>
      </c>
      <c r="G59" s="521"/>
      <c r="H59" s="521"/>
      <c r="J59" s="16"/>
      <c r="K59" s="38"/>
      <c r="L59" s="38"/>
      <c r="N59" s="30">
        <f>+F59*E59</f>
        <v>51672.710619392754</v>
      </c>
      <c r="O59" s="16"/>
      <c r="P59" s="4"/>
    </row>
    <row r="60" spans="1:45" outlineLevel="1" x14ac:dyDescent="0.15">
      <c r="A60" s="25" t="s">
        <v>7</v>
      </c>
      <c r="B60" s="528" t="s">
        <v>3</v>
      </c>
      <c r="C60" s="528"/>
      <c r="D60" s="528"/>
      <c r="E60" s="12">
        <f>+E95</f>
        <v>917312.45071212493</v>
      </c>
      <c r="F60" s="521">
        <f>Investeringen!D3</f>
        <v>0.05</v>
      </c>
      <c r="G60" s="521"/>
      <c r="H60" s="521"/>
      <c r="J60" s="16"/>
      <c r="K60" s="16"/>
      <c r="L60" s="38"/>
      <c r="N60" s="30">
        <f>+F60*E60</f>
        <v>45865.62253560625</v>
      </c>
      <c r="O60" s="16"/>
      <c r="P60" s="4"/>
    </row>
    <row r="61" spans="1:45" outlineLevel="1" x14ac:dyDescent="0.15">
      <c r="A61" s="25" t="s">
        <v>8</v>
      </c>
      <c r="B61" s="528" t="s">
        <v>181</v>
      </c>
      <c r="C61" s="528"/>
      <c r="D61" s="528"/>
      <c r="E61" s="12">
        <f>E110</f>
        <v>777006.94807165884</v>
      </c>
      <c r="F61" s="521">
        <f>Investeringen!D4</f>
        <v>0.05</v>
      </c>
      <c r="G61" s="521"/>
      <c r="H61" s="521"/>
      <c r="J61" s="16"/>
      <c r="K61" s="16"/>
      <c r="L61" s="38"/>
      <c r="N61" s="30">
        <f>+F61*E61</f>
        <v>38850.347403582942</v>
      </c>
      <c r="O61" s="16"/>
      <c r="P61" s="4"/>
    </row>
    <row r="62" spans="1:45" outlineLevel="1" x14ac:dyDescent="0.15">
      <c r="A62" s="25" t="s">
        <v>9</v>
      </c>
      <c r="B62" s="528" t="s">
        <v>5</v>
      </c>
      <c r="C62" s="528"/>
      <c r="D62" s="528"/>
      <c r="E62" s="12">
        <f>E125</f>
        <v>222820.65113012347</v>
      </c>
      <c r="F62" s="521">
        <f>Investeringen!D5</f>
        <v>0.02</v>
      </c>
      <c r="G62" s="521"/>
      <c r="H62" s="521"/>
      <c r="J62" s="16"/>
      <c r="K62" s="16"/>
      <c r="L62" s="16"/>
      <c r="N62" s="30">
        <f>+F62*E62</f>
        <v>4456.4130226024699</v>
      </c>
      <c r="O62" s="16"/>
      <c r="P62" s="4"/>
    </row>
    <row r="63" spans="1:45" outlineLevel="1" x14ac:dyDescent="0.15">
      <c r="A63" s="25"/>
      <c r="B63" s="520" t="s">
        <v>13</v>
      </c>
      <c r="C63" s="520"/>
      <c r="D63" s="520"/>
      <c r="E63" s="13">
        <f>SUM(E59:E62)</f>
        <v>2491281.2790182712</v>
      </c>
      <c r="F63" s="521">
        <f>Investeringen!D6</f>
        <v>0.05</v>
      </c>
      <c r="G63" s="521"/>
      <c r="H63" s="521"/>
      <c r="I63" s="274"/>
      <c r="J63" s="42"/>
      <c r="K63" s="42"/>
      <c r="L63" s="42"/>
      <c r="N63" s="43">
        <f>+F63*E63</f>
        <v>124564.06395091357</v>
      </c>
      <c r="O63" s="38"/>
      <c r="P63" s="4"/>
    </row>
    <row r="64" spans="1:45" s="4" customFormat="1" ht="22" thickBot="1" x14ac:dyDescent="0.3">
      <c r="A64" s="15"/>
      <c r="B64" s="44" t="s">
        <v>161</v>
      </c>
      <c r="C64" s="46"/>
      <c r="D64" s="46"/>
      <c r="E64" s="36"/>
      <c r="F64" s="45"/>
      <c r="G64" s="45"/>
      <c r="H64" s="45"/>
      <c r="I64" s="272"/>
      <c r="J64" s="273"/>
      <c r="K64" s="273"/>
      <c r="L64" s="273"/>
      <c r="M64" s="19"/>
      <c r="N64" s="11">
        <f>SUM(N59:N63)</f>
        <v>265409.157532098</v>
      </c>
      <c r="O64" s="16"/>
    </row>
    <row r="65" spans="1:45" s="4" customFormat="1" ht="22" thickTop="1" x14ac:dyDescent="0.25">
      <c r="A65" s="15"/>
      <c r="B65" s="303"/>
      <c r="C65" s="42"/>
      <c r="D65" s="42"/>
      <c r="E65" s="192"/>
      <c r="F65" s="304"/>
      <c r="G65" s="304"/>
      <c r="H65" s="304"/>
      <c r="I65" s="42"/>
      <c r="J65" s="47"/>
      <c r="K65" s="47"/>
      <c r="L65" s="47"/>
      <c r="M65" s="19"/>
      <c r="N65" s="191"/>
      <c r="O65" s="16"/>
    </row>
    <row r="66" spans="1:45" s="6" customFormat="1" x14ac:dyDescent="0.15">
      <c r="A66" s="49"/>
      <c r="B66" s="50"/>
      <c r="C66" s="50"/>
      <c r="D66" s="50"/>
      <c r="E66" s="51"/>
      <c r="F66" s="50"/>
      <c r="G66" s="50"/>
      <c r="H66" s="50"/>
      <c r="I66" s="50"/>
      <c r="J66" s="50"/>
      <c r="K66" s="50"/>
      <c r="L66" s="50"/>
      <c r="M66" s="19"/>
      <c r="N66" s="52"/>
      <c r="O66" s="16"/>
      <c r="P66" s="4"/>
    </row>
    <row r="67" spans="1:45" s="6" customFormat="1" x14ac:dyDescent="0.15">
      <c r="A67" s="49"/>
      <c r="B67" s="50"/>
      <c r="C67" s="50"/>
      <c r="D67" s="50"/>
      <c r="E67" s="51"/>
      <c r="F67" s="50"/>
      <c r="G67" s="50"/>
      <c r="H67" s="50"/>
      <c r="I67" s="50"/>
      <c r="J67" s="50"/>
      <c r="K67" s="50"/>
      <c r="L67" s="50"/>
      <c r="M67" s="19"/>
      <c r="N67" s="52"/>
      <c r="O67" s="16"/>
      <c r="P67" s="4"/>
    </row>
    <row r="68" spans="1:45" s="4" customFormat="1" ht="16" x14ac:dyDescent="0.2">
      <c r="A68" s="15" t="s">
        <v>6</v>
      </c>
      <c r="B68" s="53" t="str">
        <f>+B4</f>
        <v>Ouderen met somatische of psychogeriatrische problematiek (SOM 65+/PG 65+)</v>
      </c>
      <c r="C68" s="16"/>
      <c r="D68" s="16"/>
      <c r="E68" s="17"/>
      <c r="F68" s="16"/>
      <c r="G68" s="16"/>
      <c r="H68" s="16"/>
      <c r="I68" s="16"/>
      <c r="J68" s="54"/>
      <c r="K68" s="54"/>
      <c r="L68" s="54"/>
      <c r="M68" s="19"/>
      <c r="N68" s="54"/>
      <c r="O68" s="16"/>
    </row>
    <row r="69" spans="1:45" s="1" customFormat="1" ht="62.25" customHeight="1" thickBot="1" x14ac:dyDescent="0.2">
      <c r="A69" s="22"/>
      <c r="B69" s="217" t="s">
        <v>0</v>
      </c>
      <c r="C69" s="217" t="s">
        <v>26</v>
      </c>
      <c r="D69" s="217" t="s">
        <v>20</v>
      </c>
      <c r="E69" s="217" t="s">
        <v>216</v>
      </c>
      <c r="F69" s="217" t="s">
        <v>11</v>
      </c>
      <c r="G69" s="248" t="s">
        <v>12</v>
      </c>
      <c r="H69" s="217" t="s">
        <v>19</v>
      </c>
      <c r="I69" s="253"/>
      <c r="J69" s="249" t="s">
        <v>18</v>
      </c>
      <c r="K69" s="249" t="s">
        <v>24</v>
      </c>
      <c r="L69" s="219" t="s">
        <v>15</v>
      </c>
      <c r="M69" s="16"/>
      <c r="N69" s="217" t="s">
        <v>16</v>
      </c>
      <c r="O69" s="217" t="s">
        <v>17</v>
      </c>
      <c r="P69" s="5"/>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row>
    <row r="70" spans="1:45" s="4" customFormat="1" thickTop="1" x14ac:dyDescent="0.15">
      <c r="A70" s="15"/>
      <c r="B70" s="243" t="str">
        <f>+B3</f>
        <v>Individuele begeleiding basis</v>
      </c>
      <c r="C70" s="244">
        <f>C3</f>
        <v>54.161260653728334</v>
      </c>
      <c r="D70" s="245">
        <f>D4</f>
        <v>3146.0052694376295</v>
      </c>
      <c r="E70" s="246">
        <f>C70*D70</f>
        <v>170391.61141601429</v>
      </c>
      <c r="F70" s="247">
        <f>+F4</f>
        <v>-0.5</v>
      </c>
      <c r="G70" s="247">
        <f>+G4</f>
        <v>0</v>
      </c>
      <c r="H70" s="264">
        <f>+H4</f>
        <v>0.14900662251655628</v>
      </c>
      <c r="I70" s="254"/>
      <c r="J70" s="256">
        <f>+J4</f>
        <v>25389.478522253783</v>
      </c>
      <c r="K70" s="257">
        <f>+K4</f>
        <v>-97890.544969134033</v>
      </c>
      <c r="L70" s="257">
        <f>+L4</f>
        <v>0</v>
      </c>
      <c r="M70" s="16"/>
      <c r="N70" s="30">
        <f>SUM(J70:L70)</f>
        <v>-72501.066446880257</v>
      </c>
      <c r="O70" s="242">
        <f>N70+E70</f>
        <v>97890.544969134033</v>
      </c>
      <c r="P70" s="5"/>
    </row>
    <row r="71" spans="1:45" s="4" customFormat="1" ht="13" x14ac:dyDescent="0.15">
      <c r="A71" s="15"/>
      <c r="B71" s="233" t="str">
        <f>+B8</f>
        <v>Individuele begeleiding plus</v>
      </c>
      <c r="C71" s="234">
        <f>C8</f>
        <v>67.462938501976552</v>
      </c>
      <c r="D71" s="236">
        <f>D9</f>
        <v>3096.5419930736944</v>
      </c>
      <c r="E71" s="237">
        <f t="shared" ref="E71:E79" si="30">C71*D71</f>
        <v>208901.82204751854</v>
      </c>
      <c r="F71" s="28">
        <f>+F9</f>
        <v>-0.2</v>
      </c>
      <c r="G71" s="28">
        <f>+G9</f>
        <v>-0.1</v>
      </c>
      <c r="H71" s="251">
        <f>+H9</f>
        <v>0.14900662251655628</v>
      </c>
      <c r="I71" s="254"/>
      <c r="J71" s="256">
        <f>+J9</f>
        <v>31127.754940855408</v>
      </c>
      <c r="K71" s="257">
        <f>+K9</f>
        <v>-48005.915397674791</v>
      </c>
      <c r="L71" s="257">
        <f>+L9</f>
        <v>-19202.366159069916</v>
      </c>
      <c r="M71" s="16"/>
      <c r="N71" s="30">
        <f t="shared" ref="N71:N79" si="31">SUM(J71:L71)</f>
        <v>-36080.526615889299</v>
      </c>
      <c r="O71" s="242">
        <f t="shared" ref="O71:O78" si="32">N71+E71</f>
        <v>172821.29543162923</v>
      </c>
      <c r="P71" s="5"/>
    </row>
    <row r="72" spans="1:45" s="4" customFormat="1" ht="13" x14ac:dyDescent="0.15">
      <c r="A72" s="15"/>
      <c r="B72" s="233" t="str">
        <f>+B13</f>
        <v>Dagbesteding basis</v>
      </c>
      <c r="C72" s="234">
        <f>C13</f>
        <v>36.10395767297338</v>
      </c>
      <c r="D72" s="236">
        <f>D14</f>
        <v>2487.5437296231685</v>
      </c>
      <c r="E72" s="237">
        <f t="shared" si="30"/>
        <v>89810.173523985213</v>
      </c>
      <c r="F72" s="28">
        <f>+F14</f>
        <v>-0.7</v>
      </c>
      <c r="G72" s="28">
        <f>+G14</f>
        <v>0</v>
      </c>
      <c r="H72" s="251">
        <f>+H14</f>
        <v>0.14900662251655628</v>
      </c>
      <c r="I72" s="254"/>
      <c r="J72" s="256">
        <f>+J14</f>
        <v>13382.310624434882</v>
      </c>
      <c r="K72" s="257">
        <f>+K14</f>
        <v>-72234.73890389406</v>
      </c>
      <c r="L72" s="257">
        <f>+L14</f>
        <v>0</v>
      </c>
      <c r="M72" s="16"/>
      <c r="N72" s="30">
        <f t="shared" si="31"/>
        <v>-58852.428279459178</v>
      </c>
      <c r="O72" s="242">
        <f t="shared" si="32"/>
        <v>30957.745244526035</v>
      </c>
      <c r="P72" s="5"/>
    </row>
    <row r="73" spans="1:45" s="4" customFormat="1" ht="13" x14ac:dyDescent="0.15">
      <c r="A73" s="15"/>
      <c r="B73" s="233" t="str">
        <f>+B18</f>
        <v>Dagbesteding plus</v>
      </c>
      <c r="C73" s="234">
        <f>C18</f>
        <v>48.858878642934805</v>
      </c>
      <c r="D73" s="236">
        <f>D19</f>
        <v>763.30038723953533</v>
      </c>
      <c r="E73" s="237">
        <f t="shared" si="30"/>
        <v>37294.000988241598</v>
      </c>
      <c r="F73" s="28">
        <f>F19</f>
        <v>-0.1</v>
      </c>
      <c r="G73" s="28">
        <f>G19</f>
        <v>-0.1</v>
      </c>
      <c r="H73" s="251">
        <f>H19</f>
        <v>0.14900662251655628</v>
      </c>
      <c r="I73" s="254"/>
      <c r="J73" s="256">
        <f>J19</f>
        <v>5557.0531273869929</v>
      </c>
      <c r="K73" s="257">
        <f>K19</f>
        <v>-4285.1054115628594</v>
      </c>
      <c r="L73" s="257">
        <f>L19</f>
        <v>-3856.5948704065736</v>
      </c>
      <c r="M73" s="16"/>
      <c r="N73" s="30">
        <f t="shared" si="31"/>
        <v>-2584.6471545824402</v>
      </c>
      <c r="O73" s="242">
        <f t="shared" si="32"/>
        <v>34709.353833659159</v>
      </c>
      <c r="P73" s="5"/>
    </row>
    <row r="74" spans="1:45" s="4" customFormat="1" ht="13" x14ac:dyDescent="0.15">
      <c r="A74" s="15"/>
      <c r="B74" s="233" t="str">
        <f>+B23</f>
        <v>Persoonlijke verzorging</v>
      </c>
      <c r="C74" s="234">
        <f>C23</f>
        <v>44.180909502664626</v>
      </c>
      <c r="D74" s="236">
        <f>D24</f>
        <v>16.630487857503564</v>
      </c>
      <c r="E74" s="237">
        <f t="shared" si="30"/>
        <v>734.75007901752792</v>
      </c>
      <c r="F74" s="28">
        <f>+F24</f>
        <v>0</v>
      </c>
      <c r="G74" s="28">
        <f>+G24</f>
        <v>0</v>
      </c>
      <c r="H74" s="251">
        <f>+H24</f>
        <v>0.14900662251655628</v>
      </c>
      <c r="I74" s="254"/>
      <c r="J74" s="256">
        <f>+J24</f>
        <v>109.48262766817467</v>
      </c>
      <c r="K74" s="257">
        <f>+K24</f>
        <v>0</v>
      </c>
      <c r="L74" s="257">
        <f>+L24</f>
        <v>0</v>
      </c>
      <c r="M74" s="16"/>
      <c r="N74" s="30">
        <f t="shared" si="31"/>
        <v>109.48262766817467</v>
      </c>
      <c r="O74" s="242">
        <f t="shared" si="32"/>
        <v>844.23270668570262</v>
      </c>
      <c r="P74" s="5"/>
    </row>
    <row r="75" spans="1:45" s="4" customFormat="1" ht="13" x14ac:dyDescent="0.15">
      <c r="A75" s="15"/>
      <c r="B75" s="233" t="s">
        <v>157</v>
      </c>
      <c r="C75" s="234">
        <f>C28</f>
        <v>53.92</v>
      </c>
      <c r="D75" s="236">
        <f>D29</f>
        <v>31.526014853322646</v>
      </c>
      <c r="E75" s="237">
        <f t="shared" si="30"/>
        <v>1699.8827208911571</v>
      </c>
      <c r="F75" s="28">
        <f>F29</f>
        <v>0</v>
      </c>
      <c r="G75" s="28">
        <f>G29</f>
        <v>0</v>
      </c>
      <c r="H75" s="251">
        <f>H29</f>
        <v>0.14900662251655628</v>
      </c>
      <c r="I75" s="254"/>
      <c r="J75" s="256">
        <f>J29</f>
        <v>253.29378291424524</v>
      </c>
      <c r="K75" s="257">
        <f>K29</f>
        <v>0</v>
      </c>
      <c r="L75" s="257">
        <f>L29</f>
        <v>0</v>
      </c>
      <c r="M75" s="16"/>
      <c r="N75" s="30">
        <f t="shared" si="31"/>
        <v>253.29378291424524</v>
      </c>
      <c r="O75" s="242">
        <f t="shared" si="32"/>
        <v>1953.1765038054023</v>
      </c>
      <c r="P75" s="5"/>
    </row>
    <row r="76" spans="1:45" s="4" customFormat="1" ht="13" x14ac:dyDescent="0.15">
      <c r="A76" s="15"/>
      <c r="B76" s="233" t="s">
        <v>158</v>
      </c>
      <c r="C76" s="234">
        <f>C33</f>
        <v>220.37878605783692</v>
      </c>
      <c r="D76" s="236">
        <f>D34</f>
        <v>54.310604761860176</v>
      </c>
      <c r="E76" s="237">
        <f t="shared" si="30"/>
        <v>11968.905147485722</v>
      </c>
      <c r="F76" s="28">
        <f>F34</f>
        <v>0</v>
      </c>
      <c r="G76" s="28">
        <f>G34</f>
        <v>0</v>
      </c>
      <c r="H76" s="251">
        <f>H34</f>
        <v>0.14900662251655628</v>
      </c>
      <c r="I76" s="254"/>
      <c r="J76" s="256">
        <f>J34</f>
        <v>1783.4461312478722</v>
      </c>
      <c r="K76" s="257">
        <f>K34</f>
        <v>0</v>
      </c>
      <c r="L76" s="257">
        <f>L34</f>
        <v>0</v>
      </c>
      <c r="M76" s="16"/>
      <c r="N76" s="30">
        <f t="shared" si="31"/>
        <v>1783.4461312478722</v>
      </c>
      <c r="O76" s="242">
        <f t="shared" si="32"/>
        <v>13752.351278733595</v>
      </c>
      <c r="P76" s="5"/>
    </row>
    <row r="77" spans="1:45" ht="13" x14ac:dyDescent="0.15">
      <c r="B77" s="225" t="s">
        <v>125</v>
      </c>
      <c r="C77" s="235">
        <f>C38</f>
        <v>15.326666666666668</v>
      </c>
      <c r="D77" s="236">
        <f>D39</f>
        <v>2914.452724338536</v>
      </c>
      <c r="E77" s="237">
        <f t="shared" si="30"/>
        <v>44668.845421695296</v>
      </c>
      <c r="F77" s="239">
        <f>F39</f>
        <v>-0.55911959605565309</v>
      </c>
      <c r="G77" s="239">
        <f>G39</f>
        <v>-2.3480067324057809E-2</v>
      </c>
      <c r="H77" s="252">
        <f>H39</f>
        <v>0.14900662251655628</v>
      </c>
      <c r="I77" s="255"/>
      <c r="J77" s="258">
        <f>J39</f>
        <v>6655.9537880009539</v>
      </c>
      <c r="K77" s="259">
        <f>K39</f>
        <v>-28696.701001762871</v>
      </c>
      <c r="L77" s="259">
        <f>L39</f>
        <v>-531.3092693376675</v>
      </c>
      <c r="M77" s="16"/>
      <c r="N77" s="30">
        <f t="shared" si="31"/>
        <v>-22572.056483099586</v>
      </c>
      <c r="O77" s="242">
        <f t="shared" si="32"/>
        <v>22096.78893859571</v>
      </c>
    </row>
    <row r="78" spans="1:45" ht="13" x14ac:dyDescent="0.15">
      <c r="B78" s="225" t="s">
        <v>124</v>
      </c>
      <c r="C78" s="235">
        <f>C43</f>
        <v>24.846666666666668</v>
      </c>
      <c r="D78" s="236">
        <f>D44</f>
        <v>348.98998227185325</v>
      </c>
      <c r="E78" s="237">
        <f t="shared" si="30"/>
        <v>8671.2377595146481</v>
      </c>
      <c r="F78" s="239">
        <f>F44</f>
        <v>-0.55911959605565309</v>
      </c>
      <c r="G78" s="239">
        <f>G44</f>
        <v>-2.3480067324057809E-2</v>
      </c>
      <c r="H78" s="252">
        <f>H44</f>
        <v>0.14900662251655628</v>
      </c>
      <c r="I78" s="255"/>
      <c r="J78" s="258">
        <f>J44</f>
        <v>1292.0718515833084</v>
      </c>
      <c r="K78" s="259">
        <f>K44</f>
        <v>-5570.6816451344957</v>
      </c>
      <c r="L78" s="259">
        <f>L44</f>
        <v>-103.13920037036118</v>
      </c>
      <c r="M78" s="16"/>
      <c r="N78" s="30">
        <f t="shared" si="31"/>
        <v>-4381.7489939215484</v>
      </c>
      <c r="O78" s="242">
        <f t="shared" si="32"/>
        <v>4289.4887655930997</v>
      </c>
    </row>
    <row r="79" spans="1:45" ht="13" x14ac:dyDescent="0.15">
      <c r="B79" s="225" t="s">
        <v>160</v>
      </c>
      <c r="C79" s="235">
        <f>C48</f>
        <v>0</v>
      </c>
      <c r="D79" s="236">
        <f>D49</f>
        <v>0</v>
      </c>
      <c r="E79" s="237">
        <f t="shared" si="30"/>
        <v>0</v>
      </c>
      <c r="F79" s="239">
        <f>F49</f>
        <v>0</v>
      </c>
      <c r="G79" s="239">
        <f>G49</f>
        <v>0</v>
      </c>
      <c r="H79" s="252">
        <f>H49</f>
        <v>0.14900662251655628</v>
      </c>
      <c r="I79" s="255"/>
      <c r="J79" s="258">
        <f>J49</f>
        <v>0</v>
      </c>
      <c r="K79" s="259">
        <f>K49</f>
        <v>0</v>
      </c>
      <c r="L79" s="259">
        <f>L49</f>
        <v>0</v>
      </c>
      <c r="M79" s="16"/>
      <c r="N79" s="30">
        <f t="shared" si="31"/>
        <v>0</v>
      </c>
      <c r="O79" s="242">
        <f>N79+E79</f>
        <v>0</v>
      </c>
    </row>
    <row r="80" spans="1:45" s="3" customFormat="1" thickBot="1" x14ac:dyDescent="0.2">
      <c r="A80" s="15"/>
      <c r="B80" s="250"/>
      <c r="C80" s="240"/>
      <c r="D80" s="238"/>
      <c r="E80" s="241">
        <f>SUM(E70:E79)</f>
        <v>574141.22910436394</v>
      </c>
      <c r="F80" s="20"/>
      <c r="G80" s="20"/>
      <c r="H80" s="271"/>
      <c r="I80" s="20"/>
      <c r="J80" s="223">
        <f>SUM(J70:J79)</f>
        <v>85550.845396345627</v>
      </c>
      <c r="K80" s="223">
        <f>SUM(K70:K79)</f>
        <v>-256683.68732916311</v>
      </c>
      <c r="L80" s="223">
        <f>SUM(L70:L79)</f>
        <v>-23693.40949918452</v>
      </c>
      <c r="M80" s="20"/>
      <c r="N80" s="33">
        <f>SUM(J80:L80)</f>
        <v>-194826.251432002</v>
      </c>
      <c r="O80" s="224">
        <f>SUM(O70:O79)</f>
        <v>379314.97767236194</v>
      </c>
      <c r="P80" s="231"/>
    </row>
    <row r="81" spans="1:45" s="4" customFormat="1" ht="15" thickTop="1" x14ac:dyDescent="0.15">
      <c r="A81" s="15"/>
      <c r="B81" s="16"/>
      <c r="C81" s="16"/>
      <c r="D81" s="16"/>
      <c r="E81" s="17"/>
      <c r="F81" s="16"/>
      <c r="G81" s="16"/>
      <c r="H81" s="16"/>
      <c r="I81" s="16"/>
      <c r="J81" s="54"/>
      <c r="K81" s="54"/>
      <c r="L81" s="54"/>
      <c r="M81" s="19"/>
      <c r="N81" s="54"/>
      <c r="O81" s="21"/>
      <c r="P81" s="5"/>
    </row>
    <row r="82" spans="1:45" s="4" customFormat="1" x14ac:dyDescent="0.15">
      <c r="A82" s="15"/>
      <c r="B82" s="16"/>
      <c r="C82" s="16"/>
      <c r="D82" s="16"/>
      <c r="E82" s="17"/>
      <c r="F82" s="16"/>
      <c r="G82" s="16"/>
      <c r="H82" s="16"/>
      <c r="I82" s="16"/>
      <c r="J82" s="54"/>
      <c r="K82" s="54"/>
      <c r="L82" s="54"/>
      <c r="M82" s="19"/>
      <c r="N82" s="54"/>
      <c r="O82" s="21"/>
      <c r="P82" s="5"/>
    </row>
    <row r="83" spans="1:45" s="4" customFormat="1" ht="16" x14ac:dyDescent="0.2">
      <c r="A83" s="15" t="s">
        <v>7</v>
      </c>
      <c r="B83" s="53" t="str">
        <f>+B5</f>
        <v xml:space="preserve">Volwassenen met psychische problematiek (GGZ); </v>
      </c>
      <c r="C83" s="16"/>
      <c r="D83" s="16"/>
      <c r="E83" s="17"/>
      <c r="F83" s="16"/>
      <c r="G83" s="16"/>
      <c r="H83" s="16"/>
      <c r="I83" s="16"/>
      <c r="J83" s="54"/>
      <c r="K83" s="54"/>
      <c r="L83" s="54"/>
      <c r="M83" s="19"/>
      <c r="N83" s="54"/>
      <c r="O83" s="21"/>
      <c r="P83" s="5"/>
    </row>
    <row r="84" spans="1:45" s="1" customFormat="1" ht="62.25" customHeight="1" thickBot="1" x14ac:dyDescent="0.2">
      <c r="A84" s="22"/>
      <c r="B84" s="217" t="s">
        <v>0</v>
      </c>
      <c r="C84" s="217" t="s">
        <v>26</v>
      </c>
      <c r="D84" s="217" t="s">
        <v>20</v>
      </c>
      <c r="E84" s="217" t="s">
        <v>216</v>
      </c>
      <c r="F84" s="217" t="s">
        <v>11</v>
      </c>
      <c r="G84" s="248" t="s">
        <v>12</v>
      </c>
      <c r="H84" s="217" t="s">
        <v>19</v>
      </c>
      <c r="I84" s="253"/>
      <c r="J84" s="249" t="s">
        <v>18</v>
      </c>
      <c r="K84" s="249" t="s">
        <v>24</v>
      </c>
      <c r="L84" s="219" t="s">
        <v>15</v>
      </c>
      <c r="M84" s="16"/>
      <c r="N84" s="217" t="s">
        <v>16</v>
      </c>
      <c r="O84" s="217" t="s">
        <v>17</v>
      </c>
      <c r="P84" s="5"/>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row>
    <row r="85" spans="1:45" s="4" customFormat="1" thickTop="1" x14ac:dyDescent="0.15">
      <c r="A85" s="15"/>
      <c r="B85" s="243" t="s">
        <v>105</v>
      </c>
      <c r="C85" s="244">
        <f t="shared" ref="C85:C94" si="33">C70</f>
        <v>54.161260653728334</v>
      </c>
      <c r="D85" s="245">
        <f>D5</f>
        <v>5575.6281019725693</v>
      </c>
      <c r="E85" s="246">
        <f>C85*D85</f>
        <v>301983.04693918891</v>
      </c>
      <c r="F85" s="247">
        <f>+F5</f>
        <v>-0.25</v>
      </c>
      <c r="G85" s="247">
        <f>+G5</f>
        <v>0</v>
      </c>
      <c r="H85" s="264">
        <f>+H5</f>
        <v>0</v>
      </c>
      <c r="I85" s="254"/>
      <c r="J85" s="266">
        <f>+J5</f>
        <v>0</v>
      </c>
      <c r="K85" s="265">
        <f>+K5</f>
        <v>-75495.761734797226</v>
      </c>
      <c r="L85" s="265">
        <f>+L5</f>
        <v>0</v>
      </c>
      <c r="M85" s="16"/>
      <c r="N85" s="30">
        <f>SUM(J85:L85)</f>
        <v>-75495.761734797226</v>
      </c>
      <c r="O85" s="242">
        <f>N85+E85</f>
        <v>226487.28520439169</v>
      </c>
      <c r="P85" s="5"/>
    </row>
    <row r="86" spans="1:45" s="4" customFormat="1" ht="13" x14ac:dyDescent="0.15">
      <c r="A86" s="15"/>
      <c r="B86" s="233" t="s">
        <v>104</v>
      </c>
      <c r="C86" s="234">
        <f t="shared" si="33"/>
        <v>67.462938501976552</v>
      </c>
      <c r="D86" s="236">
        <f>D10</f>
        <v>5487.9649195902666</v>
      </c>
      <c r="E86" s="237">
        <f t="shared" ref="E86:E94" si="34">C86*D86</f>
        <v>370234.23987132288</v>
      </c>
      <c r="F86" s="28">
        <f>+F10</f>
        <v>-0.15</v>
      </c>
      <c r="G86" s="28">
        <f>+G10</f>
        <v>-0.1</v>
      </c>
      <c r="H86" s="251">
        <f>+H10</f>
        <v>0</v>
      </c>
      <c r="I86" s="254"/>
      <c r="J86" s="256">
        <f>+J10</f>
        <v>0</v>
      </c>
      <c r="K86" s="257">
        <f>+K10</f>
        <v>-55535.135980698433</v>
      </c>
      <c r="L86" s="257">
        <f>+L10</f>
        <v>-31469.910389062443</v>
      </c>
      <c r="M86" s="16"/>
      <c r="N86" s="30">
        <f t="shared" ref="N86:N93" si="35">SUM(J86:L86)</f>
        <v>-87005.046369760879</v>
      </c>
      <c r="O86" s="242">
        <f t="shared" ref="O86:O93" si="36">N86+E86</f>
        <v>283229.193501562</v>
      </c>
      <c r="P86" s="5"/>
    </row>
    <row r="87" spans="1:45" s="4" customFormat="1" ht="13" x14ac:dyDescent="0.15">
      <c r="A87" s="15"/>
      <c r="B87" s="233" t="s">
        <v>101</v>
      </c>
      <c r="C87" s="234">
        <f t="shared" si="33"/>
        <v>36.10395767297338</v>
      </c>
      <c r="D87" s="236">
        <f>D15</f>
        <v>4181.2884783094833</v>
      </c>
      <c r="E87" s="237">
        <f t="shared" si="34"/>
        <v>150961.06223937686</v>
      </c>
      <c r="F87" s="28">
        <f>+F15</f>
        <v>-0.2</v>
      </c>
      <c r="G87" s="28">
        <f>+G15</f>
        <v>-0.1</v>
      </c>
      <c r="H87" s="251">
        <f>+H15</f>
        <v>0</v>
      </c>
      <c r="I87" s="254"/>
      <c r="J87" s="256">
        <f>+J15</f>
        <v>0</v>
      </c>
      <c r="K87" s="257">
        <f>+K15</f>
        <v>-30192.212447875372</v>
      </c>
      <c r="L87" s="257">
        <f>+L15</f>
        <v>-12076.884979150149</v>
      </c>
      <c r="M87" s="16"/>
      <c r="N87" s="30">
        <f t="shared" si="35"/>
        <v>-42269.097427025525</v>
      </c>
      <c r="O87" s="242">
        <f t="shared" si="36"/>
        <v>108691.96481235133</v>
      </c>
      <c r="P87" s="5"/>
    </row>
    <row r="88" spans="1:45" s="4" customFormat="1" ht="13" x14ac:dyDescent="0.15">
      <c r="A88" s="15"/>
      <c r="B88" s="233" t="s">
        <v>102</v>
      </c>
      <c r="C88" s="234">
        <f t="shared" si="33"/>
        <v>48.858878642934805</v>
      </c>
      <c r="D88" s="245">
        <f>D20</f>
        <v>0</v>
      </c>
      <c r="E88" s="237">
        <f t="shared" si="34"/>
        <v>0</v>
      </c>
      <c r="F88" s="28">
        <f>F20</f>
        <v>-0.1</v>
      </c>
      <c r="G88" s="28">
        <f>G20</f>
        <v>-0.1</v>
      </c>
      <c r="H88" s="251">
        <f>H20</f>
        <v>0</v>
      </c>
      <c r="I88" s="254"/>
      <c r="J88" s="256">
        <f>J20</f>
        <v>0</v>
      </c>
      <c r="K88" s="257">
        <f>K20</f>
        <v>0</v>
      </c>
      <c r="L88" s="257">
        <f>L20</f>
        <v>0</v>
      </c>
      <c r="M88" s="16"/>
      <c r="N88" s="30">
        <f t="shared" si="35"/>
        <v>0</v>
      </c>
      <c r="O88" s="242">
        <f t="shared" si="36"/>
        <v>0</v>
      </c>
      <c r="P88" s="5"/>
    </row>
    <row r="89" spans="1:45" s="4" customFormat="1" ht="13" x14ac:dyDescent="0.15">
      <c r="A89" s="15"/>
      <c r="B89" s="233" t="s">
        <v>27</v>
      </c>
      <c r="C89" s="234">
        <f t="shared" si="33"/>
        <v>44.180909502664626</v>
      </c>
      <c r="D89" s="236">
        <f>D25</f>
        <v>29.474017843710026</v>
      </c>
      <c r="E89" s="237">
        <f t="shared" si="34"/>
        <v>1302.188915032875</v>
      </c>
      <c r="F89" s="28">
        <f>+F25</f>
        <v>0</v>
      </c>
      <c r="G89" s="28">
        <f>+G25</f>
        <v>0</v>
      </c>
      <c r="H89" s="251">
        <f>+H25</f>
        <v>0</v>
      </c>
      <c r="I89" s="254"/>
      <c r="J89" s="256">
        <f>+J25</f>
        <v>0</v>
      </c>
      <c r="K89" s="257">
        <f>+K25</f>
        <v>0</v>
      </c>
      <c r="L89" s="257">
        <f>+L25</f>
        <v>0</v>
      </c>
      <c r="M89" s="16"/>
      <c r="N89" s="30">
        <f t="shared" si="35"/>
        <v>0</v>
      </c>
      <c r="O89" s="242">
        <f t="shared" si="36"/>
        <v>1302.188915032875</v>
      </c>
      <c r="P89" s="5"/>
    </row>
    <row r="90" spans="1:45" s="4" customFormat="1" ht="13" x14ac:dyDescent="0.15">
      <c r="A90" s="15"/>
      <c r="B90" s="233" t="s">
        <v>157</v>
      </c>
      <c r="C90" s="234">
        <f t="shared" si="33"/>
        <v>53.92</v>
      </c>
      <c r="D90" s="236">
        <f>D30</f>
        <v>55.873184977472015</v>
      </c>
      <c r="E90" s="237">
        <f t="shared" si="34"/>
        <v>3012.6821339852913</v>
      </c>
      <c r="F90" s="28">
        <f>F30</f>
        <v>0</v>
      </c>
      <c r="G90" s="28">
        <f>G30</f>
        <v>0</v>
      </c>
      <c r="H90" s="251">
        <f>H30</f>
        <v>0</v>
      </c>
      <c r="I90" s="254"/>
      <c r="J90" s="256">
        <f>J30</f>
        <v>0</v>
      </c>
      <c r="K90" s="257">
        <f>K30</f>
        <v>0</v>
      </c>
      <c r="L90" s="257">
        <f>L30</f>
        <v>0</v>
      </c>
      <c r="M90" s="16"/>
      <c r="N90" s="30">
        <f t="shared" si="35"/>
        <v>0</v>
      </c>
      <c r="O90" s="242">
        <f t="shared" si="36"/>
        <v>3012.6821339852913</v>
      </c>
      <c r="P90" s="5"/>
    </row>
    <row r="91" spans="1:45" s="4" customFormat="1" ht="13" x14ac:dyDescent="0.15">
      <c r="A91" s="15"/>
      <c r="B91" s="233" t="s">
        <v>158</v>
      </c>
      <c r="C91" s="234">
        <f t="shared" si="33"/>
        <v>220.37878605783692</v>
      </c>
      <c r="D91" s="236">
        <f>D35</f>
        <v>96.254045435684617</v>
      </c>
      <c r="E91" s="237">
        <f t="shared" si="34"/>
        <v>21212.349686272053</v>
      </c>
      <c r="F91" s="28">
        <f>F35</f>
        <v>0</v>
      </c>
      <c r="G91" s="28">
        <f>G35</f>
        <v>0</v>
      </c>
      <c r="H91" s="251">
        <f>H35</f>
        <v>0</v>
      </c>
      <c r="I91" s="254"/>
      <c r="J91" s="256">
        <f>J35</f>
        <v>0</v>
      </c>
      <c r="K91" s="257">
        <f>K35</f>
        <v>0</v>
      </c>
      <c r="L91" s="257">
        <f>L35</f>
        <v>0</v>
      </c>
      <c r="M91" s="16"/>
      <c r="N91" s="30">
        <f t="shared" si="35"/>
        <v>0</v>
      </c>
      <c r="O91" s="242">
        <f t="shared" si="36"/>
        <v>21212.349686272053</v>
      </c>
      <c r="P91" s="5"/>
    </row>
    <row r="92" spans="1:45" s="4" customFormat="1" ht="13" x14ac:dyDescent="0.15">
      <c r="A92" s="15"/>
      <c r="B92" s="225" t="s">
        <v>125</v>
      </c>
      <c r="C92" s="235">
        <f t="shared" si="33"/>
        <v>15.326666666666668</v>
      </c>
      <c r="D92" s="236">
        <f>D40</f>
        <v>3748.6164081638358</v>
      </c>
      <c r="E92" s="237">
        <f t="shared" si="34"/>
        <v>57453.794149124398</v>
      </c>
      <c r="F92" s="239">
        <f>F40</f>
        <v>-0.2</v>
      </c>
      <c r="G92" s="239">
        <f>G40</f>
        <v>-0.1</v>
      </c>
      <c r="H92" s="252">
        <f>H40</f>
        <v>0</v>
      </c>
      <c r="I92" s="254"/>
      <c r="J92" s="258">
        <f>J40</f>
        <v>0</v>
      </c>
      <c r="K92" s="259">
        <f>K40</f>
        <v>-11490.758829824881</v>
      </c>
      <c r="L92" s="259">
        <f>L40</f>
        <v>-4596.3035319299515</v>
      </c>
      <c r="M92" s="16"/>
      <c r="N92" s="30">
        <f t="shared" si="35"/>
        <v>-16087.062361754834</v>
      </c>
      <c r="O92" s="242">
        <f t="shared" si="36"/>
        <v>41366.731787369565</v>
      </c>
      <c r="P92" s="5"/>
    </row>
    <row r="93" spans="1:45" s="4" customFormat="1" ht="13" x14ac:dyDescent="0.15">
      <c r="A93" s="15"/>
      <c r="B93" s="225" t="s">
        <v>124</v>
      </c>
      <c r="C93" s="235">
        <f t="shared" si="33"/>
        <v>24.846666666666668</v>
      </c>
      <c r="D93" s="236">
        <f>D45</f>
        <v>448.87658080849161</v>
      </c>
      <c r="E93" s="237">
        <f t="shared" si="34"/>
        <v>11153.086777821656</v>
      </c>
      <c r="F93" s="239">
        <f>F45</f>
        <v>-0.2</v>
      </c>
      <c r="G93" s="239">
        <f>G45</f>
        <v>-0.1</v>
      </c>
      <c r="H93" s="252">
        <f>H45</f>
        <v>0</v>
      </c>
      <c r="I93" s="254"/>
      <c r="J93" s="258">
        <f>J45</f>
        <v>0</v>
      </c>
      <c r="K93" s="259">
        <f>K45</f>
        <v>-2230.6173555643313</v>
      </c>
      <c r="L93" s="259">
        <f>L45</f>
        <v>-892.2469422257326</v>
      </c>
      <c r="M93" s="16"/>
      <c r="N93" s="30">
        <f t="shared" si="35"/>
        <v>-3122.864297790064</v>
      </c>
      <c r="O93" s="242">
        <f t="shared" si="36"/>
        <v>8030.2224800315926</v>
      </c>
      <c r="P93" s="5"/>
    </row>
    <row r="94" spans="1:45" s="4" customFormat="1" ht="13" x14ac:dyDescent="0.15">
      <c r="A94" s="15"/>
      <c r="B94" s="225" t="s">
        <v>160</v>
      </c>
      <c r="C94" s="235">
        <f t="shared" si="33"/>
        <v>0</v>
      </c>
      <c r="D94" s="236">
        <f>D50</f>
        <v>0</v>
      </c>
      <c r="E94" s="237">
        <f t="shared" si="34"/>
        <v>0</v>
      </c>
      <c r="F94" s="239">
        <f>F50</f>
        <v>0</v>
      </c>
      <c r="G94" s="239">
        <f>G50</f>
        <v>0</v>
      </c>
      <c r="H94" s="252">
        <f>H50</f>
        <v>0</v>
      </c>
      <c r="I94" s="254"/>
      <c r="J94" s="258">
        <f>J50</f>
        <v>0</v>
      </c>
      <c r="K94" s="259">
        <f>K50</f>
        <v>0</v>
      </c>
      <c r="L94" s="259">
        <f>L50</f>
        <v>0</v>
      </c>
      <c r="M94" s="16"/>
      <c r="N94" s="30">
        <f>SUM(J94:L94)</f>
        <v>0</v>
      </c>
      <c r="O94" s="242">
        <f>N94+E94</f>
        <v>0</v>
      </c>
      <c r="P94" s="5"/>
    </row>
    <row r="95" spans="1:45" s="3" customFormat="1" thickBot="1" x14ac:dyDescent="0.2">
      <c r="A95" s="15"/>
      <c r="B95" s="250"/>
      <c r="C95" s="240"/>
      <c r="D95" s="238"/>
      <c r="E95" s="241">
        <f>SUM(E85:E94)</f>
        <v>917312.45071212493</v>
      </c>
      <c r="F95" s="20"/>
      <c r="G95" s="20"/>
      <c r="H95" s="271"/>
      <c r="I95" s="20"/>
      <c r="J95" s="223">
        <f>SUM(J85:J94)</f>
        <v>0</v>
      </c>
      <c r="K95" s="223">
        <f>SUM(K85:K94)</f>
        <v>-174944.48634876026</v>
      </c>
      <c r="L95" s="223">
        <f>SUM(L85:L94)</f>
        <v>-49035.345842368282</v>
      </c>
      <c r="M95" s="20"/>
      <c r="N95" s="33">
        <f>SUM(J95:L95)</f>
        <v>-223979.83219112855</v>
      </c>
      <c r="O95" s="224">
        <f>SUM(O85:O94)</f>
        <v>693332.61852099642</v>
      </c>
      <c r="P95" s="231"/>
    </row>
    <row r="96" spans="1:45" s="4" customFormat="1" thickTop="1" x14ac:dyDescent="0.15">
      <c r="A96" s="15"/>
      <c r="B96" s="42"/>
      <c r="C96" s="260"/>
      <c r="D96" s="261"/>
      <c r="E96" s="48"/>
      <c r="F96" s="16"/>
      <c r="G96" s="16"/>
      <c r="H96" s="42"/>
      <c r="I96" s="16"/>
      <c r="J96" s="262"/>
      <c r="K96" s="262"/>
      <c r="L96" s="262"/>
      <c r="M96" s="20"/>
      <c r="O96" s="5"/>
    </row>
    <row r="97" spans="1:45" s="4" customFormat="1" ht="13" x14ac:dyDescent="0.15">
      <c r="A97" s="15"/>
      <c r="B97" s="42"/>
      <c r="C97" s="260"/>
      <c r="D97" s="261"/>
      <c r="E97" s="48"/>
      <c r="F97" s="16"/>
      <c r="G97" s="16"/>
      <c r="H97" s="42"/>
      <c r="I97" s="16"/>
      <c r="J97" s="262"/>
      <c r="K97" s="262"/>
      <c r="L97" s="262"/>
      <c r="M97" s="20"/>
      <c r="N97" s="263"/>
      <c r="P97" s="5"/>
    </row>
    <row r="98" spans="1:45" s="4" customFormat="1" ht="16" x14ac:dyDescent="0.2">
      <c r="A98" s="15" t="s">
        <v>8</v>
      </c>
      <c r="B98" s="53" t="str">
        <f>+B6</f>
        <v>Volwassenen met een verstandelijke beperking (VB)</v>
      </c>
      <c r="C98" s="16"/>
      <c r="D98" s="16"/>
      <c r="E98" s="17"/>
      <c r="F98" s="16"/>
      <c r="G98" s="16"/>
      <c r="H98" s="16"/>
      <c r="I98" s="16"/>
      <c r="J98" s="54"/>
      <c r="K98" s="54"/>
      <c r="L98" s="54"/>
      <c r="M98" s="19"/>
      <c r="N98" s="54"/>
      <c r="O98" s="21"/>
      <c r="P98" s="5"/>
    </row>
    <row r="99" spans="1:45" s="1" customFormat="1" ht="62.25" customHeight="1" thickBot="1" x14ac:dyDescent="0.2">
      <c r="A99" s="22"/>
      <c r="B99" s="217" t="s">
        <v>0</v>
      </c>
      <c r="C99" s="217" t="s">
        <v>26</v>
      </c>
      <c r="D99" s="217" t="s">
        <v>20</v>
      </c>
      <c r="E99" s="217" t="s">
        <v>216</v>
      </c>
      <c r="F99" s="217" t="s">
        <v>11</v>
      </c>
      <c r="G99" s="248" t="s">
        <v>12</v>
      </c>
      <c r="H99" s="217" t="s">
        <v>19</v>
      </c>
      <c r="I99" s="16"/>
      <c r="J99" s="249" t="s">
        <v>18</v>
      </c>
      <c r="K99" s="249" t="s">
        <v>24</v>
      </c>
      <c r="L99" s="219" t="s">
        <v>15</v>
      </c>
      <c r="M99" s="16"/>
      <c r="N99" s="217" t="s">
        <v>16</v>
      </c>
      <c r="O99" s="217" t="s">
        <v>17</v>
      </c>
      <c r="P99" s="5"/>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row>
    <row r="100" spans="1:45" s="4" customFormat="1" thickTop="1" x14ac:dyDescent="0.15">
      <c r="A100" s="15"/>
      <c r="B100" s="243" t="s">
        <v>105</v>
      </c>
      <c r="C100" s="244">
        <f t="shared" ref="C100:C109" si="37">C70</f>
        <v>54.161260653728334</v>
      </c>
      <c r="D100" s="245">
        <f>D6</f>
        <v>2828.7750070356492</v>
      </c>
      <c r="E100" s="267">
        <f>C100*D100</f>
        <v>153210.02048681001</v>
      </c>
      <c r="F100" s="269">
        <f>F6</f>
        <v>-0.2</v>
      </c>
      <c r="G100" s="269">
        <f>G6</f>
        <v>0</v>
      </c>
      <c r="H100" s="269">
        <f>H6</f>
        <v>0</v>
      </c>
      <c r="I100" s="16"/>
      <c r="J100" s="267">
        <f>J6</f>
        <v>0</v>
      </c>
      <c r="K100" s="267">
        <f>K6</f>
        <v>-30642.004097362005</v>
      </c>
      <c r="L100" s="267">
        <f>L6</f>
        <v>0</v>
      </c>
      <c r="M100" s="16"/>
      <c r="N100" s="30">
        <f>SUM(J100:L100)</f>
        <v>-30642.004097362005</v>
      </c>
      <c r="O100" s="242">
        <f>N100+E100</f>
        <v>122568.01638944801</v>
      </c>
      <c r="P100" s="5"/>
    </row>
    <row r="101" spans="1:45" s="4" customFormat="1" ht="13" x14ac:dyDescent="0.15">
      <c r="A101" s="15"/>
      <c r="B101" s="233" t="s">
        <v>104</v>
      </c>
      <c r="C101" s="234">
        <f t="shared" si="37"/>
        <v>67.462938501976552</v>
      </c>
      <c r="D101" s="236">
        <f>D11</f>
        <v>2784.299404498146</v>
      </c>
      <c r="E101" s="267">
        <f t="shared" ref="E101:E109" si="38">C101*D101</f>
        <v>187837.01949674837</v>
      </c>
      <c r="F101" s="270">
        <f>F11</f>
        <v>-0.2</v>
      </c>
      <c r="G101" s="270">
        <f>G11</f>
        <v>-0.1</v>
      </c>
      <c r="H101" s="270">
        <f>H11</f>
        <v>0</v>
      </c>
      <c r="I101" s="16"/>
      <c r="J101" s="268">
        <f>J11</f>
        <v>0</v>
      </c>
      <c r="K101" s="268">
        <f>K11</f>
        <v>-37567.403899349672</v>
      </c>
      <c r="L101" s="268">
        <f>L11</f>
        <v>-15026.96155973987</v>
      </c>
      <c r="M101" s="16"/>
      <c r="N101" s="30">
        <f t="shared" ref="N101:N109" si="39">SUM(J101:L101)</f>
        <v>-52594.365459089546</v>
      </c>
      <c r="O101" s="242">
        <f t="shared" ref="O101:O109" si="40">N101+E101</f>
        <v>135242.65403765882</v>
      </c>
      <c r="P101" s="5"/>
    </row>
    <row r="102" spans="1:45" s="4" customFormat="1" ht="13" x14ac:dyDescent="0.15">
      <c r="A102" s="15"/>
      <c r="B102" s="233" t="s">
        <v>101</v>
      </c>
      <c r="C102" s="234">
        <f t="shared" si="37"/>
        <v>36.10395767297338</v>
      </c>
      <c r="D102" s="236">
        <f>D16</f>
        <v>5831.4562703768315</v>
      </c>
      <c r="E102" s="267">
        <f t="shared" si="38"/>
        <v>210538.65035748034</v>
      </c>
      <c r="F102" s="270">
        <f>F16</f>
        <v>-0.4</v>
      </c>
      <c r="G102" s="270">
        <f>G16</f>
        <v>0</v>
      </c>
      <c r="H102" s="270">
        <f>H16</f>
        <v>0</v>
      </c>
      <c r="I102" s="16"/>
      <c r="J102" s="268">
        <f>J16</f>
        <v>0</v>
      </c>
      <c r="K102" s="268">
        <f>K16</f>
        <v>-84215.460142992146</v>
      </c>
      <c r="L102" s="268">
        <f>L16</f>
        <v>0</v>
      </c>
      <c r="M102" s="16"/>
      <c r="N102" s="30">
        <f t="shared" si="39"/>
        <v>-84215.460142992146</v>
      </c>
      <c r="O102" s="242">
        <f t="shared" si="40"/>
        <v>126323.19021448819</v>
      </c>
      <c r="P102" s="5"/>
    </row>
    <row r="103" spans="1:45" s="4" customFormat="1" ht="13" x14ac:dyDescent="0.15">
      <c r="A103" s="15"/>
      <c r="B103" s="233" t="s">
        <v>102</v>
      </c>
      <c r="C103" s="234">
        <f t="shared" si="37"/>
        <v>48.858878642934805</v>
      </c>
      <c r="D103" s="236">
        <f>D21</f>
        <v>1789.3767158108794</v>
      </c>
      <c r="E103" s="267">
        <f t="shared" si="38"/>
        <v>87426.939804296999</v>
      </c>
      <c r="F103" s="270">
        <f>F21</f>
        <v>-0.1</v>
      </c>
      <c r="G103" s="270">
        <f>G21</f>
        <v>-0.1</v>
      </c>
      <c r="H103" s="270">
        <f>H21</f>
        <v>0</v>
      </c>
      <c r="I103" s="16"/>
      <c r="J103" s="268">
        <f>J21</f>
        <v>0</v>
      </c>
      <c r="K103" s="268">
        <f>K21</f>
        <v>-8742.6939804296999</v>
      </c>
      <c r="L103" s="268">
        <f>L21</f>
        <v>-7868.4245823867304</v>
      </c>
      <c r="M103" s="16"/>
      <c r="N103" s="30">
        <f t="shared" si="39"/>
        <v>-16611.118562816431</v>
      </c>
      <c r="O103" s="242">
        <f t="shared" si="40"/>
        <v>70815.82124148056</v>
      </c>
      <c r="P103" s="5"/>
    </row>
    <row r="104" spans="1:45" s="4" customFormat="1" ht="13" x14ac:dyDescent="0.15">
      <c r="A104" s="15"/>
      <c r="B104" s="233" t="s">
        <v>27</v>
      </c>
      <c r="C104" s="234">
        <f t="shared" si="37"/>
        <v>44.180909502664626</v>
      </c>
      <c r="D104" s="236">
        <f>D26</f>
        <v>14.953537701647063</v>
      </c>
      <c r="E104" s="267">
        <f t="shared" si="38"/>
        <v>660.66089594115249</v>
      </c>
      <c r="F104" s="270">
        <f>F26</f>
        <v>0</v>
      </c>
      <c r="G104" s="270">
        <f>G26</f>
        <v>0</v>
      </c>
      <c r="H104" s="270">
        <f>H26</f>
        <v>0</v>
      </c>
      <c r="I104" s="16"/>
      <c r="J104" s="268">
        <f>J26</f>
        <v>0</v>
      </c>
      <c r="K104" s="268">
        <f>K26</f>
        <v>0</v>
      </c>
      <c r="L104" s="268">
        <f>L26</f>
        <v>0</v>
      </c>
      <c r="M104" s="16"/>
      <c r="N104" s="30">
        <f t="shared" si="39"/>
        <v>0</v>
      </c>
      <c r="O104" s="242">
        <f t="shared" si="40"/>
        <v>660.66089594115249</v>
      </c>
      <c r="P104" s="5"/>
    </row>
    <row r="105" spans="1:45" s="4" customFormat="1" ht="13" x14ac:dyDescent="0.15">
      <c r="A105" s="15"/>
      <c r="B105" s="233" t="s">
        <v>157</v>
      </c>
      <c r="C105" s="234">
        <f t="shared" si="37"/>
        <v>53.92</v>
      </c>
      <c r="D105" s="236">
        <f>D31</f>
        <v>28.347060875856474</v>
      </c>
      <c r="E105" s="267">
        <f t="shared" si="38"/>
        <v>1528.473522426181</v>
      </c>
      <c r="F105" s="270">
        <f>F31</f>
        <v>0</v>
      </c>
      <c r="G105" s="270">
        <f>G31</f>
        <v>0</v>
      </c>
      <c r="H105" s="270">
        <f>H31</f>
        <v>0</v>
      </c>
      <c r="I105" s="16"/>
      <c r="J105" s="268">
        <f>J31</f>
        <v>0</v>
      </c>
      <c r="K105" s="268">
        <f>K31</f>
        <v>0</v>
      </c>
      <c r="L105" s="268">
        <f>L31</f>
        <v>0</v>
      </c>
      <c r="M105" s="16"/>
      <c r="N105" s="30">
        <f t="shared" si="39"/>
        <v>0</v>
      </c>
      <c r="O105" s="242">
        <f t="shared" si="40"/>
        <v>1528.473522426181</v>
      </c>
      <c r="P105" s="5"/>
    </row>
    <row r="106" spans="1:45" s="4" customFormat="1" ht="13" x14ac:dyDescent="0.15">
      <c r="A106" s="15"/>
      <c r="B106" s="233" t="s">
        <v>158</v>
      </c>
      <c r="C106" s="234">
        <f t="shared" si="37"/>
        <v>220.37878605783692</v>
      </c>
      <c r="D106" s="236">
        <f>D36</f>
        <v>48.834146229769111</v>
      </c>
      <c r="E106" s="267">
        <f t="shared" si="38"/>
        <v>10762.009864287411</v>
      </c>
      <c r="F106" s="270">
        <f>F36</f>
        <v>0</v>
      </c>
      <c r="G106" s="270">
        <f>G36</f>
        <v>0</v>
      </c>
      <c r="H106" s="270">
        <f>H36</f>
        <v>0</v>
      </c>
      <c r="I106" s="16"/>
      <c r="J106" s="268">
        <f>J36</f>
        <v>0</v>
      </c>
      <c r="K106" s="268">
        <f>K36</f>
        <v>0</v>
      </c>
      <c r="L106" s="268">
        <f>L36</f>
        <v>0</v>
      </c>
      <c r="M106" s="16"/>
      <c r="N106" s="30">
        <f t="shared" si="39"/>
        <v>0</v>
      </c>
      <c r="O106" s="242">
        <f t="shared" si="40"/>
        <v>10762.009864287411</v>
      </c>
      <c r="P106" s="5"/>
    </row>
    <row r="107" spans="1:45" ht="13" x14ac:dyDescent="0.15">
      <c r="B107" s="225" t="s">
        <v>125</v>
      </c>
      <c r="C107" s="235">
        <f t="shared" si="37"/>
        <v>15.326666666666668</v>
      </c>
      <c r="D107" s="236">
        <f>D41</f>
        <v>6832.2431528210354</v>
      </c>
      <c r="E107" s="267">
        <f t="shared" si="38"/>
        <v>104715.51338890374</v>
      </c>
      <c r="F107" s="270">
        <f>F41</f>
        <v>-0.32955979802782664</v>
      </c>
      <c r="G107" s="270">
        <f>G41</f>
        <v>-2.3480067324057805E-2</v>
      </c>
      <c r="H107" s="270">
        <f>H41</f>
        <v>0</v>
      </c>
      <c r="J107" s="268">
        <f>J41</f>
        <v>0</v>
      </c>
      <c r="K107" s="268">
        <f>K41</f>
        <v>-34510.023442827296</v>
      </c>
      <c r="L107" s="268">
        <f>L41</f>
        <v>-1648.4296304523382</v>
      </c>
      <c r="M107" s="16"/>
      <c r="N107" s="30">
        <f t="shared" si="39"/>
        <v>-36158.453073279634</v>
      </c>
      <c r="O107" s="242">
        <f t="shared" si="40"/>
        <v>68557.060315624112</v>
      </c>
    </row>
    <row r="108" spans="1:45" ht="13" x14ac:dyDescent="0.15">
      <c r="B108" s="225" t="s">
        <v>124</v>
      </c>
      <c r="C108" s="235">
        <f t="shared" si="37"/>
        <v>24.846666666666668</v>
      </c>
      <c r="D108" s="236">
        <f>D46</f>
        <v>818.12423885556893</v>
      </c>
      <c r="E108" s="267">
        <f t="shared" si="38"/>
        <v>20327.660254764702</v>
      </c>
      <c r="F108" s="270">
        <f>F46</f>
        <v>-0.32955979802782664</v>
      </c>
      <c r="G108" s="270">
        <f>G46</f>
        <v>-2.3480067324057805E-2</v>
      </c>
      <c r="H108" s="270">
        <f>H46</f>
        <v>0</v>
      </c>
      <c r="J108" s="268">
        <f>J46</f>
        <v>0</v>
      </c>
      <c r="K108" s="268">
        <f>K46</f>
        <v>-6699.179607938534</v>
      </c>
      <c r="L108" s="268">
        <f>L46</f>
        <v>-319.99764311209725</v>
      </c>
      <c r="M108" s="16"/>
      <c r="N108" s="30">
        <f t="shared" si="39"/>
        <v>-7019.1772510506316</v>
      </c>
      <c r="O108" s="242">
        <f t="shared" si="40"/>
        <v>13308.483003714071</v>
      </c>
    </row>
    <row r="109" spans="1:45" ht="13" x14ac:dyDescent="0.15">
      <c r="B109" s="225" t="s">
        <v>160</v>
      </c>
      <c r="C109" s="235">
        <f t="shared" si="37"/>
        <v>0</v>
      </c>
      <c r="D109" s="236">
        <f>D51</f>
        <v>0</v>
      </c>
      <c r="E109" s="267">
        <f t="shared" si="38"/>
        <v>0</v>
      </c>
      <c r="F109" s="270">
        <f>F51</f>
        <v>0</v>
      </c>
      <c r="G109" s="270">
        <f>G51</f>
        <v>0</v>
      </c>
      <c r="H109" s="270">
        <f>H51</f>
        <v>0</v>
      </c>
      <c r="J109" s="268">
        <f>J51</f>
        <v>0</v>
      </c>
      <c r="K109" s="268">
        <f>K51</f>
        <v>0</v>
      </c>
      <c r="L109" s="268">
        <f>L51</f>
        <v>0</v>
      </c>
      <c r="M109" s="16"/>
      <c r="N109" s="30">
        <f t="shared" si="39"/>
        <v>0</v>
      </c>
      <c r="O109" s="242">
        <f t="shared" si="40"/>
        <v>0</v>
      </c>
    </row>
    <row r="110" spans="1:45" s="3" customFormat="1" thickBot="1" x14ac:dyDescent="0.2">
      <c r="A110" s="15"/>
      <c r="B110" s="250"/>
      <c r="C110" s="240"/>
      <c r="D110" s="238"/>
      <c r="E110" s="241">
        <f>SUM(E100:E109)</f>
        <v>777006.94807165884</v>
      </c>
      <c r="F110" s="20"/>
      <c r="G110" s="20"/>
      <c r="H110" s="271"/>
      <c r="I110" s="20"/>
      <c r="J110" s="223">
        <f>SUM(J100:J109)</f>
        <v>0</v>
      </c>
      <c r="K110" s="223">
        <f>SUM(K100:K109)</f>
        <v>-202376.76517089937</v>
      </c>
      <c r="L110" s="223">
        <f>SUM(L100:L109)</f>
        <v>-24863.813415691035</v>
      </c>
      <c r="M110" s="20"/>
      <c r="N110" s="33">
        <f>SUM(J110:L110)</f>
        <v>-227240.57858659039</v>
      </c>
      <c r="O110" s="224">
        <f>SUM(O100:O109)</f>
        <v>549766.3694850686</v>
      </c>
      <c r="P110" s="231"/>
    </row>
    <row r="111" spans="1:45" s="4" customFormat="1" thickTop="1" x14ac:dyDescent="0.15">
      <c r="A111" s="15"/>
      <c r="B111" s="42"/>
      <c r="C111" s="260"/>
      <c r="D111" s="261"/>
      <c r="E111" s="48"/>
      <c r="F111" s="16"/>
      <c r="G111" s="16"/>
      <c r="H111" s="42"/>
      <c r="I111" s="16"/>
      <c r="J111" s="262"/>
      <c r="K111" s="262"/>
      <c r="L111" s="262"/>
      <c r="M111" s="262"/>
      <c r="N111" s="262"/>
      <c r="O111" s="262"/>
      <c r="P111" s="5"/>
    </row>
    <row r="112" spans="1:45" s="4" customFormat="1" x14ac:dyDescent="0.15">
      <c r="A112" s="15"/>
      <c r="B112" s="16"/>
      <c r="C112" s="16"/>
      <c r="D112" s="16"/>
      <c r="E112" s="17"/>
      <c r="F112" s="16"/>
      <c r="G112" s="16"/>
      <c r="H112" s="16"/>
      <c r="I112" s="16"/>
      <c r="J112" s="54"/>
      <c r="K112" s="54"/>
      <c r="L112" s="54"/>
      <c r="M112" s="19"/>
      <c r="N112" s="54"/>
      <c r="O112" s="21"/>
      <c r="P112" s="5"/>
    </row>
    <row r="113" spans="1:45" s="4" customFormat="1" ht="16" x14ac:dyDescent="0.2">
      <c r="A113" s="15" t="s">
        <v>9</v>
      </c>
      <c r="B113" s="53" t="str">
        <f>+B22</f>
        <v>Volwassenen met een lichamelijke beperking of chronische ziekte (SOM 0-64, LG)</v>
      </c>
      <c r="C113" s="16"/>
      <c r="D113" s="16"/>
      <c r="E113" s="17"/>
      <c r="F113" s="16"/>
      <c r="G113" s="16"/>
      <c r="H113" s="16"/>
      <c r="I113" s="16"/>
      <c r="J113" s="54"/>
      <c r="K113" s="54"/>
      <c r="L113" s="54"/>
      <c r="M113" s="19"/>
      <c r="N113" s="54"/>
      <c r="O113" s="21"/>
      <c r="P113" s="5"/>
    </row>
    <row r="114" spans="1:45" s="1" customFormat="1" ht="62.25" customHeight="1" thickBot="1" x14ac:dyDescent="0.2">
      <c r="A114" s="22"/>
      <c r="B114" s="217" t="s">
        <v>0</v>
      </c>
      <c r="C114" s="217" t="s">
        <v>26</v>
      </c>
      <c r="D114" s="217" t="s">
        <v>20</v>
      </c>
      <c r="E114" s="217" t="s">
        <v>216</v>
      </c>
      <c r="F114" s="217" t="s">
        <v>11</v>
      </c>
      <c r="G114" s="248" t="s">
        <v>12</v>
      </c>
      <c r="H114" s="217" t="s">
        <v>19</v>
      </c>
      <c r="I114" s="253"/>
      <c r="J114" s="249" t="s">
        <v>18</v>
      </c>
      <c r="K114" s="249" t="s">
        <v>24</v>
      </c>
      <c r="L114" s="219" t="s">
        <v>15</v>
      </c>
      <c r="M114" s="16"/>
      <c r="N114" s="217" t="s">
        <v>16</v>
      </c>
      <c r="O114" s="217" t="s">
        <v>17</v>
      </c>
      <c r="P114" s="5"/>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row>
    <row r="115" spans="1:45" s="4" customFormat="1" thickTop="1" x14ac:dyDescent="0.15">
      <c r="A115" s="15"/>
      <c r="B115" s="243" t="s">
        <v>105</v>
      </c>
      <c r="C115" s="244">
        <f t="shared" ref="C115:C124" si="41">C70</f>
        <v>54.161260653728334</v>
      </c>
      <c r="D115" s="245">
        <f>D7</f>
        <v>729.92538660102275</v>
      </c>
      <c r="E115" s="267">
        <f>C115*D115</f>
        <v>39533.679121471418</v>
      </c>
      <c r="F115" s="269">
        <f>F7</f>
        <v>-0.2</v>
      </c>
      <c r="G115" s="269">
        <f>G7</f>
        <v>-0.1</v>
      </c>
      <c r="H115" s="269">
        <f>H7</f>
        <v>0</v>
      </c>
      <c r="I115" s="253"/>
      <c r="J115" s="267">
        <f>J7</f>
        <v>0</v>
      </c>
      <c r="K115" s="267">
        <f>K7</f>
        <v>-7906.7358242942837</v>
      </c>
      <c r="L115" s="267">
        <f>L7</f>
        <v>-3162.6943297177136</v>
      </c>
      <c r="M115" s="16"/>
      <c r="N115" s="30">
        <f>SUM(J115:L115)</f>
        <v>-11069.430154011998</v>
      </c>
      <c r="O115" s="242">
        <f>N115+E115</f>
        <v>28464.248967459418</v>
      </c>
      <c r="P115" s="5"/>
    </row>
    <row r="116" spans="1:45" s="4" customFormat="1" ht="13" x14ac:dyDescent="0.15">
      <c r="A116" s="15"/>
      <c r="B116" s="233" t="s">
        <v>104</v>
      </c>
      <c r="C116" s="234">
        <f t="shared" si="41"/>
        <v>67.462938501976552</v>
      </c>
      <c r="D116" s="236">
        <f>D12</f>
        <v>718.44908633120383</v>
      </c>
      <c r="E116" s="267">
        <f t="shared" ref="E116:E124" si="42">C116*D116</f>
        <v>48468.686527963247</v>
      </c>
      <c r="F116" s="270">
        <f>F12</f>
        <v>-0.1</v>
      </c>
      <c r="G116" s="270">
        <f>G12</f>
        <v>-0.05</v>
      </c>
      <c r="H116" s="270">
        <f>H12</f>
        <v>0</v>
      </c>
      <c r="I116" s="253"/>
      <c r="J116" s="268">
        <f>J12</f>
        <v>0</v>
      </c>
      <c r="K116" s="268">
        <f>K12</f>
        <v>-4846.8686527963246</v>
      </c>
      <c r="L116" s="268">
        <f>L12</f>
        <v>-2181.0908937583463</v>
      </c>
      <c r="M116" s="16"/>
      <c r="N116" s="30">
        <f t="shared" ref="N116:N124" si="43">SUM(J116:L116)</f>
        <v>-7027.9595465546709</v>
      </c>
      <c r="O116" s="242">
        <f t="shared" ref="O116:O124" si="44">N116+E116</f>
        <v>41440.726981408574</v>
      </c>
      <c r="P116" s="5"/>
    </row>
    <row r="117" spans="1:45" s="4" customFormat="1" ht="13" x14ac:dyDescent="0.15">
      <c r="A117" s="15"/>
      <c r="B117" s="233" t="s">
        <v>101</v>
      </c>
      <c r="C117" s="234">
        <f t="shared" si="41"/>
        <v>36.10395767297338</v>
      </c>
      <c r="D117" s="236">
        <f>D17</f>
        <v>622.51287128712875</v>
      </c>
      <c r="E117" s="267">
        <f t="shared" si="42"/>
        <v>22475.17835583162</v>
      </c>
      <c r="F117" s="270">
        <f>F17</f>
        <v>-0.2</v>
      </c>
      <c r="G117" s="270">
        <f>G17</f>
        <v>0</v>
      </c>
      <c r="H117" s="270">
        <f>H17</f>
        <v>0</v>
      </c>
      <c r="I117" s="253"/>
      <c r="J117" s="268">
        <f>J17</f>
        <v>0</v>
      </c>
      <c r="K117" s="268">
        <f>K17</f>
        <v>-4495.0356711663244</v>
      </c>
      <c r="L117" s="268">
        <f>L17</f>
        <v>0</v>
      </c>
      <c r="M117" s="16"/>
      <c r="N117" s="30">
        <f t="shared" si="43"/>
        <v>-4495.0356711663244</v>
      </c>
      <c r="O117" s="242">
        <f t="shared" si="44"/>
        <v>17980.142684665298</v>
      </c>
      <c r="P117" s="5"/>
    </row>
    <row r="118" spans="1:45" s="4" customFormat="1" ht="13" x14ac:dyDescent="0.15">
      <c r="A118" s="15"/>
      <c r="B118" s="233" t="s">
        <v>102</v>
      </c>
      <c r="C118" s="234">
        <f t="shared" si="41"/>
        <v>48.858878642934805</v>
      </c>
      <c r="D118" s="236">
        <f>D22</f>
        <v>1513.5840002339721</v>
      </c>
      <c r="E118" s="267">
        <f t="shared" si="42"/>
        <v>73952.016983319452</v>
      </c>
      <c r="F118" s="270">
        <f>F22</f>
        <v>-0.05</v>
      </c>
      <c r="G118" s="270">
        <f>G22</f>
        <v>0</v>
      </c>
      <c r="H118" s="270">
        <f>H22</f>
        <v>0</v>
      </c>
      <c r="I118" s="253"/>
      <c r="J118" s="268">
        <f>J22</f>
        <v>0</v>
      </c>
      <c r="K118" s="268">
        <f>K22</f>
        <v>-3697.6008491659727</v>
      </c>
      <c r="L118" s="268">
        <f>L22</f>
        <v>0</v>
      </c>
      <c r="M118" s="16"/>
      <c r="N118" s="30">
        <f t="shared" si="43"/>
        <v>-3697.6008491659727</v>
      </c>
      <c r="O118" s="242">
        <f t="shared" si="44"/>
        <v>70254.416134153478</v>
      </c>
      <c r="P118" s="5"/>
    </row>
    <row r="119" spans="1:45" s="4" customFormat="1" ht="13" x14ac:dyDescent="0.15">
      <c r="A119" s="15"/>
      <c r="B119" s="233" t="s">
        <v>27</v>
      </c>
      <c r="C119" s="234">
        <f t="shared" si="41"/>
        <v>44.180909502664626</v>
      </c>
      <c r="D119" s="236">
        <f>D27</f>
        <v>3.8585489340015755</v>
      </c>
      <c r="E119" s="267">
        <f t="shared" si="42"/>
        <v>170.47420126472667</v>
      </c>
      <c r="F119" s="270">
        <f>F27</f>
        <v>0</v>
      </c>
      <c r="G119" s="270">
        <f>G27</f>
        <v>0</v>
      </c>
      <c r="H119" s="270">
        <f>H27</f>
        <v>0</v>
      </c>
      <c r="I119" s="253"/>
      <c r="J119" s="268">
        <f>J27</f>
        <v>0</v>
      </c>
      <c r="K119" s="268">
        <f>K27</f>
        <v>0</v>
      </c>
      <c r="L119" s="268">
        <f>L27</f>
        <v>0</v>
      </c>
      <c r="M119" s="16"/>
      <c r="N119" s="30">
        <f t="shared" si="43"/>
        <v>0</v>
      </c>
      <c r="O119" s="242">
        <f t="shared" si="44"/>
        <v>170.47420126472667</v>
      </c>
      <c r="P119" s="5"/>
    </row>
    <row r="120" spans="1:45" s="4" customFormat="1" ht="13" x14ac:dyDescent="0.15">
      <c r="A120" s="15"/>
      <c r="B120" s="233" t="s">
        <v>157</v>
      </c>
      <c r="C120" s="234">
        <f t="shared" si="41"/>
        <v>53.92</v>
      </c>
      <c r="D120" s="236">
        <f>D32</f>
        <v>7.3145581806080733</v>
      </c>
      <c r="E120" s="267">
        <f t="shared" si="42"/>
        <v>394.40097709838733</v>
      </c>
      <c r="F120" s="270">
        <f>F32</f>
        <v>0</v>
      </c>
      <c r="G120" s="270">
        <f>G32</f>
        <v>0</v>
      </c>
      <c r="H120" s="270">
        <f>H32</f>
        <v>0</v>
      </c>
      <c r="I120" s="253"/>
      <c r="J120" s="268">
        <f>J32</f>
        <v>0</v>
      </c>
      <c r="K120" s="268">
        <f>K32</f>
        <v>0</v>
      </c>
      <c r="L120" s="257">
        <f>L32</f>
        <v>0</v>
      </c>
      <c r="M120" s="16"/>
      <c r="N120" s="30">
        <f t="shared" si="43"/>
        <v>0</v>
      </c>
      <c r="O120" s="242">
        <f t="shared" si="44"/>
        <v>394.40097709838733</v>
      </c>
      <c r="P120" s="5"/>
    </row>
    <row r="121" spans="1:45" s="4" customFormat="1" ht="13" x14ac:dyDescent="0.15">
      <c r="A121" s="15"/>
      <c r="B121" s="233" t="s">
        <v>158</v>
      </c>
      <c r="C121" s="234">
        <f t="shared" si="41"/>
        <v>220.37878605783692</v>
      </c>
      <c r="D121" s="236">
        <f>D37</f>
        <v>12.600960831964068</v>
      </c>
      <c r="E121" s="267">
        <f t="shared" si="42"/>
        <v>2776.9844513105922</v>
      </c>
      <c r="F121" s="270">
        <f>F37</f>
        <v>0</v>
      </c>
      <c r="G121" s="270">
        <f>G37</f>
        <v>0</v>
      </c>
      <c r="H121" s="270">
        <f>H37</f>
        <v>0</v>
      </c>
      <c r="I121" s="253"/>
      <c r="J121" s="268">
        <f>J37</f>
        <v>0</v>
      </c>
      <c r="K121" s="268">
        <f>K37</f>
        <v>0</v>
      </c>
      <c r="L121" s="268">
        <f>L37</f>
        <v>0</v>
      </c>
      <c r="M121" s="16"/>
      <c r="N121" s="30">
        <f t="shared" si="43"/>
        <v>0</v>
      </c>
      <c r="O121" s="242">
        <f t="shared" si="44"/>
        <v>2776.9844513105922</v>
      </c>
      <c r="P121" s="5"/>
    </row>
    <row r="122" spans="1:45" ht="13" x14ac:dyDescent="0.15">
      <c r="B122" s="225" t="s">
        <v>125</v>
      </c>
      <c r="C122" s="235">
        <f t="shared" si="41"/>
        <v>15.326666666666668</v>
      </c>
      <c r="D122" s="236">
        <f>D42</f>
        <v>1915.0574813362014</v>
      </c>
      <c r="E122" s="267">
        <f t="shared" si="42"/>
        <v>29351.447663946183</v>
      </c>
      <c r="F122" s="270">
        <f>F42</f>
        <v>-9.3713809021487016E-2</v>
      </c>
      <c r="G122" s="270">
        <f>G42</f>
        <v>0</v>
      </c>
      <c r="H122" s="270">
        <f>H42</f>
        <v>0</v>
      </c>
      <c r="I122" s="253"/>
      <c r="J122" s="268">
        <f>J42</f>
        <v>0</v>
      </c>
      <c r="K122" s="268">
        <f>K42</f>
        <v>-533.96093365567538</v>
      </c>
      <c r="L122" s="268">
        <f>L42</f>
        <v>0</v>
      </c>
      <c r="M122" s="16"/>
      <c r="N122" s="30">
        <f t="shared" si="43"/>
        <v>-533.96093365567538</v>
      </c>
      <c r="O122" s="242">
        <f t="shared" si="44"/>
        <v>28817.486730290508</v>
      </c>
    </row>
    <row r="123" spans="1:45" ht="13" x14ac:dyDescent="0.15">
      <c r="B123" s="225" t="s">
        <v>124</v>
      </c>
      <c r="C123" s="235">
        <f t="shared" si="41"/>
        <v>24.846666666666668</v>
      </c>
      <c r="D123" s="236">
        <f>D47</f>
        <v>229.31779640130765</v>
      </c>
      <c r="E123" s="267">
        <f t="shared" si="42"/>
        <v>5697.7828479178243</v>
      </c>
      <c r="F123" s="270">
        <f>F47</f>
        <v>-9.3713809021487016E-2</v>
      </c>
      <c r="G123" s="270">
        <f>G47</f>
        <v>0</v>
      </c>
      <c r="H123" s="270">
        <f>H47</f>
        <v>0</v>
      </c>
      <c r="I123" s="253"/>
      <c r="J123" s="268">
        <f>J47</f>
        <v>0</v>
      </c>
      <c r="K123" s="268">
        <f>K47</f>
        <v>-533.96093365567538</v>
      </c>
      <c r="L123" s="268">
        <f>L47</f>
        <v>0</v>
      </c>
      <c r="M123" s="16"/>
      <c r="N123" s="30">
        <f t="shared" si="43"/>
        <v>-533.96093365567538</v>
      </c>
      <c r="O123" s="242">
        <f t="shared" si="44"/>
        <v>5163.8219142621492</v>
      </c>
    </row>
    <row r="124" spans="1:45" ht="13" x14ac:dyDescent="0.15">
      <c r="B124" s="225" t="s">
        <v>160</v>
      </c>
      <c r="C124" s="235">
        <f t="shared" si="41"/>
        <v>0</v>
      </c>
      <c r="D124" s="236">
        <f>D52</f>
        <v>0</v>
      </c>
      <c r="E124" s="267">
        <f t="shared" si="42"/>
        <v>0</v>
      </c>
      <c r="F124" s="270">
        <f>F52</f>
        <v>0</v>
      </c>
      <c r="G124" s="270">
        <f>G52</f>
        <v>0</v>
      </c>
      <c r="H124" s="270">
        <f>H52</f>
        <v>0</v>
      </c>
      <c r="I124" s="253"/>
      <c r="J124" s="268">
        <f>J52</f>
        <v>0</v>
      </c>
      <c r="K124" s="268">
        <f>K52</f>
        <v>0</v>
      </c>
      <c r="L124" s="268">
        <f>L52</f>
        <v>0</v>
      </c>
      <c r="M124" s="16"/>
      <c r="N124" s="30">
        <f t="shared" si="43"/>
        <v>0</v>
      </c>
      <c r="O124" s="242">
        <f t="shared" si="44"/>
        <v>0</v>
      </c>
    </row>
    <row r="125" spans="1:45" s="3" customFormat="1" thickBot="1" x14ac:dyDescent="0.2">
      <c r="A125" s="15"/>
      <c r="B125" s="250"/>
      <c r="C125" s="240"/>
      <c r="D125" s="238"/>
      <c r="E125" s="241">
        <f>SUM(E115:E124)</f>
        <v>222820.65113012347</v>
      </c>
      <c r="F125" s="20"/>
      <c r="G125" s="20"/>
      <c r="H125" s="271"/>
      <c r="I125" s="20"/>
      <c r="J125" s="223">
        <f>SUM(J115:J124)</f>
        <v>0</v>
      </c>
      <c r="K125" s="223">
        <f>SUM(K115:K124)</f>
        <v>-22014.162864734259</v>
      </c>
      <c r="L125" s="223">
        <f>SUM(L115:L124)</f>
        <v>-5343.7852234760594</v>
      </c>
      <c r="M125" s="20"/>
      <c r="N125" s="33">
        <f>SUM(J125:L125)</f>
        <v>-27357.948088210316</v>
      </c>
      <c r="O125" s="224">
        <f>SUM(O115:O124)</f>
        <v>195462.70304191316</v>
      </c>
      <c r="P125" s="231"/>
    </row>
    <row r="126" spans="1:45" s="4" customFormat="1" thickTop="1" x14ac:dyDescent="0.15">
      <c r="A126" s="15"/>
      <c r="B126" s="42"/>
      <c r="C126" s="260"/>
      <c r="D126" s="261"/>
      <c r="E126" s="48"/>
      <c r="F126" s="16"/>
      <c r="G126" s="16"/>
      <c r="H126" s="42"/>
      <c r="I126" s="16"/>
      <c r="J126" s="262"/>
      <c r="K126" s="262"/>
      <c r="L126" s="262"/>
      <c r="M126" s="20"/>
      <c r="N126" s="5"/>
    </row>
    <row r="127" spans="1:45" s="4" customFormat="1" ht="13" x14ac:dyDescent="0.15">
      <c r="A127" s="15"/>
      <c r="B127" s="42"/>
      <c r="C127" s="260"/>
      <c r="D127" s="261"/>
      <c r="E127" s="48"/>
      <c r="F127" s="16"/>
      <c r="G127" s="16"/>
      <c r="H127" s="42"/>
      <c r="I127" s="16"/>
      <c r="J127" s="262"/>
      <c r="K127" s="262"/>
      <c r="L127" s="262"/>
      <c r="M127" s="20"/>
      <c r="N127" s="5"/>
    </row>
    <row r="128" spans="1:45" s="4" customFormat="1" x14ac:dyDescent="0.15">
      <c r="A128" s="15"/>
      <c r="B128" s="16"/>
      <c r="C128" s="16"/>
      <c r="D128" s="16"/>
      <c r="E128" s="17"/>
      <c r="F128" s="16"/>
      <c r="G128" s="16"/>
      <c r="H128" s="16"/>
      <c r="I128" s="16"/>
      <c r="J128" s="54"/>
      <c r="K128" s="54"/>
      <c r="L128" s="54"/>
      <c r="M128" s="19"/>
      <c r="N128" s="54"/>
      <c r="O128" s="21"/>
      <c r="P128" s="5"/>
    </row>
    <row r="129" spans="1:16" s="4" customFormat="1" x14ac:dyDescent="0.15">
      <c r="A129" s="15"/>
      <c r="B129" s="16"/>
      <c r="C129" s="16"/>
      <c r="D129" s="16"/>
      <c r="E129" s="17"/>
      <c r="F129" s="16"/>
      <c r="G129" s="16"/>
      <c r="H129" s="16"/>
      <c r="I129" s="16"/>
      <c r="J129" s="54"/>
      <c r="K129" s="54"/>
      <c r="L129" s="54"/>
      <c r="M129" s="19"/>
      <c r="N129" s="54"/>
      <c r="O129" s="21"/>
      <c r="P129" s="5"/>
    </row>
    <row r="130" spans="1:16" s="4" customFormat="1" x14ac:dyDescent="0.15">
      <c r="A130" s="15"/>
      <c r="B130" s="16"/>
      <c r="C130" s="16"/>
      <c r="D130" s="16"/>
      <c r="E130" s="17"/>
      <c r="F130" s="16"/>
      <c r="G130" s="16"/>
      <c r="H130" s="16"/>
      <c r="I130" s="16"/>
      <c r="J130" s="54"/>
      <c r="K130" s="54"/>
      <c r="L130" s="54"/>
      <c r="M130" s="19"/>
      <c r="N130" s="54"/>
      <c r="O130" s="21"/>
      <c r="P130" s="5"/>
    </row>
    <row r="131" spans="1:16" s="4" customFormat="1" x14ac:dyDescent="0.15">
      <c r="A131" s="15"/>
      <c r="B131" s="16"/>
      <c r="C131" s="16"/>
      <c r="D131" s="16"/>
      <c r="E131" s="17"/>
      <c r="F131" s="16"/>
      <c r="G131" s="16"/>
      <c r="H131" s="16"/>
      <c r="I131" s="16"/>
      <c r="J131" s="54"/>
      <c r="K131" s="54"/>
      <c r="L131" s="54"/>
      <c r="M131" s="19"/>
      <c r="N131" s="54"/>
      <c r="O131" s="21"/>
      <c r="P131" s="5"/>
    </row>
    <row r="132" spans="1:16" s="4" customFormat="1" x14ac:dyDescent="0.15">
      <c r="A132" s="15"/>
      <c r="B132" s="16"/>
      <c r="C132" s="16"/>
      <c r="D132" s="16"/>
      <c r="E132" s="17"/>
      <c r="F132" s="16"/>
      <c r="G132" s="16"/>
      <c r="H132" s="16"/>
      <c r="I132" s="16"/>
      <c r="J132" s="54"/>
      <c r="K132" s="54"/>
      <c r="L132" s="54"/>
      <c r="M132" s="19"/>
      <c r="N132" s="54"/>
      <c r="O132" s="21"/>
      <c r="P132" s="5"/>
    </row>
    <row r="133" spans="1:16" s="4" customFormat="1" x14ac:dyDescent="0.15">
      <c r="A133" s="15"/>
      <c r="B133" s="16"/>
      <c r="C133" s="16"/>
      <c r="D133" s="16"/>
      <c r="E133" s="17"/>
      <c r="F133" s="16"/>
      <c r="G133" s="16"/>
      <c r="H133" s="16"/>
      <c r="I133" s="16"/>
      <c r="J133" s="54"/>
      <c r="K133" s="54"/>
      <c r="L133" s="54"/>
      <c r="M133" s="19"/>
      <c r="N133" s="54"/>
      <c r="O133" s="21"/>
      <c r="P133" s="5"/>
    </row>
    <row r="134" spans="1:16" s="4" customFormat="1" x14ac:dyDescent="0.15">
      <c r="A134" s="15"/>
      <c r="B134" s="16"/>
      <c r="C134" s="16"/>
      <c r="D134" s="16"/>
      <c r="E134" s="17"/>
      <c r="F134" s="16"/>
      <c r="G134" s="16"/>
      <c r="H134" s="16"/>
      <c r="I134" s="16"/>
      <c r="J134" s="54"/>
      <c r="K134" s="54"/>
      <c r="L134" s="54"/>
      <c r="M134" s="19"/>
      <c r="N134" s="54"/>
      <c r="O134" s="21"/>
      <c r="P134" s="5"/>
    </row>
    <row r="135" spans="1:16" s="4" customFormat="1" x14ac:dyDescent="0.15">
      <c r="A135" s="15"/>
      <c r="B135" s="16"/>
      <c r="C135" s="16"/>
      <c r="D135" s="16"/>
      <c r="E135" s="17"/>
      <c r="F135" s="16"/>
      <c r="G135" s="16"/>
      <c r="H135" s="16"/>
      <c r="I135" s="16"/>
      <c r="J135" s="54"/>
      <c r="K135" s="54"/>
      <c r="L135" s="54"/>
      <c r="M135" s="19"/>
      <c r="N135" s="54"/>
      <c r="O135" s="21"/>
      <c r="P135" s="5"/>
    </row>
    <row r="136" spans="1:16" s="4" customFormat="1" x14ac:dyDescent="0.15">
      <c r="A136" s="15"/>
      <c r="B136" s="16"/>
      <c r="C136" s="16"/>
      <c r="D136" s="16"/>
      <c r="E136" s="17"/>
      <c r="F136" s="16"/>
      <c r="G136" s="16"/>
      <c r="H136" s="16"/>
      <c r="I136" s="16"/>
      <c r="J136" s="54"/>
      <c r="K136" s="54"/>
      <c r="L136" s="54"/>
      <c r="M136" s="19"/>
      <c r="N136" s="54"/>
      <c r="O136" s="21"/>
      <c r="P136" s="5"/>
    </row>
    <row r="137" spans="1:16" s="4" customFormat="1" x14ac:dyDescent="0.15">
      <c r="A137" s="15"/>
      <c r="B137" s="16"/>
      <c r="C137" s="16"/>
      <c r="D137" s="16"/>
      <c r="E137" s="17"/>
      <c r="F137" s="16"/>
      <c r="G137" s="16"/>
      <c r="H137" s="16"/>
      <c r="I137" s="16"/>
      <c r="J137" s="54"/>
      <c r="K137" s="54"/>
      <c r="L137" s="54"/>
      <c r="M137" s="19"/>
      <c r="N137" s="54"/>
      <c r="O137" s="21"/>
      <c r="P137" s="5"/>
    </row>
    <row r="138" spans="1:16" s="4" customFormat="1" x14ac:dyDescent="0.15">
      <c r="A138" s="15"/>
      <c r="B138" s="16"/>
      <c r="C138" s="16"/>
      <c r="D138" s="16"/>
      <c r="E138" s="17"/>
      <c r="F138" s="16"/>
      <c r="G138" s="16"/>
      <c r="H138" s="16"/>
      <c r="I138" s="16"/>
      <c r="J138" s="54"/>
      <c r="K138" s="54"/>
      <c r="L138" s="54"/>
      <c r="M138" s="19"/>
      <c r="N138" s="54"/>
      <c r="O138" s="21"/>
      <c r="P138" s="5"/>
    </row>
    <row r="139" spans="1:16" s="4" customFormat="1" x14ac:dyDescent="0.15">
      <c r="A139" s="15"/>
      <c r="B139" s="16"/>
      <c r="C139" s="16"/>
      <c r="D139" s="16"/>
      <c r="E139" s="17"/>
      <c r="F139" s="16"/>
      <c r="G139" s="16"/>
      <c r="H139" s="16"/>
      <c r="I139" s="16"/>
      <c r="J139" s="54"/>
      <c r="K139" s="54"/>
      <c r="L139" s="54"/>
      <c r="M139" s="19"/>
      <c r="N139" s="54"/>
      <c r="O139" s="21"/>
      <c r="P139" s="5"/>
    </row>
    <row r="140" spans="1:16" s="4" customFormat="1" x14ac:dyDescent="0.15">
      <c r="A140" s="15"/>
      <c r="B140" s="16"/>
      <c r="C140" s="16"/>
      <c r="D140" s="16"/>
      <c r="E140" s="17"/>
      <c r="F140" s="16"/>
      <c r="G140" s="16"/>
      <c r="H140" s="16"/>
      <c r="I140" s="16"/>
      <c r="J140" s="54"/>
      <c r="K140" s="54"/>
      <c r="L140" s="54"/>
      <c r="M140" s="19"/>
      <c r="N140" s="54"/>
      <c r="O140" s="21"/>
      <c r="P140" s="5"/>
    </row>
    <row r="141" spans="1:16" s="4" customFormat="1" x14ac:dyDescent="0.15">
      <c r="A141" s="15"/>
      <c r="B141" s="16"/>
      <c r="C141" s="16"/>
      <c r="D141" s="16"/>
      <c r="E141" s="17"/>
      <c r="F141" s="16"/>
      <c r="G141" s="16"/>
      <c r="H141" s="16"/>
      <c r="I141" s="16"/>
      <c r="J141" s="54"/>
      <c r="K141" s="54"/>
      <c r="L141" s="54"/>
      <c r="M141" s="19"/>
      <c r="N141" s="54"/>
      <c r="O141" s="21"/>
      <c r="P141" s="5"/>
    </row>
    <row r="142" spans="1:16" s="4" customFormat="1" x14ac:dyDescent="0.15">
      <c r="A142" s="15"/>
      <c r="B142" s="16"/>
      <c r="C142" s="16"/>
      <c r="D142" s="16"/>
      <c r="E142" s="17"/>
      <c r="F142" s="16"/>
      <c r="G142" s="16"/>
      <c r="H142" s="16"/>
      <c r="I142" s="16"/>
      <c r="J142" s="54"/>
      <c r="K142" s="54"/>
      <c r="L142" s="54"/>
      <c r="M142" s="19"/>
      <c r="N142" s="54"/>
      <c r="O142" s="21"/>
      <c r="P142" s="5"/>
    </row>
    <row r="143" spans="1:16" s="4" customFormat="1" x14ac:dyDescent="0.15">
      <c r="A143" s="15"/>
      <c r="B143" s="16"/>
      <c r="C143" s="16"/>
      <c r="D143" s="16"/>
      <c r="E143" s="17"/>
      <c r="F143" s="16"/>
      <c r="G143" s="16"/>
      <c r="H143" s="16"/>
      <c r="I143" s="16"/>
      <c r="J143" s="54"/>
      <c r="K143" s="54"/>
      <c r="L143" s="54"/>
      <c r="M143" s="19"/>
      <c r="N143" s="54"/>
      <c r="O143" s="21"/>
      <c r="P143" s="5"/>
    </row>
    <row r="144" spans="1:16" s="4" customFormat="1" x14ac:dyDescent="0.15">
      <c r="A144" s="15"/>
      <c r="B144" s="16"/>
      <c r="C144" s="16"/>
      <c r="D144" s="16"/>
      <c r="E144" s="17"/>
      <c r="F144" s="16"/>
      <c r="G144" s="16"/>
      <c r="H144" s="16"/>
      <c r="I144" s="16"/>
      <c r="J144" s="54"/>
      <c r="K144" s="54"/>
      <c r="L144" s="54"/>
      <c r="M144" s="19"/>
      <c r="N144" s="54"/>
      <c r="O144" s="21"/>
      <c r="P144" s="5"/>
    </row>
    <row r="145" spans="1:16" s="4" customFormat="1" x14ac:dyDescent="0.15">
      <c r="A145" s="15"/>
      <c r="B145" s="16"/>
      <c r="C145" s="16"/>
      <c r="D145" s="16"/>
      <c r="E145" s="17"/>
      <c r="F145" s="16"/>
      <c r="G145" s="16"/>
      <c r="H145" s="16"/>
      <c r="I145" s="16"/>
      <c r="J145" s="54"/>
      <c r="K145" s="54"/>
      <c r="L145" s="54"/>
      <c r="M145" s="19"/>
      <c r="N145" s="54"/>
      <c r="O145" s="21"/>
      <c r="P145" s="5"/>
    </row>
    <row r="146" spans="1:16" s="4" customFormat="1" x14ac:dyDescent="0.15">
      <c r="A146" s="15"/>
      <c r="B146" s="16"/>
      <c r="C146" s="16"/>
      <c r="D146" s="16"/>
      <c r="E146" s="17"/>
      <c r="F146" s="16"/>
      <c r="G146" s="16"/>
      <c r="H146" s="16"/>
      <c r="I146" s="16"/>
      <c r="J146" s="54"/>
      <c r="K146" s="54"/>
      <c r="L146" s="54"/>
      <c r="M146" s="19"/>
      <c r="N146" s="54"/>
      <c r="O146" s="21"/>
      <c r="P146" s="5"/>
    </row>
    <row r="147" spans="1:16" s="4" customFormat="1" x14ac:dyDescent="0.15">
      <c r="A147" s="15"/>
      <c r="B147" s="16"/>
      <c r="C147" s="16"/>
      <c r="D147" s="16"/>
      <c r="E147" s="17"/>
      <c r="F147" s="16"/>
      <c r="G147" s="16"/>
      <c r="H147" s="16"/>
      <c r="I147" s="16"/>
      <c r="J147" s="54"/>
      <c r="K147" s="54"/>
      <c r="L147" s="54"/>
      <c r="M147" s="19"/>
      <c r="N147" s="54"/>
      <c r="O147" s="21"/>
      <c r="P147" s="5"/>
    </row>
    <row r="148" spans="1:16" s="4" customFormat="1" x14ac:dyDescent="0.15">
      <c r="A148" s="15"/>
      <c r="B148" s="16"/>
      <c r="C148" s="16"/>
      <c r="D148" s="16"/>
      <c r="E148" s="17"/>
      <c r="F148" s="16"/>
      <c r="G148" s="16"/>
      <c r="H148" s="16"/>
      <c r="I148" s="16"/>
      <c r="J148" s="54"/>
      <c r="K148" s="54"/>
      <c r="L148" s="54"/>
      <c r="M148" s="19"/>
      <c r="N148" s="54"/>
      <c r="O148" s="21"/>
      <c r="P148" s="5"/>
    </row>
    <row r="149" spans="1:16" s="4" customFormat="1" x14ac:dyDescent="0.15">
      <c r="A149" s="15"/>
      <c r="B149" s="16"/>
      <c r="C149" s="16"/>
      <c r="D149" s="16"/>
      <c r="E149" s="17"/>
      <c r="F149" s="16"/>
      <c r="G149" s="16"/>
      <c r="H149" s="16"/>
      <c r="I149" s="16"/>
      <c r="J149" s="54"/>
      <c r="K149" s="54"/>
      <c r="L149" s="54"/>
      <c r="M149" s="19"/>
      <c r="N149" s="54"/>
      <c r="O149" s="21"/>
      <c r="P149" s="5"/>
    </row>
    <row r="150" spans="1:16" s="4" customFormat="1" x14ac:dyDescent="0.15">
      <c r="A150" s="15"/>
      <c r="B150" s="16"/>
      <c r="C150" s="16"/>
      <c r="D150" s="16"/>
      <c r="E150" s="17"/>
      <c r="F150" s="16"/>
      <c r="G150" s="16"/>
      <c r="H150" s="16"/>
      <c r="I150" s="16"/>
      <c r="J150" s="54"/>
      <c r="K150" s="54"/>
      <c r="L150" s="54"/>
      <c r="M150" s="19"/>
      <c r="N150" s="54"/>
      <c r="O150" s="21"/>
      <c r="P150" s="5"/>
    </row>
    <row r="151" spans="1:16" s="4" customFormat="1" x14ac:dyDescent="0.15">
      <c r="A151" s="15"/>
      <c r="B151" s="16"/>
      <c r="C151" s="16"/>
      <c r="D151" s="16"/>
      <c r="E151" s="17"/>
      <c r="F151" s="16"/>
      <c r="G151" s="16"/>
      <c r="H151" s="16"/>
      <c r="I151" s="16"/>
      <c r="J151" s="54"/>
      <c r="K151" s="54"/>
      <c r="L151" s="54"/>
      <c r="M151" s="19"/>
      <c r="N151" s="54"/>
      <c r="O151" s="21"/>
      <c r="P151" s="5"/>
    </row>
    <row r="152" spans="1:16" s="4" customFormat="1" x14ac:dyDescent="0.15">
      <c r="A152" s="15"/>
      <c r="B152" s="16"/>
      <c r="C152" s="16"/>
      <c r="D152" s="16"/>
      <c r="E152" s="17"/>
      <c r="F152" s="16"/>
      <c r="G152" s="16"/>
      <c r="H152" s="16"/>
      <c r="I152" s="16"/>
      <c r="J152" s="54"/>
      <c r="K152" s="54"/>
      <c r="L152" s="54"/>
      <c r="M152" s="19"/>
      <c r="N152" s="54"/>
      <c r="O152" s="21"/>
      <c r="P152" s="5"/>
    </row>
    <row r="153" spans="1:16" s="4" customFormat="1" x14ac:dyDescent="0.15">
      <c r="A153" s="15"/>
      <c r="B153" s="16"/>
      <c r="C153" s="16"/>
      <c r="D153" s="16"/>
      <c r="E153" s="17"/>
      <c r="F153" s="16"/>
      <c r="G153" s="16"/>
      <c r="H153" s="16"/>
      <c r="I153" s="16"/>
      <c r="J153" s="54"/>
      <c r="K153" s="54"/>
      <c r="L153" s="54"/>
      <c r="M153" s="19"/>
      <c r="N153" s="54"/>
      <c r="O153" s="21"/>
      <c r="P153" s="5"/>
    </row>
    <row r="154" spans="1:16" s="4" customFormat="1" x14ac:dyDescent="0.15">
      <c r="A154" s="15"/>
      <c r="B154" s="16"/>
      <c r="C154" s="16"/>
      <c r="D154" s="16"/>
      <c r="E154" s="17"/>
      <c r="F154" s="16"/>
      <c r="G154" s="16"/>
      <c r="H154" s="16"/>
      <c r="I154" s="16"/>
      <c r="J154" s="54"/>
      <c r="K154" s="54"/>
      <c r="L154" s="54"/>
      <c r="M154" s="19"/>
      <c r="N154" s="54"/>
      <c r="O154" s="21"/>
      <c r="P154" s="5"/>
    </row>
    <row r="155" spans="1:16" s="4" customFormat="1" x14ac:dyDescent="0.15">
      <c r="A155" s="15"/>
      <c r="B155" s="16"/>
      <c r="C155" s="16"/>
      <c r="D155" s="16"/>
      <c r="E155" s="17"/>
      <c r="F155" s="16"/>
      <c r="G155" s="16"/>
      <c r="H155" s="16"/>
      <c r="I155" s="16"/>
      <c r="J155" s="54"/>
      <c r="K155" s="54"/>
      <c r="L155" s="54"/>
      <c r="M155" s="19"/>
      <c r="N155" s="54"/>
      <c r="O155" s="21"/>
      <c r="P155" s="5"/>
    </row>
    <row r="156" spans="1:16" s="4" customFormat="1" x14ac:dyDescent="0.15">
      <c r="A156" s="15"/>
      <c r="B156" s="16"/>
      <c r="C156" s="16"/>
      <c r="D156" s="16"/>
      <c r="E156" s="17"/>
      <c r="F156" s="16"/>
      <c r="G156" s="16"/>
      <c r="H156" s="16"/>
      <c r="I156" s="16"/>
      <c r="J156" s="54"/>
      <c r="K156" s="54"/>
      <c r="L156" s="54"/>
      <c r="M156" s="19"/>
      <c r="N156" s="54"/>
      <c r="O156" s="21"/>
      <c r="P156" s="5"/>
    </row>
    <row r="157" spans="1:16" s="4" customFormat="1" x14ac:dyDescent="0.15">
      <c r="A157" s="15"/>
      <c r="B157" s="16"/>
      <c r="C157" s="16"/>
      <c r="D157" s="16"/>
      <c r="E157" s="17"/>
      <c r="F157" s="16"/>
      <c r="G157" s="16"/>
      <c r="H157" s="16"/>
      <c r="I157" s="16"/>
      <c r="J157" s="54"/>
      <c r="K157" s="54"/>
      <c r="L157" s="54"/>
      <c r="M157" s="19"/>
      <c r="N157" s="54"/>
      <c r="O157" s="21"/>
      <c r="P157" s="5"/>
    </row>
    <row r="158" spans="1:16" s="4" customFormat="1" x14ac:dyDescent="0.15">
      <c r="A158" s="15"/>
      <c r="B158" s="16"/>
      <c r="C158" s="16"/>
      <c r="D158" s="16"/>
      <c r="E158" s="17"/>
      <c r="F158" s="16"/>
      <c r="G158" s="16"/>
      <c r="H158" s="16"/>
      <c r="I158" s="16"/>
      <c r="J158" s="54"/>
      <c r="K158" s="54"/>
      <c r="L158" s="54"/>
      <c r="M158" s="19"/>
      <c r="N158" s="54"/>
      <c r="O158" s="21"/>
      <c r="P158" s="5"/>
    </row>
    <row r="159" spans="1:16" s="4" customFormat="1" x14ac:dyDescent="0.15">
      <c r="A159" s="15"/>
      <c r="B159" s="16"/>
      <c r="C159" s="16"/>
      <c r="D159" s="16"/>
      <c r="E159" s="17"/>
      <c r="F159" s="16"/>
      <c r="G159" s="16"/>
      <c r="H159" s="16"/>
      <c r="I159" s="16"/>
      <c r="J159" s="54"/>
      <c r="K159" s="54"/>
      <c r="L159" s="54"/>
      <c r="M159" s="19"/>
      <c r="N159" s="54"/>
      <c r="O159" s="21"/>
      <c r="P159" s="5"/>
    </row>
    <row r="160" spans="1:16" s="4" customFormat="1" x14ac:dyDescent="0.15">
      <c r="A160" s="15"/>
      <c r="B160" s="16"/>
      <c r="C160" s="16"/>
      <c r="D160" s="16"/>
      <c r="E160" s="17"/>
      <c r="F160" s="16"/>
      <c r="G160" s="16"/>
      <c r="H160" s="16"/>
      <c r="I160" s="16"/>
      <c r="J160" s="54"/>
      <c r="K160" s="54"/>
      <c r="L160" s="54"/>
      <c r="M160" s="19"/>
      <c r="N160" s="54"/>
      <c r="O160" s="21"/>
      <c r="P160" s="5"/>
    </row>
    <row r="161" spans="1:16" s="4" customFormat="1" x14ac:dyDescent="0.15">
      <c r="A161" s="15"/>
      <c r="B161" s="16"/>
      <c r="C161" s="16"/>
      <c r="D161" s="16"/>
      <c r="E161" s="17"/>
      <c r="F161" s="16"/>
      <c r="G161" s="16"/>
      <c r="H161" s="16"/>
      <c r="I161" s="16"/>
      <c r="J161" s="54"/>
      <c r="K161" s="54"/>
      <c r="L161" s="54"/>
      <c r="M161" s="19"/>
      <c r="N161" s="54"/>
      <c r="O161" s="21"/>
      <c r="P161" s="5"/>
    </row>
    <row r="162" spans="1:16" s="4" customFormat="1" x14ac:dyDescent="0.15">
      <c r="A162" s="15"/>
      <c r="B162" s="16"/>
      <c r="C162" s="16"/>
      <c r="D162" s="16"/>
      <c r="E162" s="17"/>
      <c r="F162" s="16"/>
      <c r="G162" s="16"/>
      <c r="H162" s="16"/>
      <c r="I162" s="16"/>
      <c r="J162" s="54"/>
      <c r="K162" s="54"/>
      <c r="L162" s="54"/>
      <c r="M162" s="19"/>
      <c r="N162" s="54"/>
      <c r="O162" s="21"/>
      <c r="P162" s="5"/>
    </row>
    <row r="163" spans="1:16" s="4" customFormat="1" x14ac:dyDescent="0.15">
      <c r="A163" s="15"/>
      <c r="B163" s="16"/>
      <c r="C163" s="16"/>
      <c r="D163" s="16"/>
      <c r="E163" s="17"/>
      <c r="F163" s="16"/>
      <c r="G163" s="16"/>
      <c r="H163" s="16"/>
      <c r="I163" s="16"/>
      <c r="J163" s="54"/>
      <c r="K163" s="54"/>
      <c r="L163" s="54"/>
      <c r="M163" s="19"/>
      <c r="N163" s="54"/>
      <c r="O163" s="21"/>
      <c r="P163" s="5"/>
    </row>
    <row r="164" spans="1:16" s="4" customFormat="1" x14ac:dyDescent="0.15">
      <c r="A164" s="15"/>
      <c r="B164" s="16"/>
      <c r="C164" s="16"/>
      <c r="D164" s="16"/>
      <c r="E164" s="17"/>
      <c r="F164" s="16"/>
      <c r="G164" s="16"/>
      <c r="H164" s="16"/>
      <c r="I164" s="16"/>
      <c r="J164" s="54"/>
      <c r="K164" s="54"/>
      <c r="L164" s="54"/>
      <c r="M164" s="19"/>
      <c r="N164" s="54"/>
      <c r="O164" s="21"/>
      <c r="P164" s="5"/>
    </row>
    <row r="165" spans="1:16" s="4" customFormat="1" x14ac:dyDescent="0.15">
      <c r="A165" s="15"/>
      <c r="B165" s="16"/>
      <c r="C165" s="16"/>
      <c r="D165" s="16"/>
      <c r="E165" s="17"/>
      <c r="F165" s="16"/>
      <c r="G165" s="16"/>
      <c r="H165" s="16"/>
      <c r="I165" s="16"/>
      <c r="J165" s="54"/>
      <c r="K165" s="54"/>
      <c r="L165" s="54"/>
      <c r="M165" s="19"/>
      <c r="N165" s="54"/>
      <c r="O165" s="21"/>
      <c r="P165" s="5"/>
    </row>
    <row r="166" spans="1:16" s="4" customFormat="1" x14ac:dyDescent="0.15">
      <c r="A166" s="15"/>
      <c r="B166" s="16"/>
      <c r="C166" s="16"/>
      <c r="D166" s="16"/>
      <c r="E166" s="17"/>
      <c r="F166" s="16"/>
      <c r="G166" s="16"/>
      <c r="H166" s="16"/>
      <c r="I166" s="16"/>
      <c r="J166" s="54"/>
      <c r="K166" s="54"/>
      <c r="L166" s="54"/>
      <c r="M166" s="19"/>
      <c r="N166" s="54"/>
      <c r="O166" s="21"/>
      <c r="P166" s="5"/>
    </row>
    <row r="167" spans="1:16" s="4" customFormat="1" x14ac:dyDescent="0.15">
      <c r="A167" s="15"/>
      <c r="B167" s="16"/>
      <c r="C167" s="16"/>
      <c r="D167" s="16"/>
      <c r="E167" s="17"/>
      <c r="F167" s="16"/>
      <c r="G167" s="16"/>
      <c r="H167" s="16"/>
      <c r="I167" s="16"/>
      <c r="J167" s="54"/>
      <c r="K167" s="54"/>
      <c r="L167" s="54"/>
      <c r="M167" s="19"/>
      <c r="N167" s="54"/>
      <c r="O167" s="21"/>
      <c r="P167" s="5"/>
    </row>
    <row r="168" spans="1:16" s="4" customFormat="1" x14ac:dyDescent="0.15">
      <c r="A168" s="15"/>
      <c r="B168" s="16"/>
      <c r="C168" s="16"/>
      <c r="D168" s="16"/>
      <c r="E168" s="17"/>
      <c r="F168" s="16"/>
      <c r="G168" s="16"/>
      <c r="H168" s="16"/>
      <c r="I168" s="16"/>
      <c r="J168" s="54"/>
      <c r="K168" s="54"/>
      <c r="L168" s="54"/>
      <c r="M168" s="19"/>
      <c r="N168" s="54"/>
      <c r="O168" s="21"/>
      <c r="P168" s="5"/>
    </row>
    <row r="169" spans="1:16" s="4" customFormat="1" x14ac:dyDescent="0.15">
      <c r="A169" s="15"/>
      <c r="B169" s="16"/>
      <c r="C169" s="16"/>
      <c r="D169" s="16"/>
      <c r="E169" s="17"/>
      <c r="F169" s="16"/>
      <c r="G169" s="16"/>
      <c r="H169" s="16"/>
      <c r="I169" s="16"/>
      <c r="J169" s="54"/>
      <c r="K169" s="54"/>
      <c r="L169" s="54"/>
      <c r="M169" s="19"/>
      <c r="N169" s="54"/>
      <c r="O169" s="21"/>
      <c r="P169" s="5"/>
    </row>
    <row r="170" spans="1:16" s="4" customFormat="1" x14ac:dyDescent="0.15">
      <c r="A170" s="15"/>
      <c r="B170" s="16"/>
      <c r="C170" s="16"/>
      <c r="D170" s="16"/>
      <c r="E170" s="17"/>
      <c r="F170" s="16"/>
      <c r="G170" s="16"/>
      <c r="H170" s="16"/>
      <c r="I170" s="16"/>
      <c r="J170" s="54"/>
      <c r="K170" s="54"/>
      <c r="L170" s="54"/>
      <c r="M170" s="19"/>
      <c r="N170" s="54"/>
      <c r="O170" s="21"/>
      <c r="P170" s="5"/>
    </row>
    <row r="171" spans="1:16" s="4" customFormat="1" x14ac:dyDescent="0.15">
      <c r="A171" s="15"/>
      <c r="B171" s="16"/>
      <c r="C171" s="16"/>
      <c r="D171" s="16"/>
      <c r="E171" s="17"/>
      <c r="F171" s="16"/>
      <c r="G171" s="16"/>
      <c r="H171" s="16"/>
      <c r="I171" s="16"/>
      <c r="J171" s="54"/>
      <c r="K171" s="54"/>
      <c r="L171" s="54"/>
      <c r="M171" s="19"/>
      <c r="N171" s="54"/>
      <c r="O171" s="21"/>
      <c r="P171" s="5"/>
    </row>
    <row r="172" spans="1:16" s="4" customFormat="1" x14ac:dyDescent="0.15">
      <c r="A172" s="15"/>
      <c r="B172" s="16"/>
      <c r="C172" s="16"/>
      <c r="D172" s="16"/>
      <c r="E172" s="17"/>
      <c r="F172" s="16"/>
      <c r="G172" s="16"/>
      <c r="H172" s="16"/>
      <c r="I172" s="16"/>
      <c r="J172" s="54"/>
      <c r="K172" s="54"/>
      <c r="L172" s="54"/>
      <c r="M172" s="19"/>
      <c r="N172" s="54"/>
      <c r="O172" s="21"/>
      <c r="P172" s="5"/>
    </row>
    <row r="173" spans="1:16" s="4" customFormat="1" x14ac:dyDescent="0.15">
      <c r="A173" s="15"/>
      <c r="B173" s="16"/>
      <c r="C173" s="16"/>
      <c r="D173" s="16"/>
      <c r="E173" s="17"/>
      <c r="F173" s="16"/>
      <c r="G173" s="16"/>
      <c r="H173" s="16"/>
      <c r="I173" s="16"/>
      <c r="J173" s="54"/>
      <c r="K173" s="54"/>
      <c r="L173" s="54"/>
      <c r="M173" s="19"/>
      <c r="N173" s="54"/>
      <c r="O173" s="21"/>
      <c r="P173" s="5"/>
    </row>
    <row r="174" spans="1:16" s="4" customFormat="1" x14ac:dyDescent="0.15">
      <c r="A174" s="15"/>
      <c r="B174" s="16"/>
      <c r="C174" s="16"/>
      <c r="D174" s="16"/>
      <c r="E174" s="17"/>
      <c r="F174" s="16"/>
      <c r="G174" s="16"/>
      <c r="H174" s="16"/>
      <c r="I174" s="16"/>
      <c r="J174" s="54"/>
      <c r="K174" s="54"/>
      <c r="L174" s="54"/>
      <c r="M174" s="19"/>
      <c r="N174" s="54"/>
      <c r="O174" s="21"/>
      <c r="P174" s="5"/>
    </row>
    <row r="175" spans="1:16" s="4" customFormat="1" x14ac:dyDescent="0.15">
      <c r="A175" s="15"/>
      <c r="B175" s="16"/>
      <c r="C175" s="16"/>
      <c r="D175" s="16"/>
      <c r="E175" s="17"/>
      <c r="F175" s="16"/>
      <c r="G175" s="16"/>
      <c r="H175" s="16"/>
      <c r="I175" s="16"/>
      <c r="J175" s="54"/>
      <c r="K175" s="54"/>
      <c r="L175" s="54"/>
      <c r="M175" s="19"/>
      <c r="N175" s="54"/>
      <c r="O175" s="21"/>
      <c r="P175" s="5"/>
    </row>
    <row r="176" spans="1:16" s="4" customFormat="1" x14ac:dyDescent="0.15">
      <c r="A176" s="15"/>
      <c r="B176" s="16"/>
      <c r="C176" s="16"/>
      <c r="D176" s="16"/>
      <c r="E176" s="17"/>
      <c r="F176" s="16"/>
      <c r="G176" s="16"/>
      <c r="H176" s="16"/>
      <c r="I176" s="16"/>
      <c r="J176" s="54"/>
      <c r="K176" s="54"/>
      <c r="L176" s="54"/>
      <c r="M176" s="19"/>
      <c r="N176" s="54"/>
      <c r="O176" s="21"/>
      <c r="P176" s="5"/>
    </row>
    <row r="177" spans="1:16" s="4" customFormat="1" x14ac:dyDescent="0.15">
      <c r="A177" s="15"/>
      <c r="B177" s="16"/>
      <c r="C177" s="16"/>
      <c r="D177" s="16"/>
      <c r="E177" s="17"/>
      <c r="F177" s="16"/>
      <c r="G177" s="16"/>
      <c r="H177" s="16"/>
      <c r="I177" s="16"/>
      <c r="J177" s="54"/>
      <c r="K177" s="54"/>
      <c r="L177" s="54"/>
      <c r="M177" s="19"/>
      <c r="N177" s="54"/>
      <c r="O177" s="21"/>
      <c r="P177" s="5"/>
    </row>
    <row r="178" spans="1:16" s="4" customFormat="1" x14ac:dyDescent="0.15">
      <c r="A178" s="15"/>
      <c r="B178" s="16"/>
      <c r="C178" s="16"/>
      <c r="D178" s="16"/>
      <c r="E178" s="17"/>
      <c r="F178" s="16"/>
      <c r="G178" s="16"/>
      <c r="H178" s="16"/>
      <c r="I178" s="16"/>
      <c r="J178" s="54"/>
      <c r="K178" s="54"/>
      <c r="L178" s="54"/>
      <c r="M178" s="19"/>
      <c r="N178" s="54"/>
      <c r="O178" s="21"/>
      <c r="P178" s="5"/>
    </row>
    <row r="179" spans="1:16" s="4" customFormat="1" x14ac:dyDescent="0.15">
      <c r="A179" s="15"/>
      <c r="B179" s="16"/>
      <c r="C179" s="16"/>
      <c r="D179" s="16"/>
      <c r="E179" s="17"/>
      <c r="F179" s="16"/>
      <c r="G179" s="16"/>
      <c r="H179" s="16"/>
      <c r="I179" s="16"/>
      <c r="J179" s="54"/>
      <c r="K179" s="54"/>
      <c r="L179" s="54"/>
      <c r="M179" s="19"/>
      <c r="N179" s="54"/>
      <c r="O179" s="21"/>
      <c r="P179" s="5"/>
    </row>
    <row r="180" spans="1:16" s="4" customFormat="1" x14ac:dyDescent="0.15">
      <c r="A180" s="15"/>
      <c r="B180" s="16"/>
      <c r="C180" s="16"/>
      <c r="D180" s="16"/>
      <c r="E180" s="17"/>
      <c r="F180" s="16"/>
      <c r="G180" s="16"/>
      <c r="H180" s="16"/>
      <c r="I180" s="16"/>
      <c r="J180" s="54"/>
      <c r="K180" s="54"/>
      <c r="L180" s="54"/>
      <c r="M180" s="19"/>
      <c r="N180" s="54"/>
      <c r="O180" s="21"/>
      <c r="P180" s="5"/>
    </row>
    <row r="181" spans="1:16" s="4" customFormat="1" x14ac:dyDescent="0.15">
      <c r="A181" s="15"/>
      <c r="B181" s="16"/>
      <c r="C181" s="16"/>
      <c r="D181" s="16"/>
      <c r="E181" s="17"/>
      <c r="F181" s="16"/>
      <c r="G181" s="16"/>
      <c r="H181" s="16"/>
      <c r="I181" s="16"/>
      <c r="J181" s="54"/>
      <c r="K181" s="54"/>
      <c r="L181" s="54"/>
      <c r="M181" s="19"/>
      <c r="N181" s="54"/>
      <c r="O181" s="21"/>
      <c r="P181" s="5"/>
    </row>
    <row r="182" spans="1:16" s="4" customFormat="1" x14ac:dyDescent="0.15">
      <c r="A182" s="15"/>
      <c r="B182" s="16"/>
      <c r="C182" s="16"/>
      <c r="D182" s="16"/>
      <c r="E182" s="17"/>
      <c r="F182" s="16"/>
      <c r="G182" s="16"/>
      <c r="H182" s="16"/>
      <c r="I182" s="16"/>
      <c r="J182" s="54"/>
      <c r="K182" s="54"/>
      <c r="L182" s="54"/>
      <c r="M182" s="19"/>
      <c r="N182" s="54"/>
      <c r="O182" s="21"/>
      <c r="P182" s="5"/>
    </row>
    <row r="183" spans="1:16" s="4" customFormat="1" x14ac:dyDescent="0.15">
      <c r="A183" s="15"/>
      <c r="B183" s="16"/>
      <c r="C183" s="16"/>
      <c r="D183" s="16"/>
      <c r="E183" s="17"/>
      <c r="F183" s="16"/>
      <c r="G183" s="16"/>
      <c r="H183" s="16"/>
      <c r="I183" s="16"/>
      <c r="J183" s="54"/>
      <c r="K183" s="54"/>
      <c r="L183" s="54"/>
      <c r="M183" s="19"/>
      <c r="N183" s="54"/>
      <c r="O183" s="21"/>
      <c r="P183" s="5"/>
    </row>
    <row r="184" spans="1:16" s="4" customFormat="1" x14ac:dyDescent="0.15">
      <c r="A184" s="15"/>
      <c r="B184" s="16"/>
      <c r="C184" s="16"/>
      <c r="D184" s="16"/>
      <c r="E184" s="17"/>
      <c r="F184" s="16"/>
      <c r="G184" s="16"/>
      <c r="H184" s="16"/>
      <c r="I184" s="16"/>
      <c r="J184" s="54"/>
      <c r="K184" s="54"/>
      <c r="L184" s="54"/>
      <c r="M184" s="19"/>
      <c r="N184" s="54"/>
      <c r="O184" s="21"/>
      <c r="P184" s="5"/>
    </row>
    <row r="185" spans="1:16" s="4" customFormat="1" x14ac:dyDescent="0.15">
      <c r="A185" s="15"/>
      <c r="B185" s="16"/>
      <c r="C185" s="16"/>
      <c r="D185" s="16"/>
      <c r="E185" s="17"/>
      <c r="F185" s="16"/>
      <c r="G185" s="16"/>
      <c r="H185" s="16"/>
      <c r="I185" s="16"/>
      <c r="J185" s="54"/>
      <c r="K185" s="54"/>
      <c r="L185" s="54"/>
      <c r="M185" s="19"/>
      <c r="N185" s="54"/>
      <c r="O185" s="21"/>
      <c r="P185" s="5"/>
    </row>
    <row r="186" spans="1:16" s="4" customFormat="1" x14ac:dyDescent="0.15">
      <c r="A186" s="15"/>
      <c r="B186" s="16"/>
      <c r="C186" s="16"/>
      <c r="D186" s="16"/>
      <c r="E186" s="17"/>
      <c r="F186" s="16"/>
      <c r="G186" s="16"/>
      <c r="H186" s="16"/>
      <c r="I186" s="16"/>
      <c r="J186" s="54"/>
      <c r="K186" s="54"/>
      <c r="L186" s="54"/>
      <c r="M186" s="19"/>
      <c r="N186" s="54"/>
      <c r="O186" s="21"/>
      <c r="P186" s="5"/>
    </row>
    <row r="187" spans="1:16" s="4" customFormat="1" x14ac:dyDescent="0.15">
      <c r="A187" s="15"/>
      <c r="B187" s="16"/>
      <c r="C187" s="16"/>
      <c r="D187" s="16"/>
      <c r="E187" s="17"/>
      <c r="F187" s="16"/>
      <c r="G187" s="16"/>
      <c r="H187" s="16"/>
      <c r="I187" s="16"/>
      <c r="J187" s="54"/>
      <c r="K187" s="54"/>
      <c r="L187" s="54"/>
      <c r="M187" s="19"/>
      <c r="N187" s="54"/>
      <c r="O187" s="21"/>
      <c r="P187" s="5"/>
    </row>
    <row r="188" spans="1:16" s="4" customFormat="1" x14ac:dyDescent="0.15">
      <c r="A188" s="15"/>
      <c r="B188" s="16"/>
      <c r="C188" s="16"/>
      <c r="D188" s="16"/>
      <c r="E188" s="17"/>
      <c r="F188" s="16"/>
      <c r="G188" s="16"/>
      <c r="H188" s="16"/>
      <c r="I188" s="16"/>
      <c r="J188" s="54"/>
      <c r="K188" s="54"/>
      <c r="L188" s="54"/>
      <c r="M188" s="19"/>
      <c r="N188" s="54"/>
      <c r="O188" s="21"/>
      <c r="P188" s="5"/>
    </row>
    <row r="189" spans="1:16" s="4" customFormat="1" x14ac:dyDescent="0.15">
      <c r="A189" s="15"/>
      <c r="B189" s="16"/>
      <c r="C189" s="16"/>
      <c r="D189" s="16"/>
      <c r="E189" s="17"/>
      <c r="F189" s="16"/>
      <c r="G189" s="16"/>
      <c r="H189" s="16"/>
      <c r="I189" s="16"/>
      <c r="J189" s="54"/>
      <c r="K189" s="54"/>
      <c r="L189" s="54"/>
      <c r="M189" s="19"/>
      <c r="N189" s="54"/>
      <c r="O189" s="21"/>
      <c r="P189" s="5"/>
    </row>
    <row r="190" spans="1:16" s="4" customFormat="1" x14ac:dyDescent="0.15">
      <c r="A190" s="15"/>
      <c r="B190" s="16"/>
      <c r="C190" s="16"/>
      <c r="D190" s="16"/>
      <c r="E190" s="17"/>
      <c r="F190" s="16"/>
      <c r="G190" s="16"/>
      <c r="H190" s="16"/>
      <c r="I190" s="16"/>
      <c r="J190" s="54"/>
      <c r="K190" s="54"/>
      <c r="L190" s="54"/>
      <c r="M190" s="19"/>
      <c r="N190" s="54"/>
      <c r="O190" s="21"/>
      <c r="P190" s="5"/>
    </row>
    <row r="191" spans="1:16" s="4" customFormat="1" x14ac:dyDescent="0.15">
      <c r="A191" s="15"/>
      <c r="B191" s="16"/>
      <c r="C191" s="16"/>
      <c r="D191" s="16"/>
      <c r="E191" s="17"/>
      <c r="F191" s="16"/>
      <c r="G191" s="16"/>
      <c r="H191" s="16"/>
      <c r="I191" s="16"/>
      <c r="J191" s="54"/>
      <c r="K191" s="54"/>
      <c r="L191" s="54"/>
      <c r="M191" s="19"/>
      <c r="N191" s="54"/>
      <c r="O191" s="21"/>
      <c r="P191" s="5"/>
    </row>
    <row r="192" spans="1:16" s="4" customFormat="1" x14ac:dyDescent="0.15">
      <c r="A192" s="15"/>
      <c r="B192" s="16"/>
      <c r="C192" s="16"/>
      <c r="D192" s="16"/>
      <c r="E192" s="17"/>
      <c r="F192" s="16"/>
      <c r="G192" s="16"/>
      <c r="H192" s="16"/>
      <c r="I192" s="16"/>
      <c r="J192" s="54"/>
      <c r="K192" s="54"/>
      <c r="L192" s="54"/>
      <c r="M192" s="19"/>
      <c r="N192" s="54"/>
      <c r="O192" s="21"/>
      <c r="P192" s="5"/>
    </row>
    <row r="193" spans="1:16" s="4" customFormat="1" x14ac:dyDescent="0.15">
      <c r="A193" s="15"/>
      <c r="B193" s="16"/>
      <c r="C193" s="16"/>
      <c r="D193" s="16"/>
      <c r="E193" s="17"/>
      <c r="F193" s="16"/>
      <c r="G193" s="16"/>
      <c r="H193" s="16"/>
      <c r="I193" s="16"/>
      <c r="J193" s="54"/>
      <c r="K193" s="54"/>
      <c r="L193" s="54"/>
      <c r="M193" s="19"/>
      <c r="N193" s="54"/>
      <c r="O193" s="21"/>
      <c r="P193" s="5"/>
    </row>
    <row r="194" spans="1:16" s="4" customFormat="1" x14ac:dyDescent="0.15">
      <c r="A194" s="15"/>
      <c r="B194" s="16"/>
      <c r="C194" s="16"/>
      <c r="D194" s="16"/>
      <c r="E194" s="17"/>
      <c r="F194" s="16"/>
      <c r="G194" s="16"/>
      <c r="H194" s="16"/>
      <c r="I194" s="16"/>
      <c r="J194" s="54"/>
      <c r="K194" s="54"/>
      <c r="L194" s="54"/>
      <c r="M194" s="19"/>
      <c r="N194" s="54"/>
      <c r="O194" s="21"/>
      <c r="P194" s="5"/>
    </row>
    <row r="195" spans="1:16" s="4" customFormat="1" x14ac:dyDescent="0.15">
      <c r="A195" s="15"/>
      <c r="B195" s="16"/>
      <c r="C195" s="16"/>
      <c r="D195" s="16"/>
      <c r="E195" s="17"/>
      <c r="F195" s="16"/>
      <c r="G195" s="16"/>
      <c r="H195" s="16"/>
      <c r="I195" s="16"/>
      <c r="J195" s="54"/>
      <c r="K195" s="54"/>
      <c r="L195" s="54"/>
      <c r="M195" s="19"/>
      <c r="N195" s="54"/>
      <c r="O195" s="21"/>
      <c r="P195" s="5"/>
    </row>
    <row r="196" spans="1:16" s="4" customFormat="1" x14ac:dyDescent="0.15">
      <c r="A196" s="15"/>
      <c r="B196" s="16"/>
      <c r="C196" s="16"/>
      <c r="D196" s="16"/>
      <c r="E196" s="17"/>
      <c r="F196" s="16"/>
      <c r="G196" s="16"/>
      <c r="H196" s="16"/>
      <c r="I196" s="16"/>
      <c r="J196" s="54"/>
      <c r="K196" s="54"/>
      <c r="L196" s="54"/>
      <c r="M196" s="19"/>
      <c r="N196" s="54"/>
      <c r="O196" s="21"/>
      <c r="P196" s="5"/>
    </row>
    <row r="197" spans="1:16" s="4" customFormat="1" x14ac:dyDescent="0.15">
      <c r="A197" s="15"/>
      <c r="B197" s="16"/>
      <c r="C197" s="16"/>
      <c r="D197" s="16"/>
      <c r="E197" s="17"/>
      <c r="F197" s="16"/>
      <c r="G197" s="16"/>
      <c r="H197" s="16"/>
      <c r="I197" s="16"/>
      <c r="J197" s="54"/>
      <c r="K197" s="54"/>
      <c r="L197" s="54"/>
      <c r="M197" s="19"/>
      <c r="N197" s="54"/>
      <c r="O197" s="21"/>
      <c r="P197" s="5"/>
    </row>
    <row r="198" spans="1:16" s="4" customFormat="1" x14ac:dyDescent="0.15">
      <c r="A198" s="15"/>
      <c r="B198" s="16"/>
      <c r="C198" s="16"/>
      <c r="D198" s="16"/>
      <c r="E198" s="17"/>
      <c r="F198" s="16"/>
      <c r="G198" s="16"/>
      <c r="H198" s="16"/>
      <c r="I198" s="16"/>
      <c r="J198" s="54"/>
      <c r="K198" s="54"/>
      <c r="L198" s="54"/>
      <c r="M198" s="19"/>
      <c r="N198" s="54"/>
      <c r="O198" s="21"/>
      <c r="P198" s="5"/>
    </row>
    <row r="199" spans="1:16" s="4" customFormat="1" x14ac:dyDescent="0.15">
      <c r="A199" s="15"/>
      <c r="B199" s="16"/>
      <c r="C199" s="16"/>
      <c r="D199" s="16"/>
      <c r="E199" s="17"/>
      <c r="F199" s="16"/>
      <c r="G199" s="16"/>
      <c r="H199" s="16"/>
      <c r="I199" s="16"/>
      <c r="J199" s="54"/>
      <c r="K199" s="54"/>
      <c r="L199" s="54"/>
      <c r="M199" s="19"/>
      <c r="N199" s="54"/>
      <c r="O199" s="21"/>
      <c r="P199" s="5"/>
    </row>
    <row r="200" spans="1:16" s="4" customFormat="1" x14ac:dyDescent="0.15">
      <c r="A200" s="15"/>
      <c r="B200" s="16"/>
      <c r="C200" s="16"/>
      <c r="D200" s="16"/>
      <c r="E200" s="17"/>
      <c r="F200" s="16"/>
      <c r="G200" s="16"/>
      <c r="H200" s="16"/>
      <c r="I200" s="16"/>
      <c r="J200" s="54"/>
      <c r="K200" s="54"/>
      <c r="L200" s="54"/>
      <c r="M200" s="19"/>
      <c r="N200" s="54"/>
      <c r="O200" s="21"/>
      <c r="P200" s="5"/>
    </row>
  </sheetData>
  <sheetProtection algorithmName="SHA-512" hashValue="z9oEEZJzzQavmaRjmpxAIpMmErvGnFNNICVegB1cEvnogIlBVmYfIfDsgIO4CdVQJuUpu2OCndOm7iRjvF8biQ==" saltValue="D9nu5A13Upr0ecn2WfJUfQ==" spinCount="100000" sheet="1" objects="1" scenarios="1"/>
  <mergeCells count="13">
    <mergeCell ref="B63:D63"/>
    <mergeCell ref="F62:H62"/>
    <mergeCell ref="F63:H63"/>
    <mergeCell ref="F1:K1"/>
    <mergeCell ref="F59:H59"/>
    <mergeCell ref="F60:H60"/>
    <mergeCell ref="F61:H61"/>
    <mergeCell ref="F58:H58"/>
    <mergeCell ref="B58:D58"/>
    <mergeCell ref="B59:D59"/>
    <mergeCell ref="B60:D60"/>
    <mergeCell ref="B61:D61"/>
    <mergeCell ref="B62:D62"/>
  </mergeCells>
  <phoneticPr fontId="28" type="noConversion"/>
  <printOptions gridLines="1"/>
  <pageMargins left="0.70866141732283472" right="0.70866141732283472" top="0.63" bottom="0.57999999999999996" header="0.31496062992125984" footer="0.31496062992125984"/>
  <pageSetup paperSize="8" scale="73" fitToWidth="2" fitToHeight="2" orientation="landscape" r:id="rId1"/>
  <headerFooter>
    <oddHeader>&amp;C&amp;"-,Vet"&amp;14Dashboard uitgaven Wmo 18+ Maatwerk  Groningen</oddHeader>
    <oddFooter>&amp;L&amp;V Vertrouwelijk&amp;V&amp;C&amp;D&amp;RPagina &amp;P</oddFooter>
  </headerFooter>
  <ignoredErrors>
    <ignoredError sqref="J23:L23 K13:L13"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995D7-7258-42E3-8F88-00817A1BB8EB}">
  <sheetPr codeName="Blad4">
    <tabColor theme="5"/>
    <pageSetUpPr fitToPage="1"/>
  </sheetPr>
  <dimension ref="A1:AS207"/>
  <sheetViews>
    <sheetView zoomScale="75" zoomScaleNormal="75" workbookViewId="0"/>
  </sheetViews>
  <sheetFormatPr baseColWidth="10" defaultColWidth="9.5" defaultRowHeight="14" outlineLevelRow="1" x14ac:dyDescent="0.15"/>
  <cols>
    <col min="1" max="1" width="3.5" style="15" customWidth="1"/>
    <col min="2" max="2" width="50.5" style="55" customWidth="1"/>
    <col min="3" max="4" width="15.5" style="55" customWidth="1"/>
    <col min="5" max="5" width="16.83203125" style="56" customWidth="1"/>
    <col min="6" max="8" width="15.5" style="55" customWidth="1"/>
    <col min="9" max="9" width="3.5" style="16" customWidth="1"/>
    <col min="10" max="12" width="15.5" style="57" customWidth="1"/>
    <col min="13" max="13" width="3.1640625" style="19" customWidth="1"/>
    <col min="14" max="14" width="26.5" style="57" bestFit="1" customWidth="1"/>
    <col min="15" max="15" width="21.5" style="58" bestFit="1" customWidth="1"/>
    <col min="16" max="16" width="11.5" style="5" bestFit="1" customWidth="1"/>
    <col min="17" max="18" width="10.5" style="4" bestFit="1" customWidth="1"/>
    <col min="19" max="45" width="9.5" style="4"/>
    <col min="46" max="16384" width="9.5" style="2"/>
  </cols>
  <sheetData>
    <row r="1" spans="1:45" s="4" customFormat="1" ht="36" customHeight="1" x14ac:dyDescent="0.25">
      <c r="A1" s="15"/>
      <c r="B1" s="307" t="s">
        <v>108</v>
      </c>
      <c r="C1" s="195"/>
      <c r="D1" s="195"/>
      <c r="E1" s="196"/>
      <c r="F1" s="522" t="s">
        <v>159</v>
      </c>
      <c r="G1" s="522"/>
      <c r="H1" s="522"/>
      <c r="I1" s="522"/>
      <c r="J1" s="522"/>
      <c r="K1" s="522"/>
      <c r="L1" s="302"/>
      <c r="M1" s="19"/>
      <c r="N1" s="20"/>
      <c r="O1" s="21"/>
      <c r="P1" s="5"/>
    </row>
    <row r="2" spans="1:45" s="1" customFormat="1" ht="51" customHeight="1" thickBot="1" x14ac:dyDescent="0.2">
      <c r="A2" s="22"/>
      <c r="B2" s="217" t="s">
        <v>0</v>
      </c>
      <c r="C2" s="217" t="s">
        <v>217</v>
      </c>
      <c r="D2" s="217" t="s">
        <v>97</v>
      </c>
      <c r="E2" s="217" t="s">
        <v>218</v>
      </c>
      <c r="F2" s="217" t="s">
        <v>11</v>
      </c>
      <c r="G2" s="217" t="s">
        <v>12</v>
      </c>
      <c r="H2" s="217" t="s">
        <v>19</v>
      </c>
      <c r="I2" s="218"/>
      <c r="J2" s="219" t="s">
        <v>18</v>
      </c>
      <c r="K2" s="219" t="s">
        <v>24</v>
      </c>
      <c r="L2" s="219" t="s">
        <v>15</v>
      </c>
      <c r="M2" s="16"/>
      <c r="N2" s="217" t="s">
        <v>16</v>
      </c>
      <c r="O2" s="217" t="s">
        <v>1</v>
      </c>
      <c r="P2" s="5"/>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row>
    <row r="3" spans="1:45" ht="19.5" customHeight="1" thickTop="1" thickBot="1" x14ac:dyDescent="0.2">
      <c r="A3" s="15">
        <v>1</v>
      </c>
      <c r="B3" s="200" t="s">
        <v>105</v>
      </c>
      <c r="C3" s="423">
        <f>'producten &amp; tarieven'!K17</f>
        <v>57.296129858969991</v>
      </c>
      <c r="D3" s="280">
        <f>'Eenheden 2019'!C3</f>
        <v>13367.166666666666</v>
      </c>
      <c r="E3" s="216">
        <f>C3*D3</f>
        <v>765886.91717982828</v>
      </c>
      <c r="F3" s="198"/>
      <c r="G3" s="198"/>
      <c r="H3" s="459"/>
      <c r="J3" s="226">
        <f>SUM(J4:J7)</f>
        <v>41645.426691340261</v>
      </c>
      <c r="K3" s="226">
        <f>SUM(K4:K7)</f>
        <v>-272322.34938324033</v>
      </c>
      <c r="L3" s="226">
        <f>SUM(L4:L7)</f>
        <v>-2491.3655248004115</v>
      </c>
      <c r="N3" s="216">
        <f>SUM(J3:L3)</f>
        <v>-233168.28821670049</v>
      </c>
      <c r="O3" s="24">
        <f>+E3+N3</f>
        <v>532718.62896312773</v>
      </c>
      <c r="S3" s="7"/>
    </row>
    <row r="4" spans="1:45" outlineLevel="1" thickTop="1" x14ac:dyDescent="0.15">
      <c r="A4" s="25" t="s">
        <v>6</v>
      </c>
      <c r="B4" s="204" t="s">
        <v>2</v>
      </c>
      <c r="C4" s="422">
        <f>'producten &amp; tarieven'!K17</f>
        <v>57.296129858969991</v>
      </c>
      <c r="D4" s="282">
        <f>'Eenheden 2019'!C4</f>
        <v>4844.6762663470372</v>
      </c>
      <c r="E4" s="213">
        <f t="shared" ref="E4:E52" si="0">C4*D4</f>
        <v>277581.20048128971</v>
      </c>
      <c r="F4" s="27">
        <f>'T-effecten'!B4</f>
        <v>-0.5</v>
      </c>
      <c r="G4" s="27">
        <f>'T-effecten'!C4</f>
        <v>0</v>
      </c>
      <c r="H4" s="470">
        <f>'T-effecten'!E4</f>
        <v>0.15002970885323827</v>
      </c>
      <c r="J4" s="29">
        <f>H4*E4</f>
        <v>41645.426691340261</v>
      </c>
      <c r="K4" s="29">
        <f>F4*(E4+J4)</f>
        <v>-159613.31358631499</v>
      </c>
      <c r="L4" s="59">
        <f>G4*(E4+J4+K4)</f>
        <v>0</v>
      </c>
      <c r="N4" s="30">
        <f>SUM(J4:L4)</f>
        <v>-117967.88689497474</v>
      </c>
      <c r="O4" s="31">
        <f t="shared" ref="O4:O29" si="1">+E4+N4</f>
        <v>159613.31358631497</v>
      </c>
    </row>
    <row r="5" spans="1:45" ht="13" outlineLevel="1" x14ac:dyDescent="0.15">
      <c r="A5" s="25" t="s">
        <v>7</v>
      </c>
      <c r="B5" s="26" t="s">
        <v>154</v>
      </c>
      <c r="C5" s="422">
        <f>'producten &amp; tarieven'!K17</f>
        <v>57.296129858969991</v>
      </c>
      <c r="D5" s="282">
        <f>'Eenheden 2019'!C5</f>
        <v>5252.7386584637316</v>
      </c>
      <c r="E5" s="209">
        <f t="shared" si="0"/>
        <v>300961.59629056981</v>
      </c>
      <c r="F5" s="27">
        <f>'T-effecten'!B5</f>
        <v>-0.25</v>
      </c>
      <c r="G5" s="27">
        <f>'T-effecten'!C5</f>
        <v>0</v>
      </c>
      <c r="H5" s="471"/>
      <c r="J5" s="29">
        <f>H5*E5</f>
        <v>0</v>
      </c>
      <c r="K5" s="29">
        <f>F5*(E5+J5)</f>
        <v>-75240.399072642453</v>
      </c>
      <c r="L5" s="59">
        <f>G5*(E5+J5+K5)</f>
        <v>0</v>
      </c>
      <c r="N5" s="30">
        <f t="shared" ref="N5:N52" si="2">SUM(J5:L5)</f>
        <v>-75240.399072642453</v>
      </c>
      <c r="O5" s="31">
        <f t="shared" si="1"/>
        <v>225721.19721792737</v>
      </c>
    </row>
    <row r="6" spans="1:45" ht="13" outlineLevel="1" x14ac:dyDescent="0.15">
      <c r="A6" s="25" t="s">
        <v>8</v>
      </c>
      <c r="B6" s="26" t="s">
        <v>181</v>
      </c>
      <c r="C6" s="424">
        <f>'producten &amp; tarieven'!K17</f>
        <v>57.296129858969991</v>
      </c>
      <c r="D6" s="282">
        <f>'Eenheden 2019'!C6</f>
        <v>2726.2070744723324</v>
      </c>
      <c r="E6" s="209">
        <f t="shared" si="0"/>
        <v>156201.11456140943</v>
      </c>
      <c r="F6" s="27">
        <f>'T-effecten'!B6</f>
        <v>-0.2</v>
      </c>
      <c r="G6" s="27">
        <f>'T-effecten'!C6</f>
        <v>0</v>
      </c>
      <c r="H6" s="471"/>
      <c r="J6" s="29">
        <f>H6*E6</f>
        <v>0</v>
      </c>
      <c r="K6" s="29">
        <f>F6*(E6+J6)</f>
        <v>-31240.222912281886</v>
      </c>
      <c r="L6" s="59">
        <f>G6*(E6+J6+K6)</f>
        <v>0</v>
      </c>
      <c r="N6" s="30">
        <f t="shared" si="2"/>
        <v>-31240.222912281886</v>
      </c>
      <c r="O6" s="31">
        <f t="shared" si="1"/>
        <v>124960.89164912754</v>
      </c>
    </row>
    <row r="7" spans="1:45" ht="13" outlineLevel="1" x14ac:dyDescent="0.15">
      <c r="A7" s="25" t="s">
        <v>9</v>
      </c>
      <c r="B7" s="26" t="s">
        <v>5</v>
      </c>
      <c r="C7" s="424">
        <f>'producten &amp; tarieven'!K17</f>
        <v>57.296129858969991</v>
      </c>
      <c r="D7" s="282">
        <f>'Eenheden 2019'!C7</f>
        <v>543.52831747377957</v>
      </c>
      <c r="E7" s="209">
        <f t="shared" si="0"/>
        <v>31142.069060005142</v>
      </c>
      <c r="F7" s="27">
        <f>'T-effecten'!B7</f>
        <v>-0.2</v>
      </c>
      <c r="G7" s="27">
        <f>'T-effecten'!C7</f>
        <v>-0.1</v>
      </c>
      <c r="H7" s="471"/>
      <c r="J7" s="29">
        <f>H7*E7</f>
        <v>0</v>
      </c>
      <c r="K7" s="29">
        <f>F7*(E7+J7)</f>
        <v>-6228.4138120010284</v>
      </c>
      <c r="L7" s="59">
        <f>G7*(E7+J7+K7)</f>
        <v>-2491.3655248004115</v>
      </c>
      <c r="N7" s="30">
        <f t="shared" si="2"/>
        <v>-8719.7793368014391</v>
      </c>
      <c r="O7" s="31">
        <f t="shared" si="1"/>
        <v>22422.289723203703</v>
      </c>
    </row>
    <row r="8" spans="1:45" ht="15" thickBot="1" x14ac:dyDescent="0.2">
      <c r="A8" s="15">
        <v>2</v>
      </c>
      <c r="B8" s="201" t="s">
        <v>104</v>
      </c>
      <c r="C8" s="421">
        <f>'producten &amp; tarieven'!L17</f>
        <v>71.452114015285076</v>
      </c>
      <c r="D8" s="280">
        <f>'Eenheden 2019'!C8</f>
        <v>13676.94600350238</v>
      </c>
      <c r="E8" s="216">
        <f t="shared" si="0"/>
        <v>977246.70522314962</v>
      </c>
      <c r="F8" s="197"/>
      <c r="G8" s="197"/>
      <c r="H8" s="463"/>
      <c r="J8" s="227">
        <f>SUM(J9:J12)</f>
        <v>37560.404375207829</v>
      </c>
      <c r="K8" s="227">
        <f>SUM(K9:K12)</f>
        <v>-174967.69726210757</v>
      </c>
      <c r="L8" s="227">
        <f>SUM(L9:L12)</f>
        <v>-81369.956057857024</v>
      </c>
      <c r="N8" s="212">
        <f t="shared" si="2"/>
        <v>-218777.24894475675</v>
      </c>
      <c r="O8" s="34">
        <f t="shared" si="1"/>
        <v>758469.45627839281</v>
      </c>
    </row>
    <row r="9" spans="1:45" outlineLevel="1" thickTop="1" x14ac:dyDescent="0.15">
      <c r="A9" s="25" t="s">
        <v>6</v>
      </c>
      <c r="B9" s="193" t="s">
        <v>2</v>
      </c>
      <c r="C9" s="422">
        <f>'producten &amp; tarieven'!L17</f>
        <v>71.452114015285076</v>
      </c>
      <c r="D9" s="282">
        <f>'Eenheden 2019'!C9</f>
        <v>3503.7887204977401</v>
      </c>
      <c r="E9" s="213">
        <f t="shared" si="0"/>
        <v>250353.11114247434</v>
      </c>
      <c r="F9" s="27">
        <f>'T-effecten'!B9</f>
        <v>-0.2</v>
      </c>
      <c r="G9" s="27">
        <f>'T-effecten'!C9</f>
        <v>-0.1</v>
      </c>
      <c r="H9" s="470">
        <f>'T-effecten'!E9</f>
        <v>0.15002970885323827</v>
      </c>
      <c r="J9" s="29">
        <f>H9*E9</f>
        <v>37560.404375207829</v>
      </c>
      <c r="K9" s="29">
        <f>F9*(E9+J9)</f>
        <v>-57582.703103536442</v>
      </c>
      <c r="L9" s="59">
        <f>G9*(E9+J9+K9)</f>
        <v>-23033.081241414577</v>
      </c>
      <c r="N9" s="30">
        <f t="shared" si="2"/>
        <v>-43055.37996974319</v>
      </c>
      <c r="O9" s="31">
        <f t="shared" si="1"/>
        <v>207297.73117273115</v>
      </c>
      <c r="Q9" s="10"/>
      <c r="R9" s="10"/>
    </row>
    <row r="10" spans="1:45" ht="13" outlineLevel="1" x14ac:dyDescent="0.15">
      <c r="A10" s="25" t="s">
        <v>7</v>
      </c>
      <c r="B10" s="26" t="s">
        <v>154</v>
      </c>
      <c r="C10" s="424">
        <f>'producten &amp; tarieven'!L17</f>
        <v>71.452114015285076</v>
      </c>
      <c r="D10" s="282">
        <f>'Eenheden 2019'!C10</f>
        <v>6209.7235002005809</v>
      </c>
      <c r="E10" s="209">
        <f t="shared" si="0"/>
        <v>443697.87153972703</v>
      </c>
      <c r="F10" s="27">
        <f>'T-effecten'!B10</f>
        <v>-0.15</v>
      </c>
      <c r="G10" s="27">
        <f>'T-effecten'!C10</f>
        <v>-0.1</v>
      </c>
      <c r="H10" s="471"/>
      <c r="J10" s="29">
        <f>H10*E10</f>
        <v>0</v>
      </c>
      <c r="K10" s="29">
        <f>F10*(E10+J10)</f>
        <v>-66554.680730959051</v>
      </c>
      <c r="L10" s="59">
        <f>G10*(E10+J10+K10)</f>
        <v>-37714.319080876798</v>
      </c>
      <c r="N10" s="30">
        <f t="shared" si="2"/>
        <v>-104268.99981183585</v>
      </c>
      <c r="O10" s="31">
        <f t="shared" si="1"/>
        <v>339428.87172789115</v>
      </c>
    </row>
    <row r="11" spans="1:45" ht="13" outlineLevel="1" x14ac:dyDescent="0.15">
      <c r="A11" s="25" t="s">
        <v>8</v>
      </c>
      <c r="B11" s="26" t="s">
        <v>181</v>
      </c>
      <c r="C11" s="424">
        <f>'producten &amp; tarieven'!L17</f>
        <v>71.452114015285076</v>
      </c>
      <c r="D11" s="282">
        <f>'Eenheden 2019'!C11</f>
        <v>3150.4810429796767</v>
      </c>
      <c r="E11" s="209">
        <f t="shared" si="0"/>
        <v>225108.5306859781</v>
      </c>
      <c r="F11" s="27">
        <f>'T-effecten'!B11</f>
        <v>-0.2</v>
      </c>
      <c r="G11" s="27">
        <f>'T-effecten'!C11</f>
        <v>-0.1</v>
      </c>
      <c r="H11" s="471"/>
      <c r="J11" s="29">
        <f>H11*E11</f>
        <v>0</v>
      </c>
      <c r="K11" s="29">
        <f>F11*(E11+J11)</f>
        <v>-45021.706137195622</v>
      </c>
      <c r="L11" s="59">
        <f>G11*(E11+J11+K11)</f>
        <v>-18008.68245487825</v>
      </c>
      <c r="N11" s="30">
        <f t="shared" si="2"/>
        <v>-63030.388592073868</v>
      </c>
      <c r="O11" s="31">
        <f t="shared" si="1"/>
        <v>162078.14209390423</v>
      </c>
    </row>
    <row r="12" spans="1:45" ht="13" outlineLevel="1" x14ac:dyDescent="0.15">
      <c r="A12" s="25" t="s">
        <v>9</v>
      </c>
      <c r="B12" s="26" t="s">
        <v>5</v>
      </c>
      <c r="C12" s="424">
        <f>'producten &amp; tarieven'!L17</f>
        <v>71.452114015285076</v>
      </c>
      <c r="D12" s="282">
        <f>'Eenheden 2019'!C12</f>
        <v>812.9370796746274</v>
      </c>
      <c r="E12" s="209">
        <f t="shared" si="0"/>
        <v>58086.072904164364</v>
      </c>
      <c r="F12" s="27">
        <f>'T-effecten'!B12</f>
        <v>-0.1</v>
      </c>
      <c r="G12" s="199">
        <f>'T-effecten'!C12</f>
        <v>-0.05</v>
      </c>
      <c r="H12" s="471"/>
      <c r="J12" s="29">
        <f>H12*E12</f>
        <v>0</v>
      </c>
      <c r="K12" s="29">
        <f>F12*(E12+J12)</f>
        <v>-5808.6072904164366</v>
      </c>
      <c r="L12" s="59">
        <f>G12*(E12+J12+K12)</f>
        <v>-2613.8732806873963</v>
      </c>
      <c r="N12" s="30">
        <f t="shared" si="2"/>
        <v>-8422.4805711038334</v>
      </c>
      <c r="O12" s="31">
        <f t="shared" si="1"/>
        <v>49663.592333060529</v>
      </c>
    </row>
    <row r="13" spans="1:45" ht="15" thickBot="1" x14ac:dyDescent="0.2">
      <c r="A13" s="15">
        <v>3</v>
      </c>
      <c r="B13" s="201" t="s">
        <v>101</v>
      </c>
      <c r="C13" s="211">
        <f>'producten &amp; tarieven'!G17</f>
        <v>36.10395767297338</v>
      </c>
      <c r="D13" s="280">
        <f>'Eenheden 2019'!C13</f>
        <v>13858</v>
      </c>
      <c r="E13" s="216">
        <f t="shared" si="0"/>
        <v>500328.64543206507</v>
      </c>
      <c r="F13" s="197"/>
      <c r="G13" s="197"/>
      <c r="H13" s="463"/>
      <c r="J13" s="227">
        <f>SUM(J14:J17)</f>
        <v>16077.034678311007</v>
      </c>
      <c r="K13" s="227">
        <f>SUM(K14:K17)</f>
        <v>-215130.56936173869</v>
      </c>
      <c r="L13" s="227">
        <f>SUM(L14:L17)</f>
        <v>-9792.1897216459365</v>
      </c>
      <c r="N13" s="212">
        <f t="shared" si="2"/>
        <v>-208845.72440507362</v>
      </c>
      <c r="O13" s="34">
        <f t="shared" si="1"/>
        <v>291482.92102699145</v>
      </c>
    </row>
    <row r="14" spans="1:45" outlineLevel="1" thickTop="1" x14ac:dyDescent="0.15">
      <c r="A14" s="25" t="s">
        <v>6</v>
      </c>
      <c r="B14" s="193" t="s">
        <v>2</v>
      </c>
      <c r="C14" s="208">
        <f>'producten &amp; tarieven'!G17</f>
        <v>36.10395767297338</v>
      </c>
      <c r="D14" s="282">
        <f>'Eenheden 2019'!C14</f>
        <v>2968.0681644716396</v>
      </c>
      <c r="E14" s="213">
        <f t="shared" si="0"/>
        <v>107159.00738058386</v>
      </c>
      <c r="F14" s="199">
        <f>'T-effecten'!B14</f>
        <v>-0.7</v>
      </c>
      <c r="G14" s="27">
        <f>'T-effecten'!C14</f>
        <v>0</v>
      </c>
      <c r="H14" s="470">
        <f>'T-effecten'!E14</f>
        <v>0.15002970885323827</v>
      </c>
      <c r="J14" s="29">
        <f>H14*E14</f>
        <v>16077.034678311007</v>
      </c>
      <c r="K14" s="29">
        <f>F14*(E14+J14)</f>
        <v>-86265.229441226402</v>
      </c>
      <c r="L14" s="59">
        <f>G14*(E14+J14+K14)</f>
        <v>0</v>
      </c>
      <c r="N14" s="30">
        <f t="shared" si="2"/>
        <v>-70188.194762915402</v>
      </c>
      <c r="O14" s="31">
        <f t="shared" si="1"/>
        <v>36970.81261766846</v>
      </c>
    </row>
    <row r="15" spans="1:45" ht="13" outlineLevel="1" x14ac:dyDescent="0.15">
      <c r="A15" s="25" t="s">
        <v>7</v>
      </c>
      <c r="B15" s="26" t="s">
        <v>154</v>
      </c>
      <c r="C15" s="210">
        <f>'producten &amp; tarieven'!G17</f>
        <v>36.10395767297338</v>
      </c>
      <c r="D15" s="282">
        <f>'Eenheden 2019'!C15</f>
        <v>3390.2757317988408</v>
      </c>
      <c r="E15" s="209">
        <f t="shared" si="0"/>
        <v>122402.37152057419</v>
      </c>
      <c r="F15" s="27">
        <f>'T-effecten'!B15</f>
        <v>-0.2</v>
      </c>
      <c r="G15" s="27">
        <f>'T-effecten'!C15</f>
        <v>-0.1</v>
      </c>
      <c r="H15" s="471"/>
      <c r="J15" s="29">
        <f>H15*E15</f>
        <v>0</v>
      </c>
      <c r="K15" s="29">
        <f>F15*(E15+J15)</f>
        <v>-24480.474304114839</v>
      </c>
      <c r="L15" s="59">
        <f>G15*(E15+J15+K15)</f>
        <v>-9792.1897216459365</v>
      </c>
      <c r="N15" s="30">
        <f t="shared" si="2"/>
        <v>-34272.66402576078</v>
      </c>
      <c r="O15" s="31">
        <f t="shared" si="1"/>
        <v>88129.70749481341</v>
      </c>
    </row>
    <row r="16" spans="1:45" ht="13" outlineLevel="1" x14ac:dyDescent="0.15">
      <c r="A16" s="25" t="s">
        <v>8</v>
      </c>
      <c r="B16" s="26" t="s">
        <v>181</v>
      </c>
      <c r="C16" s="210">
        <f>'producten &amp; tarieven'!G17</f>
        <v>36.10395767297338</v>
      </c>
      <c r="D16" s="282">
        <f>'Eenheden 2019'!C16</f>
        <v>6957.9318355283604</v>
      </c>
      <c r="E16" s="209">
        <f t="shared" si="0"/>
        <v>251208.8764813499</v>
      </c>
      <c r="F16" s="27">
        <f>'T-effecten'!B16</f>
        <v>-0.4</v>
      </c>
      <c r="G16" s="27">
        <f>'T-effecten'!C16</f>
        <v>0</v>
      </c>
      <c r="H16" s="471"/>
      <c r="J16" s="29">
        <f>H16*E16</f>
        <v>0</v>
      </c>
      <c r="K16" s="29">
        <f>F16*(E16+J16)</f>
        <v>-100483.55059253996</v>
      </c>
      <c r="L16" s="59">
        <f>G16*(E16+J16+K16)</f>
        <v>0</v>
      </c>
      <c r="N16" s="30">
        <f t="shared" si="2"/>
        <v>-100483.55059253996</v>
      </c>
      <c r="O16" s="31">
        <f t="shared" si="1"/>
        <v>150725.32588880992</v>
      </c>
    </row>
    <row r="17" spans="1:15" ht="13" outlineLevel="1" x14ac:dyDescent="0.15">
      <c r="A17" s="25" t="s">
        <v>9</v>
      </c>
      <c r="B17" s="26" t="s">
        <v>5</v>
      </c>
      <c r="C17" s="210">
        <f>'producten &amp; tarieven'!G17</f>
        <v>36.10395767297338</v>
      </c>
      <c r="D17" s="282">
        <f>'Eenheden 2019'!C17</f>
        <v>540.28910891089106</v>
      </c>
      <c r="E17" s="209">
        <f t="shared" si="0"/>
        <v>19506.575119287314</v>
      </c>
      <c r="F17" s="27">
        <f>'T-effecten'!B17</f>
        <v>-0.2</v>
      </c>
      <c r="G17" s="27">
        <f>'T-effecten'!C17</f>
        <v>0</v>
      </c>
      <c r="H17" s="471"/>
      <c r="J17" s="29">
        <f>H17*E17</f>
        <v>0</v>
      </c>
      <c r="K17" s="29">
        <f>F17*(E17+J17)</f>
        <v>-3901.3150238574631</v>
      </c>
      <c r="L17" s="59">
        <f>G17*(E17+J17+K17)</f>
        <v>0</v>
      </c>
      <c r="N17" s="30">
        <f t="shared" si="2"/>
        <v>-3901.3150238574631</v>
      </c>
      <c r="O17" s="31">
        <f t="shared" si="1"/>
        <v>15605.26009542985</v>
      </c>
    </row>
    <row r="18" spans="1:15" ht="15" thickBot="1" x14ac:dyDescent="0.2">
      <c r="A18" s="15">
        <v>4</v>
      </c>
      <c r="B18" s="201" t="s">
        <v>102</v>
      </c>
      <c r="C18" s="211">
        <f>'producten &amp; tarieven'!H17</f>
        <v>48.858878642934805</v>
      </c>
      <c r="D18" s="280">
        <f>'Eenheden 2019'!C18</f>
        <v>4822.1433657690877</v>
      </c>
      <c r="E18" s="216">
        <f t="shared" si="0"/>
        <v>235604.51750694503</v>
      </c>
      <c r="F18" s="197"/>
      <c r="G18" s="197"/>
      <c r="H18" s="463"/>
      <c r="J18" s="227">
        <f>SUM(J19:J22)</f>
        <v>11566.530179407084</v>
      </c>
      <c r="K18" s="227">
        <f>SUM(K19:K22)</f>
        <v>-23388.961062835177</v>
      </c>
      <c r="L18" s="227">
        <f>SUM(L19:L22)</f>
        <v>-19854.73562133162</v>
      </c>
      <c r="N18" s="212">
        <f t="shared" si="2"/>
        <v>-31677.166504759713</v>
      </c>
      <c r="O18" s="34">
        <f t="shared" si="1"/>
        <v>203927.35100218531</v>
      </c>
    </row>
    <row r="19" spans="1:15" outlineLevel="1" thickTop="1" x14ac:dyDescent="0.15">
      <c r="A19" s="25" t="s">
        <v>6</v>
      </c>
      <c r="B19" s="193" t="s">
        <v>2</v>
      </c>
      <c r="C19" s="208">
        <f>'producten &amp; tarieven'!H17</f>
        <v>48.858878642934805</v>
      </c>
      <c r="D19" s="282">
        <f>'Eenheden 2019'!C19</f>
        <v>1577.910381707542</v>
      </c>
      <c r="E19" s="213">
        <f t="shared" si="0"/>
        <v>77094.93184927573</v>
      </c>
      <c r="F19" s="199">
        <f>'T-effecten'!B19</f>
        <v>-0.1</v>
      </c>
      <c r="G19" s="199">
        <f>'T-effecten'!C19</f>
        <v>-0.1</v>
      </c>
      <c r="H19" s="470">
        <f>'T-effecten'!E19</f>
        <v>0.15002970885323827</v>
      </c>
      <c r="J19" s="29">
        <f>H19*E19</f>
        <v>11566.530179407084</v>
      </c>
      <c r="K19" s="29">
        <f>F19*(E19+J19)</f>
        <v>-8866.1462028682818</v>
      </c>
      <c r="L19" s="59">
        <f>G19*(E19+J19+K19)</f>
        <v>-7979.5315825814532</v>
      </c>
      <c r="N19" s="30">
        <f t="shared" si="2"/>
        <v>-5279.1476060426512</v>
      </c>
      <c r="O19" s="31">
        <f t="shared" si="1"/>
        <v>71815.78424323308</v>
      </c>
    </row>
    <row r="20" spans="1:15" ht="13" outlineLevel="1" x14ac:dyDescent="0.15">
      <c r="A20" s="25" t="s">
        <v>7</v>
      </c>
      <c r="B20" s="26" t="s">
        <v>154</v>
      </c>
      <c r="C20" s="210">
        <f>'producten &amp; tarieven'!H17</f>
        <v>48.858878642934805</v>
      </c>
      <c r="D20" s="282">
        <f>'Eenheden 2019'!C20</f>
        <v>0</v>
      </c>
      <c r="E20" s="209">
        <f t="shared" si="0"/>
        <v>0</v>
      </c>
      <c r="F20" s="27">
        <f>'T-effecten'!B20</f>
        <v>-0.1</v>
      </c>
      <c r="G20" s="27">
        <f>'T-effecten'!C20</f>
        <v>-0.1</v>
      </c>
      <c r="H20" s="471"/>
      <c r="J20" s="29">
        <f>H20*E20</f>
        <v>0</v>
      </c>
      <c r="K20" s="29">
        <f>F20*(E20+J20)</f>
        <v>0</v>
      </c>
      <c r="L20" s="59">
        <f t="shared" ref="L20:L22" si="3">G20*(E20+J20+K20)</f>
        <v>0</v>
      </c>
      <c r="N20" s="30">
        <f t="shared" si="2"/>
        <v>0</v>
      </c>
      <c r="O20" s="31">
        <f t="shared" si="1"/>
        <v>0</v>
      </c>
    </row>
    <row r="21" spans="1:15" ht="13" outlineLevel="1" x14ac:dyDescent="0.15">
      <c r="A21" s="25" t="s">
        <v>8</v>
      </c>
      <c r="B21" s="26" t="s">
        <v>181</v>
      </c>
      <c r="C21" s="210">
        <f>'producten &amp; tarieven'!H17</f>
        <v>48.858878642934805</v>
      </c>
      <c r="D21" s="282">
        <f>'Eenheden 2019'!C21</f>
        <v>2700.5677413504977</v>
      </c>
      <c r="E21" s="209">
        <f t="shared" si="0"/>
        <v>131946.71154166851</v>
      </c>
      <c r="F21" s="27">
        <f>'T-effecten'!B21</f>
        <v>-0.1</v>
      </c>
      <c r="G21" s="27">
        <f>'T-effecten'!C21</f>
        <v>-0.1</v>
      </c>
      <c r="H21" s="471"/>
      <c r="J21" s="29">
        <f>H21*E21</f>
        <v>0</v>
      </c>
      <c r="K21" s="29">
        <f t="shared" ref="K21:K22" si="4">F21*(E21+J21)</f>
        <v>-13194.671154166852</v>
      </c>
      <c r="L21" s="59">
        <f t="shared" si="3"/>
        <v>-11875.204038750167</v>
      </c>
      <c r="N21" s="30">
        <f t="shared" si="2"/>
        <v>-25069.875192917018</v>
      </c>
      <c r="O21" s="31">
        <f t="shared" si="1"/>
        <v>106876.8363487515</v>
      </c>
    </row>
    <row r="22" spans="1:15" ht="13" outlineLevel="1" x14ac:dyDescent="0.15">
      <c r="A22" s="25" t="s">
        <v>9</v>
      </c>
      <c r="B22" s="26" t="s">
        <v>5</v>
      </c>
      <c r="C22" s="210">
        <f>'producten &amp; tarieven'!H17</f>
        <v>48.858878642934805</v>
      </c>
      <c r="D22" s="282">
        <f>'Eenheden 2019'!C22</f>
        <v>543.66524271104845</v>
      </c>
      <c r="E22" s="209">
        <f t="shared" si="0"/>
        <v>26562.87411600081</v>
      </c>
      <c r="F22" s="27">
        <f>'T-effecten'!B22</f>
        <v>-0.05</v>
      </c>
      <c r="G22" s="27">
        <f>'T-effecten'!C22</f>
        <v>0</v>
      </c>
      <c r="H22" s="471"/>
      <c r="J22" s="29">
        <f>H22*E22</f>
        <v>0</v>
      </c>
      <c r="K22" s="29">
        <f t="shared" si="4"/>
        <v>-1328.1437058000406</v>
      </c>
      <c r="L22" s="59">
        <f t="shared" si="3"/>
        <v>0</v>
      </c>
      <c r="N22" s="30">
        <f t="shared" si="2"/>
        <v>-1328.1437058000406</v>
      </c>
      <c r="O22" s="31">
        <f t="shared" si="1"/>
        <v>25234.730410200769</v>
      </c>
    </row>
    <row r="23" spans="1:15" ht="15" thickBot="1" x14ac:dyDescent="0.2">
      <c r="A23" s="15">
        <v>5</v>
      </c>
      <c r="B23" s="201" t="s">
        <v>27</v>
      </c>
      <c r="C23" s="211">
        <f>'producten &amp; tarieven'!C17</f>
        <v>44.180909502664626</v>
      </c>
      <c r="D23" s="280">
        <f>'Eenheden 2019'!C23</f>
        <v>513.51666666666665</v>
      </c>
      <c r="E23" s="216">
        <f t="shared" si="0"/>
        <v>22687.633378109997</v>
      </c>
      <c r="F23" s="197"/>
      <c r="G23" s="197"/>
      <c r="H23" s="463"/>
      <c r="J23" s="227">
        <f>SUM(J24:J27)</f>
        <v>866.05115303828779</v>
      </c>
      <c r="K23" s="227">
        <f>SUM(K24:K27)</f>
        <v>0</v>
      </c>
      <c r="L23" s="227">
        <f>SUM(L24:L27)</f>
        <v>0</v>
      </c>
      <c r="N23" s="212">
        <f t="shared" si="2"/>
        <v>866.05115303828779</v>
      </c>
      <c r="O23" s="34">
        <f t="shared" si="1"/>
        <v>23553.684531148283</v>
      </c>
    </row>
    <row r="24" spans="1:15" outlineLevel="1" thickTop="1" x14ac:dyDescent="0.15">
      <c r="A24" s="25" t="s">
        <v>6</v>
      </c>
      <c r="B24" s="193" t="s">
        <v>2</v>
      </c>
      <c r="C24" s="208">
        <f>'producten &amp; tarieven'!C17</f>
        <v>44.180909502664626</v>
      </c>
      <c r="D24" s="282">
        <f>'Eenheden 2019'!C24</f>
        <v>131.55377699038317</v>
      </c>
      <c r="E24" s="213">
        <f t="shared" si="0"/>
        <v>5812.1655159458433</v>
      </c>
      <c r="F24" s="27">
        <f>'T-effecten'!B24</f>
        <v>0</v>
      </c>
      <c r="G24" s="27">
        <f>'T-effecten'!C24</f>
        <v>0</v>
      </c>
      <c r="H24" s="470">
        <f>'T-effecten'!D24</f>
        <v>0.14900662251655628</v>
      </c>
      <c r="J24" s="29">
        <f>H24*E24</f>
        <v>866.05115303828779</v>
      </c>
      <c r="K24" s="29">
        <f>F24*(E24+J24)</f>
        <v>0</v>
      </c>
      <c r="L24" s="59">
        <f>G24*(E24+J24+K24)</f>
        <v>0</v>
      </c>
      <c r="N24" s="30">
        <f t="shared" si="2"/>
        <v>866.05115303828779</v>
      </c>
      <c r="O24" s="31">
        <f t="shared" si="1"/>
        <v>6678.2166689841306</v>
      </c>
    </row>
    <row r="25" spans="1:15" ht="13" outlineLevel="1" x14ac:dyDescent="0.15">
      <c r="A25" s="25" t="s">
        <v>7</v>
      </c>
      <c r="B25" s="26" t="s">
        <v>154</v>
      </c>
      <c r="C25" s="210">
        <f>'producten &amp; tarieven'!C17</f>
        <v>44.180909502664626</v>
      </c>
      <c r="D25" s="282">
        <f>'Eenheden 2019'!C25</f>
        <v>233.1512102137483</v>
      </c>
      <c r="E25" s="209">
        <f t="shared" si="0"/>
        <v>10300.832518890351</v>
      </c>
      <c r="F25" s="27">
        <f>'T-effecten'!B25</f>
        <v>0</v>
      </c>
      <c r="G25" s="27">
        <f>'T-effecten'!C25</f>
        <v>0</v>
      </c>
      <c r="H25" s="472"/>
      <c r="J25" s="29">
        <f>H25*E25</f>
        <v>0</v>
      </c>
      <c r="K25" s="29">
        <f>F25*(E25+J25)</f>
        <v>0</v>
      </c>
      <c r="L25" s="59">
        <f>G25*(E25+J25+K25)</f>
        <v>0</v>
      </c>
      <c r="N25" s="30">
        <f t="shared" si="2"/>
        <v>0</v>
      </c>
      <c r="O25" s="31">
        <f t="shared" si="1"/>
        <v>10300.832518890351</v>
      </c>
    </row>
    <row r="26" spans="1:15" ht="13" outlineLevel="1" x14ac:dyDescent="0.15">
      <c r="A26" s="25" t="s">
        <v>8</v>
      </c>
      <c r="B26" s="26" t="s">
        <v>181</v>
      </c>
      <c r="C26" s="210">
        <f>'producten &amp; tarieven'!C17</f>
        <v>44.180909502664626</v>
      </c>
      <c r="D26" s="282">
        <f>'Eenheden 2019'!C26</f>
        <v>118.28843392180943</v>
      </c>
      <c r="E26" s="209">
        <f t="shared" si="0"/>
        <v>5226.0905943113867</v>
      </c>
      <c r="F26" s="27">
        <f>'T-effecten'!B26</f>
        <v>0</v>
      </c>
      <c r="G26" s="27">
        <f>'T-effecten'!C26</f>
        <v>0</v>
      </c>
      <c r="H26" s="472"/>
      <c r="J26" s="29">
        <f>H26*E26</f>
        <v>0</v>
      </c>
      <c r="K26" s="29">
        <f>F26*(E26+J26)</f>
        <v>0</v>
      </c>
      <c r="L26" s="59">
        <f>G26*(E26+J26+K26)</f>
        <v>0</v>
      </c>
      <c r="N26" s="30">
        <f t="shared" si="2"/>
        <v>0</v>
      </c>
      <c r="O26" s="31">
        <f t="shared" si="1"/>
        <v>5226.0905943113867</v>
      </c>
    </row>
    <row r="27" spans="1:15" ht="13" outlineLevel="1" x14ac:dyDescent="0.15">
      <c r="A27" s="25" t="s">
        <v>9</v>
      </c>
      <c r="B27" s="26" t="s">
        <v>5</v>
      </c>
      <c r="C27" s="210">
        <f>'producten &amp; tarieven'!C17</f>
        <v>44.180909502664626</v>
      </c>
      <c r="D27" s="282">
        <f>'Eenheden 2019'!C27</f>
        <v>30.522657562393469</v>
      </c>
      <c r="E27" s="209">
        <f t="shared" si="0"/>
        <v>1348.5187715449279</v>
      </c>
      <c r="F27" s="27">
        <f>'T-effecten'!B27</f>
        <v>0</v>
      </c>
      <c r="G27" s="27">
        <f>'T-effecten'!C27</f>
        <v>0</v>
      </c>
      <c r="H27" s="472"/>
      <c r="J27" s="29">
        <f>H27*E27</f>
        <v>0</v>
      </c>
      <c r="K27" s="29">
        <f>F27*(E27+J27)</f>
        <v>0</v>
      </c>
      <c r="L27" s="59">
        <f>G27*(E27+J27+K27)</f>
        <v>0</v>
      </c>
      <c r="N27" s="30">
        <f t="shared" si="2"/>
        <v>0</v>
      </c>
      <c r="O27" s="31">
        <f t="shared" si="1"/>
        <v>1348.5187715449279</v>
      </c>
    </row>
    <row r="28" spans="1:15" ht="15" thickBot="1" x14ac:dyDescent="0.2">
      <c r="A28" s="15">
        <v>6</v>
      </c>
      <c r="B28" s="201" t="s">
        <v>157</v>
      </c>
      <c r="C28" s="211">
        <f>'producten &amp; tarieven'!I17</f>
        <v>53.92</v>
      </c>
      <c r="D28" s="280">
        <f>'Eenheden 2019'!C28</f>
        <v>0</v>
      </c>
      <c r="E28" s="216">
        <f t="shared" si="0"/>
        <v>0</v>
      </c>
      <c r="F28" s="197"/>
      <c r="G28" s="197"/>
      <c r="H28" s="463"/>
      <c r="J28" s="227">
        <f>SUM(J29:J32)</f>
        <v>0</v>
      </c>
      <c r="K28" s="227">
        <f>SUM(K29:K32)</f>
        <v>0</v>
      </c>
      <c r="L28" s="227">
        <f>SUM(L29:L32)</f>
        <v>0</v>
      </c>
      <c r="N28" s="212">
        <f t="shared" si="2"/>
        <v>0</v>
      </c>
      <c r="O28" s="34">
        <f t="shared" si="1"/>
        <v>0</v>
      </c>
    </row>
    <row r="29" spans="1:15" outlineLevel="1" thickTop="1" x14ac:dyDescent="0.15">
      <c r="A29" s="25" t="s">
        <v>6</v>
      </c>
      <c r="B29" s="193" t="s">
        <v>2</v>
      </c>
      <c r="C29" s="208">
        <f>'producten &amp; tarieven'!I17</f>
        <v>53.92</v>
      </c>
      <c r="D29" s="282">
        <f>'Eenheden 2019'!C29</f>
        <v>0</v>
      </c>
      <c r="E29" s="213">
        <f t="shared" si="0"/>
        <v>0</v>
      </c>
      <c r="F29" s="27">
        <f>'T-effecten'!B29</f>
        <v>0</v>
      </c>
      <c r="G29" s="27">
        <f>'T-effecten'!C29</f>
        <v>0</v>
      </c>
      <c r="H29" s="470">
        <f>'T-effecten'!E29</f>
        <v>0.15002970885323827</v>
      </c>
      <c r="J29" s="29">
        <f>H29*E29</f>
        <v>0</v>
      </c>
      <c r="K29" s="29">
        <f>F29*(E29+J29)</f>
        <v>0</v>
      </c>
      <c r="L29" s="59">
        <f>G29*(E29+J29+K29)</f>
        <v>0</v>
      </c>
      <c r="N29" s="30">
        <f t="shared" si="2"/>
        <v>0</v>
      </c>
      <c r="O29" s="31">
        <f t="shared" si="1"/>
        <v>0</v>
      </c>
    </row>
    <row r="30" spans="1:15" ht="13" outlineLevel="1" x14ac:dyDescent="0.15">
      <c r="A30" s="25" t="s">
        <v>7</v>
      </c>
      <c r="B30" s="26" t="s">
        <v>154</v>
      </c>
      <c r="C30" s="210">
        <f>'producten &amp; tarieven'!I17</f>
        <v>53.92</v>
      </c>
      <c r="D30" s="282">
        <f>'Eenheden 2019'!C30</f>
        <v>0</v>
      </c>
      <c r="E30" s="209">
        <f t="shared" si="0"/>
        <v>0</v>
      </c>
      <c r="F30" s="27">
        <f>'T-effecten'!B30</f>
        <v>0</v>
      </c>
      <c r="G30" s="27">
        <f>'T-effecten'!C30</f>
        <v>0</v>
      </c>
      <c r="H30" s="471"/>
      <c r="J30" s="29">
        <f t="shared" ref="J30:J32" si="5">H30*E30</f>
        <v>0</v>
      </c>
      <c r="K30" s="29">
        <f t="shared" ref="K30:K31" si="6">F30*(E30+J30)</f>
        <v>0</v>
      </c>
      <c r="L30" s="59">
        <f t="shared" ref="L30:L32" si="7">G30*(E30+J30+K30)</f>
        <v>0</v>
      </c>
      <c r="N30" s="30">
        <f t="shared" si="2"/>
        <v>0</v>
      </c>
      <c r="O30" s="31"/>
    </row>
    <row r="31" spans="1:15" ht="13" outlineLevel="1" x14ac:dyDescent="0.15">
      <c r="A31" s="25" t="s">
        <v>8</v>
      </c>
      <c r="B31" s="26" t="s">
        <v>181</v>
      </c>
      <c r="C31" s="210">
        <f>'producten &amp; tarieven'!I17</f>
        <v>53.92</v>
      </c>
      <c r="D31" s="282">
        <f>'Eenheden 2019'!C31</f>
        <v>0</v>
      </c>
      <c r="E31" s="209">
        <f t="shared" si="0"/>
        <v>0</v>
      </c>
      <c r="F31" s="27">
        <f>'T-effecten'!B31</f>
        <v>0</v>
      </c>
      <c r="G31" s="27">
        <f>'T-effecten'!C31</f>
        <v>0</v>
      </c>
      <c r="H31" s="471"/>
      <c r="J31" s="29">
        <f t="shared" si="5"/>
        <v>0</v>
      </c>
      <c r="K31" s="29">
        <f t="shared" si="6"/>
        <v>0</v>
      </c>
      <c r="L31" s="59">
        <f t="shared" si="7"/>
        <v>0</v>
      </c>
      <c r="N31" s="30">
        <f t="shared" si="2"/>
        <v>0</v>
      </c>
      <c r="O31" s="31"/>
    </row>
    <row r="32" spans="1:15" ht="13" outlineLevel="1" x14ac:dyDescent="0.15">
      <c r="A32" s="25" t="s">
        <v>9</v>
      </c>
      <c r="B32" s="26" t="s">
        <v>5</v>
      </c>
      <c r="C32" s="210">
        <f>'producten &amp; tarieven'!I17</f>
        <v>53.92</v>
      </c>
      <c r="D32" s="282">
        <f>'Eenheden 2019'!C32</f>
        <v>0</v>
      </c>
      <c r="E32" s="209">
        <f t="shared" si="0"/>
        <v>0</v>
      </c>
      <c r="F32" s="27">
        <f>'T-effecten'!B32</f>
        <v>0</v>
      </c>
      <c r="G32" s="27">
        <f>'T-effecten'!C32</f>
        <v>0</v>
      </c>
      <c r="H32" s="471"/>
      <c r="J32" s="29">
        <f t="shared" si="5"/>
        <v>0</v>
      </c>
      <c r="K32" s="29">
        <f>F32*(E32+J32)</f>
        <v>0</v>
      </c>
      <c r="L32" s="59">
        <f t="shared" si="7"/>
        <v>0</v>
      </c>
      <c r="N32" s="30">
        <f t="shared" si="2"/>
        <v>0</v>
      </c>
      <c r="O32" s="31">
        <f>+E32+N32</f>
        <v>0</v>
      </c>
    </row>
    <row r="33" spans="1:15" ht="15" thickBot="1" x14ac:dyDescent="0.2">
      <c r="A33" s="15">
        <v>7</v>
      </c>
      <c r="B33" s="201" t="s">
        <v>158</v>
      </c>
      <c r="C33" s="211">
        <f>'producten &amp; tarieven'!J17</f>
        <v>220.37878605783692</v>
      </c>
      <c r="D33" s="280">
        <f>'Eenheden 2019'!C33</f>
        <v>387</v>
      </c>
      <c r="E33" s="216">
        <f t="shared" si="0"/>
        <v>85286.590204382883</v>
      </c>
      <c r="F33" s="197"/>
      <c r="G33" s="197"/>
      <c r="H33" s="463"/>
      <c r="J33" s="227">
        <f>SUM(J34:J37)</f>
        <v>3277.9837463128401</v>
      </c>
      <c r="K33" s="227">
        <f>SUM(K34:K37)</f>
        <v>0</v>
      </c>
      <c r="L33" s="227">
        <f>SUM(L34:L37)</f>
        <v>0</v>
      </c>
      <c r="N33" s="212">
        <f t="shared" si="2"/>
        <v>3277.9837463128401</v>
      </c>
      <c r="O33" s="34">
        <f>+E33+N33</f>
        <v>88564.573950695718</v>
      </c>
    </row>
    <row r="34" spans="1:15" outlineLevel="1" thickTop="1" x14ac:dyDescent="0.15">
      <c r="A34" s="25" t="s">
        <v>6</v>
      </c>
      <c r="B34" s="193" t="s">
        <v>2</v>
      </c>
      <c r="C34" s="208">
        <f>'producten &amp; tarieven'!J17</f>
        <v>220.37878605783692</v>
      </c>
      <c r="D34" s="282">
        <f>'Eenheden 2019'!C34</f>
        <v>99.142471900188156</v>
      </c>
      <c r="E34" s="213">
        <f t="shared" si="0"/>
        <v>21848.897604136673</v>
      </c>
      <c r="F34" s="27">
        <f>'T-effecten'!B34</f>
        <v>0</v>
      </c>
      <c r="G34" s="27">
        <f>'T-effecten'!C34</f>
        <v>0</v>
      </c>
      <c r="H34" s="470">
        <f>'T-effecten'!E34</f>
        <v>0.15002970885323827</v>
      </c>
      <c r="J34" s="29">
        <f>H34*E34</f>
        <v>3277.9837463128401</v>
      </c>
      <c r="K34" s="29">
        <f>F34*(E34+J34)</f>
        <v>0</v>
      </c>
      <c r="L34" s="59">
        <f>G34*(E34+J34+K34)</f>
        <v>0</v>
      </c>
      <c r="N34" s="30">
        <f t="shared" si="2"/>
        <v>3277.9837463128401</v>
      </c>
      <c r="O34" s="31">
        <f>+E34+N34</f>
        <v>25126.881350449512</v>
      </c>
    </row>
    <row r="35" spans="1:15" ht="13" outlineLevel="1" x14ac:dyDescent="0.15">
      <c r="A35" s="25" t="s">
        <v>7</v>
      </c>
      <c r="B35" s="26" t="s">
        <v>154</v>
      </c>
      <c r="C35" s="210">
        <f>'producten &amp; tarieven'!J17</f>
        <v>220.37878605783692</v>
      </c>
      <c r="D35" s="282">
        <f>'Eenheden 2019'!C35</f>
        <v>175.70903577174502</v>
      </c>
      <c r="E35" s="209">
        <f t="shared" si="0"/>
        <v>38722.544002770213</v>
      </c>
      <c r="F35" s="27">
        <f>'T-effecten'!B35</f>
        <v>0</v>
      </c>
      <c r="G35" s="27">
        <f>'T-effecten'!C35</f>
        <v>0</v>
      </c>
      <c r="H35" s="471"/>
      <c r="J35" s="29">
        <f t="shared" ref="J35:J37" si="8">H35*E35</f>
        <v>0</v>
      </c>
      <c r="K35" s="29">
        <f t="shared" ref="K35:K36" si="9">F35*(E35+J35)</f>
        <v>0</v>
      </c>
      <c r="L35" s="59">
        <f t="shared" ref="L35:L37" si="10">G35*(E35+J35+K35)</f>
        <v>0</v>
      </c>
      <c r="M35" s="16"/>
      <c r="N35" s="30">
        <f t="shared" si="2"/>
        <v>0</v>
      </c>
      <c r="O35" s="31">
        <f t="shared" ref="O35:O36" si="11">+E35+N35</f>
        <v>38722.544002770213</v>
      </c>
    </row>
    <row r="36" spans="1:15" ht="13" outlineLevel="1" x14ac:dyDescent="0.15">
      <c r="A36" s="25" t="s">
        <v>8</v>
      </c>
      <c r="B36" s="26" t="s">
        <v>181</v>
      </c>
      <c r="C36" s="210">
        <f>'producten &amp; tarieven'!J17</f>
        <v>220.37878605783692</v>
      </c>
      <c r="D36" s="282">
        <f>'Eenheden 2019'!C36</f>
        <v>89.145351843965301</v>
      </c>
      <c r="E36" s="209">
        <f t="shared" si="0"/>
        <v>19645.744422071828</v>
      </c>
      <c r="F36" s="27">
        <f>'T-effecten'!B36</f>
        <v>0</v>
      </c>
      <c r="G36" s="27">
        <f>'T-effecten'!C36</f>
        <v>0</v>
      </c>
      <c r="H36" s="471"/>
      <c r="J36" s="29">
        <f t="shared" si="8"/>
        <v>0</v>
      </c>
      <c r="K36" s="29">
        <f t="shared" si="9"/>
        <v>0</v>
      </c>
      <c r="L36" s="59">
        <f t="shared" si="10"/>
        <v>0</v>
      </c>
      <c r="M36" s="16"/>
      <c r="N36" s="30">
        <f t="shared" si="2"/>
        <v>0</v>
      </c>
      <c r="O36" s="31">
        <f t="shared" si="11"/>
        <v>19645.744422071828</v>
      </c>
    </row>
    <row r="37" spans="1:15" ht="13" outlineLevel="1" x14ac:dyDescent="0.15">
      <c r="A37" s="25" t="s">
        <v>9</v>
      </c>
      <c r="B37" s="26" t="s">
        <v>5</v>
      </c>
      <c r="C37" s="210">
        <f>'producten &amp; tarieven'!J17</f>
        <v>220.37878605783692</v>
      </c>
      <c r="D37" s="282">
        <f>'Eenheden 2019'!C37</f>
        <v>23.002697367783465</v>
      </c>
      <c r="E37" s="209">
        <f t="shared" si="0"/>
        <v>5069.3065219679211</v>
      </c>
      <c r="F37" s="27">
        <f>'T-effecten'!B37</f>
        <v>0</v>
      </c>
      <c r="G37" s="27">
        <f>'T-effecten'!C37</f>
        <v>0</v>
      </c>
      <c r="H37" s="471"/>
      <c r="J37" s="29">
        <f t="shared" si="8"/>
        <v>0</v>
      </c>
      <c r="K37" s="29">
        <f>F37*(E37+J37)</f>
        <v>0</v>
      </c>
      <c r="L37" s="59">
        <f t="shared" si="10"/>
        <v>0</v>
      </c>
      <c r="M37" s="16"/>
      <c r="N37" s="30">
        <f t="shared" si="2"/>
        <v>0</v>
      </c>
      <c r="O37" s="222">
        <f>+E37+N37</f>
        <v>5069.3065219679211</v>
      </c>
    </row>
    <row r="38" spans="1:15" ht="15" thickBot="1" x14ac:dyDescent="0.2">
      <c r="A38" s="15">
        <v>8</v>
      </c>
      <c r="B38" s="201" t="s">
        <v>125</v>
      </c>
      <c r="C38" s="421">
        <f>'producten &amp; tarieven'!C23</f>
        <v>18.622499999999999</v>
      </c>
      <c r="D38" s="305">
        <f>'Eenheden 2019'!C38</f>
        <v>17818.42315386012</v>
      </c>
      <c r="E38" s="216">
        <f t="shared" si="0"/>
        <v>331823.58518276009</v>
      </c>
      <c r="F38" s="197"/>
      <c r="G38" s="197"/>
      <c r="H38" s="463"/>
      <c r="J38" s="212">
        <f>SUM(J39:J42)</f>
        <v>12115.23087243382</v>
      </c>
      <c r="K38" s="212">
        <f>SUM(K39:K42)</f>
        <v>-112143.11709584342</v>
      </c>
      <c r="L38" s="212">
        <f>SUM(L39:L42)</f>
        <v>-9736.8519500319308</v>
      </c>
      <c r="M38" s="16"/>
      <c r="N38" s="212">
        <f t="shared" si="2"/>
        <v>-109764.73817344152</v>
      </c>
      <c r="O38" s="224">
        <f>+E38+N38</f>
        <v>222058.84700931856</v>
      </c>
    </row>
    <row r="39" spans="1:15" outlineLevel="1" thickTop="1" x14ac:dyDescent="0.15">
      <c r="A39" s="25" t="s">
        <v>6</v>
      </c>
      <c r="B39" s="193" t="s">
        <v>2</v>
      </c>
      <c r="C39" s="422">
        <f>'producten &amp; tarieven'!$C$23</f>
        <v>18.622499999999999</v>
      </c>
      <c r="D39" s="282">
        <f>'Eenheden 2019'!C39</f>
        <v>4336.2712907559917</v>
      </c>
      <c r="E39" s="213">
        <f t="shared" si="0"/>
        <v>80752.212112103443</v>
      </c>
      <c r="F39" s="199">
        <f>($D$14/($D$14+$D$19)*F14)+($D$19/($D$14+$D$19)*F19)</f>
        <v>-0.49173983787929448</v>
      </c>
      <c r="G39" s="199">
        <f>(D14/(D14+D19)*G14)+(D19/(D14+D19)*G19)</f>
        <v>-3.4710027020117572E-2</v>
      </c>
      <c r="H39" s="470">
        <f>'T-effecten'!E39</f>
        <v>0.15002970885323827</v>
      </c>
      <c r="J39" s="220">
        <f>H39*E39</f>
        <v>12115.23087243382</v>
      </c>
      <c r="K39" s="220">
        <f>F39*(E39+J39)</f>
        <v>-45666.621357480981</v>
      </c>
      <c r="L39" s="221">
        <f>G39*(E39+J39+K39)</f>
        <v>-1638.3417940468735</v>
      </c>
      <c r="M39" s="16"/>
      <c r="N39" s="30">
        <f t="shared" si="2"/>
        <v>-35189.732279094031</v>
      </c>
      <c r="O39" s="222">
        <f>+E39+N39</f>
        <v>45562.479833009413</v>
      </c>
    </row>
    <row r="40" spans="1:15" ht="13" outlineLevel="1" x14ac:dyDescent="0.15">
      <c r="A40" s="25" t="s">
        <v>7</v>
      </c>
      <c r="B40" s="26" t="s">
        <v>154</v>
      </c>
      <c r="C40" s="422">
        <f>'producten &amp; tarieven'!$C$23</f>
        <v>18.622499999999999</v>
      </c>
      <c r="D40" s="282">
        <f>'Eenheden 2019'!C40</f>
        <v>3233.8813688203936</v>
      </c>
      <c r="E40" s="209">
        <f t="shared" si="0"/>
        <v>60222.955790857777</v>
      </c>
      <c r="F40" s="27">
        <f>(D15/(D15+D20)*F15)+(D20/(D15+D20)*F20)</f>
        <v>-0.2</v>
      </c>
      <c r="G40" s="199">
        <f t="shared" ref="G40:G42" si="12">(D15/(D15+D20)*G15)+(D20/(D15+D20)*G20)</f>
        <v>-0.1</v>
      </c>
      <c r="H40" s="471"/>
      <c r="J40" s="220">
        <f>H40*E40</f>
        <v>0</v>
      </c>
      <c r="K40" s="220">
        <f>F40*(E40+J40)</f>
        <v>-12044.591158171555</v>
      </c>
      <c r="L40" s="221">
        <f>G40*(E40+J40+K40)</f>
        <v>-4817.8364632686225</v>
      </c>
      <c r="M40" s="16"/>
      <c r="N40" s="30">
        <f t="shared" si="2"/>
        <v>-16862.427621440176</v>
      </c>
      <c r="O40" s="222">
        <f>+E40+N40</f>
        <v>43360.528169417601</v>
      </c>
    </row>
    <row r="41" spans="1:15" ht="13" outlineLevel="1" x14ac:dyDescent="0.15">
      <c r="A41" s="25" t="s">
        <v>8</v>
      </c>
      <c r="B41" s="26" t="s">
        <v>181</v>
      </c>
      <c r="C41" s="422">
        <f>'producten &amp; tarieven'!$C$23</f>
        <v>18.622499999999999</v>
      </c>
      <c r="D41" s="282">
        <f>'Eenheden 2019'!C41</f>
        <v>9212.9503035599864</v>
      </c>
      <c r="E41" s="209">
        <f t="shared" si="0"/>
        <v>171568.16702804583</v>
      </c>
      <c r="F41" s="27">
        <f>(D16/(D16+D21)*F16)+(D21/(D16+D21)*F21)</f>
        <v>-0.31611840783794337</v>
      </c>
      <c r="G41" s="199">
        <f>(D16/(D16+D21)*G16)+(D21/(D16+D21)*G21)</f>
        <v>-2.7960530720685564E-2</v>
      </c>
      <c r="H41" s="471"/>
      <c r="J41" s="220">
        <f>H41*E41</f>
        <v>0</v>
      </c>
      <c r="K41" s="220">
        <f>F41*(E41+J41)</f>
        <v>-54235.855796580181</v>
      </c>
      <c r="L41" s="221">
        <f>G41*(E41+J41+K41)</f>
        <v>-3280.6736927164357</v>
      </c>
      <c r="M41" s="16"/>
      <c r="N41" s="30">
        <f t="shared" si="2"/>
        <v>-57516.529489296619</v>
      </c>
      <c r="O41" s="222">
        <f>+E41+N41</f>
        <v>114051.63753874922</v>
      </c>
    </row>
    <row r="42" spans="1:15" ht="13" outlineLevel="1" x14ac:dyDescent="0.15">
      <c r="A42" s="25" t="s">
        <v>9</v>
      </c>
      <c r="B42" s="26" t="s">
        <v>5</v>
      </c>
      <c r="C42" s="422">
        <f>'producten &amp; tarieven'!$C$23</f>
        <v>18.622499999999999</v>
      </c>
      <c r="D42" s="282">
        <f>'Eenheden 2019'!C42</f>
        <v>1033.9512357309259</v>
      </c>
      <c r="E42" s="209">
        <f t="shared" si="0"/>
        <v>19254.756887399166</v>
      </c>
      <c r="F42" s="27">
        <f>(D17/(D17+D22)*F17)+(D22/(D17+D22)*F22)</f>
        <v>-0.12476640156974053</v>
      </c>
      <c r="G42" s="199">
        <f t="shared" si="12"/>
        <v>0</v>
      </c>
      <c r="H42" s="471"/>
      <c r="J42" s="220">
        <f>H42*E42</f>
        <v>0</v>
      </c>
      <c r="K42" s="220">
        <f>F42*(E47+J42)</f>
        <v>-196.04878361070217</v>
      </c>
      <c r="L42" s="221">
        <f>G42*(E47+J42+K42)</f>
        <v>0</v>
      </c>
      <c r="M42" s="16"/>
      <c r="N42" s="30">
        <f t="shared" si="2"/>
        <v>-196.04878361070217</v>
      </c>
      <c r="O42" s="222">
        <f>+E47+N42</f>
        <v>1375.2779609625716</v>
      </c>
    </row>
    <row r="43" spans="1:15" thickBot="1" x14ac:dyDescent="0.2">
      <c r="A43" s="25">
        <v>9</v>
      </c>
      <c r="B43" s="201" t="s">
        <v>124</v>
      </c>
      <c r="C43" s="421">
        <f>'producten &amp; tarieven'!C24</f>
        <v>26.900000000000002</v>
      </c>
      <c r="D43" s="305">
        <f>'Eenheden 2019'!C43</f>
        <v>1006.6614420062696</v>
      </c>
      <c r="E43" s="216">
        <f t="shared" si="0"/>
        <v>27079.192789968653</v>
      </c>
      <c r="F43" s="202"/>
      <c r="G43" s="202"/>
      <c r="H43" s="473"/>
      <c r="J43" s="212">
        <f>SUM(J44:J47)</f>
        <v>988.69003633036675</v>
      </c>
      <c r="K43" s="212">
        <f>SUM(K44:K47)</f>
        <v>-9331.7352762664377</v>
      </c>
      <c r="L43" s="212">
        <f>SUM(L44:L47)</f>
        <v>-794.59719831872792</v>
      </c>
      <c r="M43" s="16"/>
      <c r="N43" s="229">
        <f t="shared" si="2"/>
        <v>-9137.6424382547993</v>
      </c>
      <c r="O43" s="224">
        <f>+E43+N43</f>
        <v>17941.550351713853</v>
      </c>
    </row>
    <row r="44" spans="1:15" outlineLevel="1" thickTop="1" x14ac:dyDescent="0.15">
      <c r="A44" s="25" t="s">
        <v>6</v>
      </c>
      <c r="B44" s="193" t="s">
        <v>2</v>
      </c>
      <c r="C44" s="422">
        <f>'producten &amp; tarieven'!$C$24</f>
        <v>26.900000000000002</v>
      </c>
      <c r="D44" s="282">
        <f>'Eenheden 2019'!C44</f>
        <v>244.97998912643189</v>
      </c>
      <c r="E44" s="213">
        <f>C44*D44</f>
        <v>6589.9617075010183</v>
      </c>
      <c r="F44" s="199">
        <f>(D14/(D14+D19)*F14)+(D19/(D14+D19)*F19)</f>
        <v>-0.49173983787929448</v>
      </c>
      <c r="G44" s="199">
        <f>(D14/(D14+D19)*G14)+(D19/(D14+D19)*G19)</f>
        <v>-3.4710027020117572E-2</v>
      </c>
      <c r="H44" s="474">
        <f>'T-effecten'!E44</f>
        <v>0.15002970885323827</v>
      </c>
      <c r="J44" s="220">
        <f>H44*E44</f>
        <v>988.69003633036675</v>
      </c>
      <c r="K44" s="220">
        <f>F44*(E44+J44)</f>
        <v>-3726.7249798552775</v>
      </c>
      <c r="L44" s="221">
        <f>G44*(E44+J44+K44)</f>
        <v>-133.70048205712473</v>
      </c>
      <c r="M44" s="16"/>
      <c r="N44" s="30">
        <f t="shared" si="2"/>
        <v>-2871.7354255820355</v>
      </c>
      <c r="O44" s="230">
        <f>+E44+N44</f>
        <v>3718.2262819189827</v>
      </c>
    </row>
    <row r="45" spans="1:15" ht="13" outlineLevel="1" x14ac:dyDescent="0.15">
      <c r="A45" s="25" t="s">
        <v>7</v>
      </c>
      <c r="B45" s="26" t="s">
        <v>154</v>
      </c>
      <c r="C45" s="422">
        <f>'producten &amp; tarieven'!$C$24</f>
        <v>26.900000000000002</v>
      </c>
      <c r="D45" s="282">
        <f>'Eenheden 2019'!C45</f>
        <v>182.69987494986069</v>
      </c>
      <c r="E45" s="209">
        <f t="shared" si="0"/>
        <v>4914.6266361512526</v>
      </c>
      <c r="F45" s="199">
        <f t="shared" ref="F45:F47" si="13">(D15/(D15+D20)*F15)+(D20/(D15+D20)*F20)</f>
        <v>-0.2</v>
      </c>
      <c r="G45" s="199">
        <f t="shared" ref="G45:G47" si="14">(D15/(D15+D20)*G15)+(D20/(D15+D20)*G20)</f>
        <v>-0.1</v>
      </c>
      <c r="H45" s="471"/>
      <c r="J45" s="220">
        <f t="shared" ref="J45:J47" si="15">H45*E45</f>
        <v>0</v>
      </c>
      <c r="K45" s="220">
        <f t="shared" ref="K45:K46" si="16">F45*(E45+J45)</f>
        <v>-982.92532723025056</v>
      </c>
      <c r="L45" s="221">
        <f t="shared" ref="L45:L47" si="17">G45*(E45+J45+K45)</f>
        <v>-393.17013089210025</v>
      </c>
      <c r="M45" s="16"/>
      <c r="N45" s="30">
        <f t="shared" si="2"/>
        <v>-1376.0954581223509</v>
      </c>
      <c r="O45" s="230">
        <f>+E45+N45</f>
        <v>3538.5311780289016</v>
      </c>
    </row>
    <row r="46" spans="1:15" ht="13" outlineLevel="1" x14ac:dyDescent="0.15">
      <c r="A46" s="25" t="s">
        <v>8</v>
      </c>
      <c r="B46" s="26" t="s">
        <v>181</v>
      </c>
      <c r="C46" s="422">
        <f>'producten &amp; tarieven'!$C$24</f>
        <v>26.900000000000002</v>
      </c>
      <c r="D46" s="282">
        <f>'Eenheden 2019'!C46</f>
        <v>520.49060445085684</v>
      </c>
      <c r="E46" s="209">
        <f t="shared" si="0"/>
        <v>14001.197259728049</v>
      </c>
      <c r="F46" s="199">
        <f>(D16/(D16+D21)*F16)+(D21/(D16+D21)*F21)</f>
        <v>-0.31611840783794337</v>
      </c>
      <c r="G46" s="199">
        <f t="shared" si="14"/>
        <v>-2.7960530720685564E-2</v>
      </c>
      <c r="H46" s="471"/>
      <c r="J46" s="220">
        <f t="shared" si="15"/>
        <v>0</v>
      </c>
      <c r="K46" s="220">
        <f t="shared" si="16"/>
        <v>-4426.0361855702067</v>
      </c>
      <c r="L46" s="221">
        <f t="shared" si="17"/>
        <v>-267.72658536950291</v>
      </c>
      <c r="M46" s="16"/>
      <c r="N46" s="30">
        <f t="shared" si="2"/>
        <v>-4693.7627709397093</v>
      </c>
      <c r="O46" s="222">
        <f t="shared" ref="O46:O52" si="18">+E46+N46</f>
        <v>9307.4344887883399</v>
      </c>
    </row>
    <row r="47" spans="1:15" ht="13" outlineLevel="1" x14ac:dyDescent="0.15">
      <c r="A47" s="25" t="s">
        <v>9</v>
      </c>
      <c r="B47" s="26" t="s">
        <v>5</v>
      </c>
      <c r="C47" s="422">
        <f>'producten &amp; tarieven'!$C$24</f>
        <v>26.900000000000002</v>
      </c>
      <c r="D47" s="282">
        <f>'Eenheden 2019'!C47</f>
        <v>58.413633627259244</v>
      </c>
      <c r="E47" s="209">
        <f t="shared" si="0"/>
        <v>1571.3267445732738</v>
      </c>
      <c r="F47" s="199">
        <f t="shared" si="13"/>
        <v>-0.12476640156974053</v>
      </c>
      <c r="G47" s="199">
        <f t="shared" si="14"/>
        <v>0</v>
      </c>
      <c r="H47" s="471"/>
      <c r="J47" s="220">
        <f t="shared" si="15"/>
        <v>0</v>
      </c>
      <c r="K47" s="220">
        <f>F47*(E47+J47)</f>
        <v>-196.04878361070217</v>
      </c>
      <c r="L47" s="221">
        <f t="shared" si="17"/>
        <v>0</v>
      </c>
      <c r="M47" s="16"/>
      <c r="N47" s="30">
        <f t="shared" si="2"/>
        <v>-196.04878361070217</v>
      </c>
      <c r="O47" s="222">
        <f t="shared" si="18"/>
        <v>1375.2779609625716</v>
      </c>
    </row>
    <row r="48" spans="1:15" thickBot="1" x14ac:dyDescent="0.2">
      <c r="A48" s="25">
        <v>10</v>
      </c>
      <c r="B48" s="201" t="s">
        <v>160</v>
      </c>
      <c r="C48" s="211"/>
      <c r="D48" s="207"/>
      <c r="E48" s="216">
        <f t="shared" si="0"/>
        <v>0</v>
      </c>
      <c r="F48" s="202"/>
      <c r="G48" s="202"/>
      <c r="H48" s="473"/>
      <c r="J48" s="228">
        <f>SUM(J49:J52)</f>
        <v>0</v>
      </c>
      <c r="K48" s="228">
        <f t="shared" ref="K48:L48" si="19">SUM(K49:K52)</f>
        <v>0</v>
      </c>
      <c r="L48" s="228">
        <f t="shared" si="19"/>
        <v>0</v>
      </c>
      <c r="M48" s="16"/>
      <c r="N48" s="229">
        <f t="shared" si="2"/>
        <v>0</v>
      </c>
      <c r="O48" s="224">
        <f t="shared" si="18"/>
        <v>0</v>
      </c>
    </row>
    <row r="49" spans="1:45" outlineLevel="1" thickTop="1" x14ac:dyDescent="0.15">
      <c r="A49" s="25" t="s">
        <v>6</v>
      </c>
      <c r="B49" s="193" t="s">
        <v>2</v>
      </c>
      <c r="C49" s="214"/>
      <c r="D49" s="215"/>
      <c r="E49" s="213">
        <f t="shared" si="0"/>
        <v>0</v>
      </c>
      <c r="F49" s="142">
        <f>'T-effecten'!B49</f>
        <v>0</v>
      </c>
      <c r="G49" s="142">
        <f>'T-effecten'!C49</f>
        <v>0</v>
      </c>
      <c r="H49" s="475">
        <f>'T-effecten'!E49</f>
        <v>0.15002970885323827</v>
      </c>
      <c r="J49" s="220">
        <f>H49*E49</f>
        <v>0</v>
      </c>
      <c r="K49" s="220">
        <f t="shared" ref="K49:K52" si="20">F49*(E49+J49)</f>
        <v>0</v>
      </c>
      <c r="L49" s="221">
        <f t="shared" ref="L49:L52" si="21">G49*(E49+J49+K49)</f>
        <v>0</v>
      </c>
      <c r="M49" s="16"/>
      <c r="N49" s="30">
        <f t="shared" si="2"/>
        <v>0</v>
      </c>
      <c r="O49" s="230">
        <f t="shared" si="18"/>
        <v>0</v>
      </c>
    </row>
    <row r="50" spans="1:45" ht="13" outlineLevel="1" x14ac:dyDescent="0.15">
      <c r="A50" s="25" t="s">
        <v>7</v>
      </c>
      <c r="B50" s="26" t="s">
        <v>154</v>
      </c>
      <c r="C50" s="214"/>
      <c r="D50" s="215"/>
      <c r="E50" s="209">
        <f t="shared" si="0"/>
        <v>0</v>
      </c>
      <c r="F50" s="142">
        <f>'T-effecten'!B50</f>
        <v>0</v>
      </c>
      <c r="G50" s="142">
        <f>'T-effecten'!C50</f>
        <v>0</v>
      </c>
      <c r="H50" s="476"/>
      <c r="J50" s="220">
        <f t="shared" ref="J50:J51" si="22">H50*E50</f>
        <v>0</v>
      </c>
      <c r="K50" s="220">
        <f t="shared" si="20"/>
        <v>0</v>
      </c>
      <c r="L50" s="221">
        <f t="shared" si="21"/>
        <v>0</v>
      </c>
      <c r="M50" s="16"/>
      <c r="N50" s="30">
        <f t="shared" si="2"/>
        <v>0</v>
      </c>
      <c r="O50" s="222">
        <f t="shared" si="18"/>
        <v>0</v>
      </c>
    </row>
    <row r="51" spans="1:45" ht="13" outlineLevel="1" x14ac:dyDescent="0.15">
      <c r="A51" s="25" t="s">
        <v>8</v>
      </c>
      <c r="B51" s="26" t="s">
        <v>181</v>
      </c>
      <c r="C51" s="214"/>
      <c r="D51" s="215"/>
      <c r="E51" s="209">
        <f t="shared" si="0"/>
        <v>0</v>
      </c>
      <c r="F51" s="142">
        <f>'T-effecten'!B51</f>
        <v>0</v>
      </c>
      <c r="G51" s="142">
        <f>'T-effecten'!C51</f>
        <v>0</v>
      </c>
      <c r="H51" s="476"/>
      <c r="J51" s="220">
        <f t="shared" si="22"/>
        <v>0</v>
      </c>
      <c r="K51" s="220">
        <f t="shared" si="20"/>
        <v>0</v>
      </c>
      <c r="L51" s="221">
        <f t="shared" si="21"/>
        <v>0</v>
      </c>
      <c r="M51" s="16"/>
      <c r="N51" s="30">
        <f t="shared" si="2"/>
        <v>0</v>
      </c>
      <c r="O51" s="222">
        <f t="shared" si="18"/>
        <v>0</v>
      </c>
    </row>
    <row r="52" spans="1:45" outlineLevel="1" thickBot="1" x14ac:dyDescent="0.2">
      <c r="A52" s="25" t="s">
        <v>9</v>
      </c>
      <c r="B52" s="26" t="s">
        <v>5</v>
      </c>
      <c r="C52" s="214"/>
      <c r="D52" s="215"/>
      <c r="E52" s="209">
        <f t="shared" si="0"/>
        <v>0</v>
      </c>
      <c r="F52" s="142">
        <f>'T-effecten'!B52</f>
        <v>0</v>
      </c>
      <c r="G52" s="142">
        <f>'T-effecten'!C52</f>
        <v>0</v>
      </c>
      <c r="H52" s="476"/>
      <c r="J52" s="220">
        <f>H52*E52</f>
        <v>0</v>
      </c>
      <c r="K52" s="220">
        <f t="shared" si="20"/>
        <v>0</v>
      </c>
      <c r="L52" s="221">
        <f t="shared" si="21"/>
        <v>0</v>
      </c>
      <c r="M52" s="16"/>
      <c r="N52" s="30">
        <f t="shared" si="2"/>
        <v>0</v>
      </c>
      <c r="O52" s="222">
        <f t="shared" si="18"/>
        <v>0</v>
      </c>
    </row>
    <row r="53" spans="1:45" s="232" customFormat="1" ht="16" thickTop="1" thickBot="1" x14ac:dyDescent="0.2">
      <c r="A53" s="15"/>
      <c r="B53" s="291" t="s">
        <v>164</v>
      </c>
      <c r="C53" s="276"/>
      <c r="D53" s="292"/>
      <c r="E53" s="292">
        <f>E3+E8+E13+E18+E23+E28+E33+E38+E43+E48</f>
        <v>2945943.786897209</v>
      </c>
      <c r="F53" s="293"/>
      <c r="G53" s="293"/>
      <c r="H53" s="293"/>
      <c r="I53" s="275"/>
      <c r="J53" s="294">
        <f>J3+J8+J13+J18+J23+J28+J33+J38+J43+J48</f>
        <v>124097.3517323815</v>
      </c>
      <c r="K53" s="295">
        <f>K3+K8+K13+K18+K23+K28+K33+K38+K43+K48</f>
        <v>-807284.42944203166</v>
      </c>
      <c r="L53" s="294">
        <f>L3+L8+L13+L18+L23+L28+L33+L38+L43+L48</f>
        <v>-124039.69607398564</v>
      </c>
      <c r="M53" s="296"/>
      <c r="N53" s="294">
        <f>N3+N8+N13+N18+N23+N28+N33+N38+N43+N48</f>
        <v>-807226.77378363581</v>
      </c>
      <c r="O53" s="297">
        <f>O3+O8+O13+O18+O23+O28+O33+O38+O43+O48</f>
        <v>2138717.0131135737</v>
      </c>
      <c r="P53" s="231"/>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row>
    <row r="54" spans="1:45" s="4" customFormat="1" ht="14.5" customHeight="1" thickTop="1" x14ac:dyDescent="0.2">
      <c r="A54" s="15"/>
      <c r="B54" s="16"/>
      <c r="C54" s="203" t="s">
        <v>155</v>
      </c>
      <c r="D54" s="203"/>
      <c r="E54" s="298">
        <v>2666550.9800000023</v>
      </c>
      <c r="F54" s="16"/>
      <c r="H54" s="35"/>
      <c r="I54" s="35"/>
      <c r="J54" s="189"/>
      <c r="K54" s="189"/>
      <c r="L54" s="190"/>
      <c r="M54" s="19"/>
      <c r="N54" s="191"/>
      <c r="O54" s="192"/>
      <c r="R54" s="5"/>
    </row>
    <row r="55" spans="1:45" s="4" customFormat="1" ht="15" customHeight="1" outlineLevel="1" x14ac:dyDescent="0.15">
      <c r="A55" s="16"/>
      <c r="B55" s="16"/>
      <c r="C55" s="203" t="s">
        <v>156</v>
      </c>
      <c r="D55" s="203"/>
      <c r="E55" s="301">
        <f>(E53-E54)/E54</f>
        <v>0.10477684806806373</v>
      </c>
      <c r="F55" s="16"/>
      <c r="G55" s="16"/>
      <c r="H55" s="16"/>
      <c r="I55" s="16"/>
      <c r="J55" s="16"/>
      <c r="K55" s="16"/>
      <c r="L55" s="16"/>
      <c r="M55" s="19"/>
      <c r="N55" s="16"/>
      <c r="O55" s="16"/>
    </row>
    <row r="56" spans="1:45" s="4" customFormat="1" ht="14.5" customHeight="1" outlineLevel="1" x14ac:dyDescent="0.15">
      <c r="A56" s="16"/>
      <c r="B56" s="16"/>
      <c r="C56" s="299"/>
      <c r="D56" s="299"/>
      <c r="E56" s="300"/>
      <c r="F56" s="16"/>
      <c r="G56" s="16"/>
      <c r="H56" s="16"/>
      <c r="I56" s="16"/>
      <c r="J56" s="16"/>
      <c r="K56" s="16"/>
      <c r="L56" s="16"/>
      <c r="M56" s="19"/>
      <c r="N56" s="16"/>
      <c r="O56" s="16"/>
    </row>
    <row r="57" spans="1:45" s="4" customFormat="1" ht="24.75" customHeight="1" outlineLevel="1" x14ac:dyDescent="0.25">
      <c r="A57" s="16"/>
      <c r="B57" s="37" t="s">
        <v>25</v>
      </c>
      <c r="C57" s="16"/>
      <c r="D57" s="16"/>
      <c r="E57" s="38"/>
      <c r="F57" s="16"/>
      <c r="G57" s="16"/>
      <c r="H57" s="16"/>
      <c r="I57" s="16"/>
      <c r="J57" s="16"/>
      <c r="K57" s="60"/>
      <c r="L57" s="38"/>
      <c r="M57" s="19"/>
      <c r="N57" s="60"/>
      <c r="O57" s="16"/>
    </row>
    <row r="58" spans="1:45" s="1" customFormat="1" ht="16" thickBot="1" x14ac:dyDescent="0.2">
      <c r="A58" s="22"/>
      <c r="B58" s="526" t="s">
        <v>21</v>
      </c>
      <c r="C58" s="526"/>
      <c r="D58" s="526"/>
      <c r="E58" s="23" t="s">
        <v>98</v>
      </c>
      <c r="F58" s="523" t="s">
        <v>14</v>
      </c>
      <c r="G58" s="524"/>
      <c r="H58" s="525"/>
      <c r="I58" s="39"/>
      <c r="J58" s="16"/>
      <c r="K58" s="38"/>
      <c r="L58" s="38"/>
      <c r="M58" s="19"/>
      <c r="N58" s="40" t="s">
        <v>22</v>
      </c>
      <c r="O58" s="16"/>
      <c r="P58" s="4"/>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row>
    <row r="59" spans="1:45" ht="15" outlineLevel="1" thickTop="1" x14ac:dyDescent="0.15">
      <c r="A59" s="25" t="s">
        <v>6</v>
      </c>
      <c r="B59" s="527" t="s">
        <v>2</v>
      </c>
      <c r="C59" s="527"/>
      <c r="D59" s="527"/>
      <c r="E59" s="41">
        <f>+E80</f>
        <v>827191.48779331066</v>
      </c>
      <c r="F59" s="521">
        <f>Investeringen!D2</f>
        <v>0.09</v>
      </c>
      <c r="G59" s="521"/>
      <c r="H59" s="521"/>
      <c r="J59" s="16"/>
      <c r="K59" s="38"/>
      <c r="L59" s="38"/>
      <c r="N59" s="30">
        <f>+F59*E59</f>
        <v>74447.233901397951</v>
      </c>
      <c r="O59" s="16"/>
      <c r="P59" s="4"/>
    </row>
    <row r="60" spans="1:45" outlineLevel="1" x14ac:dyDescent="0.15">
      <c r="A60" s="25" t="s">
        <v>7</v>
      </c>
      <c r="B60" s="528" t="s">
        <v>3</v>
      </c>
      <c r="C60" s="528"/>
      <c r="D60" s="528"/>
      <c r="E60" s="12">
        <f>+E95</f>
        <v>981222.79829954065</v>
      </c>
      <c r="F60" s="521">
        <f>Investeringen!D3</f>
        <v>0.05</v>
      </c>
      <c r="G60" s="521"/>
      <c r="H60" s="521"/>
      <c r="J60" s="16"/>
      <c r="K60" s="16"/>
      <c r="L60" s="38"/>
      <c r="N60" s="30">
        <f>+F60*E60</f>
        <v>49061.139914977037</v>
      </c>
      <c r="O60" s="16"/>
      <c r="P60" s="4"/>
    </row>
    <row r="61" spans="1:45" outlineLevel="1" x14ac:dyDescent="0.15">
      <c r="A61" s="25" t="s">
        <v>8</v>
      </c>
      <c r="B61" s="528" t="s">
        <v>181</v>
      </c>
      <c r="C61" s="528"/>
      <c r="D61" s="528"/>
      <c r="E61" s="12">
        <f>E110</f>
        <v>974906.43257456308</v>
      </c>
      <c r="F61" s="521">
        <f>Investeringen!D4</f>
        <v>0.05</v>
      </c>
      <c r="G61" s="521"/>
      <c r="H61" s="521"/>
      <c r="J61" s="16"/>
      <c r="K61" s="16"/>
      <c r="L61" s="38"/>
      <c r="N61" s="30">
        <f>+F61*E61</f>
        <v>48745.321628728154</v>
      </c>
      <c r="O61" s="16"/>
      <c r="P61" s="4"/>
    </row>
    <row r="62" spans="1:45" outlineLevel="1" x14ac:dyDescent="0.15">
      <c r="A62" s="25" t="s">
        <v>9</v>
      </c>
      <c r="B62" s="528" t="s">
        <v>5</v>
      </c>
      <c r="C62" s="528"/>
      <c r="D62" s="528"/>
      <c r="E62" s="12">
        <f>E125</f>
        <v>162541.50012494292</v>
      </c>
      <c r="F62" s="521">
        <f>Investeringen!D5</f>
        <v>0.02</v>
      </c>
      <c r="G62" s="521"/>
      <c r="H62" s="521"/>
      <c r="J62" s="16"/>
      <c r="K62" s="16"/>
      <c r="L62" s="16"/>
      <c r="N62" s="30">
        <f>+F62*E62</f>
        <v>3250.8300024988584</v>
      </c>
      <c r="O62" s="16"/>
      <c r="P62" s="4"/>
    </row>
    <row r="63" spans="1:45" outlineLevel="1" x14ac:dyDescent="0.15">
      <c r="A63" s="25"/>
      <c r="B63" s="520" t="s">
        <v>13</v>
      </c>
      <c r="C63" s="520"/>
      <c r="D63" s="520"/>
      <c r="E63" s="13">
        <f>SUM(E59:E62)</f>
        <v>2945862.2187923575</v>
      </c>
      <c r="F63" s="521">
        <f>Investeringen!D6</f>
        <v>0.05</v>
      </c>
      <c r="G63" s="521"/>
      <c r="H63" s="521"/>
      <c r="I63" s="274"/>
      <c r="J63" s="42"/>
      <c r="K63" s="42"/>
      <c r="L63" s="42"/>
      <c r="N63" s="43">
        <f>+F63*E63</f>
        <v>147293.11093961788</v>
      </c>
      <c r="O63" s="38"/>
      <c r="P63" s="4"/>
    </row>
    <row r="64" spans="1:45" s="4" customFormat="1" ht="22" thickBot="1" x14ac:dyDescent="0.3">
      <c r="A64" s="15"/>
      <c r="B64" s="44" t="s">
        <v>161</v>
      </c>
      <c r="C64" s="46"/>
      <c r="D64" s="46"/>
      <c r="E64" s="36"/>
      <c r="F64" s="45"/>
      <c r="G64" s="45"/>
      <c r="H64" s="45"/>
      <c r="I64" s="272"/>
      <c r="J64" s="273"/>
      <c r="K64" s="273"/>
      <c r="L64" s="273"/>
      <c r="M64" s="19"/>
      <c r="N64" s="11">
        <f>SUM(N59:N63)</f>
        <v>322797.63638721989</v>
      </c>
      <c r="O64" s="16"/>
    </row>
    <row r="65" spans="1:45" s="4" customFormat="1" ht="22" thickTop="1" x14ac:dyDescent="0.25">
      <c r="A65" s="15"/>
      <c r="B65" s="303"/>
      <c r="C65" s="42"/>
      <c r="D65" s="42"/>
      <c r="E65" s="192"/>
      <c r="F65" s="304"/>
      <c r="G65" s="304"/>
      <c r="H65" s="304"/>
      <c r="I65" s="42"/>
      <c r="J65" s="47"/>
      <c r="K65" s="47"/>
      <c r="L65" s="47"/>
      <c r="M65" s="19"/>
      <c r="N65" s="191"/>
      <c r="O65" s="16"/>
    </row>
    <row r="66" spans="1:45" s="6" customFormat="1" x14ac:dyDescent="0.15">
      <c r="A66" s="49"/>
      <c r="B66" s="50"/>
      <c r="C66" s="50"/>
      <c r="D66" s="50"/>
      <c r="E66" s="51"/>
      <c r="F66" s="50"/>
      <c r="G66" s="50"/>
      <c r="H66" s="50"/>
      <c r="I66" s="50"/>
      <c r="J66" s="50"/>
      <c r="K66" s="50"/>
      <c r="L66" s="50"/>
      <c r="M66" s="19"/>
      <c r="N66" s="52"/>
      <c r="O66" s="16"/>
      <c r="P66" s="4"/>
    </row>
    <row r="67" spans="1:45" s="6" customFormat="1" x14ac:dyDescent="0.15">
      <c r="A67" s="49"/>
      <c r="B67" s="50"/>
      <c r="C67" s="50"/>
      <c r="D67" s="50"/>
      <c r="E67" s="51"/>
      <c r="F67" s="50"/>
      <c r="G67" s="50"/>
      <c r="H67" s="50"/>
      <c r="I67" s="50"/>
      <c r="J67" s="50"/>
      <c r="K67" s="50"/>
      <c r="L67" s="50"/>
      <c r="M67" s="19"/>
      <c r="N67" s="52"/>
      <c r="O67" s="16"/>
      <c r="P67" s="4"/>
    </row>
    <row r="68" spans="1:45" s="4" customFormat="1" ht="16" x14ac:dyDescent="0.2">
      <c r="A68" s="15" t="s">
        <v>6</v>
      </c>
      <c r="B68" s="53" t="str">
        <f>+B4</f>
        <v>Ouderen met somatische of psychogeriatrische problematiek (SOM 65+/PG 65+)</v>
      </c>
      <c r="C68" s="16"/>
      <c r="D68" s="16"/>
      <c r="E68" s="17"/>
      <c r="F68" s="16"/>
      <c r="G68" s="16"/>
      <c r="H68" s="16"/>
      <c r="I68" s="16"/>
      <c r="J68" s="54"/>
      <c r="K68" s="54"/>
      <c r="L68" s="54"/>
      <c r="M68" s="19"/>
      <c r="N68" s="54"/>
      <c r="O68" s="16"/>
    </row>
    <row r="69" spans="1:45" s="1" customFormat="1" ht="62.25" customHeight="1" thickBot="1" x14ac:dyDescent="0.2">
      <c r="A69" s="22"/>
      <c r="B69" s="217" t="s">
        <v>0</v>
      </c>
      <c r="C69" s="217" t="s">
        <v>26</v>
      </c>
      <c r="D69" s="217" t="s">
        <v>20</v>
      </c>
      <c r="E69" s="217" t="s">
        <v>216</v>
      </c>
      <c r="F69" s="217" t="s">
        <v>11</v>
      </c>
      <c r="G69" s="248" t="s">
        <v>12</v>
      </c>
      <c r="H69" s="217" t="s">
        <v>19</v>
      </c>
      <c r="I69" s="253"/>
      <c r="J69" s="249" t="s">
        <v>18</v>
      </c>
      <c r="K69" s="249" t="s">
        <v>24</v>
      </c>
      <c r="L69" s="219" t="s">
        <v>15</v>
      </c>
      <c r="M69" s="16"/>
      <c r="N69" s="217" t="s">
        <v>16</v>
      </c>
      <c r="O69" s="217" t="s">
        <v>17</v>
      </c>
      <c r="P69" s="5"/>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row>
    <row r="70" spans="1:45" s="4" customFormat="1" thickTop="1" x14ac:dyDescent="0.15">
      <c r="A70" s="15"/>
      <c r="B70" s="243" t="str">
        <f>+B3</f>
        <v>Individuele begeleiding basis</v>
      </c>
      <c r="C70" s="244">
        <f>C3</f>
        <v>57.296129858969991</v>
      </c>
      <c r="D70" s="245">
        <f>D4</f>
        <v>4844.6762663470372</v>
      </c>
      <c r="E70" s="246">
        <f>C70*D70</f>
        <v>277581.20048128971</v>
      </c>
      <c r="F70" s="247">
        <f>+F4</f>
        <v>-0.5</v>
      </c>
      <c r="G70" s="247">
        <f>+G4</f>
        <v>0</v>
      </c>
      <c r="H70" s="264">
        <f>+H4</f>
        <v>0.15002970885323827</v>
      </c>
      <c r="I70" s="254"/>
      <c r="J70" s="256">
        <f>+J4</f>
        <v>41645.426691340261</v>
      </c>
      <c r="K70" s="257">
        <f>+K4</f>
        <v>-159613.31358631499</v>
      </c>
      <c r="L70" s="257">
        <f>+L4</f>
        <v>0</v>
      </c>
      <c r="M70" s="16"/>
      <c r="N70" s="30">
        <f>SUM(J70:L70)</f>
        <v>-117967.88689497474</v>
      </c>
      <c r="O70" s="242">
        <f>N70+E70</f>
        <v>159613.31358631497</v>
      </c>
      <c r="P70" s="5"/>
    </row>
    <row r="71" spans="1:45" s="4" customFormat="1" ht="13" x14ac:dyDescent="0.15">
      <c r="A71" s="15"/>
      <c r="B71" s="233" t="str">
        <f>+B8</f>
        <v>Individuele begeleiding plus</v>
      </c>
      <c r="C71" s="234">
        <f>C8</f>
        <v>71.452114015285076</v>
      </c>
      <c r="D71" s="236">
        <f>D9</f>
        <v>3503.7887204977401</v>
      </c>
      <c r="E71" s="237">
        <f t="shared" ref="E71:E79" si="23">C71*D71</f>
        <v>250353.11114247434</v>
      </c>
      <c r="F71" s="28">
        <f>+F9</f>
        <v>-0.2</v>
      </c>
      <c r="G71" s="28">
        <f>+G9</f>
        <v>-0.1</v>
      </c>
      <c r="H71" s="251">
        <f>+H9</f>
        <v>0.15002970885323827</v>
      </c>
      <c r="I71" s="254"/>
      <c r="J71" s="256">
        <f>+J9</f>
        <v>37560.404375207829</v>
      </c>
      <c r="K71" s="257">
        <f>+K9</f>
        <v>-57582.703103536442</v>
      </c>
      <c r="L71" s="257">
        <f>+L9</f>
        <v>-23033.081241414577</v>
      </c>
      <c r="M71" s="16"/>
      <c r="N71" s="30">
        <f t="shared" ref="N71:N79" si="24">SUM(J71:L71)</f>
        <v>-43055.37996974319</v>
      </c>
      <c r="O71" s="242">
        <f t="shared" ref="O71:O78" si="25">N71+E71</f>
        <v>207297.73117273115</v>
      </c>
      <c r="P71" s="5"/>
    </row>
    <row r="72" spans="1:45" s="4" customFormat="1" ht="13" x14ac:dyDescent="0.15">
      <c r="A72" s="15"/>
      <c r="B72" s="233" t="str">
        <f>+B13</f>
        <v>Dagbesteding basis</v>
      </c>
      <c r="C72" s="234">
        <f>C13</f>
        <v>36.10395767297338</v>
      </c>
      <c r="D72" s="236">
        <f>D14</f>
        <v>2968.0681644716396</v>
      </c>
      <c r="E72" s="237">
        <f t="shared" si="23"/>
        <v>107159.00738058386</v>
      </c>
      <c r="F72" s="28">
        <f>+F14</f>
        <v>-0.7</v>
      </c>
      <c r="G72" s="28">
        <f>+G14</f>
        <v>0</v>
      </c>
      <c r="H72" s="251">
        <f>+H14</f>
        <v>0.15002970885323827</v>
      </c>
      <c r="I72" s="254"/>
      <c r="J72" s="256">
        <f>+J14</f>
        <v>16077.034678311007</v>
      </c>
      <c r="K72" s="257">
        <f>+K14</f>
        <v>-86265.229441226402</v>
      </c>
      <c r="L72" s="257">
        <f>+L14</f>
        <v>0</v>
      </c>
      <c r="M72" s="16"/>
      <c r="N72" s="30">
        <f t="shared" si="24"/>
        <v>-70188.194762915402</v>
      </c>
      <c r="O72" s="242">
        <f t="shared" si="25"/>
        <v>36970.81261766846</v>
      </c>
      <c r="P72" s="5"/>
    </row>
    <row r="73" spans="1:45" s="4" customFormat="1" ht="13" x14ac:dyDescent="0.15">
      <c r="A73" s="15"/>
      <c r="B73" s="233" t="str">
        <f>+B18</f>
        <v>Dagbesteding plus</v>
      </c>
      <c r="C73" s="234">
        <f>C18</f>
        <v>48.858878642934805</v>
      </c>
      <c r="D73" s="236">
        <f>D19</f>
        <v>1577.910381707542</v>
      </c>
      <c r="E73" s="237">
        <f t="shared" si="23"/>
        <v>77094.93184927573</v>
      </c>
      <c r="F73" s="28">
        <f>F19</f>
        <v>-0.1</v>
      </c>
      <c r="G73" s="28">
        <f>G19</f>
        <v>-0.1</v>
      </c>
      <c r="H73" s="251">
        <f>H19</f>
        <v>0.15002970885323827</v>
      </c>
      <c r="I73" s="254"/>
      <c r="J73" s="256">
        <f>J19</f>
        <v>11566.530179407084</v>
      </c>
      <c r="K73" s="257">
        <f>K19</f>
        <v>-8866.1462028682818</v>
      </c>
      <c r="L73" s="257">
        <f>L19</f>
        <v>-7979.5315825814532</v>
      </c>
      <c r="M73" s="16"/>
      <c r="N73" s="30">
        <f t="shared" si="24"/>
        <v>-5279.1476060426512</v>
      </c>
      <c r="O73" s="242">
        <f t="shared" si="25"/>
        <v>71815.78424323308</v>
      </c>
      <c r="P73" s="5"/>
    </row>
    <row r="74" spans="1:45" s="4" customFormat="1" ht="13" x14ac:dyDescent="0.15">
      <c r="A74" s="15"/>
      <c r="B74" s="233" t="str">
        <f>+B23</f>
        <v>Persoonlijke verzorging</v>
      </c>
      <c r="C74" s="234">
        <f>C23</f>
        <v>44.180909502664626</v>
      </c>
      <c r="D74" s="236">
        <f>D24</f>
        <v>131.55377699038317</v>
      </c>
      <c r="E74" s="237">
        <f t="shared" si="23"/>
        <v>5812.1655159458433</v>
      </c>
      <c r="F74" s="28">
        <f>+F24</f>
        <v>0</v>
      </c>
      <c r="G74" s="28">
        <f>+G24</f>
        <v>0</v>
      </c>
      <c r="H74" s="251">
        <f>+H24</f>
        <v>0.14900662251655628</v>
      </c>
      <c r="I74" s="254"/>
      <c r="J74" s="256">
        <f>+J24</f>
        <v>866.05115303828779</v>
      </c>
      <c r="K74" s="257">
        <f>+K24</f>
        <v>0</v>
      </c>
      <c r="L74" s="257">
        <f>+L24</f>
        <v>0</v>
      </c>
      <c r="M74" s="16"/>
      <c r="N74" s="30">
        <f t="shared" si="24"/>
        <v>866.05115303828779</v>
      </c>
      <c r="O74" s="242">
        <f t="shared" si="25"/>
        <v>6678.2166689841306</v>
      </c>
      <c r="P74" s="5"/>
    </row>
    <row r="75" spans="1:45" s="4" customFormat="1" ht="13" x14ac:dyDescent="0.15">
      <c r="A75" s="15"/>
      <c r="B75" s="233" t="s">
        <v>157</v>
      </c>
      <c r="C75" s="234">
        <f>C28</f>
        <v>53.92</v>
      </c>
      <c r="D75" s="236">
        <f>D29</f>
        <v>0</v>
      </c>
      <c r="E75" s="237">
        <f t="shared" si="23"/>
        <v>0</v>
      </c>
      <c r="F75" s="28">
        <f>F29</f>
        <v>0</v>
      </c>
      <c r="G75" s="28">
        <f>G29</f>
        <v>0</v>
      </c>
      <c r="H75" s="251">
        <f>H29</f>
        <v>0.15002970885323827</v>
      </c>
      <c r="I75" s="254"/>
      <c r="J75" s="256">
        <f>J29</f>
        <v>0</v>
      </c>
      <c r="K75" s="257">
        <f>K29</f>
        <v>0</v>
      </c>
      <c r="L75" s="257">
        <f>L29</f>
        <v>0</v>
      </c>
      <c r="M75" s="16"/>
      <c r="N75" s="30">
        <f t="shared" si="24"/>
        <v>0</v>
      </c>
      <c r="O75" s="242">
        <f t="shared" si="25"/>
        <v>0</v>
      </c>
      <c r="P75" s="5"/>
    </row>
    <row r="76" spans="1:45" s="4" customFormat="1" ht="13" x14ac:dyDescent="0.15">
      <c r="A76" s="15"/>
      <c r="B76" s="233" t="s">
        <v>158</v>
      </c>
      <c r="C76" s="234">
        <f>C33</f>
        <v>220.37878605783692</v>
      </c>
      <c r="D76" s="236">
        <f>D34</f>
        <v>99.142471900188156</v>
      </c>
      <c r="E76" s="237">
        <f t="shared" si="23"/>
        <v>21848.897604136673</v>
      </c>
      <c r="F76" s="28">
        <f>F34</f>
        <v>0</v>
      </c>
      <c r="G76" s="28">
        <f>G34</f>
        <v>0</v>
      </c>
      <c r="H76" s="251">
        <f>H34</f>
        <v>0.15002970885323827</v>
      </c>
      <c r="I76" s="254"/>
      <c r="J76" s="256">
        <f>J34</f>
        <v>3277.9837463128401</v>
      </c>
      <c r="K76" s="257">
        <f>K34</f>
        <v>0</v>
      </c>
      <c r="L76" s="257">
        <f>L34</f>
        <v>0</v>
      </c>
      <c r="M76" s="16"/>
      <c r="N76" s="30">
        <f t="shared" si="24"/>
        <v>3277.9837463128401</v>
      </c>
      <c r="O76" s="242">
        <f t="shared" si="25"/>
        <v>25126.881350449512</v>
      </c>
      <c r="P76" s="5"/>
    </row>
    <row r="77" spans="1:45" ht="13" x14ac:dyDescent="0.15">
      <c r="B77" s="225" t="s">
        <v>125</v>
      </c>
      <c r="C77" s="235">
        <f>C38</f>
        <v>18.622499999999999</v>
      </c>
      <c r="D77" s="236">
        <f>D39</f>
        <v>4336.2712907559917</v>
      </c>
      <c r="E77" s="237">
        <f t="shared" si="23"/>
        <v>80752.212112103443</v>
      </c>
      <c r="F77" s="239">
        <f>F39</f>
        <v>-0.49173983787929448</v>
      </c>
      <c r="G77" s="239">
        <f>G39</f>
        <v>-3.4710027020117572E-2</v>
      </c>
      <c r="H77" s="252">
        <f>H39</f>
        <v>0.15002970885323827</v>
      </c>
      <c r="I77" s="255"/>
      <c r="J77" s="258">
        <f>J39</f>
        <v>12115.23087243382</v>
      </c>
      <c r="K77" s="259">
        <f>K39</f>
        <v>-45666.621357480981</v>
      </c>
      <c r="L77" s="259">
        <f>L39</f>
        <v>-1638.3417940468735</v>
      </c>
      <c r="M77" s="16"/>
      <c r="N77" s="30">
        <f t="shared" si="24"/>
        <v>-35189.732279094031</v>
      </c>
      <c r="O77" s="242">
        <f t="shared" si="25"/>
        <v>45562.479833009413</v>
      </c>
    </row>
    <row r="78" spans="1:45" ht="13" x14ac:dyDescent="0.15">
      <c r="B78" s="225" t="s">
        <v>124</v>
      </c>
      <c r="C78" s="235">
        <f>C43</f>
        <v>26.900000000000002</v>
      </c>
      <c r="D78" s="236">
        <f>D44</f>
        <v>244.97998912643189</v>
      </c>
      <c r="E78" s="237">
        <f t="shared" si="23"/>
        <v>6589.9617075010183</v>
      </c>
      <c r="F78" s="239">
        <f>F44</f>
        <v>-0.49173983787929448</v>
      </c>
      <c r="G78" s="239">
        <f>G44</f>
        <v>-3.4710027020117572E-2</v>
      </c>
      <c r="H78" s="252">
        <f>H44</f>
        <v>0.15002970885323827</v>
      </c>
      <c r="I78" s="255"/>
      <c r="J78" s="258">
        <f>J44</f>
        <v>988.69003633036675</v>
      </c>
      <c r="K78" s="259">
        <f>K44</f>
        <v>-3726.7249798552775</v>
      </c>
      <c r="L78" s="259">
        <f>L44</f>
        <v>-133.70048205712473</v>
      </c>
      <c r="M78" s="16"/>
      <c r="N78" s="30">
        <f t="shared" si="24"/>
        <v>-2871.7354255820355</v>
      </c>
      <c r="O78" s="242">
        <f t="shared" si="25"/>
        <v>3718.2262819189827</v>
      </c>
    </row>
    <row r="79" spans="1:45" ht="13" x14ac:dyDescent="0.15">
      <c r="B79" s="225" t="s">
        <v>160</v>
      </c>
      <c r="C79" s="235">
        <f>C48</f>
        <v>0</v>
      </c>
      <c r="D79" s="236">
        <f>D49</f>
        <v>0</v>
      </c>
      <c r="E79" s="237">
        <f t="shared" si="23"/>
        <v>0</v>
      </c>
      <c r="F79" s="239">
        <f>F49</f>
        <v>0</v>
      </c>
      <c r="G79" s="239">
        <f>G49</f>
        <v>0</v>
      </c>
      <c r="H79" s="252">
        <f>H49</f>
        <v>0.15002970885323827</v>
      </c>
      <c r="I79" s="255"/>
      <c r="J79" s="258">
        <f>J49</f>
        <v>0</v>
      </c>
      <c r="K79" s="259">
        <f>K49</f>
        <v>0</v>
      </c>
      <c r="L79" s="259">
        <f>L49</f>
        <v>0</v>
      </c>
      <c r="M79" s="16"/>
      <c r="N79" s="30">
        <f t="shared" si="24"/>
        <v>0</v>
      </c>
      <c r="O79" s="242">
        <f>N79+E79</f>
        <v>0</v>
      </c>
    </row>
    <row r="80" spans="1:45" s="3" customFormat="1" thickBot="1" x14ac:dyDescent="0.2">
      <c r="A80" s="15"/>
      <c r="B80" s="250"/>
      <c r="C80" s="240"/>
      <c r="D80" s="238"/>
      <c r="E80" s="241">
        <f>SUM(E70:E79)</f>
        <v>827191.48779331066</v>
      </c>
      <c r="F80" s="20"/>
      <c r="G80" s="20"/>
      <c r="H80" s="271"/>
      <c r="I80" s="20"/>
      <c r="J80" s="223">
        <f>SUM(J70:J79)</f>
        <v>124097.3517323815</v>
      </c>
      <c r="K80" s="223">
        <f>SUM(K70:K79)</f>
        <v>-361720.73867128242</v>
      </c>
      <c r="L80" s="223">
        <f>SUM(L70:L79)</f>
        <v>-32784.655100100026</v>
      </c>
      <c r="M80" s="20"/>
      <c r="N80" s="33">
        <f>SUM(J80:L80)</f>
        <v>-270408.04203900095</v>
      </c>
      <c r="O80" s="224">
        <f>SUM(O70:O79)</f>
        <v>556783.44575430965</v>
      </c>
      <c r="P80" s="231"/>
    </row>
    <row r="81" spans="1:45" s="4" customFormat="1" ht="15" thickTop="1" x14ac:dyDescent="0.15">
      <c r="A81" s="15"/>
      <c r="B81" s="16"/>
      <c r="C81" s="16"/>
      <c r="D81" s="16"/>
      <c r="E81" s="17"/>
      <c r="F81" s="16"/>
      <c r="G81" s="16"/>
      <c r="H81" s="16"/>
      <c r="I81" s="16"/>
      <c r="J81" s="54"/>
      <c r="K81" s="54"/>
      <c r="L81" s="54"/>
      <c r="M81" s="19"/>
      <c r="N81" s="54"/>
      <c r="O81" s="21"/>
      <c r="P81" s="5"/>
    </row>
    <row r="82" spans="1:45" s="4" customFormat="1" x14ac:dyDescent="0.15">
      <c r="A82" s="15"/>
      <c r="B82" s="16"/>
      <c r="C82" s="16"/>
      <c r="D82" s="16"/>
      <c r="E82" s="17"/>
      <c r="F82" s="16"/>
      <c r="G82" s="16"/>
      <c r="H82" s="16"/>
      <c r="I82" s="16"/>
      <c r="J82" s="54"/>
      <c r="K82" s="54"/>
      <c r="L82" s="54"/>
      <c r="M82" s="19"/>
      <c r="N82" s="54"/>
      <c r="O82" s="21"/>
      <c r="P82" s="5"/>
    </row>
    <row r="83" spans="1:45" s="4" customFormat="1" ht="16" x14ac:dyDescent="0.2">
      <c r="A83" s="15" t="s">
        <v>7</v>
      </c>
      <c r="B83" s="53" t="str">
        <f>+B5</f>
        <v xml:space="preserve">Volwassenen met psychische problematiek (GGZ); </v>
      </c>
      <c r="C83" s="16"/>
      <c r="D83" s="16"/>
      <c r="E83" s="17"/>
      <c r="F83" s="16"/>
      <c r="G83" s="16"/>
      <c r="H83" s="16"/>
      <c r="I83" s="16"/>
      <c r="J83" s="54"/>
      <c r="K83" s="54"/>
      <c r="L83" s="54"/>
      <c r="M83" s="19"/>
      <c r="N83" s="54"/>
      <c r="O83" s="21"/>
      <c r="P83" s="5"/>
    </row>
    <row r="84" spans="1:45" s="1" customFormat="1" ht="62.25" customHeight="1" thickBot="1" x14ac:dyDescent="0.2">
      <c r="A84" s="22"/>
      <c r="B84" s="217" t="s">
        <v>0</v>
      </c>
      <c r="C84" s="217" t="s">
        <v>26</v>
      </c>
      <c r="D84" s="217" t="s">
        <v>20</v>
      </c>
      <c r="E84" s="217" t="s">
        <v>216</v>
      </c>
      <c r="F84" s="217" t="s">
        <v>11</v>
      </c>
      <c r="G84" s="248" t="s">
        <v>12</v>
      </c>
      <c r="H84" s="217" t="s">
        <v>19</v>
      </c>
      <c r="I84" s="253"/>
      <c r="J84" s="249" t="s">
        <v>18</v>
      </c>
      <c r="K84" s="249" t="s">
        <v>24</v>
      </c>
      <c r="L84" s="219" t="s">
        <v>15</v>
      </c>
      <c r="M84" s="16"/>
      <c r="N84" s="217" t="s">
        <v>16</v>
      </c>
      <c r="O84" s="217" t="s">
        <v>17</v>
      </c>
      <c r="P84" s="5"/>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row>
    <row r="85" spans="1:45" s="4" customFormat="1" thickTop="1" x14ac:dyDescent="0.15">
      <c r="A85" s="15"/>
      <c r="B85" s="243" t="s">
        <v>105</v>
      </c>
      <c r="C85" s="244">
        <f t="shared" ref="C85:C94" si="26">C70</f>
        <v>57.296129858969991</v>
      </c>
      <c r="D85" s="245">
        <f>D5</f>
        <v>5252.7386584637316</v>
      </c>
      <c r="E85" s="246">
        <f>C85*D85</f>
        <v>300961.59629056981</v>
      </c>
      <c r="F85" s="247">
        <f>+F5</f>
        <v>-0.25</v>
      </c>
      <c r="G85" s="247">
        <f>+G5</f>
        <v>0</v>
      </c>
      <c r="H85" s="264">
        <f>+H5</f>
        <v>0</v>
      </c>
      <c r="I85" s="254"/>
      <c r="J85" s="266">
        <f>+J5</f>
        <v>0</v>
      </c>
      <c r="K85" s="265">
        <f>+K5</f>
        <v>-75240.399072642453</v>
      </c>
      <c r="L85" s="265">
        <f>+L5</f>
        <v>0</v>
      </c>
      <c r="M85" s="16"/>
      <c r="N85" s="30">
        <f>SUM(J85:L85)</f>
        <v>-75240.399072642453</v>
      </c>
      <c r="O85" s="242">
        <f>N85+E85</f>
        <v>225721.19721792737</v>
      </c>
      <c r="P85" s="5"/>
    </row>
    <row r="86" spans="1:45" s="4" customFormat="1" ht="13" x14ac:dyDescent="0.15">
      <c r="A86" s="15"/>
      <c r="B86" s="233" t="s">
        <v>104</v>
      </c>
      <c r="C86" s="234">
        <f t="shared" si="26"/>
        <v>71.452114015285076</v>
      </c>
      <c r="D86" s="236">
        <f>D10</f>
        <v>6209.7235002005809</v>
      </c>
      <c r="E86" s="237">
        <f t="shared" ref="E86:E94" si="27">C86*D86</f>
        <v>443697.87153972703</v>
      </c>
      <c r="F86" s="28">
        <f>+F10</f>
        <v>-0.15</v>
      </c>
      <c r="G86" s="28">
        <f>+G10</f>
        <v>-0.1</v>
      </c>
      <c r="H86" s="251">
        <f>+H10</f>
        <v>0</v>
      </c>
      <c r="I86" s="254"/>
      <c r="J86" s="256">
        <f>+J10</f>
        <v>0</v>
      </c>
      <c r="K86" s="257">
        <f>+K10</f>
        <v>-66554.680730959051</v>
      </c>
      <c r="L86" s="257">
        <f>+L10</f>
        <v>-37714.319080876798</v>
      </c>
      <c r="M86" s="16"/>
      <c r="N86" s="30">
        <f t="shared" ref="N86:N93" si="28">SUM(J86:L86)</f>
        <v>-104268.99981183585</v>
      </c>
      <c r="O86" s="242">
        <f t="shared" ref="O86:O93" si="29">N86+E86</f>
        <v>339428.87172789115</v>
      </c>
      <c r="P86" s="5"/>
    </row>
    <row r="87" spans="1:45" s="4" customFormat="1" ht="13" x14ac:dyDescent="0.15">
      <c r="A87" s="15"/>
      <c r="B87" s="233" t="s">
        <v>101</v>
      </c>
      <c r="C87" s="234">
        <f t="shared" si="26"/>
        <v>36.10395767297338</v>
      </c>
      <c r="D87" s="236">
        <f>D15</f>
        <v>3390.2757317988408</v>
      </c>
      <c r="E87" s="237">
        <f t="shared" si="27"/>
        <v>122402.37152057419</v>
      </c>
      <c r="F87" s="28">
        <f>+F15</f>
        <v>-0.2</v>
      </c>
      <c r="G87" s="28">
        <f>+G15</f>
        <v>-0.1</v>
      </c>
      <c r="H87" s="251">
        <f>+H15</f>
        <v>0</v>
      </c>
      <c r="I87" s="254"/>
      <c r="J87" s="256">
        <f>+J15</f>
        <v>0</v>
      </c>
      <c r="K87" s="257">
        <f>+K15</f>
        <v>-24480.474304114839</v>
      </c>
      <c r="L87" s="257">
        <f>+L15</f>
        <v>-9792.1897216459365</v>
      </c>
      <c r="M87" s="16"/>
      <c r="N87" s="30">
        <f t="shared" si="28"/>
        <v>-34272.66402576078</v>
      </c>
      <c r="O87" s="242">
        <f t="shared" si="29"/>
        <v>88129.70749481341</v>
      </c>
      <c r="P87" s="5"/>
    </row>
    <row r="88" spans="1:45" s="4" customFormat="1" ht="13" x14ac:dyDescent="0.15">
      <c r="A88" s="15"/>
      <c r="B88" s="233" t="s">
        <v>102</v>
      </c>
      <c r="C88" s="234">
        <f t="shared" si="26"/>
        <v>48.858878642934805</v>
      </c>
      <c r="D88" s="245">
        <f>D20</f>
        <v>0</v>
      </c>
      <c r="E88" s="237">
        <f t="shared" si="27"/>
        <v>0</v>
      </c>
      <c r="F88" s="28">
        <f>F20</f>
        <v>-0.1</v>
      </c>
      <c r="G88" s="28">
        <f>G20</f>
        <v>-0.1</v>
      </c>
      <c r="H88" s="251">
        <f>H20</f>
        <v>0</v>
      </c>
      <c r="I88" s="254"/>
      <c r="J88" s="256">
        <f>J20</f>
        <v>0</v>
      </c>
      <c r="K88" s="257">
        <f>K20</f>
        <v>0</v>
      </c>
      <c r="L88" s="257">
        <f>L20</f>
        <v>0</v>
      </c>
      <c r="M88" s="16"/>
      <c r="N88" s="30">
        <f t="shared" si="28"/>
        <v>0</v>
      </c>
      <c r="O88" s="242">
        <f t="shared" si="29"/>
        <v>0</v>
      </c>
      <c r="P88" s="5"/>
    </row>
    <row r="89" spans="1:45" s="4" customFormat="1" ht="13" x14ac:dyDescent="0.15">
      <c r="A89" s="15"/>
      <c r="B89" s="233" t="s">
        <v>27</v>
      </c>
      <c r="C89" s="234">
        <f t="shared" si="26"/>
        <v>44.180909502664626</v>
      </c>
      <c r="D89" s="236">
        <f>D25</f>
        <v>233.1512102137483</v>
      </c>
      <c r="E89" s="237">
        <f t="shared" si="27"/>
        <v>10300.832518890351</v>
      </c>
      <c r="F89" s="28">
        <f>+F25</f>
        <v>0</v>
      </c>
      <c r="G89" s="28">
        <f>+G25</f>
        <v>0</v>
      </c>
      <c r="H89" s="251">
        <f>+H25</f>
        <v>0</v>
      </c>
      <c r="I89" s="254"/>
      <c r="J89" s="256">
        <f>+J25</f>
        <v>0</v>
      </c>
      <c r="K89" s="257">
        <f>+K25</f>
        <v>0</v>
      </c>
      <c r="L89" s="257">
        <f>+L25</f>
        <v>0</v>
      </c>
      <c r="M89" s="16"/>
      <c r="N89" s="30">
        <f t="shared" si="28"/>
        <v>0</v>
      </c>
      <c r="O89" s="242">
        <f t="shared" si="29"/>
        <v>10300.832518890351</v>
      </c>
      <c r="P89" s="5"/>
    </row>
    <row r="90" spans="1:45" s="4" customFormat="1" ht="13" x14ac:dyDescent="0.15">
      <c r="A90" s="15"/>
      <c r="B90" s="233" t="s">
        <v>157</v>
      </c>
      <c r="C90" s="234">
        <f t="shared" si="26"/>
        <v>53.92</v>
      </c>
      <c r="D90" s="236">
        <f>D30</f>
        <v>0</v>
      </c>
      <c r="E90" s="237">
        <f t="shared" si="27"/>
        <v>0</v>
      </c>
      <c r="F90" s="28">
        <f>F30</f>
        <v>0</v>
      </c>
      <c r="G90" s="28">
        <f>G30</f>
        <v>0</v>
      </c>
      <c r="H90" s="251">
        <f>H30</f>
        <v>0</v>
      </c>
      <c r="I90" s="254"/>
      <c r="J90" s="256">
        <f>J30</f>
        <v>0</v>
      </c>
      <c r="K90" s="257">
        <f>K30</f>
        <v>0</v>
      </c>
      <c r="L90" s="257">
        <f>L30</f>
        <v>0</v>
      </c>
      <c r="M90" s="16"/>
      <c r="N90" s="30">
        <f t="shared" si="28"/>
        <v>0</v>
      </c>
      <c r="O90" s="242">
        <f t="shared" si="29"/>
        <v>0</v>
      </c>
      <c r="P90" s="5"/>
    </row>
    <row r="91" spans="1:45" s="4" customFormat="1" ht="13" x14ac:dyDescent="0.15">
      <c r="A91" s="15"/>
      <c r="B91" s="233" t="s">
        <v>158</v>
      </c>
      <c r="C91" s="234">
        <f t="shared" si="26"/>
        <v>220.37878605783692</v>
      </c>
      <c r="D91" s="236">
        <f>D35</f>
        <v>175.70903577174502</v>
      </c>
      <c r="E91" s="237">
        <f t="shared" si="27"/>
        <v>38722.544002770213</v>
      </c>
      <c r="F91" s="28">
        <f>F35</f>
        <v>0</v>
      </c>
      <c r="G91" s="28">
        <f>G35</f>
        <v>0</v>
      </c>
      <c r="H91" s="251">
        <f>H35</f>
        <v>0</v>
      </c>
      <c r="I91" s="254"/>
      <c r="J91" s="256">
        <f>J35</f>
        <v>0</v>
      </c>
      <c r="K91" s="257">
        <f>K35</f>
        <v>0</v>
      </c>
      <c r="L91" s="257">
        <f>L35</f>
        <v>0</v>
      </c>
      <c r="M91" s="16"/>
      <c r="N91" s="30">
        <f t="shared" si="28"/>
        <v>0</v>
      </c>
      <c r="O91" s="242">
        <f t="shared" si="29"/>
        <v>38722.544002770213</v>
      </c>
      <c r="P91" s="5"/>
    </row>
    <row r="92" spans="1:45" s="4" customFormat="1" ht="13" x14ac:dyDescent="0.15">
      <c r="A92" s="15"/>
      <c r="B92" s="225" t="s">
        <v>125</v>
      </c>
      <c r="C92" s="235">
        <f t="shared" si="26"/>
        <v>18.622499999999999</v>
      </c>
      <c r="D92" s="236">
        <f>D40</f>
        <v>3233.8813688203936</v>
      </c>
      <c r="E92" s="237">
        <f t="shared" si="27"/>
        <v>60222.955790857777</v>
      </c>
      <c r="F92" s="239">
        <f>F40</f>
        <v>-0.2</v>
      </c>
      <c r="G92" s="239">
        <f>G40</f>
        <v>-0.1</v>
      </c>
      <c r="H92" s="252">
        <f>H40</f>
        <v>0</v>
      </c>
      <c r="I92" s="254"/>
      <c r="J92" s="258">
        <f>J40</f>
        <v>0</v>
      </c>
      <c r="K92" s="259">
        <f>K40</f>
        <v>-12044.591158171555</v>
      </c>
      <c r="L92" s="259">
        <f>L40</f>
        <v>-4817.8364632686225</v>
      </c>
      <c r="M92" s="16"/>
      <c r="N92" s="30">
        <f t="shared" si="28"/>
        <v>-16862.427621440176</v>
      </c>
      <c r="O92" s="242">
        <f t="shared" si="29"/>
        <v>43360.528169417601</v>
      </c>
      <c r="P92" s="5"/>
    </row>
    <row r="93" spans="1:45" s="4" customFormat="1" ht="13" x14ac:dyDescent="0.15">
      <c r="A93" s="15"/>
      <c r="B93" s="225" t="s">
        <v>124</v>
      </c>
      <c r="C93" s="235">
        <f t="shared" si="26"/>
        <v>26.900000000000002</v>
      </c>
      <c r="D93" s="236">
        <f>D45</f>
        <v>182.69987494986069</v>
      </c>
      <c r="E93" s="237">
        <f t="shared" si="27"/>
        <v>4914.6266361512526</v>
      </c>
      <c r="F93" s="239">
        <f>F45</f>
        <v>-0.2</v>
      </c>
      <c r="G93" s="239">
        <f>G45</f>
        <v>-0.1</v>
      </c>
      <c r="H93" s="252">
        <f>H45</f>
        <v>0</v>
      </c>
      <c r="I93" s="254"/>
      <c r="J93" s="258">
        <f>J45</f>
        <v>0</v>
      </c>
      <c r="K93" s="259">
        <f>K45</f>
        <v>-982.92532723025056</v>
      </c>
      <c r="L93" s="259">
        <f>L45</f>
        <v>-393.17013089210025</v>
      </c>
      <c r="M93" s="16"/>
      <c r="N93" s="30">
        <f t="shared" si="28"/>
        <v>-1376.0954581223509</v>
      </c>
      <c r="O93" s="242">
        <f t="shared" si="29"/>
        <v>3538.5311780289016</v>
      </c>
      <c r="P93" s="5"/>
    </row>
    <row r="94" spans="1:45" s="4" customFormat="1" ht="13" x14ac:dyDescent="0.15">
      <c r="A94" s="15"/>
      <c r="B94" s="225" t="s">
        <v>160</v>
      </c>
      <c r="C94" s="235">
        <f t="shared" si="26"/>
        <v>0</v>
      </c>
      <c r="D94" s="236">
        <f>D50</f>
        <v>0</v>
      </c>
      <c r="E94" s="237">
        <f t="shared" si="27"/>
        <v>0</v>
      </c>
      <c r="F94" s="239">
        <f>F50</f>
        <v>0</v>
      </c>
      <c r="G94" s="239">
        <f>G50</f>
        <v>0</v>
      </c>
      <c r="H94" s="252">
        <f>H50</f>
        <v>0</v>
      </c>
      <c r="I94" s="254"/>
      <c r="J94" s="258">
        <f>J50</f>
        <v>0</v>
      </c>
      <c r="K94" s="259">
        <f>K50</f>
        <v>0</v>
      </c>
      <c r="L94" s="259">
        <f>L50</f>
        <v>0</v>
      </c>
      <c r="M94" s="16"/>
      <c r="N94" s="30">
        <f>SUM(J94:L94)</f>
        <v>0</v>
      </c>
      <c r="O94" s="242">
        <f>N94+E94</f>
        <v>0</v>
      </c>
      <c r="P94" s="5"/>
    </row>
    <row r="95" spans="1:45" s="3" customFormat="1" thickBot="1" x14ac:dyDescent="0.2">
      <c r="A95" s="15"/>
      <c r="B95" s="250"/>
      <c r="C95" s="240"/>
      <c r="D95" s="238"/>
      <c r="E95" s="241">
        <f>SUM(E85:E94)</f>
        <v>981222.79829954065</v>
      </c>
      <c r="F95" s="20"/>
      <c r="G95" s="20"/>
      <c r="H95" s="271"/>
      <c r="I95" s="20"/>
      <c r="J95" s="223">
        <f>SUM(J85:J94)</f>
        <v>0</v>
      </c>
      <c r="K95" s="223">
        <f>SUM(K85:K94)</f>
        <v>-179303.07059311814</v>
      </c>
      <c r="L95" s="223">
        <f>SUM(L85:L94)</f>
        <v>-52717.515396683455</v>
      </c>
      <c r="M95" s="20"/>
      <c r="N95" s="33">
        <f>SUM(J95:L95)</f>
        <v>-232020.58598980159</v>
      </c>
      <c r="O95" s="224">
        <f>SUM(O85:O94)</f>
        <v>749202.21230973909</v>
      </c>
      <c r="P95" s="231"/>
    </row>
    <row r="96" spans="1:45" s="4" customFormat="1" thickTop="1" x14ac:dyDescent="0.15">
      <c r="A96" s="15"/>
      <c r="B96" s="42"/>
      <c r="C96" s="260"/>
      <c r="D96" s="261"/>
      <c r="E96" s="48"/>
      <c r="F96" s="16"/>
      <c r="G96" s="16"/>
      <c r="H96" s="42"/>
      <c r="I96" s="16"/>
      <c r="J96" s="262"/>
      <c r="K96" s="262"/>
      <c r="L96" s="262"/>
      <c r="M96" s="20"/>
      <c r="O96" s="5"/>
    </row>
    <row r="97" spans="1:45" s="4" customFormat="1" ht="13" x14ac:dyDescent="0.15">
      <c r="A97" s="15"/>
      <c r="B97" s="42"/>
      <c r="C97" s="260"/>
      <c r="D97" s="261"/>
      <c r="E97" s="48"/>
      <c r="F97" s="16"/>
      <c r="G97" s="16"/>
      <c r="H97" s="42"/>
      <c r="I97" s="16"/>
      <c r="J97" s="262"/>
      <c r="K97" s="262"/>
      <c r="L97" s="262"/>
      <c r="M97" s="20"/>
      <c r="N97" s="263"/>
      <c r="P97" s="5"/>
    </row>
    <row r="98" spans="1:45" s="4" customFormat="1" ht="16" x14ac:dyDescent="0.2">
      <c r="A98" s="15" t="s">
        <v>8</v>
      </c>
      <c r="B98" s="53" t="str">
        <f>+B6</f>
        <v>Volwassenen met een verstandelijke beperking (VB)</v>
      </c>
      <c r="C98" s="16"/>
      <c r="D98" s="16"/>
      <c r="E98" s="17"/>
      <c r="F98" s="16"/>
      <c r="G98" s="16"/>
      <c r="H98" s="16"/>
      <c r="I98" s="16"/>
      <c r="J98" s="54"/>
      <c r="K98" s="54"/>
      <c r="L98" s="54"/>
      <c r="M98" s="19"/>
      <c r="N98" s="54"/>
      <c r="O98" s="21"/>
      <c r="P98" s="5"/>
    </row>
    <row r="99" spans="1:45" s="1" customFormat="1" ht="62.25" customHeight="1" thickBot="1" x14ac:dyDescent="0.2">
      <c r="A99" s="22"/>
      <c r="B99" s="217" t="s">
        <v>0</v>
      </c>
      <c r="C99" s="217" t="s">
        <v>26</v>
      </c>
      <c r="D99" s="217" t="s">
        <v>20</v>
      </c>
      <c r="E99" s="217" t="s">
        <v>216</v>
      </c>
      <c r="F99" s="217" t="s">
        <v>11</v>
      </c>
      <c r="G99" s="248" t="s">
        <v>12</v>
      </c>
      <c r="H99" s="217" t="s">
        <v>19</v>
      </c>
      <c r="I99" s="16"/>
      <c r="J99" s="249" t="s">
        <v>18</v>
      </c>
      <c r="K99" s="249" t="s">
        <v>24</v>
      </c>
      <c r="L99" s="219" t="s">
        <v>15</v>
      </c>
      <c r="M99" s="16"/>
      <c r="N99" s="217" t="s">
        <v>16</v>
      </c>
      <c r="O99" s="217" t="s">
        <v>17</v>
      </c>
      <c r="P99" s="5"/>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row>
    <row r="100" spans="1:45" s="4" customFormat="1" thickTop="1" x14ac:dyDescent="0.15">
      <c r="A100" s="15"/>
      <c r="B100" s="243" t="s">
        <v>105</v>
      </c>
      <c r="C100" s="244">
        <f t="shared" ref="C100:C109" si="30">C70</f>
        <v>57.296129858969991</v>
      </c>
      <c r="D100" s="245">
        <f>D6</f>
        <v>2726.2070744723324</v>
      </c>
      <c r="E100" s="267">
        <f>C100*D100</f>
        <v>156201.11456140943</v>
      </c>
      <c r="F100" s="269">
        <f>F6</f>
        <v>-0.2</v>
      </c>
      <c r="G100" s="269">
        <f>G6</f>
        <v>0</v>
      </c>
      <c r="H100" s="269">
        <f>H6</f>
        <v>0</v>
      </c>
      <c r="I100" s="16"/>
      <c r="J100" s="267">
        <f>J6</f>
        <v>0</v>
      </c>
      <c r="K100" s="267">
        <f>K6</f>
        <v>-31240.222912281886</v>
      </c>
      <c r="L100" s="267">
        <f>L6</f>
        <v>0</v>
      </c>
      <c r="M100" s="16"/>
      <c r="N100" s="30">
        <f>SUM(J100:L100)</f>
        <v>-31240.222912281886</v>
      </c>
      <c r="O100" s="242">
        <f>N100+E100</f>
        <v>124960.89164912754</v>
      </c>
      <c r="P100" s="5"/>
    </row>
    <row r="101" spans="1:45" s="4" customFormat="1" ht="13" x14ac:dyDescent="0.15">
      <c r="A101" s="15"/>
      <c r="B101" s="233" t="s">
        <v>104</v>
      </c>
      <c r="C101" s="234">
        <f t="shared" si="30"/>
        <v>71.452114015285076</v>
      </c>
      <c r="D101" s="236">
        <f>D11</f>
        <v>3150.4810429796767</v>
      </c>
      <c r="E101" s="267">
        <f t="shared" ref="E101:E109" si="31">C101*D101</f>
        <v>225108.5306859781</v>
      </c>
      <c r="F101" s="270">
        <f>F11</f>
        <v>-0.2</v>
      </c>
      <c r="G101" s="270">
        <f>G11</f>
        <v>-0.1</v>
      </c>
      <c r="H101" s="270">
        <f>H11</f>
        <v>0</v>
      </c>
      <c r="I101" s="16"/>
      <c r="J101" s="268">
        <f>J11</f>
        <v>0</v>
      </c>
      <c r="K101" s="268">
        <f>K11</f>
        <v>-45021.706137195622</v>
      </c>
      <c r="L101" s="268">
        <f>L11</f>
        <v>-18008.68245487825</v>
      </c>
      <c r="M101" s="16"/>
      <c r="N101" s="30">
        <f t="shared" ref="N101:N109" si="32">SUM(J101:L101)</f>
        <v>-63030.388592073868</v>
      </c>
      <c r="O101" s="242">
        <f t="shared" ref="O101:O109" si="33">N101+E101</f>
        <v>162078.14209390423</v>
      </c>
      <c r="P101" s="5"/>
    </row>
    <row r="102" spans="1:45" s="4" customFormat="1" ht="13" x14ac:dyDescent="0.15">
      <c r="A102" s="15"/>
      <c r="B102" s="233" t="s">
        <v>101</v>
      </c>
      <c r="C102" s="234">
        <f t="shared" si="30"/>
        <v>36.10395767297338</v>
      </c>
      <c r="D102" s="236">
        <f>D16</f>
        <v>6957.9318355283604</v>
      </c>
      <c r="E102" s="267">
        <f t="shared" si="31"/>
        <v>251208.8764813499</v>
      </c>
      <c r="F102" s="270">
        <f>F16</f>
        <v>-0.4</v>
      </c>
      <c r="G102" s="270">
        <f>G16</f>
        <v>0</v>
      </c>
      <c r="H102" s="270">
        <f>H16</f>
        <v>0</v>
      </c>
      <c r="I102" s="16"/>
      <c r="J102" s="268">
        <f>J16</f>
        <v>0</v>
      </c>
      <c r="K102" s="268">
        <f>K16</f>
        <v>-100483.55059253996</v>
      </c>
      <c r="L102" s="268">
        <f>L16</f>
        <v>0</v>
      </c>
      <c r="M102" s="16"/>
      <c r="N102" s="30">
        <f t="shared" si="32"/>
        <v>-100483.55059253996</v>
      </c>
      <c r="O102" s="242">
        <f t="shared" si="33"/>
        <v>150725.32588880992</v>
      </c>
      <c r="P102" s="5"/>
    </row>
    <row r="103" spans="1:45" s="4" customFormat="1" ht="13" x14ac:dyDescent="0.15">
      <c r="A103" s="15"/>
      <c r="B103" s="233" t="s">
        <v>102</v>
      </c>
      <c r="C103" s="234">
        <f t="shared" si="30"/>
        <v>48.858878642934805</v>
      </c>
      <c r="D103" s="236">
        <f>D21</f>
        <v>2700.5677413504977</v>
      </c>
      <c r="E103" s="267">
        <f t="shared" si="31"/>
        <v>131946.71154166851</v>
      </c>
      <c r="F103" s="270">
        <f>F21</f>
        <v>-0.1</v>
      </c>
      <c r="G103" s="270">
        <f>G21</f>
        <v>-0.1</v>
      </c>
      <c r="H103" s="270">
        <f>H21</f>
        <v>0</v>
      </c>
      <c r="I103" s="16"/>
      <c r="J103" s="268">
        <f>J21</f>
        <v>0</v>
      </c>
      <c r="K103" s="268">
        <f>K21</f>
        <v>-13194.671154166852</v>
      </c>
      <c r="L103" s="268">
        <f>L21</f>
        <v>-11875.204038750167</v>
      </c>
      <c r="M103" s="16"/>
      <c r="N103" s="30">
        <f t="shared" si="32"/>
        <v>-25069.875192917018</v>
      </c>
      <c r="O103" s="242">
        <f t="shared" si="33"/>
        <v>106876.8363487515</v>
      </c>
      <c r="P103" s="5"/>
    </row>
    <row r="104" spans="1:45" s="4" customFormat="1" ht="13" x14ac:dyDescent="0.15">
      <c r="A104" s="15"/>
      <c r="B104" s="233" t="s">
        <v>27</v>
      </c>
      <c r="C104" s="234">
        <f t="shared" si="30"/>
        <v>44.180909502664626</v>
      </c>
      <c r="D104" s="236">
        <f>D26</f>
        <v>118.28843392180943</v>
      </c>
      <c r="E104" s="267">
        <f t="shared" si="31"/>
        <v>5226.0905943113867</v>
      </c>
      <c r="F104" s="270">
        <f>F26</f>
        <v>0</v>
      </c>
      <c r="G104" s="270">
        <f>G26</f>
        <v>0</v>
      </c>
      <c r="H104" s="270">
        <f>H26</f>
        <v>0</v>
      </c>
      <c r="I104" s="16"/>
      <c r="J104" s="268">
        <f>J26</f>
        <v>0</v>
      </c>
      <c r="K104" s="268">
        <f>K26</f>
        <v>0</v>
      </c>
      <c r="L104" s="268">
        <f>L26</f>
        <v>0</v>
      </c>
      <c r="M104" s="16"/>
      <c r="N104" s="30">
        <f t="shared" si="32"/>
        <v>0</v>
      </c>
      <c r="O104" s="242">
        <f t="shared" si="33"/>
        <v>5226.0905943113867</v>
      </c>
      <c r="P104" s="5"/>
    </row>
    <row r="105" spans="1:45" s="4" customFormat="1" ht="13" x14ac:dyDescent="0.15">
      <c r="A105" s="15"/>
      <c r="B105" s="233" t="s">
        <v>157</v>
      </c>
      <c r="C105" s="234">
        <f t="shared" si="30"/>
        <v>53.92</v>
      </c>
      <c r="D105" s="236">
        <f>D31</f>
        <v>0</v>
      </c>
      <c r="E105" s="267">
        <f t="shared" si="31"/>
        <v>0</v>
      </c>
      <c r="F105" s="270">
        <f>F31</f>
        <v>0</v>
      </c>
      <c r="G105" s="270">
        <f>G31</f>
        <v>0</v>
      </c>
      <c r="H105" s="270">
        <f>H31</f>
        <v>0</v>
      </c>
      <c r="I105" s="16"/>
      <c r="J105" s="268">
        <f>J31</f>
        <v>0</v>
      </c>
      <c r="K105" s="268">
        <f>K31</f>
        <v>0</v>
      </c>
      <c r="L105" s="268">
        <f>L31</f>
        <v>0</v>
      </c>
      <c r="M105" s="16"/>
      <c r="N105" s="30">
        <f t="shared" si="32"/>
        <v>0</v>
      </c>
      <c r="O105" s="242">
        <f t="shared" si="33"/>
        <v>0</v>
      </c>
      <c r="P105" s="5"/>
    </row>
    <row r="106" spans="1:45" s="4" customFormat="1" ht="13" x14ac:dyDescent="0.15">
      <c r="A106" s="15"/>
      <c r="B106" s="233" t="s">
        <v>158</v>
      </c>
      <c r="C106" s="234">
        <f t="shared" si="30"/>
        <v>220.37878605783692</v>
      </c>
      <c r="D106" s="236">
        <f>D36</f>
        <v>89.145351843965301</v>
      </c>
      <c r="E106" s="267">
        <f t="shared" si="31"/>
        <v>19645.744422071828</v>
      </c>
      <c r="F106" s="270">
        <f>F36</f>
        <v>0</v>
      </c>
      <c r="G106" s="270">
        <f>G36</f>
        <v>0</v>
      </c>
      <c r="H106" s="270">
        <f>H36</f>
        <v>0</v>
      </c>
      <c r="I106" s="16"/>
      <c r="J106" s="268">
        <f>J36</f>
        <v>0</v>
      </c>
      <c r="K106" s="268">
        <f>K36</f>
        <v>0</v>
      </c>
      <c r="L106" s="268">
        <f>L36</f>
        <v>0</v>
      </c>
      <c r="M106" s="16"/>
      <c r="N106" s="30">
        <f t="shared" si="32"/>
        <v>0</v>
      </c>
      <c r="O106" s="242">
        <f t="shared" si="33"/>
        <v>19645.744422071828</v>
      </c>
      <c r="P106" s="5"/>
    </row>
    <row r="107" spans="1:45" ht="13" x14ac:dyDescent="0.15">
      <c r="B107" s="225" t="s">
        <v>125</v>
      </c>
      <c r="C107" s="235">
        <f t="shared" si="30"/>
        <v>18.622499999999999</v>
      </c>
      <c r="D107" s="236">
        <f>D41</f>
        <v>9212.9503035599864</v>
      </c>
      <c r="E107" s="267">
        <f t="shared" si="31"/>
        <v>171568.16702804583</v>
      </c>
      <c r="F107" s="270">
        <f>F41</f>
        <v>-0.31611840783794337</v>
      </c>
      <c r="G107" s="270">
        <f>G41</f>
        <v>-2.7960530720685564E-2</v>
      </c>
      <c r="H107" s="270">
        <f>H41</f>
        <v>0</v>
      </c>
      <c r="J107" s="268">
        <f>J41</f>
        <v>0</v>
      </c>
      <c r="K107" s="268">
        <f>K41</f>
        <v>-54235.855796580181</v>
      </c>
      <c r="L107" s="268">
        <f>L41</f>
        <v>-3280.6736927164357</v>
      </c>
      <c r="M107" s="16"/>
      <c r="N107" s="30">
        <f t="shared" si="32"/>
        <v>-57516.529489296619</v>
      </c>
      <c r="O107" s="242">
        <f t="shared" si="33"/>
        <v>114051.63753874922</v>
      </c>
    </row>
    <row r="108" spans="1:45" ht="13" x14ac:dyDescent="0.15">
      <c r="B108" s="225" t="s">
        <v>124</v>
      </c>
      <c r="C108" s="235">
        <f t="shared" si="30"/>
        <v>26.900000000000002</v>
      </c>
      <c r="D108" s="236">
        <f>D46</f>
        <v>520.49060445085684</v>
      </c>
      <c r="E108" s="267">
        <f t="shared" si="31"/>
        <v>14001.197259728049</v>
      </c>
      <c r="F108" s="270">
        <f>F46</f>
        <v>-0.31611840783794337</v>
      </c>
      <c r="G108" s="270">
        <f>G46</f>
        <v>-2.7960530720685564E-2</v>
      </c>
      <c r="H108" s="270">
        <f>H46</f>
        <v>0</v>
      </c>
      <c r="J108" s="268">
        <f>J46</f>
        <v>0</v>
      </c>
      <c r="K108" s="268">
        <f>K46</f>
        <v>-4426.0361855702067</v>
      </c>
      <c r="L108" s="268">
        <f>L46</f>
        <v>-267.72658536950291</v>
      </c>
      <c r="M108" s="16"/>
      <c r="N108" s="30">
        <f t="shared" si="32"/>
        <v>-4693.7627709397093</v>
      </c>
      <c r="O108" s="242">
        <f t="shared" si="33"/>
        <v>9307.4344887883399</v>
      </c>
    </row>
    <row r="109" spans="1:45" ht="13" x14ac:dyDescent="0.15">
      <c r="B109" s="225" t="s">
        <v>160</v>
      </c>
      <c r="C109" s="235">
        <f t="shared" si="30"/>
        <v>0</v>
      </c>
      <c r="D109" s="236">
        <f>D51</f>
        <v>0</v>
      </c>
      <c r="E109" s="267">
        <f t="shared" si="31"/>
        <v>0</v>
      </c>
      <c r="F109" s="270">
        <f>F51</f>
        <v>0</v>
      </c>
      <c r="G109" s="270">
        <f>G51</f>
        <v>0</v>
      </c>
      <c r="H109" s="270">
        <f>H51</f>
        <v>0</v>
      </c>
      <c r="J109" s="268">
        <f>J51</f>
        <v>0</v>
      </c>
      <c r="K109" s="268">
        <f>K51</f>
        <v>0</v>
      </c>
      <c r="L109" s="268">
        <f>L51</f>
        <v>0</v>
      </c>
      <c r="M109" s="16"/>
      <c r="N109" s="30">
        <f t="shared" si="32"/>
        <v>0</v>
      </c>
      <c r="O109" s="242">
        <f t="shared" si="33"/>
        <v>0</v>
      </c>
    </row>
    <row r="110" spans="1:45" s="3" customFormat="1" thickBot="1" x14ac:dyDescent="0.2">
      <c r="A110" s="15"/>
      <c r="B110" s="250"/>
      <c r="C110" s="240"/>
      <c r="D110" s="238"/>
      <c r="E110" s="241">
        <f>SUM(E100:E109)</f>
        <v>974906.43257456308</v>
      </c>
      <c r="F110" s="20"/>
      <c r="G110" s="20"/>
      <c r="H110" s="271"/>
      <c r="I110" s="20"/>
      <c r="J110" s="223">
        <f>SUM(J100:J109)</f>
        <v>0</v>
      </c>
      <c r="K110" s="223">
        <f>SUM(K100:K109)</f>
        <v>-248602.0427783347</v>
      </c>
      <c r="L110" s="223">
        <f>SUM(L100:L109)</f>
        <v>-33432.28677171436</v>
      </c>
      <c r="M110" s="20"/>
      <c r="N110" s="33">
        <f>SUM(J110:L110)</f>
        <v>-282034.32955004903</v>
      </c>
      <c r="O110" s="224">
        <f>SUM(O100:O109)</f>
        <v>692872.10302451404</v>
      </c>
      <c r="P110" s="231"/>
    </row>
    <row r="111" spans="1:45" s="4" customFormat="1" thickTop="1" x14ac:dyDescent="0.15">
      <c r="A111" s="15"/>
      <c r="B111" s="42"/>
      <c r="C111" s="260"/>
      <c r="D111" s="261"/>
      <c r="E111" s="48"/>
      <c r="F111" s="16"/>
      <c r="G111" s="16"/>
      <c r="H111" s="42"/>
      <c r="I111" s="16"/>
      <c r="J111" s="262"/>
      <c r="K111" s="262"/>
      <c r="L111" s="262"/>
      <c r="M111" s="262"/>
      <c r="N111" s="262"/>
      <c r="O111" s="262"/>
      <c r="P111" s="5"/>
    </row>
    <row r="112" spans="1:45" s="4" customFormat="1" x14ac:dyDescent="0.15">
      <c r="A112" s="15"/>
      <c r="B112" s="16"/>
      <c r="C112" s="16"/>
      <c r="D112" s="16"/>
      <c r="E112" s="17"/>
      <c r="F112" s="16"/>
      <c r="G112" s="16"/>
      <c r="H112" s="16"/>
      <c r="I112" s="16"/>
      <c r="J112" s="54"/>
      <c r="K112" s="54"/>
      <c r="L112" s="54"/>
      <c r="M112" s="19"/>
      <c r="N112" s="54"/>
      <c r="O112" s="21"/>
      <c r="P112" s="5"/>
    </row>
    <row r="113" spans="1:45" s="4" customFormat="1" ht="16" x14ac:dyDescent="0.2">
      <c r="A113" s="15" t="s">
        <v>9</v>
      </c>
      <c r="B113" s="53" t="str">
        <f>+B22</f>
        <v>Volwassenen met een lichamelijke beperking of chronische ziekte (SOM 0-64, LG)</v>
      </c>
      <c r="C113" s="16"/>
      <c r="D113" s="16"/>
      <c r="E113" s="17"/>
      <c r="F113" s="16"/>
      <c r="G113" s="16"/>
      <c r="H113" s="16"/>
      <c r="I113" s="16"/>
      <c r="J113" s="54"/>
      <c r="K113" s="54"/>
      <c r="L113" s="54"/>
      <c r="M113" s="19"/>
      <c r="N113" s="54"/>
      <c r="O113" s="21"/>
      <c r="P113" s="5"/>
    </row>
    <row r="114" spans="1:45" s="1" customFormat="1" ht="62.25" customHeight="1" thickBot="1" x14ac:dyDescent="0.2">
      <c r="A114" s="22"/>
      <c r="B114" s="217" t="s">
        <v>0</v>
      </c>
      <c r="C114" s="217" t="s">
        <v>26</v>
      </c>
      <c r="D114" s="217" t="s">
        <v>20</v>
      </c>
      <c r="E114" s="217" t="s">
        <v>216</v>
      </c>
      <c r="F114" s="217" t="s">
        <v>11</v>
      </c>
      <c r="G114" s="248" t="s">
        <v>12</v>
      </c>
      <c r="H114" s="217" t="s">
        <v>19</v>
      </c>
      <c r="I114" s="253"/>
      <c r="J114" s="249" t="s">
        <v>18</v>
      </c>
      <c r="K114" s="249" t="s">
        <v>24</v>
      </c>
      <c r="L114" s="219" t="s">
        <v>15</v>
      </c>
      <c r="M114" s="16"/>
      <c r="N114" s="217" t="s">
        <v>16</v>
      </c>
      <c r="O114" s="217" t="s">
        <v>17</v>
      </c>
      <c r="P114" s="5"/>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row>
    <row r="115" spans="1:45" s="4" customFormat="1" thickTop="1" x14ac:dyDescent="0.15">
      <c r="A115" s="15"/>
      <c r="B115" s="243" t="s">
        <v>105</v>
      </c>
      <c r="C115" s="244">
        <f t="shared" ref="C115:C124" si="34">C70</f>
        <v>57.296129858969991</v>
      </c>
      <c r="D115" s="245">
        <f>D7</f>
        <v>543.52831747377957</v>
      </c>
      <c r="E115" s="267">
        <f>C115*D115</f>
        <v>31142.069060005142</v>
      </c>
      <c r="F115" s="269">
        <f>F7</f>
        <v>-0.2</v>
      </c>
      <c r="G115" s="269">
        <f>G7</f>
        <v>-0.1</v>
      </c>
      <c r="H115" s="269">
        <f>H7</f>
        <v>0</v>
      </c>
      <c r="I115" s="253"/>
      <c r="J115" s="267">
        <f>J7</f>
        <v>0</v>
      </c>
      <c r="K115" s="267">
        <f>K7</f>
        <v>-6228.4138120010284</v>
      </c>
      <c r="L115" s="267">
        <f>L7</f>
        <v>-2491.3655248004115</v>
      </c>
      <c r="M115" s="16"/>
      <c r="N115" s="30">
        <f>SUM(J115:L115)</f>
        <v>-8719.7793368014391</v>
      </c>
      <c r="O115" s="242">
        <f>N115+E115</f>
        <v>22422.289723203703</v>
      </c>
      <c r="P115" s="5"/>
    </row>
    <row r="116" spans="1:45" s="4" customFormat="1" ht="13" x14ac:dyDescent="0.15">
      <c r="A116" s="15"/>
      <c r="B116" s="233" t="s">
        <v>104</v>
      </c>
      <c r="C116" s="234">
        <f t="shared" si="34"/>
        <v>71.452114015285076</v>
      </c>
      <c r="D116" s="236">
        <f>D12</f>
        <v>812.9370796746274</v>
      </c>
      <c r="E116" s="267">
        <f t="shared" ref="E116:E124" si="35">C116*D116</f>
        <v>58086.072904164364</v>
      </c>
      <c r="F116" s="270">
        <f>F12</f>
        <v>-0.1</v>
      </c>
      <c r="G116" s="270">
        <f>G12</f>
        <v>-0.05</v>
      </c>
      <c r="H116" s="270">
        <f>H12</f>
        <v>0</v>
      </c>
      <c r="I116" s="253"/>
      <c r="J116" s="268">
        <f>J12</f>
        <v>0</v>
      </c>
      <c r="K116" s="268">
        <f>K12</f>
        <v>-5808.6072904164366</v>
      </c>
      <c r="L116" s="268">
        <f>L12</f>
        <v>-2613.8732806873963</v>
      </c>
      <c r="M116" s="16"/>
      <c r="N116" s="30">
        <f t="shared" ref="N116:N124" si="36">SUM(J116:L116)</f>
        <v>-8422.4805711038334</v>
      </c>
      <c r="O116" s="242">
        <f t="shared" ref="O116:O124" si="37">N116+E116</f>
        <v>49663.592333060529</v>
      </c>
      <c r="P116" s="5"/>
    </row>
    <row r="117" spans="1:45" s="4" customFormat="1" ht="13" x14ac:dyDescent="0.15">
      <c r="A117" s="15"/>
      <c r="B117" s="233" t="s">
        <v>101</v>
      </c>
      <c r="C117" s="234">
        <f t="shared" si="34"/>
        <v>36.10395767297338</v>
      </c>
      <c r="D117" s="236">
        <f>D17</f>
        <v>540.28910891089106</v>
      </c>
      <c r="E117" s="267">
        <f t="shared" si="35"/>
        <v>19506.575119287314</v>
      </c>
      <c r="F117" s="270">
        <f>F17</f>
        <v>-0.2</v>
      </c>
      <c r="G117" s="270">
        <f>G17</f>
        <v>0</v>
      </c>
      <c r="H117" s="270">
        <f>H17</f>
        <v>0</v>
      </c>
      <c r="I117" s="253"/>
      <c r="J117" s="268">
        <f>J17</f>
        <v>0</v>
      </c>
      <c r="K117" s="268">
        <f>K17</f>
        <v>-3901.3150238574631</v>
      </c>
      <c r="L117" s="268">
        <f>L17</f>
        <v>0</v>
      </c>
      <c r="M117" s="16"/>
      <c r="N117" s="30">
        <f t="shared" si="36"/>
        <v>-3901.3150238574631</v>
      </c>
      <c r="O117" s="242">
        <f t="shared" si="37"/>
        <v>15605.26009542985</v>
      </c>
      <c r="P117" s="5"/>
    </row>
    <row r="118" spans="1:45" s="4" customFormat="1" ht="13" x14ac:dyDescent="0.15">
      <c r="A118" s="15"/>
      <c r="B118" s="233" t="s">
        <v>102</v>
      </c>
      <c r="C118" s="234">
        <f t="shared" si="34"/>
        <v>48.858878642934805</v>
      </c>
      <c r="D118" s="236">
        <f>D22</f>
        <v>543.66524271104845</v>
      </c>
      <c r="E118" s="267">
        <f t="shared" si="35"/>
        <v>26562.87411600081</v>
      </c>
      <c r="F118" s="270">
        <f>F22</f>
        <v>-0.05</v>
      </c>
      <c r="G118" s="270">
        <f>G22</f>
        <v>0</v>
      </c>
      <c r="H118" s="270">
        <f>H22</f>
        <v>0</v>
      </c>
      <c r="I118" s="253"/>
      <c r="J118" s="268">
        <f>J22</f>
        <v>0</v>
      </c>
      <c r="K118" s="268">
        <f>K22</f>
        <v>-1328.1437058000406</v>
      </c>
      <c r="L118" s="268">
        <f>L22</f>
        <v>0</v>
      </c>
      <c r="M118" s="16"/>
      <c r="N118" s="30">
        <f t="shared" si="36"/>
        <v>-1328.1437058000406</v>
      </c>
      <c r="O118" s="242">
        <f t="shared" si="37"/>
        <v>25234.730410200769</v>
      </c>
      <c r="P118" s="5"/>
    </row>
    <row r="119" spans="1:45" s="4" customFormat="1" ht="13" x14ac:dyDescent="0.15">
      <c r="A119" s="15"/>
      <c r="B119" s="233" t="s">
        <v>27</v>
      </c>
      <c r="C119" s="234">
        <f t="shared" si="34"/>
        <v>44.180909502664626</v>
      </c>
      <c r="D119" s="236">
        <f>D27</f>
        <v>30.522657562393469</v>
      </c>
      <c r="E119" s="267">
        <f t="shared" si="35"/>
        <v>1348.5187715449279</v>
      </c>
      <c r="F119" s="270">
        <f>F27</f>
        <v>0</v>
      </c>
      <c r="G119" s="270">
        <f>G27</f>
        <v>0</v>
      </c>
      <c r="H119" s="270">
        <f>H27</f>
        <v>0</v>
      </c>
      <c r="I119" s="253"/>
      <c r="J119" s="268">
        <f>J27</f>
        <v>0</v>
      </c>
      <c r="K119" s="268">
        <f>K27</f>
        <v>0</v>
      </c>
      <c r="L119" s="268">
        <f>L27</f>
        <v>0</v>
      </c>
      <c r="M119" s="16"/>
      <c r="N119" s="30">
        <f t="shared" si="36"/>
        <v>0</v>
      </c>
      <c r="O119" s="242">
        <f t="shared" si="37"/>
        <v>1348.5187715449279</v>
      </c>
      <c r="P119" s="5"/>
    </row>
    <row r="120" spans="1:45" s="4" customFormat="1" ht="13" x14ac:dyDescent="0.15">
      <c r="A120" s="15"/>
      <c r="B120" s="233" t="s">
        <v>157</v>
      </c>
      <c r="C120" s="234">
        <f t="shared" si="34"/>
        <v>53.92</v>
      </c>
      <c r="D120" s="236">
        <f>D32</f>
        <v>0</v>
      </c>
      <c r="E120" s="267">
        <f t="shared" si="35"/>
        <v>0</v>
      </c>
      <c r="F120" s="270">
        <f>F32</f>
        <v>0</v>
      </c>
      <c r="G120" s="270">
        <f>G32</f>
        <v>0</v>
      </c>
      <c r="H120" s="270">
        <f>H32</f>
        <v>0</v>
      </c>
      <c r="I120" s="253"/>
      <c r="J120" s="268">
        <f>J32</f>
        <v>0</v>
      </c>
      <c r="K120" s="268">
        <f>K32</f>
        <v>0</v>
      </c>
      <c r="L120" s="257">
        <f>L32</f>
        <v>0</v>
      </c>
      <c r="M120" s="16"/>
      <c r="N120" s="30">
        <f t="shared" si="36"/>
        <v>0</v>
      </c>
      <c r="O120" s="242">
        <f t="shared" si="37"/>
        <v>0</v>
      </c>
      <c r="P120" s="5"/>
    </row>
    <row r="121" spans="1:45" s="4" customFormat="1" ht="13" x14ac:dyDescent="0.15">
      <c r="A121" s="15"/>
      <c r="B121" s="233" t="s">
        <v>158</v>
      </c>
      <c r="C121" s="234">
        <f t="shared" si="34"/>
        <v>220.37878605783692</v>
      </c>
      <c r="D121" s="236">
        <f>D37</f>
        <v>23.002697367783465</v>
      </c>
      <c r="E121" s="267">
        <f t="shared" si="35"/>
        <v>5069.3065219679211</v>
      </c>
      <c r="F121" s="270">
        <f>F37</f>
        <v>0</v>
      </c>
      <c r="G121" s="270">
        <f>G37</f>
        <v>0</v>
      </c>
      <c r="H121" s="270">
        <f>H37</f>
        <v>0</v>
      </c>
      <c r="I121" s="253"/>
      <c r="J121" s="268">
        <f>J37</f>
        <v>0</v>
      </c>
      <c r="K121" s="268">
        <f>K37</f>
        <v>0</v>
      </c>
      <c r="L121" s="268">
        <f>L37</f>
        <v>0</v>
      </c>
      <c r="M121" s="16"/>
      <c r="N121" s="30">
        <f t="shared" si="36"/>
        <v>0</v>
      </c>
      <c r="O121" s="242">
        <f t="shared" si="37"/>
        <v>5069.3065219679211</v>
      </c>
      <c r="P121" s="5"/>
    </row>
    <row r="122" spans="1:45" ht="13" x14ac:dyDescent="0.15">
      <c r="B122" s="225" t="s">
        <v>125</v>
      </c>
      <c r="C122" s="235">
        <f t="shared" si="34"/>
        <v>18.622499999999999</v>
      </c>
      <c r="D122" s="236">
        <f>D42</f>
        <v>1033.9512357309259</v>
      </c>
      <c r="E122" s="267">
        <f t="shared" si="35"/>
        <v>19254.756887399166</v>
      </c>
      <c r="F122" s="270">
        <f>F42</f>
        <v>-0.12476640156974053</v>
      </c>
      <c r="G122" s="270">
        <f>G42</f>
        <v>0</v>
      </c>
      <c r="H122" s="270">
        <f>H42</f>
        <v>0</v>
      </c>
      <c r="I122" s="253"/>
      <c r="J122" s="268">
        <f>J42</f>
        <v>0</v>
      </c>
      <c r="K122" s="268">
        <f>K42</f>
        <v>-196.04878361070217</v>
      </c>
      <c r="L122" s="268">
        <f>L42</f>
        <v>0</v>
      </c>
      <c r="M122" s="16"/>
      <c r="N122" s="30">
        <f t="shared" si="36"/>
        <v>-196.04878361070217</v>
      </c>
      <c r="O122" s="242">
        <f t="shared" si="37"/>
        <v>19058.708103788464</v>
      </c>
    </row>
    <row r="123" spans="1:45" ht="13" x14ac:dyDescent="0.15">
      <c r="B123" s="225" t="s">
        <v>124</v>
      </c>
      <c r="C123" s="235">
        <f t="shared" si="34"/>
        <v>26.900000000000002</v>
      </c>
      <c r="D123" s="236">
        <f>D47</f>
        <v>58.413633627259244</v>
      </c>
      <c r="E123" s="267">
        <f t="shared" si="35"/>
        <v>1571.3267445732738</v>
      </c>
      <c r="F123" s="270">
        <f>F47</f>
        <v>-0.12476640156974053</v>
      </c>
      <c r="G123" s="270">
        <f>G47</f>
        <v>0</v>
      </c>
      <c r="H123" s="270">
        <f>H47</f>
        <v>0</v>
      </c>
      <c r="I123" s="253"/>
      <c r="J123" s="268">
        <f>J47</f>
        <v>0</v>
      </c>
      <c r="K123" s="268">
        <f>K47</f>
        <v>-196.04878361070217</v>
      </c>
      <c r="L123" s="268">
        <f>L47</f>
        <v>0</v>
      </c>
      <c r="M123" s="16"/>
      <c r="N123" s="30">
        <f t="shared" si="36"/>
        <v>-196.04878361070217</v>
      </c>
      <c r="O123" s="242">
        <f t="shared" si="37"/>
        <v>1375.2779609625716</v>
      </c>
    </row>
    <row r="124" spans="1:45" ht="13" x14ac:dyDescent="0.15">
      <c r="B124" s="225" t="s">
        <v>160</v>
      </c>
      <c r="C124" s="235">
        <f t="shared" si="34"/>
        <v>0</v>
      </c>
      <c r="D124" s="236">
        <f>D52</f>
        <v>0</v>
      </c>
      <c r="E124" s="267">
        <f t="shared" si="35"/>
        <v>0</v>
      </c>
      <c r="F124" s="270">
        <f>F52</f>
        <v>0</v>
      </c>
      <c r="G124" s="270">
        <f>G52</f>
        <v>0</v>
      </c>
      <c r="H124" s="270">
        <f>H52</f>
        <v>0</v>
      </c>
      <c r="I124" s="253"/>
      <c r="J124" s="268">
        <f>J52</f>
        <v>0</v>
      </c>
      <c r="K124" s="268">
        <f>K52</f>
        <v>0</v>
      </c>
      <c r="L124" s="268">
        <f>L52</f>
        <v>0</v>
      </c>
      <c r="M124" s="16"/>
      <c r="N124" s="30">
        <f t="shared" si="36"/>
        <v>0</v>
      </c>
      <c r="O124" s="242">
        <f t="shared" si="37"/>
        <v>0</v>
      </c>
    </row>
    <row r="125" spans="1:45" s="3" customFormat="1" thickBot="1" x14ac:dyDescent="0.2">
      <c r="A125" s="15"/>
      <c r="B125" s="250"/>
      <c r="C125" s="240"/>
      <c r="D125" s="238"/>
      <c r="E125" s="241">
        <f>SUM(E115:E124)</f>
        <v>162541.50012494292</v>
      </c>
      <c r="F125" s="20"/>
      <c r="G125" s="20"/>
      <c r="H125" s="271"/>
      <c r="I125" s="20"/>
      <c r="J125" s="223">
        <f>SUM(J115:J124)</f>
        <v>0</v>
      </c>
      <c r="K125" s="223">
        <f>SUM(K115:K124)</f>
        <v>-17658.577399296373</v>
      </c>
      <c r="L125" s="223">
        <f>SUM(L115:L124)</f>
        <v>-5105.2388054878083</v>
      </c>
      <c r="M125" s="20"/>
      <c r="N125" s="33">
        <f>SUM(J125:L125)</f>
        <v>-22763.816204784183</v>
      </c>
      <c r="O125" s="224">
        <f>SUM(O115:O124)</f>
        <v>139777.68392015871</v>
      </c>
      <c r="P125" s="231"/>
    </row>
    <row r="126" spans="1:45" s="4" customFormat="1" thickTop="1" x14ac:dyDescent="0.15">
      <c r="A126" s="15"/>
      <c r="B126" s="42"/>
      <c r="C126" s="260"/>
      <c r="D126" s="261"/>
      <c r="E126" s="48"/>
      <c r="F126" s="16"/>
      <c r="G126" s="16"/>
      <c r="H126" s="42"/>
      <c r="I126" s="16"/>
      <c r="J126" s="262"/>
      <c r="K126" s="262"/>
      <c r="L126" s="262"/>
      <c r="M126" s="20"/>
      <c r="N126" s="5"/>
    </row>
    <row r="127" spans="1:45" s="4" customFormat="1" ht="13" x14ac:dyDescent="0.15">
      <c r="A127" s="15"/>
      <c r="B127" s="42"/>
      <c r="C127" s="260"/>
      <c r="D127" s="261"/>
      <c r="E127" s="48"/>
      <c r="F127" s="16"/>
      <c r="G127" s="16"/>
      <c r="H127" s="42"/>
      <c r="I127" s="16"/>
      <c r="J127" s="262"/>
      <c r="K127" s="262"/>
      <c r="L127" s="262"/>
      <c r="M127" s="20"/>
      <c r="N127" s="5"/>
    </row>
    <row r="128" spans="1:45" s="4" customFormat="1" x14ac:dyDescent="0.15">
      <c r="A128" s="15"/>
      <c r="B128" s="16"/>
      <c r="C128" s="16"/>
      <c r="D128" s="16"/>
      <c r="E128" s="17"/>
      <c r="F128" s="16"/>
      <c r="G128" s="16"/>
      <c r="H128" s="16"/>
      <c r="I128" s="16"/>
      <c r="J128" s="54"/>
      <c r="K128" s="54"/>
      <c r="L128" s="54"/>
      <c r="M128" s="19"/>
      <c r="N128" s="54"/>
      <c r="O128" s="21"/>
      <c r="P128" s="5"/>
    </row>
    <row r="129" spans="1:16" s="4" customFormat="1" x14ac:dyDescent="0.15">
      <c r="A129" s="15"/>
      <c r="B129" s="16"/>
      <c r="C129" s="16"/>
      <c r="D129" s="16"/>
      <c r="E129" s="17"/>
      <c r="F129" s="16"/>
      <c r="G129" s="16"/>
      <c r="H129" s="16"/>
      <c r="I129" s="16"/>
      <c r="J129" s="54"/>
      <c r="K129" s="54"/>
      <c r="L129" s="54"/>
      <c r="M129" s="19"/>
      <c r="N129" s="54"/>
      <c r="O129" s="21"/>
      <c r="P129" s="5"/>
    </row>
    <row r="130" spans="1:16" s="4" customFormat="1" x14ac:dyDescent="0.15">
      <c r="A130" s="15"/>
      <c r="B130" s="16"/>
      <c r="C130" s="16"/>
      <c r="D130" s="16"/>
      <c r="E130" s="17"/>
      <c r="F130" s="16"/>
      <c r="G130" s="16"/>
      <c r="H130" s="16"/>
      <c r="I130" s="16"/>
      <c r="J130" s="54"/>
      <c r="K130" s="54"/>
      <c r="L130" s="54"/>
      <c r="M130" s="19"/>
      <c r="N130" s="54"/>
      <c r="O130" s="21"/>
      <c r="P130" s="5"/>
    </row>
    <row r="131" spans="1:16" s="4" customFormat="1" x14ac:dyDescent="0.15">
      <c r="A131" s="15"/>
      <c r="B131" s="16"/>
      <c r="C131" s="16"/>
      <c r="D131" s="16"/>
      <c r="E131" s="17"/>
      <c r="F131" s="16"/>
      <c r="G131" s="16"/>
      <c r="H131" s="16"/>
      <c r="I131" s="16"/>
      <c r="J131" s="54"/>
      <c r="K131" s="54"/>
      <c r="L131" s="54"/>
      <c r="M131" s="19"/>
      <c r="N131" s="54"/>
      <c r="O131" s="21"/>
      <c r="P131" s="5"/>
    </row>
    <row r="132" spans="1:16" s="4" customFormat="1" x14ac:dyDescent="0.15">
      <c r="A132" s="15"/>
      <c r="B132" s="16"/>
      <c r="C132" s="16"/>
      <c r="D132" s="16"/>
      <c r="E132" s="17"/>
      <c r="F132" s="16"/>
      <c r="G132" s="16"/>
      <c r="H132" s="16"/>
      <c r="I132" s="16"/>
      <c r="J132" s="54"/>
      <c r="K132" s="54"/>
      <c r="L132" s="54"/>
      <c r="M132" s="19"/>
      <c r="N132" s="54"/>
      <c r="O132" s="21"/>
      <c r="P132" s="5"/>
    </row>
    <row r="133" spans="1:16" s="4" customFormat="1" x14ac:dyDescent="0.15">
      <c r="A133" s="15"/>
      <c r="B133" s="16"/>
      <c r="C133" s="16"/>
      <c r="D133" s="16"/>
      <c r="E133" s="17"/>
      <c r="F133" s="16"/>
      <c r="G133" s="16"/>
      <c r="H133" s="16"/>
      <c r="I133" s="16"/>
      <c r="J133" s="54"/>
      <c r="K133" s="54"/>
      <c r="L133" s="54"/>
      <c r="M133" s="19"/>
      <c r="N133" s="54"/>
      <c r="O133" s="21"/>
      <c r="P133" s="5"/>
    </row>
    <row r="134" spans="1:16" s="4" customFormat="1" x14ac:dyDescent="0.15">
      <c r="A134" s="15"/>
      <c r="B134" s="16"/>
      <c r="C134" s="16"/>
      <c r="D134" s="16"/>
      <c r="E134" s="17"/>
      <c r="F134" s="16"/>
      <c r="G134" s="16"/>
      <c r="H134" s="16"/>
      <c r="I134" s="16"/>
      <c r="J134" s="54"/>
      <c r="K134" s="54"/>
      <c r="L134" s="54"/>
      <c r="M134" s="19"/>
      <c r="N134" s="54"/>
      <c r="O134" s="21"/>
      <c r="P134" s="5"/>
    </row>
    <row r="135" spans="1:16" s="4" customFormat="1" x14ac:dyDescent="0.15">
      <c r="A135" s="15"/>
      <c r="B135" s="16"/>
      <c r="C135" s="16"/>
      <c r="D135" s="16"/>
      <c r="E135" s="17"/>
      <c r="F135" s="16"/>
      <c r="G135" s="16"/>
      <c r="H135" s="16"/>
      <c r="I135" s="16"/>
      <c r="J135" s="54"/>
      <c r="K135" s="54"/>
      <c r="L135" s="54"/>
      <c r="M135" s="19"/>
      <c r="N135" s="54"/>
      <c r="O135" s="21"/>
      <c r="P135" s="5"/>
    </row>
    <row r="136" spans="1:16" s="4" customFormat="1" x14ac:dyDescent="0.15">
      <c r="A136" s="15"/>
      <c r="B136" s="16"/>
      <c r="C136" s="16"/>
      <c r="D136" s="16"/>
      <c r="E136" s="17"/>
      <c r="F136" s="16"/>
      <c r="G136" s="16"/>
      <c r="H136" s="16"/>
      <c r="I136" s="16"/>
      <c r="J136" s="54"/>
      <c r="K136" s="54"/>
      <c r="L136" s="54"/>
      <c r="M136" s="19"/>
      <c r="N136" s="54"/>
      <c r="O136" s="21"/>
      <c r="P136" s="5"/>
    </row>
    <row r="137" spans="1:16" s="4" customFormat="1" x14ac:dyDescent="0.15">
      <c r="A137" s="15"/>
      <c r="B137" s="16"/>
      <c r="C137" s="16"/>
      <c r="D137" s="16"/>
      <c r="E137" s="17"/>
      <c r="F137" s="16"/>
      <c r="G137" s="16"/>
      <c r="H137" s="16"/>
      <c r="I137" s="16"/>
      <c r="J137" s="54"/>
      <c r="K137" s="54"/>
      <c r="L137" s="54"/>
      <c r="M137" s="19"/>
      <c r="N137" s="54"/>
      <c r="O137" s="21"/>
      <c r="P137" s="5"/>
    </row>
    <row r="138" spans="1:16" s="4" customFormat="1" x14ac:dyDescent="0.15">
      <c r="A138" s="15"/>
      <c r="B138" s="16"/>
      <c r="C138" s="16"/>
      <c r="D138" s="16"/>
      <c r="E138" s="17"/>
      <c r="F138" s="16"/>
      <c r="G138" s="16"/>
      <c r="H138" s="16"/>
      <c r="I138" s="16"/>
      <c r="J138" s="54"/>
      <c r="K138" s="54"/>
      <c r="L138" s="54"/>
      <c r="M138" s="19"/>
      <c r="N138" s="54"/>
      <c r="O138" s="21"/>
      <c r="P138" s="5"/>
    </row>
    <row r="139" spans="1:16" s="4" customFormat="1" x14ac:dyDescent="0.15">
      <c r="A139" s="15"/>
      <c r="B139" s="16"/>
      <c r="C139" s="16"/>
      <c r="D139" s="16"/>
      <c r="E139" s="17"/>
      <c r="F139" s="16"/>
      <c r="G139" s="16"/>
      <c r="H139" s="16"/>
      <c r="I139" s="16"/>
      <c r="J139" s="54"/>
      <c r="K139" s="54"/>
      <c r="L139" s="54"/>
      <c r="M139" s="19"/>
      <c r="N139" s="54"/>
      <c r="O139" s="21"/>
      <c r="P139" s="5"/>
    </row>
    <row r="140" spans="1:16" s="4" customFormat="1" x14ac:dyDescent="0.15">
      <c r="A140" s="15"/>
      <c r="B140" s="16"/>
      <c r="C140" s="16"/>
      <c r="D140" s="16"/>
      <c r="E140" s="17"/>
      <c r="F140" s="16"/>
      <c r="G140" s="16"/>
      <c r="H140" s="16"/>
      <c r="I140" s="16"/>
      <c r="J140" s="54"/>
      <c r="K140" s="54"/>
      <c r="L140" s="54"/>
      <c r="M140" s="19"/>
      <c r="N140" s="54"/>
      <c r="O140" s="21"/>
      <c r="P140" s="5"/>
    </row>
    <row r="141" spans="1:16" s="4" customFormat="1" x14ac:dyDescent="0.15">
      <c r="A141" s="15"/>
      <c r="B141" s="16"/>
      <c r="C141" s="16"/>
      <c r="D141" s="16"/>
      <c r="E141" s="17"/>
      <c r="F141" s="16"/>
      <c r="G141" s="16"/>
      <c r="H141" s="16"/>
      <c r="I141" s="16"/>
      <c r="J141" s="54"/>
      <c r="K141" s="54"/>
      <c r="L141" s="54"/>
      <c r="M141" s="19"/>
      <c r="N141" s="54"/>
      <c r="O141" s="21"/>
      <c r="P141" s="5"/>
    </row>
    <row r="142" spans="1:16" s="4" customFormat="1" x14ac:dyDescent="0.15">
      <c r="A142" s="15"/>
      <c r="B142" s="16"/>
      <c r="C142" s="16"/>
      <c r="D142" s="16"/>
      <c r="E142" s="17"/>
      <c r="F142" s="16"/>
      <c r="G142" s="16"/>
      <c r="H142" s="16"/>
      <c r="I142" s="16"/>
      <c r="J142" s="54"/>
      <c r="K142" s="54"/>
      <c r="L142" s="54"/>
      <c r="M142" s="19"/>
      <c r="N142" s="54"/>
      <c r="O142" s="21"/>
      <c r="P142" s="5"/>
    </row>
    <row r="143" spans="1:16" s="4" customFormat="1" x14ac:dyDescent="0.15">
      <c r="A143" s="15"/>
      <c r="B143" s="16"/>
      <c r="C143" s="16"/>
      <c r="D143" s="16"/>
      <c r="E143" s="17"/>
      <c r="F143" s="16"/>
      <c r="G143" s="16"/>
      <c r="H143" s="16"/>
      <c r="I143" s="16"/>
      <c r="J143" s="54"/>
      <c r="K143" s="54"/>
      <c r="L143" s="54"/>
      <c r="M143" s="19"/>
      <c r="N143" s="54"/>
      <c r="O143" s="21"/>
      <c r="P143" s="5"/>
    </row>
    <row r="144" spans="1:16" s="4" customFormat="1" x14ac:dyDescent="0.15">
      <c r="A144" s="15"/>
      <c r="B144" s="16"/>
      <c r="C144" s="16"/>
      <c r="D144" s="16"/>
      <c r="E144" s="17"/>
      <c r="F144" s="16"/>
      <c r="G144" s="16"/>
      <c r="H144" s="16"/>
      <c r="I144" s="16"/>
      <c r="J144" s="54"/>
      <c r="K144" s="54"/>
      <c r="L144" s="54"/>
      <c r="M144" s="19"/>
      <c r="N144" s="54"/>
      <c r="O144" s="21"/>
      <c r="P144" s="5"/>
    </row>
    <row r="145" spans="1:16" s="4" customFormat="1" x14ac:dyDescent="0.15">
      <c r="A145" s="15"/>
      <c r="B145" s="16"/>
      <c r="C145" s="16"/>
      <c r="D145" s="16"/>
      <c r="E145" s="17"/>
      <c r="F145" s="16"/>
      <c r="G145" s="16"/>
      <c r="H145" s="16"/>
      <c r="I145" s="16"/>
      <c r="J145" s="54"/>
      <c r="K145" s="54"/>
      <c r="L145" s="54"/>
      <c r="M145" s="19"/>
      <c r="N145" s="54"/>
      <c r="O145" s="21"/>
      <c r="P145" s="5"/>
    </row>
    <row r="146" spans="1:16" s="4" customFormat="1" x14ac:dyDescent="0.15">
      <c r="A146" s="15"/>
      <c r="B146" s="16"/>
      <c r="C146" s="16"/>
      <c r="D146" s="16"/>
      <c r="E146" s="17"/>
      <c r="F146" s="16"/>
      <c r="G146" s="16"/>
      <c r="H146" s="16"/>
      <c r="I146" s="16"/>
      <c r="J146" s="54"/>
      <c r="K146" s="54"/>
      <c r="L146" s="54"/>
      <c r="M146" s="19"/>
      <c r="N146" s="54"/>
      <c r="O146" s="21"/>
      <c r="P146" s="5"/>
    </row>
    <row r="147" spans="1:16" s="4" customFormat="1" x14ac:dyDescent="0.15">
      <c r="A147" s="15"/>
      <c r="B147" s="16"/>
      <c r="C147" s="16"/>
      <c r="D147" s="16"/>
      <c r="E147" s="17"/>
      <c r="F147" s="16"/>
      <c r="G147" s="16"/>
      <c r="H147" s="16"/>
      <c r="I147" s="16"/>
      <c r="J147" s="54"/>
      <c r="K147" s="54"/>
      <c r="L147" s="54"/>
      <c r="M147" s="19"/>
      <c r="N147" s="54"/>
      <c r="O147" s="21"/>
      <c r="P147" s="5"/>
    </row>
    <row r="148" spans="1:16" s="4" customFormat="1" x14ac:dyDescent="0.15">
      <c r="A148" s="15"/>
      <c r="B148" s="16"/>
      <c r="C148" s="16"/>
      <c r="D148" s="16"/>
      <c r="E148" s="17"/>
      <c r="F148" s="16"/>
      <c r="G148" s="16"/>
      <c r="H148" s="16"/>
      <c r="I148" s="16"/>
      <c r="J148" s="54"/>
      <c r="K148" s="54"/>
      <c r="L148" s="54"/>
      <c r="M148" s="19"/>
      <c r="N148" s="54"/>
      <c r="O148" s="21"/>
      <c r="P148" s="5"/>
    </row>
    <row r="149" spans="1:16" s="4" customFormat="1" x14ac:dyDescent="0.15">
      <c r="A149" s="15"/>
      <c r="B149" s="16"/>
      <c r="C149" s="16"/>
      <c r="D149" s="16"/>
      <c r="E149" s="17"/>
      <c r="F149" s="16"/>
      <c r="G149" s="16"/>
      <c r="H149" s="16"/>
      <c r="I149" s="16"/>
      <c r="J149" s="54"/>
      <c r="K149" s="54"/>
      <c r="L149" s="54"/>
      <c r="M149" s="19"/>
      <c r="N149" s="54"/>
      <c r="O149" s="21"/>
      <c r="P149" s="5"/>
    </row>
    <row r="150" spans="1:16" s="4" customFormat="1" x14ac:dyDescent="0.15">
      <c r="A150" s="15"/>
      <c r="B150" s="16"/>
      <c r="C150" s="16"/>
      <c r="D150" s="16"/>
      <c r="E150" s="17"/>
      <c r="F150" s="16"/>
      <c r="G150" s="16"/>
      <c r="H150" s="16"/>
      <c r="I150" s="16"/>
      <c r="J150" s="54"/>
      <c r="K150" s="54"/>
      <c r="L150" s="54"/>
      <c r="M150" s="19"/>
      <c r="N150" s="54"/>
      <c r="O150" s="21"/>
      <c r="P150" s="5"/>
    </row>
    <row r="151" spans="1:16" s="4" customFormat="1" x14ac:dyDescent="0.15">
      <c r="A151" s="15"/>
      <c r="B151" s="16"/>
      <c r="C151" s="16"/>
      <c r="D151" s="16"/>
      <c r="E151" s="17"/>
      <c r="F151" s="16"/>
      <c r="G151" s="16"/>
      <c r="H151" s="16"/>
      <c r="I151" s="16"/>
      <c r="J151" s="54"/>
      <c r="K151" s="54"/>
      <c r="L151" s="54"/>
      <c r="M151" s="19"/>
      <c r="N151" s="54"/>
      <c r="O151" s="21"/>
      <c r="P151" s="5"/>
    </row>
    <row r="152" spans="1:16" s="4" customFormat="1" x14ac:dyDescent="0.15">
      <c r="A152" s="15"/>
      <c r="B152" s="16"/>
      <c r="C152" s="16"/>
      <c r="D152" s="16"/>
      <c r="E152" s="17"/>
      <c r="F152" s="16"/>
      <c r="G152" s="16"/>
      <c r="H152" s="16"/>
      <c r="I152" s="16"/>
      <c r="J152" s="54"/>
      <c r="K152" s="54"/>
      <c r="L152" s="54"/>
      <c r="M152" s="19"/>
      <c r="N152" s="54"/>
      <c r="O152" s="21"/>
      <c r="P152" s="5"/>
    </row>
    <row r="153" spans="1:16" s="4" customFormat="1" x14ac:dyDescent="0.15">
      <c r="A153" s="15"/>
      <c r="B153" s="16"/>
      <c r="C153" s="16"/>
      <c r="D153" s="16"/>
      <c r="E153" s="17"/>
      <c r="F153" s="16"/>
      <c r="G153" s="16"/>
      <c r="H153" s="16"/>
      <c r="I153" s="16"/>
      <c r="J153" s="54"/>
      <c r="K153" s="54"/>
      <c r="L153" s="54"/>
      <c r="M153" s="19"/>
      <c r="N153" s="54"/>
      <c r="O153" s="21"/>
      <c r="P153" s="5"/>
    </row>
    <row r="154" spans="1:16" s="4" customFormat="1" x14ac:dyDescent="0.15">
      <c r="A154" s="15"/>
      <c r="B154" s="16"/>
      <c r="C154" s="16"/>
      <c r="D154" s="16"/>
      <c r="E154" s="17"/>
      <c r="F154" s="16"/>
      <c r="G154" s="16"/>
      <c r="H154" s="16"/>
      <c r="I154" s="16"/>
      <c r="J154" s="54"/>
      <c r="K154" s="54"/>
      <c r="L154" s="54"/>
      <c r="M154" s="19"/>
      <c r="N154" s="54"/>
      <c r="O154" s="21"/>
      <c r="P154" s="5"/>
    </row>
    <row r="155" spans="1:16" s="4" customFormat="1" x14ac:dyDescent="0.15">
      <c r="A155" s="15"/>
      <c r="B155" s="16"/>
      <c r="C155" s="16"/>
      <c r="D155" s="16"/>
      <c r="E155" s="17"/>
      <c r="F155" s="16"/>
      <c r="G155" s="16"/>
      <c r="H155" s="16"/>
      <c r="I155" s="16"/>
      <c r="J155" s="54"/>
      <c r="K155" s="54"/>
      <c r="L155" s="54"/>
      <c r="M155" s="19"/>
      <c r="N155" s="54"/>
      <c r="O155" s="21"/>
      <c r="P155" s="5"/>
    </row>
    <row r="156" spans="1:16" s="4" customFormat="1" x14ac:dyDescent="0.15">
      <c r="A156" s="15"/>
      <c r="B156" s="16"/>
      <c r="C156" s="16"/>
      <c r="D156" s="16"/>
      <c r="E156" s="17"/>
      <c r="F156" s="16"/>
      <c r="G156" s="16"/>
      <c r="H156" s="16"/>
      <c r="I156" s="16"/>
      <c r="J156" s="54"/>
      <c r="K156" s="54"/>
      <c r="L156" s="54"/>
      <c r="M156" s="19"/>
      <c r="N156" s="54"/>
      <c r="O156" s="21"/>
      <c r="P156" s="5"/>
    </row>
    <row r="157" spans="1:16" s="4" customFormat="1" x14ac:dyDescent="0.15">
      <c r="A157" s="15"/>
      <c r="B157" s="16"/>
      <c r="C157" s="16"/>
      <c r="D157" s="16"/>
      <c r="E157" s="17"/>
      <c r="F157" s="16"/>
      <c r="G157" s="16"/>
      <c r="H157" s="16"/>
      <c r="I157" s="16"/>
      <c r="J157" s="54"/>
      <c r="K157" s="54"/>
      <c r="L157" s="54"/>
      <c r="M157" s="19"/>
      <c r="N157" s="54"/>
      <c r="O157" s="21"/>
      <c r="P157" s="5"/>
    </row>
    <row r="158" spans="1:16" s="4" customFormat="1" x14ac:dyDescent="0.15">
      <c r="A158" s="15"/>
      <c r="B158" s="16"/>
      <c r="C158" s="16"/>
      <c r="D158" s="16"/>
      <c r="E158" s="17"/>
      <c r="F158" s="16"/>
      <c r="G158" s="16"/>
      <c r="H158" s="16"/>
      <c r="I158" s="16"/>
      <c r="J158" s="54"/>
      <c r="K158" s="54"/>
      <c r="L158" s="54"/>
      <c r="M158" s="19"/>
      <c r="N158" s="54"/>
      <c r="O158" s="21"/>
      <c r="P158" s="5"/>
    </row>
    <row r="159" spans="1:16" s="4" customFormat="1" x14ac:dyDescent="0.15">
      <c r="A159" s="15"/>
      <c r="B159" s="16"/>
      <c r="C159" s="16"/>
      <c r="D159" s="16"/>
      <c r="E159" s="17"/>
      <c r="F159" s="16"/>
      <c r="G159" s="16"/>
      <c r="H159" s="16"/>
      <c r="I159" s="16"/>
      <c r="J159" s="54"/>
      <c r="K159" s="54"/>
      <c r="L159" s="54"/>
      <c r="M159" s="19"/>
      <c r="N159" s="54"/>
      <c r="O159" s="21"/>
      <c r="P159" s="5"/>
    </row>
    <row r="160" spans="1:16" s="4" customFormat="1" x14ac:dyDescent="0.15">
      <c r="A160" s="15"/>
      <c r="B160" s="16"/>
      <c r="C160" s="16"/>
      <c r="D160" s="16"/>
      <c r="E160" s="17"/>
      <c r="F160" s="16"/>
      <c r="G160" s="16"/>
      <c r="H160" s="16"/>
      <c r="I160" s="16"/>
      <c r="J160" s="54"/>
      <c r="K160" s="54"/>
      <c r="L160" s="54"/>
      <c r="M160" s="19"/>
      <c r="N160" s="54"/>
      <c r="O160" s="21"/>
      <c r="P160" s="5"/>
    </row>
    <row r="161" spans="1:16" s="4" customFormat="1" x14ac:dyDescent="0.15">
      <c r="A161" s="15"/>
      <c r="B161" s="16"/>
      <c r="C161" s="16"/>
      <c r="D161" s="16"/>
      <c r="E161" s="17"/>
      <c r="F161" s="16"/>
      <c r="G161" s="16"/>
      <c r="H161" s="16"/>
      <c r="I161" s="16"/>
      <c r="J161" s="54"/>
      <c r="K161" s="54"/>
      <c r="L161" s="54"/>
      <c r="M161" s="19"/>
      <c r="N161" s="54"/>
      <c r="O161" s="21"/>
      <c r="P161" s="5"/>
    </row>
    <row r="162" spans="1:16" s="4" customFormat="1" x14ac:dyDescent="0.15">
      <c r="A162" s="15"/>
      <c r="B162" s="16"/>
      <c r="C162" s="16"/>
      <c r="D162" s="16"/>
      <c r="E162" s="17"/>
      <c r="F162" s="16"/>
      <c r="G162" s="16"/>
      <c r="H162" s="16"/>
      <c r="I162" s="16"/>
      <c r="J162" s="54"/>
      <c r="K162" s="54"/>
      <c r="L162" s="54"/>
      <c r="M162" s="19"/>
      <c r="N162" s="54"/>
      <c r="O162" s="21"/>
      <c r="P162" s="5"/>
    </row>
    <row r="163" spans="1:16" s="4" customFormat="1" x14ac:dyDescent="0.15">
      <c r="A163" s="15"/>
      <c r="B163" s="16"/>
      <c r="C163" s="16"/>
      <c r="D163" s="16"/>
      <c r="E163" s="17"/>
      <c r="F163" s="16"/>
      <c r="G163" s="16"/>
      <c r="H163" s="16"/>
      <c r="I163" s="16"/>
      <c r="J163" s="54"/>
      <c r="K163" s="54"/>
      <c r="L163" s="54"/>
      <c r="M163" s="19"/>
      <c r="N163" s="54"/>
      <c r="O163" s="21"/>
      <c r="P163" s="5"/>
    </row>
    <row r="164" spans="1:16" s="4" customFormat="1" x14ac:dyDescent="0.15">
      <c r="A164" s="15"/>
      <c r="B164" s="16"/>
      <c r="C164" s="16"/>
      <c r="D164" s="16"/>
      <c r="E164" s="17"/>
      <c r="F164" s="16"/>
      <c r="G164" s="16"/>
      <c r="H164" s="16"/>
      <c r="I164" s="16"/>
      <c r="J164" s="54"/>
      <c r="K164" s="54"/>
      <c r="L164" s="54"/>
      <c r="M164" s="19"/>
      <c r="N164" s="54"/>
      <c r="O164" s="21"/>
      <c r="P164" s="5"/>
    </row>
    <row r="165" spans="1:16" s="4" customFormat="1" x14ac:dyDescent="0.15">
      <c r="A165" s="15"/>
      <c r="B165" s="16"/>
      <c r="C165" s="16"/>
      <c r="D165" s="16"/>
      <c r="E165" s="17"/>
      <c r="F165" s="16"/>
      <c r="G165" s="16"/>
      <c r="H165" s="16"/>
      <c r="I165" s="16"/>
      <c r="J165" s="54"/>
      <c r="K165" s="54"/>
      <c r="L165" s="54"/>
      <c r="M165" s="19"/>
      <c r="N165" s="54"/>
      <c r="O165" s="21"/>
      <c r="P165" s="5"/>
    </row>
    <row r="166" spans="1:16" s="4" customFormat="1" x14ac:dyDescent="0.15">
      <c r="A166" s="15"/>
      <c r="B166" s="16"/>
      <c r="C166" s="16"/>
      <c r="D166" s="16"/>
      <c r="E166" s="17"/>
      <c r="F166" s="16"/>
      <c r="G166" s="16"/>
      <c r="H166" s="16"/>
      <c r="I166" s="16"/>
      <c r="J166" s="54"/>
      <c r="K166" s="54"/>
      <c r="L166" s="54"/>
      <c r="M166" s="19"/>
      <c r="N166" s="54"/>
      <c r="O166" s="21"/>
      <c r="P166" s="5"/>
    </row>
    <row r="167" spans="1:16" s="4" customFormat="1" x14ac:dyDescent="0.15">
      <c r="A167" s="15"/>
      <c r="B167" s="16"/>
      <c r="C167" s="16"/>
      <c r="D167" s="16"/>
      <c r="E167" s="17"/>
      <c r="F167" s="16"/>
      <c r="G167" s="16"/>
      <c r="H167" s="16"/>
      <c r="I167" s="16"/>
      <c r="J167" s="54"/>
      <c r="K167" s="54"/>
      <c r="L167" s="54"/>
      <c r="M167" s="19"/>
      <c r="N167" s="54"/>
      <c r="O167" s="21"/>
      <c r="P167" s="5"/>
    </row>
    <row r="168" spans="1:16" s="4" customFormat="1" x14ac:dyDescent="0.15">
      <c r="A168" s="15"/>
      <c r="B168" s="16"/>
      <c r="C168" s="16"/>
      <c r="D168" s="16"/>
      <c r="E168" s="17"/>
      <c r="F168" s="16"/>
      <c r="G168" s="16"/>
      <c r="H168" s="16"/>
      <c r="I168" s="16"/>
      <c r="J168" s="54"/>
      <c r="K168" s="54"/>
      <c r="L168" s="54"/>
      <c r="M168" s="19"/>
      <c r="N168" s="54"/>
      <c r="O168" s="21"/>
      <c r="P168" s="5"/>
    </row>
    <row r="169" spans="1:16" s="4" customFormat="1" x14ac:dyDescent="0.15">
      <c r="A169" s="15"/>
      <c r="B169" s="16"/>
      <c r="C169" s="16"/>
      <c r="D169" s="16"/>
      <c r="E169" s="17"/>
      <c r="F169" s="16"/>
      <c r="G169" s="16"/>
      <c r="H169" s="16"/>
      <c r="I169" s="16"/>
      <c r="J169" s="54"/>
      <c r="K169" s="54"/>
      <c r="L169" s="54"/>
      <c r="M169" s="19"/>
      <c r="N169" s="54"/>
      <c r="O169" s="21"/>
      <c r="P169" s="5"/>
    </row>
    <row r="170" spans="1:16" s="4" customFormat="1" x14ac:dyDescent="0.15">
      <c r="A170" s="15"/>
      <c r="B170" s="16"/>
      <c r="C170" s="16"/>
      <c r="D170" s="16"/>
      <c r="E170" s="17"/>
      <c r="F170" s="16"/>
      <c r="G170" s="16"/>
      <c r="H170" s="16"/>
      <c r="I170" s="16"/>
      <c r="J170" s="54"/>
      <c r="K170" s="54"/>
      <c r="L170" s="54"/>
      <c r="M170" s="19"/>
      <c r="N170" s="54"/>
      <c r="O170" s="21"/>
      <c r="P170" s="5"/>
    </row>
    <row r="171" spans="1:16" s="4" customFormat="1" x14ac:dyDescent="0.15">
      <c r="A171" s="15"/>
      <c r="B171" s="16"/>
      <c r="C171" s="16"/>
      <c r="D171" s="16"/>
      <c r="E171" s="17"/>
      <c r="F171" s="16"/>
      <c r="G171" s="16"/>
      <c r="H171" s="16"/>
      <c r="I171" s="16"/>
      <c r="J171" s="54"/>
      <c r="K171" s="54"/>
      <c r="L171" s="54"/>
      <c r="M171" s="19"/>
      <c r="N171" s="54"/>
      <c r="O171" s="21"/>
      <c r="P171" s="5"/>
    </row>
    <row r="172" spans="1:16" s="4" customFormat="1" x14ac:dyDescent="0.15">
      <c r="A172" s="15"/>
      <c r="B172" s="16"/>
      <c r="C172" s="16"/>
      <c r="D172" s="16"/>
      <c r="E172" s="17"/>
      <c r="F172" s="16"/>
      <c r="G172" s="16"/>
      <c r="H172" s="16"/>
      <c r="I172" s="16"/>
      <c r="J172" s="54"/>
      <c r="K172" s="54"/>
      <c r="L172" s="54"/>
      <c r="M172" s="19"/>
      <c r="N172" s="54"/>
      <c r="O172" s="21"/>
      <c r="P172" s="5"/>
    </row>
    <row r="173" spans="1:16" s="4" customFormat="1" x14ac:dyDescent="0.15">
      <c r="A173" s="15"/>
      <c r="B173" s="16"/>
      <c r="C173" s="16"/>
      <c r="D173" s="16"/>
      <c r="E173" s="17"/>
      <c r="F173" s="16"/>
      <c r="G173" s="16"/>
      <c r="H173" s="16"/>
      <c r="I173" s="16"/>
      <c r="J173" s="54"/>
      <c r="K173" s="54"/>
      <c r="L173" s="54"/>
      <c r="M173" s="19"/>
      <c r="N173" s="54"/>
      <c r="O173" s="21"/>
      <c r="P173" s="5"/>
    </row>
    <row r="174" spans="1:16" s="4" customFormat="1" x14ac:dyDescent="0.15">
      <c r="A174" s="15"/>
      <c r="B174" s="16"/>
      <c r="C174" s="16"/>
      <c r="D174" s="16"/>
      <c r="E174" s="17"/>
      <c r="F174" s="16"/>
      <c r="G174" s="16"/>
      <c r="H174" s="16"/>
      <c r="I174" s="16"/>
      <c r="J174" s="54"/>
      <c r="K174" s="54"/>
      <c r="L174" s="54"/>
      <c r="M174" s="19"/>
      <c r="N174" s="54"/>
      <c r="O174" s="21"/>
      <c r="P174" s="5"/>
    </row>
    <row r="175" spans="1:16" s="4" customFormat="1" x14ac:dyDescent="0.15">
      <c r="A175" s="15"/>
      <c r="B175" s="16"/>
      <c r="C175" s="16"/>
      <c r="D175" s="16"/>
      <c r="E175" s="17"/>
      <c r="F175" s="16"/>
      <c r="G175" s="16"/>
      <c r="H175" s="16"/>
      <c r="I175" s="16"/>
      <c r="J175" s="54"/>
      <c r="K175" s="54"/>
      <c r="L175" s="54"/>
      <c r="M175" s="19"/>
      <c r="N175" s="54"/>
      <c r="O175" s="21"/>
      <c r="P175" s="5"/>
    </row>
    <row r="176" spans="1:16" s="4" customFormat="1" x14ac:dyDescent="0.15">
      <c r="A176" s="15"/>
      <c r="B176" s="16"/>
      <c r="C176" s="16"/>
      <c r="D176" s="16"/>
      <c r="E176" s="17"/>
      <c r="F176" s="16"/>
      <c r="G176" s="16"/>
      <c r="H176" s="16"/>
      <c r="I176" s="16"/>
      <c r="J176" s="54"/>
      <c r="K176" s="54"/>
      <c r="L176" s="54"/>
      <c r="M176" s="19"/>
      <c r="N176" s="54"/>
      <c r="O176" s="21"/>
      <c r="P176" s="5"/>
    </row>
    <row r="177" spans="1:16" s="4" customFormat="1" x14ac:dyDescent="0.15">
      <c r="A177" s="15"/>
      <c r="B177" s="16"/>
      <c r="C177" s="16"/>
      <c r="D177" s="16"/>
      <c r="E177" s="17"/>
      <c r="F177" s="16"/>
      <c r="G177" s="16"/>
      <c r="H177" s="16"/>
      <c r="I177" s="16"/>
      <c r="J177" s="54"/>
      <c r="K177" s="54"/>
      <c r="L177" s="54"/>
      <c r="M177" s="19"/>
      <c r="N177" s="54"/>
      <c r="O177" s="21"/>
      <c r="P177" s="5"/>
    </row>
    <row r="178" spans="1:16" s="4" customFormat="1" x14ac:dyDescent="0.15">
      <c r="A178" s="15"/>
      <c r="B178" s="16"/>
      <c r="C178" s="16"/>
      <c r="D178" s="16"/>
      <c r="E178" s="17"/>
      <c r="F178" s="16"/>
      <c r="G178" s="16"/>
      <c r="H178" s="16"/>
      <c r="I178" s="16"/>
      <c r="J178" s="54"/>
      <c r="K178" s="54"/>
      <c r="L178" s="54"/>
      <c r="M178" s="19"/>
      <c r="N178" s="54"/>
      <c r="O178" s="21"/>
      <c r="P178" s="5"/>
    </row>
    <row r="179" spans="1:16" s="4" customFormat="1" x14ac:dyDescent="0.15">
      <c r="A179" s="15"/>
      <c r="B179" s="16"/>
      <c r="C179" s="16"/>
      <c r="D179" s="16"/>
      <c r="E179" s="17"/>
      <c r="F179" s="16"/>
      <c r="G179" s="16"/>
      <c r="H179" s="16"/>
      <c r="I179" s="16"/>
      <c r="J179" s="54"/>
      <c r="K179" s="54"/>
      <c r="L179" s="54"/>
      <c r="M179" s="19"/>
      <c r="N179" s="54"/>
      <c r="O179" s="21"/>
      <c r="P179" s="5"/>
    </row>
    <row r="180" spans="1:16" s="4" customFormat="1" x14ac:dyDescent="0.15">
      <c r="A180" s="15"/>
      <c r="B180" s="16"/>
      <c r="C180" s="16"/>
      <c r="D180" s="16"/>
      <c r="E180" s="17"/>
      <c r="F180" s="16"/>
      <c r="G180" s="16"/>
      <c r="H180" s="16"/>
      <c r="I180" s="16"/>
      <c r="J180" s="54"/>
      <c r="K180" s="54"/>
      <c r="L180" s="54"/>
      <c r="M180" s="19"/>
      <c r="N180" s="54"/>
      <c r="O180" s="21"/>
      <c r="P180" s="5"/>
    </row>
    <row r="181" spans="1:16" s="4" customFormat="1" x14ac:dyDescent="0.15">
      <c r="A181" s="15"/>
      <c r="B181" s="16"/>
      <c r="C181" s="16"/>
      <c r="D181" s="16"/>
      <c r="E181" s="17"/>
      <c r="F181" s="16"/>
      <c r="G181" s="16"/>
      <c r="H181" s="16"/>
      <c r="I181" s="16"/>
      <c r="J181" s="54"/>
      <c r="K181" s="54"/>
      <c r="L181" s="54"/>
      <c r="M181" s="19"/>
      <c r="N181" s="54"/>
      <c r="O181" s="21"/>
      <c r="P181" s="5"/>
    </row>
    <row r="182" spans="1:16" s="4" customFormat="1" x14ac:dyDescent="0.15">
      <c r="A182" s="15"/>
      <c r="B182" s="16"/>
      <c r="C182" s="16"/>
      <c r="D182" s="16"/>
      <c r="E182" s="17"/>
      <c r="F182" s="16"/>
      <c r="G182" s="16"/>
      <c r="H182" s="16"/>
      <c r="I182" s="16"/>
      <c r="J182" s="54"/>
      <c r="K182" s="54"/>
      <c r="L182" s="54"/>
      <c r="M182" s="19"/>
      <c r="N182" s="54"/>
      <c r="O182" s="21"/>
      <c r="P182" s="5"/>
    </row>
    <row r="183" spans="1:16" s="4" customFormat="1" x14ac:dyDescent="0.15">
      <c r="A183" s="15"/>
      <c r="B183" s="16"/>
      <c r="C183" s="16"/>
      <c r="D183" s="16"/>
      <c r="E183" s="17"/>
      <c r="F183" s="16"/>
      <c r="G183" s="16"/>
      <c r="H183" s="16"/>
      <c r="I183" s="16"/>
      <c r="J183" s="54"/>
      <c r="K183" s="54"/>
      <c r="L183" s="54"/>
      <c r="M183" s="19"/>
      <c r="N183" s="54"/>
      <c r="O183" s="21"/>
      <c r="P183" s="5"/>
    </row>
    <row r="184" spans="1:16" s="4" customFormat="1" x14ac:dyDescent="0.15">
      <c r="A184" s="15"/>
      <c r="B184" s="16"/>
      <c r="C184" s="16"/>
      <c r="D184" s="16"/>
      <c r="E184" s="17"/>
      <c r="F184" s="16"/>
      <c r="G184" s="16"/>
      <c r="H184" s="16"/>
      <c r="I184" s="16"/>
      <c r="J184" s="54"/>
      <c r="K184" s="54"/>
      <c r="L184" s="54"/>
      <c r="M184" s="19"/>
      <c r="N184" s="54"/>
      <c r="O184" s="21"/>
      <c r="P184" s="5"/>
    </row>
    <row r="185" spans="1:16" s="4" customFormat="1" x14ac:dyDescent="0.15">
      <c r="A185" s="15"/>
      <c r="B185" s="16"/>
      <c r="C185" s="16"/>
      <c r="D185" s="16"/>
      <c r="E185" s="17"/>
      <c r="F185" s="16"/>
      <c r="G185" s="16"/>
      <c r="H185" s="16"/>
      <c r="I185" s="16"/>
      <c r="J185" s="54"/>
      <c r="K185" s="54"/>
      <c r="L185" s="54"/>
      <c r="M185" s="19"/>
      <c r="N185" s="54"/>
      <c r="O185" s="21"/>
      <c r="P185" s="5"/>
    </row>
    <row r="186" spans="1:16" s="4" customFormat="1" x14ac:dyDescent="0.15">
      <c r="A186" s="15"/>
      <c r="B186" s="16"/>
      <c r="C186" s="16"/>
      <c r="D186" s="16"/>
      <c r="E186" s="17"/>
      <c r="F186" s="16"/>
      <c r="G186" s="16"/>
      <c r="H186" s="16"/>
      <c r="I186" s="16"/>
      <c r="J186" s="54"/>
      <c r="K186" s="54"/>
      <c r="L186" s="54"/>
      <c r="M186" s="19"/>
      <c r="N186" s="54"/>
      <c r="O186" s="21"/>
      <c r="P186" s="5"/>
    </row>
    <row r="187" spans="1:16" s="4" customFormat="1" x14ac:dyDescent="0.15">
      <c r="A187" s="15"/>
      <c r="B187" s="16"/>
      <c r="C187" s="16"/>
      <c r="D187" s="16"/>
      <c r="E187" s="17"/>
      <c r="F187" s="16"/>
      <c r="G187" s="16"/>
      <c r="H187" s="16"/>
      <c r="I187" s="16"/>
      <c r="J187" s="54"/>
      <c r="K187" s="54"/>
      <c r="L187" s="54"/>
      <c r="M187" s="19"/>
      <c r="N187" s="54"/>
      <c r="O187" s="21"/>
      <c r="P187" s="5"/>
    </row>
    <row r="188" spans="1:16" s="4" customFormat="1" x14ac:dyDescent="0.15">
      <c r="A188" s="15"/>
      <c r="B188" s="16"/>
      <c r="C188" s="16"/>
      <c r="D188" s="16"/>
      <c r="E188" s="17"/>
      <c r="F188" s="16"/>
      <c r="G188" s="16"/>
      <c r="H188" s="16"/>
      <c r="I188" s="16"/>
      <c r="J188" s="54"/>
      <c r="K188" s="54"/>
      <c r="L188" s="54"/>
      <c r="M188" s="19"/>
      <c r="N188" s="54"/>
      <c r="O188" s="21"/>
      <c r="P188" s="5"/>
    </row>
    <row r="189" spans="1:16" s="4" customFormat="1" x14ac:dyDescent="0.15">
      <c r="A189" s="15"/>
      <c r="B189" s="16"/>
      <c r="C189" s="16"/>
      <c r="D189" s="16"/>
      <c r="E189" s="17"/>
      <c r="F189" s="16"/>
      <c r="G189" s="16"/>
      <c r="H189" s="16"/>
      <c r="I189" s="16"/>
      <c r="J189" s="54"/>
      <c r="K189" s="54"/>
      <c r="L189" s="54"/>
      <c r="M189" s="19"/>
      <c r="N189" s="54"/>
      <c r="O189" s="21"/>
      <c r="P189" s="5"/>
    </row>
    <row r="190" spans="1:16" s="4" customFormat="1" x14ac:dyDescent="0.15">
      <c r="A190" s="15"/>
      <c r="B190" s="16"/>
      <c r="C190" s="16"/>
      <c r="D190" s="16"/>
      <c r="E190" s="17"/>
      <c r="F190" s="16"/>
      <c r="G190" s="16"/>
      <c r="H190" s="16"/>
      <c r="I190" s="16"/>
      <c r="J190" s="54"/>
      <c r="K190" s="54"/>
      <c r="L190" s="54"/>
      <c r="M190" s="19"/>
      <c r="N190" s="54"/>
      <c r="O190" s="21"/>
      <c r="P190" s="5"/>
    </row>
    <row r="191" spans="1:16" s="4" customFormat="1" x14ac:dyDescent="0.15">
      <c r="A191" s="15"/>
      <c r="B191" s="16"/>
      <c r="C191" s="16"/>
      <c r="D191" s="16"/>
      <c r="E191" s="17"/>
      <c r="F191" s="16"/>
      <c r="G191" s="16"/>
      <c r="H191" s="16"/>
      <c r="I191" s="16"/>
      <c r="J191" s="54"/>
      <c r="K191" s="54"/>
      <c r="L191" s="54"/>
      <c r="M191" s="19"/>
      <c r="N191" s="54"/>
      <c r="O191" s="21"/>
      <c r="P191" s="5"/>
    </row>
    <row r="192" spans="1:16" s="4" customFormat="1" x14ac:dyDescent="0.15">
      <c r="A192" s="15"/>
      <c r="B192" s="16"/>
      <c r="C192" s="16"/>
      <c r="D192" s="16"/>
      <c r="E192" s="17"/>
      <c r="F192" s="16"/>
      <c r="G192" s="16"/>
      <c r="H192" s="16"/>
      <c r="I192" s="16"/>
      <c r="J192" s="54"/>
      <c r="K192" s="54"/>
      <c r="L192" s="54"/>
      <c r="M192" s="19"/>
      <c r="N192" s="54"/>
      <c r="O192" s="21"/>
      <c r="P192" s="5"/>
    </row>
    <row r="193" spans="1:16" s="4" customFormat="1" x14ac:dyDescent="0.15">
      <c r="A193" s="15"/>
      <c r="B193" s="16"/>
      <c r="C193" s="16"/>
      <c r="D193" s="16"/>
      <c r="E193" s="17"/>
      <c r="F193" s="16"/>
      <c r="G193" s="16"/>
      <c r="H193" s="16"/>
      <c r="I193" s="16"/>
      <c r="J193" s="54"/>
      <c r="K193" s="54"/>
      <c r="L193" s="54"/>
      <c r="M193" s="19"/>
      <c r="N193" s="54"/>
      <c r="O193" s="21"/>
      <c r="P193" s="5"/>
    </row>
    <row r="194" spans="1:16" s="4" customFormat="1" x14ac:dyDescent="0.15">
      <c r="A194" s="15"/>
      <c r="B194" s="16"/>
      <c r="C194" s="16"/>
      <c r="D194" s="16"/>
      <c r="E194" s="17"/>
      <c r="F194" s="16"/>
      <c r="G194" s="16"/>
      <c r="H194" s="16"/>
      <c r="I194" s="16"/>
      <c r="J194" s="54"/>
      <c r="K194" s="54"/>
      <c r="L194" s="54"/>
      <c r="M194" s="19"/>
      <c r="N194" s="54"/>
      <c r="O194" s="21"/>
      <c r="P194" s="5"/>
    </row>
    <row r="195" spans="1:16" s="4" customFormat="1" x14ac:dyDescent="0.15">
      <c r="A195" s="15"/>
      <c r="B195" s="16"/>
      <c r="C195" s="16"/>
      <c r="D195" s="16"/>
      <c r="E195" s="17"/>
      <c r="F195" s="16"/>
      <c r="G195" s="16"/>
      <c r="H195" s="16"/>
      <c r="I195" s="16"/>
      <c r="J195" s="54"/>
      <c r="K195" s="54"/>
      <c r="L195" s="54"/>
      <c r="M195" s="19"/>
      <c r="N195" s="54"/>
      <c r="O195" s="21"/>
      <c r="P195" s="5"/>
    </row>
    <row r="196" spans="1:16" s="4" customFormat="1" x14ac:dyDescent="0.15">
      <c r="A196" s="15"/>
      <c r="B196" s="16"/>
      <c r="C196" s="16"/>
      <c r="D196" s="16"/>
      <c r="E196" s="17"/>
      <c r="F196" s="16"/>
      <c r="G196" s="16"/>
      <c r="H196" s="16"/>
      <c r="I196" s="16"/>
      <c r="J196" s="54"/>
      <c r="K196" s="54"/>
      <c r="L196" s="54"/>
      <c r="M196" s="19"/>
      <c r="N196" s="54"/>
      <c r="O196" s="21"/>
      <c r="P196" s="5"/>
    </row>
    <row r="197" spans="1:16" s="4" customFormat="1" x14ac:dyDescent="0.15">
      <c r="A197" s="15"/>
      <c r="B197" s="16"/>
      <c r="C197" s="16"/>
      <c r="D197" s="16"/>
      <c r="E197" s="17"/>
      <c r="F197" s="16"/>
      <c r="G197" s="16"/>
      <c r="H197" s="16"/>
      <c r="I197" s="16"/>
      <c r="J197" s="54"/>
      <c r="K197" s="54"/>
      <c r="L197" s="54"/>
      <c r="M197" s="19"/>
      <c r="N197" s="54"/>
      <c r="O197" s="21"/>
      <c r="P197" s="5"/>
    </row>
    <row r="198" spans="1:16" s="4" customFormat="1" x14ac:dyDescent="0.15">
      <c r="A198" s="15"/>
      <c r="B198" s="16"/>
      <c r="C198" s="16"/>
      <c r="D198" s="16"/>
      <c r="E198" s="17"/>
      <c r="F198" s="16"/>
      <c r="G198" s="16"/>
      <c r="H198" s="16"/>
      <c r="I198" s="16"/>
      <c r="J198" s="54"/>
      <c r="K198" s="54"/>
      <c r="L198" s="54"/>
      <c r="M198" s="19"/>
      <c r="N198" s="54"/>
      <c r="O198" s="21"/>
      <c r="P198" s="5"/>
    </row>
    <row r="199" spans="1:16" s="4" customFormat="1" x14ac:dyDescent="0.15">
      <c r="A199" s="15"/>
      <c r="B199" s="16"/>
      <c r="C199" s="16"/>
      <c r="D199" s="16"/>
      <c r="E199" s="17"/>
      <c r="F199" s="16"/>
      <c r="G199" s="16"/>
      <c r="H199" s="16"/>
      <c r="I199" s="16"/>
      <c r="J199" s="54"/>
      <c r="K199" s="54"/>
      <c r="L199" s="54"/>
      <c r="M199" s="19"/>
      <c r="N199" s="54"/>
      <c r="O199" s="21"/>
      <c r="P199" s="5"/>
    </row>
    <row r="200" spans="1:16" s="4" customFormat="1" x14ac:dyDescent="0.15">
      <c r="A200" s="15"/>
      <c r="B200" s="16"/>
      <c r="C200" s="16"/>
      <c r="D200" s="16"/>
      <c r="E200" s="17"/>
      <c r="F200" s="16"/>
      <c r="G200" s="16"/>
      <c r="H200" s="16"/>
      <c r="I200" s="16"/>
      <c r="J200" s="54"/>
      <c r="K200" s="54"/>
      <c r="L200" s="54"/>
      <c r="M200" s="19"/>
      <c r="N200" s="54"/>
      <c r="O200" s="21"/>
      <c r="P200" s="5"/>
    </row>
    <row r="201" spans="1:16" s="4" customFormat="1" x14ac:dyDescent="0.15">
      <c r="A201" s="15"/>
      <c r="B201" s="16"/>
      <c r="C201" s="16"/>
      <c r="D201" s="16"/>
      <c r="E201" s="17"/>
      <c r="F201" s="16"/>
      <c r="G201" s="16"/>
      <c r="H201" s="16"/>
      <c r="I201" s="16"/>
      <c r="J201" s="54"/>
      <c r="K201" s="54"/>
      <c r="L201" s="54"/>
      <c r="M201" s="19"/>
      <c r="N201" s="54"/>
      <c r="O201" s="21"/>
      <c r="P201" s="5"/>
    </row>
    <row r="202" spans="1:16" s="4" customFormat="1" x14ac:dyDescent="0.15">
      <c r="A202" s="15"/>
      <c r="B202" s="16"/>
      <c r="C202" s="16"/>
      <c r="D202" s="16"/>
      <c r="E202" s="17"/>
      <c r="F202" s="16"/>
      <c r="G202" s="16"/>
      <c r="H202" s="16"/>
      <c r="I202" s="16"/>
      <c r="J202" s="54"/>
      <c r="K202" s="54"/>
      <c r="L202" s="54"/>
      <c r="M202" s="19"/>
      <c r="N202" s="54"/>
      <c r="O202" s="21"/>
      <c r="P202" s="5"/>
    </row>
    <row r="203" spans="1:16" s="4" customFormat="1" x14ac:dyDescent="0.15">
      <c r="A203" s="15"/>
      <c r="B203" s="16"/>
      <c r="C203" s="16"/>
      <c r="D203" s="16"/>
      <c r="E203" s="17"/>
      <c r="F203" s="16"/>
      <c r="G203" s="16"/>
      <c r="H203" s="16"/>
      <c r="I203" s="16"/>
      <c r="J203" s="54"/>
      <c r="K203" s="54"/>
      <c r="L203" s="54"/>
      <c r="M203" s="19"/>
      <c r="N203" s="54"/>
      <c r="O203" s="21"/>
      <c r="P203" s="5"/>
    </row>
    <row r="204" spans="1:16" s="4" customFormat="1" x14ac:dyDescent="0.15">
      <c r="A204" s="15"/>
      <c r="B204" s="16"/>
      <c r="C204" s="16"/>
      <c r="D204" s="16"/>
      <c r="E204" s="17"/>
      <c r="F204" s="16"/>
      <c r="G204" s="16"/>
      <c r="H204" s="16"/>
      <c r="I204" s="16"/>
      <c r="J204" s="54"/>
      <c r="K204" s="54"/>
      <c r="L204" s="54"/>
      <c r="M204" s="19"/>
      <c r="N204" s="54"/>
      <c r="O204" s="21"/>
      <c r="P204" s="5"/>
    </row>
    <row r="205" spans="1:16" s="4" customFormat="1" x14ac:dyDescent="0.15">
      <c r="A205" s="15"/>
      <c r="B205" s="16"/>
      <c r="C205" s="16"/>
      <c r="D205" s="16"/>
      <c r="E205" s="17"/>
      <c r="F205" s="16"/>
      <c r="G205" s="16"/>
      <c r="H205" s="16"/>
      <c r="I205" s="16"/>
      <c r="J205" s="54"/>
      <c r="K205" s="54"/>
      <c r="L205" s="54"/>
      <c r="M205" s="19"/>
      <c r="N205" s="54"/>
      <c r="O205" s="21"/>
      <c r="P205" s="5"/>
    </row>
    <row r="206" spans="1:16" s="4" customFormat="1" x14ac:dyDescent="0.15">
      <c r="A206" s="15"/>
      <c r="B206" s="16"/>
      <c r="C206" s="16"/>
      <c r="D206" s="16"/>
      <c r="E206" s="17"/>
      <c r="F206" s="16"/>
      <c r="G206" s="16"/>
      <c r="H206" s="16"/>
      <c r="I206" s="16"/>
      <c r="J206" s="54"/>
      <c r="K206" s="54"/>
      <c r="L206" s="54"/>
      <c r="M206" s="19"/>
      <c r="N206" s="54"/>
      <c r="O206" s="21"/>
      <c r="P206" s="5"/>
    </row>
    <row r="207" spans="1:16" s="4" customFormat="1" x14ac:dyDescent="0.15">
      <c r="A207" s="15"/>
      <c r="B207" s="16"/>
      <c r="C207" s="16"/>
      <c r="D207" s="16"/>
      <c r="E207" s="17"/>
      <c r="F207" s="16"/>
      <c r="G207" s="16"/>
      <c r="H207" s="16"/>
      <c r="I207" s="16"/>
      <c r="J207" s="54"/>
      <c r="K207" s="54"/>
      <c r="L207" s="54"/>
      <c r="M207" s="19"/>
      <c r="N207" s="54"/>
      <c r="O207" s="21"/>
      <c r="P207" s="5"/>
    </row>
  </sheetData>
  <sheetProtection algorithmName="SHA-512" hashValue="JeA5ixABDR4VmBRjHF93SOngVF8A3CMgRMpfocp4NT1tpEvLgBPcIAe4bN955H8awjR9p6eH6+peHCywJSYU0g==" saltValue="NMpDqmeMKVLt4DoiElYcHQ==" spinCount="100000" sheet="1" objects="1" scenarios="1"/>
  <mergeCells count="13">
    <mergeCell ref="B60:D60"/>
    <mergeCell ref="F60:H60"/>
    <mergeCell ref="F1:K1"/>
    <mergeCell ref="B58:D58"/>
    <mergeCell ref="F58:H58"/>
    <mergeCell ref="B59:D59"/>
    <mergeCell ref="F59:H59"/>
    <mergeCell ref="B61:D61"/>
    <mergeCell ref="F61:H61"/>
    <mergeCell ref="B62:D62"/>
    <mergeCell ref="F62:H62"/>
    <mergeCell ref="B63:D63"/>
    <mergeCell ref="F63:H63"/>
  </mergeCells>
  <printOptions gridLines="1"/>
  <pageMargins left="0.70866141732283472" right="0.70866141732283472" top="0.63" bottom="0.57999999999999996" header="0.31496062992125984" footer="0.31496062992125984"/>
  <pageSetup paperSize="8" scale="73" fitToWidth="2" fitToHeight="2" orientation="landscape" r:id="rId1"/>
  <headerFooter>
    <oddHeader>&amp;C&amp;"-,Vet"&amp;14Dashboard uitgaven Wmo 18+ Maatwerk  Groningen</oddHeader>
    <oddFooter>&amp;L&amp;V Vertrouwelijk&amp;V&amp;C&amp;D&amp;RPagina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40C8B-0592-4D6F-85CD-E39192FA9BB7}">
  <sheetPr codeName="Blad5">
    <tabColor theme="5"/>
    <pageSetUpPr fitToPage="1"/>
  </sheetPr>
  <dimension ref="A1:AS205"/>
  <sheetViews>
    <sheetView zoomScale="75" zoomScaleNormal="75" workbookViewId="0"/>
  </sheetViews>
  <sheetFormatPr baseColWidth="10" defaultColWidth="9.5" defaultRowHeight="14" outlineLevelRow="1" x14ac:dyDescent="0.15"/>
  <cols>
    <col min="1" max="1" width="3.5" style="15" customWidth="1"/>
    <col min="2" max="2" width="50.5" style="55" customWidth="1"/>
    <col min="3" max="4" width="15.5" style="55" customWidth="1"/>
    <col min="5" max="5" width="16.83203125" style="56" customWidth="1"/>
    <col min="6" max="8" width="15.5" style="55" customWidth="1"/>
    <col min="9" max="9" width="3.5" style="16" customWidth="1"/>
    <col min="10" max="12" width="15.5" style="57" customWidth="1"/>
    <col min="13" max="13" width="3.1640625" style="19" customWidth="1"/>
    <col min="14" max="14" width="26.5" style="57" bestFit="1" customWidth="1"/>
    <col min="15" max="15" width="21.5" style="58" bestFit="1" customWidth="1"/>
    <col min="16" max="16" width="18.5" style="5" customWidth="1"/>
    <col min="17" max="18" width="10.5" style="4" bestFit="1" customWidth="1"/>
    <col min="19" max="45" width="9.5" style="4"/>
    <col min="46" max="16384" width="9.5" style="2"/>
  </cols>
  <sheetData>
    <row r="1" spans="1:45" s="4" customFormat="1" ht="36" customHeight="1" x14ac:dyDescent="0.25">
      <c r="A1" s="15"/>
      <c r="B1" s="307" t="s">
        <v>109</v>
      </c>
      <c r="C1" s="195"/>
      <c r="D1" s="195"/>
      <c r="E1" s="196"/>
      <c r="F1" s="522" t="s">
        <v>159</v>
      </c>
      <c r="G1" s="522"/>
      <c r="H1" s="522"/>
      <c r="I1" s="522"/>
      <c r="J1" s="522"/>
      <c r="K1" s="522"/>
      <c r="L1" s="302"/>
      <c r="M1" s="19"/>
      <c r="N1" s="20"/>
      <c r="O1" s="21"/>
      <c r="P1" s="5"/>
    </row>
    <row r="2" spans="1:45" s="1" customFormat="1" ht="51" customHeight="1" thickBot="1" x14ac:dyDescent="0.2">
      <c r="A2" s="22"/>
      <c r="B2" s="217" t="s">
        <v>0</v>
      </c>
      <c r="C2" s="217" t="s">
        <v>217</v>
      </c>
      <c r="D2" s="217" t="s">
        <v>97</v>
      </c>
      <c r="E2" s="217" t="s">
        <v>218</v>
      </c>
      <c r="F2" s="217" t="s">
        <v>11</v>
      </c>
      <c r="G2" s="217" t="s">
        <v>12</v>
      </c>
      <c r="H2" s="217" t="s">
        <v>19</v>
      </c>
      <c r="I2" s="218"/>
      <c r="J2" s="219" t="s">
        <v>18</v>
      </c>
      <c r="K2" s="219" t="s">
        <v>24</v>
      </c>
      <c r="L2" s="219" t="s">
        <v>15</v>
      </c>
      <c r="M2" s="16"/>
      <c r="N2" s="217" t="s">
        <v>16</v>
      </c>
      <c r="O2" s="217" t="s">
        <v>1</v>
      </c>
      <c r="P2" s="5"/>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row>
    <row r="3" spans="1:45" ht="19.5" customHeight="1" thickTop="1" thickBot="1" x14ac:dyDescent="0.2">
      <c r="A3" s="15">
        <v>1</v>
      </c>
      <c r="B3" s="200" t="s">
        <v>105</v>
      </c>
      <c r="C3" s="206">
        <f>'producten &amp; tarieven'!E17</f>
        <v>54.161260653728334</v>
      </c>
      <c r="D3" s="280">
        <f>'Eenheden 2019'!D3</f>
        <v>13930.217391304348</v>
      </c>
      <c r="E3" s="216">
        <f>C3*D3</f>
        <v>754478.13509353437</v>
      </c>
      <c r="F3" s="198"/>
      <c r="G3" s="198"/>
      <c r="H3" s="198"/>
      <c r="J3" s="226">
        <f>SUM(J4:J7)</f>
        <v>29144.994423724373</v>
      </c>
      <c r="K3" s="226">
        <f>SUM(K4:K7)</f>
        <v>-242785.4364391056</v>
      </c>
      <c r="L3" s="226">
        <f>SUM(L4:L7)</f>
        <v>-4213.7978861991123</v>
      </c>
      <c r="N3" s="216">
        <f>SUM(J3:L3)</f>
        <v>-217854.23990158035</v>
      </c>
      <c r="O3" s="24">
        <f>+E3+N3</f>
        <v>536623.89519195398</v>
      </c>
      <c r="S3" s="7"/>
    </row>
    <row r="4" spans="1:45" outlineLevel="1" thickTop="1" x14ac:dyDescent="0.15">
      <c r="A4" s="25" t="s">
        <v>6</v>
      </c>
      <c r="B4" s="204" t="s">
        <v>2</v>
      </c>
      <c r="C4" s="208">
        <f>'producten &amp; tarieven'!E17</f>
        <v>54.161260653728334</v>
      </c>
      <c r="D4" s="282">
        <f>'Eenheden 2019'!D4</f>
        <v>3706.819382428755</v>
      </c>
      <c r="E4" s="213">
        <f t="shared" ref="E4:E52" si="0">C4*D4</f>
        <v>200766.0107680161</v>
      </c>
      <c r="F4" s="27">
        <f>'T-effecten'!B4</f>
        <v>-0.5</v>
      </c>
      <c r="G4" s="27">
        <f>'T-effecten'!C4</f>
        <v>0</v>
      </c>
      <c r="H4" s="470">
        <f>'T-effecten'!F4</f>
        <v>0.14516896715849595</v>
      </c>
      <c r="J4" s="29">
        <f>H4*E4</f>
        <v>29144.994423724373</v>
      </c>
      <c r="K4" s="29">
        <f>F4*(E4+J4)</f>
        <v>-114955.50259587023</v>
      </c>
      <c r="L4" s="59">
        <f>G4*(E4+J4+K4)</f>
        <v>0</v>
      </c>
      <c r="N4" s="30">
        <f>SUM(J4:L4)</f>
        <v>-85810.508172145855</v>
      </c>
      <c r="O4" s="31">
        <f t="shared" ref="O4:O29" si="1">+E4+N4</f>
        <v>114955.50259587025</v>
      </c>
    </row>
    <row r="5" spans="1:45" ht="13" outlineLevel="1" x14ac:dyDescent="0.15">
      <c r="A5" s="25" t="s">
        <v>7</v>
      </c>
      <c r="B5" s="26" t="s">
        <v>154</v>
      </c>
      <c r="C5" s="208">
        <f>'producten &amp; tarieven'!E17</f>
        <v>54.161260653728334</v>
      </c>
      <c r="D5" s="282">
        <f>'Eenheden 2019'!D5</f>
        <v>6310.0109505886685</v>
      </c>
      <c r="E5" s="209">
        <f t="shared" si="0"/>
        <v>341758.14782271296</v>
      </c>
      <c r="F5" s="27">
        <f>'T-effecten'!B5</f>
        <v>-0.25</v>
      </c>
      <c r="G5" s="27">
        <f>'T-effecten'!C5</f>
        <v>0</v>
      </c>
      <c r="H5" s="409"/>
      <c r="J5" s="29">
        <f>H5*E5</f>
        <v>0</v>
      </c>
      <c r="K5" s="29">
        <f>F5*(E5+J5)</f>
        <v>-85439.536955678239</v>
      </c>
      <c r="L5" s="59">
        <f>G5*(E5+J5+K5)</f>
        <v>0</v>
      </c>
      <c r="N5" s="30">
        <f t="shared" ref="N5:N52" si="2">SUM(J5:L5)</f>
        <v>-85439.536955678239</v>
      </c>
      <c r="O5" s="31">
        <f t="shared" si="1"/>
        <v>256318.6108670347</v>
      </c>
    </row>
    <row r="6" spans="1:45" ht="13" outlineLevel="1" x14ac:dyDescent="0.15">
      <c r="A6" s="25" t="s">
        <v>8</v>
      </c>
      <c r="B6" s="26" t="s">
        <v>4</v>
      </c>
      <c r="C6" s="210">
        <f>'producten &amp; tarieven'!E17</f>
        <v>54.161260653728334</v>
      </c>
      <c r="D6" s="282">
        <f>'Eenheden 2019'!D6</f>
        <v>2940.8383212980543</v>
      </c>
      <c r="E6" s="209">
        <f t="shared" si="0"/>
        <v>159279.51086029678</v>
      </c>
      <c r="F6" s="27">
        <f>'T-effecten'!B6</f>
        <v>-0.2</v>
      </c>
      <c r="G6" s="27">
        <f>'T-effecten'!C6</f>
        <v>0</v>
      </c>
      <c r="H6" s="409"/>
      <c r="J6" s="29">
        <f>H6*E6</f>
        <v>0</v>
      </c>
      <c r="K6" s="29">
        <f>F6*(E6+J6)</f>
        <v>-31855.902172059359</v>
      </c>
      <c r="L6" s="59">
        <f>G6*(E6+J6+K6)</f>
        <v>0</v>
      </c>
      <c r="N6" s="30">
        <f t="shared" si="2"/>
        <v>-31855.902172059359</v>
      </c>
      <c r="O6" s="31">
        <f t="shared" si="1"/>
        <v>127423.60868823742</v>
      </c>
    </row>
    <row r="7" spans="1:45" ht="13" outlineLevel="1" x14ac:dyDescent="0.15">
      <c r="A7" s="25" t="s">
        <v>9</v>
      </c>
      <c r="B7" s="26" t="s">
        <v>5</v>
      </c>
      <c r="C7" s="210">
        <f>'producten &amp; tarieven'!E17</f>
        <v>54.161260653728334</v>
      </c>
      <c r="D7" s="282">
        <f>'Eenheden 2019'!D7</f>
        <v>972.51195673310178</v>
      </c>
      <c r="E7" s="209">
        <f t="shared" si="0"/>
        <v>52672.473577488898</v>
      </c>
      <c r="F7" s="27">
        <f>'T-effecten'!B7</f>
        <v>-0.2</v>
      </c>
      <c r="G7" s="27">
        <f>'T-effecten'!C7</f>
        <v>-0.1</v>
      </c>
      <c r="H7" s="409"/>
      <c r="J7" s="29">
        <f>H7*E7</f>
        <v>0</v>
      </c>
      <c r="K7" s="29">
        <f>F7*(E7+J7)</f>
        <v>-10534.49471549778</v>
      </c>
      <c r="L7" s="59">
        <f>G7*(E7+J7+K7)</f>
        <v>-4213.7978861991123</v>
      </c>
      <c r="N7" s="30">
        <f t="shared" si="2"/>
        <v>-14748.292601696892</v>
      </c>
      <c r="O7" s="31">
        <f t="shared" si="1"/>
        <v>37924.180975792005</v>
      </c>
    </row>
    <row r="8" spans="1:45" ht="15" thickBot="1" x14ac:dyDescent="0.2">
      <c r="A8" s="15">
        <v>2</v>
      </c>
      <c r="B8" s="201" t="s">
        <v>104</v>
      </c>
      <c r="C8" s="211">
        <f>'producten &amp; tarieven'!F17</f>
        <v>67.462938501976552</v>
      </c>
      <c r="D8" s="305">
        <f>'Eenheden 2019'!D8</f>
        <v>8059.0093101787352</v>
      </c>
      <c r="E8" s="216">
        <f t="shared" si="0"/>
        <v>543684.44947944453</v>
      </c>
      <c r="F8" s="197"/>
      <c r="G8" s="197"/>
      <c r="H8" s="197"/>
      <c r="J8" s="227">
        <f>SUM(J9:J12)</f>
        <v>20219.456439226</v>
      </c>
      <c r="K8" s="227">
        <f>SUM(K9:K12)</f>
        <v>-97206.665970061964</v>
      </c>
      <c r="L8" s="227">
        <f>SUM(L9:L12)</f>
        <v>-45215.451410835798</v>
      </c>
      <c r="N8" s="212">
        <f t="shared" si="2"/>
        <v>-122202.66094167177</v>
      </c>
      <c r="O8" s="34">
        <f t="shared" si="1"/>
        <v>421481.78853777278</v>
      </c>
    </row>
    <row r="9" spans="1:45" outlineLevel="1" thickTop="1" x14ac:dyDescent="0.15">
      <c r="A9" s="25" t="s">
        <v>6</v>
      </c>
      <c r="B9" s="193" t="s">
        <v>2</v>
      </c>
      <c r="C9" s="208">
        <f>'producten &amp; tarieven'!F17</f>
        <v>67.462938501976552</v>
      </c>
      <c r="D9" s="282">
        <f>'Eenheden 2019'!D9</f>
        <v>2064.5739123456069</v>
      </c>
      <c r="E9" s="213">
        <f t="shared" si="0"/>
        <v>139282.22288135681</v>
      </c>
      <c r="F9" s="27">
        <f>'T-effecten'!B9</f>
        <v>-0.2</v>
      </c>
      <c r="G9" s="27">
        <f>'T-effecten'!C9</f>
        <v>-0.1</v>
      </c>
      <c r="H9" s="470">
        <f>'T-effecten'!F9</f>
        <v>0.14516896715849595</v>
      </c>
      <c r="J9" s="29">
        <f>H9*E9</f>
        <v>20219.456439226</v>
      </c>
      <c r="K9" s="29">
        <f>F9*(E9+J9)</f>
        <v>-31900.335864116561</v>
      </c>
      <c r="L9" s="59">
        <f>G9*(E9+J9+K9)</f>
        <v>-12760.134345646626</v>
      </c>
      <c r="N9" s="30">
        <f t="shared" si="2"/>
        <v>-24441.013770537189</v>
      </c>
      <c r="O9" s="31">
        <f t="shared" si="1"/>
        <v>114841.20911081962</v>
      </c>
      <c r="Q9" s="10"/>
      <c r="R9" s="10"/>
    </row>
    <row r="10" spans="1:45" ht="13" outlineLevel="1" x14ac:dyDescent="0.15">
      <c r="A10" s="25" t="s">
        <v>7</v>
      </c>
      <c r="B10" s="26" t="s">
        <v>154</v>
      </c>
      <c r="C10" s="210">
        <f>'producten &amp; tarieven'!F17</f>
        <v>67.462938501976552</v>
      </c>
      <c r="D10" s="282">
        <f>'Eenheden 2019'!D10</f>
        <v>3659.0200391912704</v>
      </c>
      <c r="E10" s="209">
        <f t="shared" si="0"/>
        <v>246848.24388146051</v>
      </c>
      <c r="F10" s="27">
        <f>'T-effecten'!B10</f>
        <v>-0.15</v>
      </c>
      <c r="G10" s="27">
        <f>'T-effecten'!C10</f>
        <v>-0.1</v>
      </c>
      <c r="H10" s="471"/>
      <c r="J10" s="29">
        <f>H10*E10</f>
        <v>0</v>
      </c>
      <c r="K10" s="29">
        <f>F10*(E10+J10)</f>
        <v>-37027.236582219077</v>
      </c>
      <c r="L10" s="59">
        <f>G10*(E10+J10+K10)</f>
        <v>-20982.100729924146</v>
      </c>
      <c r="N10" s="30">
        <f t="shared" si="2"/>
        <v>-58009.337312143223</v>
      </c>
      <c r="O10" s="31">
        <f t="shared" si="1"/>
        <v>188838.90656931727</v>
      </c>
    </row>
    <row r="11" spans="1:45" ht="13" outlineLevel="1" x14ac:dyDescent="0.15">
      <c r="A11" s="25" t="s">
        <v>8</v>
      </c>
      <c r="B11" s="26" t="s">
        <v>4</v>
      </c>
      <c r="C11" s="210">
        <f>'producten &amp; tarieven'!F17</f>
        <v>67.462938501976552</v>
      </c>
      <c r="D11" s="282">
        <f>'Eenheden 2019'!D11</f>
        <v>1856.3907505676368</v>
      </c>
      <c r="E11" s="209">
        <f t="shared" si="0"/>
        <v>125237.57504118257</v>
      </c>
      <c r="F11" s="27">
        <f>'T-effecten'!B11</f>
        <v>-0.2</v>
      </c>
      <c r="G11" s="27">
        <f>'T-effecten'!C11</f>
        <v>-0.1</v>
      </c>
      <c r="H11" s="471"/>
      <c r="J11" s="29">
        <f>H11*E11</f>
        <v>0</v>
      </c>
      <c r="K11" s="29">
        <f>F11*(E11+J11)</f>
        <v>-25047.515008236514</v>
      </c>
      <c r="L11" s="59">
        <f>G11*(E11+J11+K11)</f>
        <v>-10019.006003294606</v>
      </c>
      <c r="N11" s="30">
        <f t="shared" si="2"/>
        <v>-35066.52101153112</v>
      </c>
      <c r="O11" s="31">
        <f t="shared" si="1"/>
        <v>90171.054029651452</v>
      </c>
    </row>
    <row r="12" spans="1:45" ht="13" outlineLevel="1" x14ac:dyDescent="0.15">
      <c r="A12" s="25" t="s">
        <v>9</v>
      </c>
      <c r="B12" s="26" t="s">
        <v>5</v>
      </c>
      <c r="C12" s="210">
        <f>'producten &amp; tarieven'!F17</f>
        <v>67.462938501976552</v>
      </c>
      <c r="D12" s="282">
        <f>'Eenheden 2019'!D12</f>
        <v>479.01538048111325</v>
      </c>
      <c r="E12" s="209">
        <f t="shared" si="0"/>
        <v>32315.785154898243</v>
      </c>
      <c r="F12" s="27">
        <f>'T-effecten'!B12</f>
        <v>-0.1</v>
      </c>
      <c r="G12" s="199">
        <f>'T-effecten'!C12</f>
        <v>-0.05</v>
      </c>
      <c r="H12" s="471"/>
      <c r="J12" s="29">
        <f>H12*E12</f>
        <v>0</v>
      </c>
      <c r="K12" s="29">
        <f>F12*(E12+J12)</f>
        <v>-3231.5785154898244</v>
      </c>
      <c r="L12" s="59">
        <f>G12*(E12+J12+K12)</f>
        <v>-1454.2103319704211</v>
      </c>
      <c r="N12" s="30">
        <f t="shared" si="2"/>
        <v>-4685.788847460246</v>
      </c>
      <c r="O12" s="31">
        <f t="shared" si="1"/>
        <v>27629.996307437999</v>
      </c>
    </row>
    <row r="13" spans="1:45" ht="15" thickBot="1" x14ac:dyDescent="0.2">
      <c r="A13" s="15">
        <v>3</v>
      </c>
      <c r="B13" s="201" t="s">
        <v>101</v>
      </c>
      <c r="C13" s="211">
        <f>'producten &amp; tarieven'!G17</f>
        <v>36.10395767297338</v>
      </c>
      <c r="D13" s="305">
        <f>'Eenheden 2019'!D13</f>
        <v>15531</v>
      </c>
      <c r="E13" s="216">
        <f t="shared" si="0"/>
        <v>560730.56661894952</v>
      </c>
      <c r="F13" s="197"/>
      <c r="G13" s="197"/>
      <c r="H13" s="463"/>
      <c r="J13" s="227">
        <f>SUM(J14:J17)</f>
        <v>15322.647593322925</v>
      </c>
      <c r="K13" s="227">
        <f>SUM(K14:K17)</f>
        <v>-225130.46122179937</v>
      </c>
      <c r="L13" s="227">
        <f>SUM(L14:L17)</f>
        <v>-13400.755271925225</v>
      </c>
      <c r="N13" s="212">
        <f t="shared" si="2"/>
        <v>-223208.56890040165</v>
      </c>
      <c r="O13" s="34">
        <f t="shared" si="1"/>
        <v>337521.99771854788</v>
      </c>
    </row>
    <row r="14" spans="1:45" outlineLevel="1" thickTop="1" x14ac:dyDescent="0.15">
      <c r="A14" s="25" t="s">
        <v>6</v>
      </c>
      <c r="B14" s="193" t="s">
        <v>2</v>
      </c>
      <c r="C14" s="208">
        <f>'producten &amp; tarieven'!G17</f>
        <v>36.10395767297338</v>
      </c>
      <c r="D14" s="282">
        <f>'Eenheden 2019'!D14</f>
        <v>2923.514249852833</v>
      </c>
      <c r="E14" s="213">
        <f t="shared" si="0"/>
        <v>105550.4347330212</v>
      </c>
      <c r="F14" s="199">
        <f>'T-effecten'!B14</f>
        <v>-0.7</v>
      </c>
      <c r="G14" s="27">
        <f>'T-effecten'!C14</f>
        <v>0</v>
      </c>
      <c r="H14" s="470">
        <f>'T-effecten'!F14</f>
        <v>0.14516896715849595</v>
      </c>
      <c r="J14" s="29">
        <f>H14*E14</f>
        <v>15322.647593322925</v>
      </c>
      <c r="K14" s="29">
        <f>F14*(E14+J14)</f>
        <v>-84611.15762844088</v>
      </c>
      <c r="L14" s="59">
        <f>G14*(E14+J14+K14)</f>
        <v>0</v>
      </c>
      <c r="N14" s="30">
        <f t="shared" si="2"/>
        <v>-69288.510035117957</v>
      </c>
      <c r="O14" s="31">
        <f t="shared" si="1"/>
        <v>36261.924697903247</v>
      </c>
    </row>
    <row r="15" spans="1:45" ht="13" outlineLevel="1" x14ac:dyDescent="0.15">
      <c r="A15" s="25" t="s">
        <v>7</v>
      </c>
      <c r="B15" s="26" t="s">
        <v>154</v>
      </c>
      <c r="C15" s="210">
        <f>'producten &amp; tarieven'!G17</f>
        <v>36.10395767297338</v>
      </c>
      <c r="D15" s="282">
        <f>'Eenheden 2019'!D15</f>
        <v>4639.6420696133036</v>
      </c>
      <c r="E15" s="209">
        <f t="shared" si="0"/>
        <v>167509.44089906532</v>
      </c>
      <c r="F15" s="27">
        <f>'T-effecten'!B15</f>
        <v>-0.2</v>
      </c>
      <c r="G15" s="27">
        <f>'T-effecten'!C15</f>
        <v>-0.1</v>
      </c>
      <c r="H15" s="471"/>
      <c r="J15" s="29">
        <f>H15*E15</f>
        <v>0</v>
      </c>
      <c r="K15" s="29">
        <f>F15*(E15+J15)</f>
        <v>-33501.888179813068</v>
      </c>
      <c r="L15" s="59">
        <f>G15*(E15+J15+K15)</f>
        <v>-13400.755271925225</v>
      </c>
      <c r="N15" s="30">
        <f t="shared" si="2"/>
        <v>-46902.643451738295</v>
      </c>
      <c r="O15" s="31">
        <f t="shared" si="1"/>
        <v>120606.79744732703</v>
      </c>
    </row>
    <row r="16" spans="1:45" ht="13" outlineLevel="1" x14ac:dyDescent="0.15">
      <c r="A16" s="25" t="s">
        <v>8</v>
      </c>
      <c r="B16" s="26" t="s">
        <v>4</v>
      </c>
      <c r="C16" s="210">
        <f>'producten &amp; tarieven'!G17</f>
        <v>36.10395767297338</v>
      </c>
      <c r="D16" s="282">
        <f>'Eenheden 2019'!D16</f>
        <v>6853.485750147167</v>
      </c>
      <c r="E16" s="209">
        <f t="shared" si="0"/>
        <v>247437.95943563952</v>
      </c>
      <c r="F16" s="27">
        <f>'T-effecten'!B16</f>
        <v>-0.4</v>
      </c>
      <c r="G16" s="27">
        <f>'T-effecten'!C16</f>
        <v>0</v>
      </c>
      <c r="H16" s="471"/>
      <c r="J16" s="29">
        <f>H16*E16</f>
        <v>0</v>
      </c>
      <c r="K16" s="29">
        <f>F16*(E16+J16)</f>
        <v>-98975.183774255813</v>
      </c>
      <c r="L16" s="59">
        <f>G16*(E16+J16+K16)</f>
        <v>0</v>
      </c>
      <c r="N16" s="30">
        <f t="shared" si="2"/>
        <v>-98975.183774255813</v>
      </c>
      <c r="O16" s="31">
        <f t="shared" si="1"/>
        <v>148462.7756613837</v>
      </c>
    </row>
    <row r="17" spans="1:15" ht="13" outlineLevel="1" x14ac:dyDescent="0.15">
      <c r="A17" s="25" t="s">
        <v>9</v>
      </c>
      <c r="B17" s="26" t="s">
        <v>5</v>
      </c>
      <c r="C17" s="210">
        <f>'producten &amp; tarieven'!G17</f>
        <v>36.10395767297338</v>
      </c>
      <c r="D17" s="282">
        <f>'Eenheden 2019'!D17</f>
        <v>1113.7603960396038</v>
      </c>
      <c r="E17" s="209">
        <f t="shared" si="0"/>
        <v>40211.158196447926</v>
      </c>
      <c r="F17" s="27">
        <f>'T-effecten'!B17</f>
        <v>-0.2</v>
      </c>
      <c r="G17" s="27">
        <f>'T-effecten'!C17</f>
        <v>0</v>
      </c>
      <c r="H17" s="471"/>
      <c r="J17" s="29">
        <f>H17*E17</f>
        <v>0</v>
      </c>
      <c r="K17" s="29">
        <f>F17*(E17+J17)</f>
        <v>-8042.2316392895855</v>
      </c>
      <c r="L17" s="59">
        <f>G17*(E17+J17+K17)</f>
        <v>0</v>
      </c>
      <c r="N17" s="30">
        <f t="shared" si="2"/>
        <v>-8042.2316392895855</v>
      </c>
      <c r="O17" s="31">
        <f t="shared" si="1"/>
        <v>32168.926557158342</v>
      </c>
    </row>
    <row r="18" spans="1:15" ht="15" thickBot="1" x14ac:dyDescent="0.2">
      <c r="A18" s="15">
        <v>4</v>
      </c>
      <c r="B18" s="201" t="s">
        <v>102</v>
      </c>
      <c r="C18" s="211">
        <f>'producten &amp; tarieven'!H17</f>
        <v>48.858878642934805</v>
      </c>
      <c r="D18" s="305">
        <f>'Eenheden 2019'!D18</f>
        <v>3795.9389443367509</v>
      </c>
      <c r="E18" s="216">
        <f t="shared" si="0"/>
        <v>185465.32021733935</v>
      </c>
      <c r="F18" s="197"/>
      <c r="G18" s="197"/>
      <c r="H18" s="463"/>
      <c r="J18" s="227">
        <f>SUM(J19:J22)</f>
        <v>7651.8313775604756</v>
      </c>
      <c r="K18" s="227">
        <f>SUM(K19:K22)</f>
        <v>-17103.293844829332</v>
      </c>
      <c r="L18" s="227">
        <f>SUM(L19:L22)</f>
        <v>-13405.38527715181</v>
      </c>
      <c r="N18" s="212">
        <f t="shared" si="2"/>
        <v>-22856.847744420666</v>
      </c>
      <c r="O18" s="34">
        <f t="shared" si="1"/>
        <v>162608.47247291869</v>
      </c>
    </row>
    <row r="19" spans="1:15" outlineLevel="1" thickTop="1" x14ac:dyDescent="0.15">
      <c r="A19" s="25" t="s">
        <v>6</v>
      </c>
      <c r="B19" s="193" t="s">
        <v>2</v>
      </c>
      <c r="C19" s="208">
        <f>'producten &amp; tarieven'!H17</f>
        <v>48.858878642934805</v>
      </c>
      <c r="D19" s="282">
        <f>'Eenheden 2019'!D19</f>
        <v>1078.8178130186245</v>
      </c>
      <c r="E19" s="213">
        <f t="shared" si="0"/>
        <v>52709.828604113311</v>
      </c>
      <c r="F19" s="199">
        <f>'T-effecten'!B19</f>
        <v>-0.1</v>
      </c>
      <c r="G19" s="199">
        <f>'T-effecten'!C19</f>
        <v>-0.1</v>
      </c>
      <c r="H19" s="470">
        <f>'T-effecten'!F19</f>
        <v>0.14516896715849595</v>
      </c>
      <c r="J19" s="29">
        <f>H19*E19</f>
        <v>7651.8313775604756</v>
      </c>
      <c r="K19" s="29">
        <f>F19*(E19+J19)</f>
        <v>-6036.1659981673793</v>
      </c>
      <c r="L19" s="59">
        <f>G19*(E19+J19+K19)</f>
        <v>-5432.5493983506412</v>
      </c>
      <c r="N19" s="30">
        <f t="shared" si="2"/>
        <v>-3816.8840189575449</v>
      </c>
      <c r="O19" s="31">
        <f t="shared" si="1"/>
        <v>48892.944585155768</v>
      </c>
    </row>
    <row r="20" spans="1:15" ht="13" outlineLevel="1" x14ac:dyDescent="0.15">
      <c r="A20" s="25" t="s">
        <v>7</v>
      </c>
      <c r="B20" s="26" t="s">
        <v>154</v>
      </c>
      <c r="C20" s="210">
        <f>'producten &amp; tarieven'!H17</f>
        <v>48.858878642934805</v>
      </c>
      <c r="D20" s="282">
        <f>'Eenheden 2019'!D20</f>
        <v>0</v>
      </c>
      <c r="E20" s="209">
        <f t="shared" si="0"/>
        <v>0</v>
      </c>
      <c r="F20" s="27">
        <f>'T-effecten'!B20</f>
        <v>-0.1</v>
      </c>
      <c r="G20" s="27">
        <f>'T-effecten'!C20</f>
        <v>-0.1</v>
      </c>
      <c r="H20" s="471"/>
      <c r="J20" s="29">
        <f>H20*E20</f>
        <v>0</v>
      </c>
      <c r="K20" s="29">
        <f>F20*(E20+J20)</f>
        <v>0</v>
      </c>
      <c r="L20" s="59">
        <f t="shared" ref="L20:L22" si="3">G20*(E20+J20+K20)</f>
        <v>0</v>
      </c>
      <c r="N20" s="30">
        <f t="shared" si="2"/>
        <v>0</v>
      </c>
      <c r="O20" s="31">
        <f t="shared" si="1"/>
        <v>0</v>
      </c>
    </row>
    <row r="21" spans="1:15" ht="13" outlineLevel="1" x14ac:dyDescent="0.15">
      <c r="A21" s="25" t="s">
        <v>8</v>
      </c>
      <c r="B21" s="26" t="s">
        <v>4</v>
      </c>
      <c r="C21" s="210">
        <f>'producten &amp; tarieven'!H17</f>
        <v>48.858878642934805</v>
      </c>
      <c r="D21" s="282">
        <f>'Eenheden 2019'!D21</f>
        <v>1813.1211313181266</v>
      </c>
      <c r="E21" s="209">
        <f t="shared" si="0"/>
        <v>88587.065320013004</v>
      </c>
      <c r="F21" s="27">
        <f>'T-effecten'!B21</f>
        <v>-0.1</v>
      </c>
      <c r="G21" s="27">
        <f>'T-effecten'!C21</f>
        <v>-0.1</v>
      </c>
      <c r="H21" s="471"/>
      <c r="J21" s="29">
        <f>H21*E21</f>
        <v>0</v>
      </c>
      <c r="K21" s="29">
        <f t="shared" ref="K21:K22" si="4">F21*(E21+J21)</f>
        <v>-8858.7065320013007</v>
      </c>
      <c r="L21" s="59">
        <f t="shared" si="3"/>
        <v>-7972.8358788011701</v>
      </c>
      <c r="N21" s="30">
        <f t="shared" si="2"/>
        <v>-16831.542410802471</v>
      </c>
      <c r="O21" s="31">
        <f t="shared" si="1"/>
        <v>71755.522909210529</v>
      </c>
    </row>
    <row r="22" spans="1:15" ht="13" outlineLevel="1" x14ac:dyDescent="0.15">
      <c r="A22" s="25" t="s">
        <v>9</v>
      </c>
      <c r="B22" s="26" t="s">
        <v>5</v>
      </c>
      <c r="C22" s="210">
        <f>'producten &amp; tarieven'!H17</f>
        <v>48.858878642934805</v>
      </c>
      <c r="D22" s="282">
        <f>'Eenheden 2019'!D22</f>
        <v>904</v>
      </c>
      <c r="E22" s="209">
        <f t="shared" si="0"/>
        <v>44168.426293213066</v>
      </c>
      <c r="F22" s="27">
        <f>'T-effecten'!B22</f>
        <v>-0.05</v>
      </c>
      <c r="G22" s="27">
        <f>'T-effecten'!C22</f>
        <v>0</v>
      </c>
      <c r="H22" s="471"/>
      <c r="J22" s="29">
        <f>H22*E22</f>
        <v>0</v>
      </c>
      <c r="K22" s="29">
        <f t="shared" si="4"/>
        <v>-2208.4213146606535</v>
      </c>
      <c r="L22" s="59">
        <f t="shared" si="3"/>
        <v>0</v>
      </c>
      <c r="N22" s="30">
        <f t="shared" si="2"/>
        <v>-2208.4213146606535</v>
      </c>
      <c r="O22" s="31">
        <f t="shared" si="1"/>
        <v>41960.00497855241</v>
      </c>
    </row>
    <row r="23" spans="1:15" ht="15" thickBot="1" x14ac:dyDescent="0.2">
      <c r="A23" s="15">
        <v>5</v>
      </c>
      <c r="B23" s="201" t="s">
        <v>27</v>
      </c>
      <c r="C23" s="211">
        <f>'producten &amp; tarieven'!C17</f>
        <v>44.180909502664626</v>
      </c>
      <c r="D23" s="305">
        <f>'Eenheden 2019'!D23</f>
        <v>0</v>
      </c>
      <c r="E23" s="216">
        <f t="shared" si="0"/>
        <v>0</v>
      </c>
      <c r="F23" s="197"/>
      <c r="G23" s="197"/>
      <c r="H23" s="463"/>
      <c r="J23" s="227">
        <f>SUM(J24:J27)</f>
        <v>0</v>
      </c>
      <c r="K23" s="227">
        <f>SUM(K24:K27)</f>
        <v>0</v>
      </c>
      <c r="L23" s="227">
        <f>SUM(L24:L27)</f>
        <v>0</v>
      </c>
      <c r="N23" s="212">
        <f t="shared" si="2"/>
        <v>0</v>
      </c>
      <c r="O23" s="34">
        <f t="shared" si="1"/>
        <v>0</v>
      </c>
    </row>
    <row r="24" spans="1:15" outlineLevel="1" thickTop="1" x14ac:dyDescent="0.15">
      <c r="A24" s="25" t="s">
        <v>6</v>
      </c>
      <c r="B24" s="193" t="s">
        <v>2</v>
      </c>
      <c r="C24" s="208">
        <f>'producten &amp; tarieven'!C17</f>
        <v>44.180909502664626</v>
      </c>
      <c r="D24" s="282">
        <f>'Eenheden 2019'!D24</f>
        <v>0</v>
      </c>
      <c r="E24" s="213">
        <f t="shared" si="0"/>
        <v>0</v>
      </c>
      <c r="F24" s="27">
        <f>'T-effecten'!B24</f>
        <v>0</v>
      </c>
      <c r="G24" s="27">
        <f>'T-effecten'!C24</f>
        <v>0</v>
      </c>
      <c r="H24" s="470">
        <f>'T-effecten'!F24</f>
        <v>0.14516896715849595</v>
      </c>
      <c r="J24" s="29">
        <f>H24*E24</f>
        <v>0</v>
      </c>
      <c r="K24" s="29">
        <f>F24*(E24+J24)</f>
        <v>0</v>
      </c>
      <c r="L24" s="59">
        <f>G24*(E24+J24+K24)</f>
        <v>0</v>
      </c>
      <c r="N24" s="30">
        <f t="shared" si="2"/>
        <v>0</v>
      </c>
      <c r="O24" s="31">
        <f t="shared" si="1"/>
        <v>0</v>
      </c>
    </row>
    <row r="25" spans="1:15" ht="13" outlineLevel="1" x14ac:dyDescent="0.15">
      <c r="A25" s="25" t="s">
        <v>7</v>
      </c>
      <c r="B25" s="26" t="s">
        <v>154</v>
      </c>
      <c r="C25" s="210">
        <f>'producten &amp; tarieven'!C17</f>
        <v>44.180909502664626</v>
      </c>
      <c r="D25" s="282">
        <f>'Eenheden 2019'!D25</f>
        <v>0</v>
      </c>
      <c r="E25" s="209">
        <f t="shared" si="0"/>
        <v>0</v>
      </c>
      <c r="F25" s="27">
        <f>'T-effecten'!B25</f>
        <v>0</v>
      </c>
      <c r="G25" s="27">
        <f>'T-effecten'!C25</f>
        <v>0</v>
      </c>
      <c r="H25" s="472"/>
      <c r="J25" s="29">
        <f>H25*E25</f>
        <v>0</v>
      </c>
      <c r="K25" s="29">
        <f>F25*(E25+J25)</f>
        <v>0</v>
      </c>
      <c r="L25" s="59">
        <f>G25*(E25+J25+K25)</f>
        <v>0</v>
      </c>
      <c r="N25" s="30">
        <f t="shared" si="2"/>
        <v>0</v>
      </c>
      <c r="O25" s="31">
        <f t="shared" si="1"/>
        <v>0</v>
      </c>
    </row>
    <row r="26" spans="1:15" ht="13" outlineLevel="1" x14ac:dyDescent="0.15">
      <c r="A26" s="25" t="s">
        <v>8</v>
      </c>
      <c r="B26" s="26" t="s">
        <v>4</v>
      </c>
      <c r="C26" s="210">
        <f>'producten &amp; tarieven'!C17</f>
        <v>44.180909502664626</v>
      </c>
      <c r="D26" s="282">
        <f>'Eenheden 2019'!D26</f>
        <v>0</v>
      </c>
      <c r="E26" s="209">
        <f t="shared" si="0"/>
        <v>0</v>
      </c>
      <c r="F26" s="27">
        <f>'T-effecten'!B26</f>
        <v>0</v>
      </c>
      <c r="G26" s="27">
        <f>'T-effecten'!C26</f>
        <v>0</v>
      </c>
      <c r="H26" s="472"/>
      <c r="J26" s="29">
        <f>H26*E26</f>
        <v>0</v>
      </c>
      <c r="K26" s="29">
        <f>F26*(E26+J26)</f>
        <v>0</v>
      </c>
      <c r="L26" s="59">
        <f>G26*(E26+J26+K26)</f>
        <v>0</v>
      </c>
      <c r="N26" s="30">
        <f t="shared" si="2"/>
        <v>0</v>
      </c>
      <c r="O26" s="31">
        <f t="shared" si="1"/>
        <v>0</v>
      </c>
    </row>
    <row r="27" spans="1:15" ht="13" outlineLevel="1" x14ac:dyDescent="0.15">
      <c r="A27" s="25" t="s">
        <v>9</v>
      </c>
      <c r="B27" s="26" t="s">
        <v>5</v>
      </c>
      <c r="C27" s="210">
        <f>'producten &amp; tarieven'!C17</f>
        <v>44.180909502664626</v>
      </c>
      <c r="D27" s="282">
        <f>'Eenheden 2019'!D27</f>
        <v>0</v>
      </c>
      <c r="E27" s="209">
        <f t="shared" si="0"/>
        <v>0</v>
      </c>
      <c r="F27" s="27">
        <f>'T-effecten'!B27</f>
        <v>0</v>
      </c>
      <c r="G27" s="27">
        <f>'T-effecten'!C27</f>
        <v>0</v>
      </c>
      <c r="H27" s="472"/>
      <c r="J27" s="29">
        <f>H27*E27</f>
        <v>0</v>
      </c>
      <c r="K27" s="29">
        <f>F27*(E27+J27)</f>
        <v>0</v>
      </c>
      <c r="L27" s="59">
        <f>G27*(E27+J27+K27)</f>
        <v>0</v>
      </c>
      <c r="N27" s="30">
        <f t="shared" si="2"/>
        <v>0</v>
      </c>
      <c r="O27" s="31">
        <f t="shared" si="1"/>
        <v>0</v>
      </c>
    </row>
    <row r="28" spans="1:15" ht="15" thickBot="1" x14ac:dyDescent="0.2">
      <c r="A28" s="15">
        <v>6</v>
      </c>
      <c r="B28" s="201" t="s">
        <v>157</v>
      </c>
      <c r="C28" s="211">
        <f>'producten &amp; tarieven'!I17</f>
        <v>53.92</v>
      </c>
      <c r="D28" s="305">
        <f>'Eenheden 2019'!D28</f>
        <v>0</v>
      </c>
      <c r="E28" s="216">
        <f t="shared" si="0"/>
        <v>0</v>
      </c>
      <c r="F28" s="197"/>
      <c r="G28" s="197"/>
      <c r="H28" s="463"/>
      <c r="J28" s="227">
        <f>SUM(J29:J32)</f>
        <v>0</v>
      </c>
      <c r="K28" s="227">
        <f>SUM(K29:K32)</f>
        <v>0</v>
      </c>
      <c r="L28" s="227">
        <f>SUM(L29:L32)</f>
        <v>0</v>
      </c>
      <c r="N28" s="212">
        <f t="shared" si="2"/>
        <v>0</v>
      </c>
      <c r="O28" s="34">
        <f t="shared" si="1"/>
        <v>0</v>
      </c>
    </row>
    <row r="29" spans="1:15" outlineLevel="1" thickTop="1" x14ac:dyDescent="0.15">
      <c r="A29" s="25" t="s">
        <v>6</v>
      </c>
      <c r="B29" s="193" t="s">
        <v>2</v>
      </c>
      <c r="C29" s="208">
        <f>'producten &amp; tarieven'!I17</f>
        <v>53.92</v>
      </c>
      <c r="D29" s="282">
        <f>'Eenheden 2019'!D29</f>
        <v>0</v>
      </c>
      <c r="E29" s="213">
        <f t="shared" si="0"/>
        <v>0</v>
      </c>
      <c r="F29" s="27">
        <f>'T-effecten'!B29</f>
        <v>0</v>
      </c>
      <c r="G29" s="27">
        <f>'T-effecten'!C29</f>
        <v>0</v>
      </c>
      <c r="H29" s="470">
        <f>'T-effecten'!F29</f>
        <v>0.14516896715849595</v>
      </c>
      <c r="J29" s="29">
        <f>H29*E29</f>
        <v>0</v>
      </c>
      <c r="K29" s="29">
        <f>F29*(E29+J29)</f>
        <v>0</v>
      </c>
      <c r="L29" s="59">
        <f>G29*(E29+J29+K29)</f>
        <v>0</v>
      </c>
      <c r="N29" s="30">
        <f t="shared" si="2"/>
        <v>0</v>
      </c>
      <c r="O29" s="31">
        <f t="shared" si="1"/>
        <v>0</v>
      </c>
    </row>
    <row r="30" spans="1:15" ht="13" outlineLevel="1" x14ac:dyDescent="0.15">
      <c r="A30" s="25" t="s">
        <v>7</v>
      </c>
      <c r="B30" s="26" t="s">
        <v>154</v>
      </c>
      <c r="C30" s="210">
        <f>'producten &amp; tarieven'!I17</f>
        <v>53.92</v>
      </c>
      <c r="D30" s="282">
        <f>'Eenheden 2019'!D30</f>
        <v>0</v>
      </c>
      <c r="E30" s="209">
        <f t="shared" si="0"/>
        <v>0</v>
      </c>
      <c r="F30" s="27">
        <f>'T-effecten'!B30</f>
        <v>0</v>
      </c>
      <c r="G30" s="27">
        <f>'T-effecten'!C30</f>
        <v>0</v>
      </c>
      <c r="H30" s="471"/>
      <c r="J30" s="29">
        <f t="shared" ref="J30:J32" si="5">H30*E30</f>
        <v>0</v>
      </c>
      <c r="K30" s="29">
        <f t="shared" ref="K30:K31" si="6">F30*(E30+J30)</f>
        <v>0</v>
      </c>
      <c r="L30" s="59">
        <f t="shared" ref="L30:L32" si="7">G30*(E30+J30+K30)</f>
        <v>0</v>
      </c>
      <c r="N30" s="30">
        <f t="shared" si="2"/>
        <v>0</v>
      </c>
      <c r="O30" s="31"/>
    </row>
    <row r="31" spans="1:15" ht="13" outlineLevel="1" x14ac:dyDescent="0.15">
      <c r="A31" s="25" t="s">
        <v>8</v>
      </c>
      <c r="B31" s="26" t="s">
        <v>4</v>
      </c>
      <c r="C31" s="210">
        <f>'producten &amp; tarieven'!I17</f>
        <v>53.92</v>
      </c>
      <c r="D31" s="282">
        <f>'Eenheden 2019'!D31</f>
        <v>0</v>
      </c>
      <c r="E31" s="209">
        <f t="shared" si="0"/>
        <v>0</v>
      </c>
      <c r="F31" s="27">
        <f>'T-effecten'!B31</f>
        <v>0</v>
      </c>
      <c r="G31" s="27">
        <f>'T-effecten'!C31</f>
        <v>0</v>
      </c>
      <c r="H31" s="471"/>
      <c r="J31" s="29">
        <f t="shared" si="5"/>
        <v>0</v>
      </c>
      <c r="K31" s="29">
        <f t="shared" si="6"/>
        <v>0</v>
      </c>
      <c r="L31" s="59">
        <f t="shared" si="7"/>
        <v>0</v>
      </c>
      <c r="N31" s="30">
        <f t="shared" si="2"/>
        <v>0</v>
      </c>
      <c r="O31" s="31"/>
    </row>
    <row r="32" spans="1:15" ht="13" outlineLevel="1" x14ac:dyDescent="0.15">
      <c r="A32" s="25" t="s">
        <v>9</v>
      </c>
      <c r="B32" s="26" t="s">
        <v>5</v>
      </c>
      <c r="C32" s="210">
        <f>'producten &amp; tarieven'!I17</f>
        <v>53.92</v>
      </c>
      <c r="D32" s="282">
        <f>'Eenheden 2019'!D32</f>
        <v>0</v>
      </c>
      <c r="E32" s="209">
        <f t="shared" si="0"/>
        <v>0</v>
      </c>
      <c r="F32" s="27">
        <f>'T-effecten'!B32</f>
        <v>0</v>
      </c>
      <c r="G32" s="27">
        <f>'T-effecten'!C32</f>
        <v>0</v>
      </c>
      <c r="H32" s="471"/>
      <c r="J32" s="29">
        <f t="shared" si="5"/>
        <v>0</v>
      </c>
      <c r="K32" s="29">
        <f>F32*(E32+J32)</f>
        <v>0</v>
      </c>
      <c r="L32" s="59">
        <f t="shared" si="7"/>
        <v>0</v>
      </c>
      <c r="N32" s="30">
        <f t="shared" si="2"/>
        <v>0</v>
      </c>
      <c r="O32" s="31">
        <f>+E32+N32</f>
        <v>0</v>
      </c>
    </row>
    <row r="33" spans="1:15" ht="15" thickBot="1" x14ac:dyDescent="0.2">
      <c r="A33" s="15">
        <v>7</v>
      </c>
      <c r="B33" s="201" t="s">
        <v>158</v>
      </c>
      <c r="C33" s="211">
        <f>'producten &amp; tarieven'!J17</f>
        <v>220.37878605783692</v>
      </c>
      <c r="D33" s="305">
        <f>'Eenheden 2019'!D33</f>
        <v>77</v>
      </c>
      <c r="E33" s="216">
        <f t="shared" si="0"/>
        <v>16969.166526453442</v>
      </c>
      <c r="F33" s="197"/>
      <c r="G33" s="197"/>
      <c r="H33" s="463"/>
      <c r="J33" s="227">
        <f>SUM(J34:J37)</f>
        <v>631.0780522049298</v>
      </c>
      <c r="K33" s="227">
        <f>SUM(K34:K37)</f>
        <v>0</v>
      </c>
      <c r="L33" s="227">
        <f>SUM(L34:L37)</f>
        <v>0</v>
      </c>
      <c r="N33" s="212">
        <f t="shared" si="2"/>
        <v>631.0780522049298</v>
      </c>
      <c r="O33" s="34">
        <f>+E33+N33</f>
        <v>17600.24457865837</v>
      </c>
    </row>
    <row r="34" spans="1:15" outlineLevel="1" thickTop="1" x14ac:dyDescent="0.15">
      <c r="A34" s="25" t="s">
        <v>6</v>
      </c>
      <c r="B34" s="193" t="s">
        <v>2</v>
      </c>
      <c r="C34" s="208">
        <f>'producten &amp; tarieven'!J17</f>
        <v>220.37878605783692</v>
      </c>
      <c r="D34" s="282">
        <f>'Eenheden 2019'!D34</f>
        <v>19.726021540864309</v>
      </c>
      <c r="E34" s="213">
        <f t="shared" si="0"/>
        <v>4347.1966809264186</v>
      </c>
      <c r="F34" s="27">
        <f>'T-effecten'!B34</f>
        <v>0</v>
      </c>
      <c r="G34" s="27">
        <f>'T-effecten'!C34</f>
        <v>0</v>
      </c>
      <c r="H34" s="470">
        <f>'T-effecten'!F34</f>
        <v>0.14516896715849595</v>
      </c>
      <c r="J34" s="29">
        <f>H34*E34</f>
        <v>631.0780522049298</v>
      </c>
      <c r="K34" s="29">
        <f>F34*(E34+J34)</f>
        <v>0</v>
      </c>
      <c r="L34" s="59">
        <f>G34*(E34+J34+K34)</f>
        <v>0</v>
      </c>
      <c r="N34" s="30">
        <f t="shared" si="2"/>
        <v>631.0780522049298</v>
      </c>
      <c r="O34" s="31">
        <f>+E34+N34</f>
        <v>4978.2747331313485</v>
      </c>
    </row>
    <row r="35" spans="1:15" ht="13" outlineLevel="1" x14ac:dyDescent="0.15">
      <c r="A35" s="25" t="s">
        <v>7</v>
      </c>
      <c r="B35" s="26" t="s">
        <v>154</v>
      </c>
      <c r="C35" s="210">
        <f>'producten &amp; tarieven'!J17</f>
        <v>220.37878605783692</v>
      </c>
      <c r="D35" s="282">
        <f>'Eenheden 2019'!D35</f>
        <v>34.960195747866578</v>
      </c>
      <c r="E35" s="209">
        <f t="shared" si="0"/>
        <v>7704.4854992591881</v>
      </c>
      <c r="F35" s="27">
        <f>'T-effecten'!B35</f>
        <v>0</v>
      </c>
      <c r="G35" s="27">
        <f>'T-effecten'!C35</f>
        <v>0</v>
      </c>
      <c r="H35" s="471"/>
      <c r="J35" s="29">
        <f t="shared" ref="J35:J37" si="8">H35*E35</f>
        <v>0</v>
      </c>
      <c r="K35" s="29">
        <f t="shared" ref="K35:K36" si="9">F35*(E35+J35)</f>
        <v>0</v>
      </c>
      <c r="L35" s="59">
        <f t="shared" ref="L35:L37" si="10">G35*(E35+J35+K35)</f>
        <v>0</v>
      </c>
      <c r="M35" s="16"/>
      <c r="N35" s="30">
        <f t="shared" si="2"/>
        <v>0</v>
      </c>
      <c r="O35" s="31">
        <f t="shared" ref="O35:O36" si="11">+E35+N35</f>
        <v>7704.4854992591881</v>
      </c>
    </row>
    <row r="36" spans="1:15" ht="13" outlineLevel="1" x14ac:dyDescent="0.15">
      <c r="A36" s="25" t="s">
        <v>8</v>
      </c>
      <c r="B36" s="26" t="s">
        <v>4</v>
      </c>
      <c r="C36" s="210">
        <f>'producten &amp; tarieven'!J17</f>
        <v>220.37878605783692</v>
      </c>
      <c r="D36" s="282">
        <f>'Eenheden 2019'!D36</f>
        <v>17.736930470246328</v>
      </c>
      <c r="E36" s="209">
        <f t="shared" si="0"/>
        <v>3908.8432054251443</v>
      </c>
      <c r="F36" s="27">
        <f>'T-effecten'!B36</f>
        <v>0</v>
      </c>
      <c r="G36" s="27">
        <f>'T-effecten'!C36</f>
        <v>0</v>
      </c>
      <c r="H36" s="471"/>
      <c r="J36" s="29">
        <f t="shared" si="8"/>
        <v>0</v>
      </c>
      <c r="K36" s="29">
        <f t="shared" si="9"/>
        <v>0</v>
      </c>
      <c r="L36" s="59">
        <f t="shared" si="10"/>
        <v>0</v>
      </c>
      <c r="M36" s="16"/>
      <c r="N36" s="30">
        <f t="shared" si="2"/>
        <v>0</v>
      </c>
      <c r="O36" s="31">
        <f t="shared" si="11"/>
        <v>3908.8432054251443</v>
      </c>
    </row>
    <row r="37" spans="1:15" ht="13" outlineLevel="1" x14ac:dyDescent="0.15">
      <c r="A37" s="25" t="s">
        <v>9</v>
      </c>
      <c r="B37" s="26" t="s">
        <v>5</v>
      </c>
      <c r="C37" s="210">
        <f>'producten &amp; tarieven'!J17</f>
        <v>220.37878605783692</v>
      </c>
      <c r="D37" s="282">
        <f>'Eenheden 2019'!D37</f>
        <v>4.5767640757605346</v>
      </c>
      <c r="E37" s="209">
        <f t="shared" si="0"/>
        <v>1008.6217110892246</v>
      </c>
      <c r="F37" s="27">
        <f>'T-effecten'!B37</f>
        <v>0</v>
      </c>
      <c r="G37" s="27">
        <f>'T-effecten'!C37</f>
        <v>0</v>
      </c>
      <c r="H37" s="471"/>
      <c r="J37" s="29">
        <f t="shared" si="8"/>
        <v>0</v>
      </c>
      <c r="K37" s="29">
        <f>F37*(E37+J37)</f>
        <v>0</v>
      </c>
      <c r="L37" s="59">
        <f t="shared" si="10"/>
        <v>0</v>
      </c>
      <c r="M37" s="16"/>
      <c r="N37" s="30">
        <f t="shared" si="2"/>
        <v>0</v>
      </c>
      <c r="O37" s="222">
        <f>+E37+N37</f>
        <v>1008.6217110892246</v>
      </c>
    </row>
    <row r="38" spans="1:15" ht="15" thickBot="1" x14ac:dyDescent="0.2">
      <c r="A38" s="15">
        <v>8</v>
      </c>
      <c r="B38" s="201" t="s">
        <v>125</v>
      </c>
      <c r="C38" s="211">
        <f>'producten &amp; tarieven'!B23</f>
        <v>15.326666666666668</v>
      </c>
      <c r="D38" s="305">
        <f>'Eenheden 2019'!D38</f>
        <v>13384.093222420419</v>
      </c>
      <c r="E38" s="216">
        <f t="shared" si="0"/>
        <v>205133.53545563031</v>
      </c>
      <c r="F38" s="197"/>
      <c r="G38" s="197"/>
      <c r="H38" s="463"/>
      <c r="J38" s="212">
        <f>SUM(J39:J42)</f>
        <v>6166.8089698482199</v>
      </c>
      <c r="K38" s="212">
        <f>SUM(K39:K42)</f>
        <v>-67059.375460578056</v>
      </c>
      <c r="L38" s="212">
        <f>SUM(L39:L42)</f>
        <v>-5820.4470999587174</v>
      </c>
      <c r="M38" s="16"/>
      <c r="N38" s="212">
        <f t="shared" si="2"/>
        <v>-66713.013590688555</v>
      </c>
      <c r="O38" s="224">
        <f>+E38+N38</f>
        <v>138420.52186494175</v>
      </c>
    </row>
    <row r="39" spans="1:15" outlineLevel="1" thickTop="1" x14ac:dyDescent="0.15">
      <c r="A39" s="25" t="s">
        <v>6</v>
      </c>
      <c r="B39" s="193" t="s">
        <v>2</v>
      </c>
      <c r="C39" s="208">
        <f>'producten &amp; tarieven'!$B$23</f>
        <v>15.326666666666668</v>
      </c>
      <c r="D39" s="282">
        <f>'Eenheden 2019'!D39</f>
        <v>2771.6538863620913</v>
      </c>
      <c r="E39" s="213">
        <f t="shared" si="0"/>
        <v>42480.215231642986</v>
      </c>
      <c r="F39" s="199">
        <f>($D$14/($D$14+$D$19)*F14)+($D$19/($D$14+$D$19)*F19)</f>
        <v>-0.53827161823579961</v>
      </c>
      <c r="G39" s="27">
        <f>(D14/(D14+D19)*G14)+(D19/(D14+D19)*G19)</f>
        <v>-2.6954730294033398E-2</v>
      </c>
      <c r="H39" s="470">
        <f>'T-effecten'!F39</f>
        <v>0.14516896715849595</v>
      </c>
      <c r="J39" s="220">
        <f>H39*E39</f>
        <v>6166.8089698482199</v>
      </c>
      <c r="K39" s="220">
        <f>F39*(E39+J39)</f>
        <v>-26185.312439292778</v>
      </c>
      <c r="L39" s="221">
        <f>G39*(E39+J39+K39)</f>
        <v>-605.44938249237634</v>
      </c>
      <c r="M39" s="16"/>
      <c r="N39" s="30">
        <f t="shared" si="2"/>
        <v>-20623.952851936934</v>
      </c>
      <c r="O39" s="222">
        <f>+E39+N39</f>
        <v>21856.262379706051</v>
      </c>
    </row>
    <row r="40" spans="1:15" ht="13" outlineLevel="1" x14ac:dyDescent="0.15">
      <c r="A40" s="25" t="s">
        <v>7</v>
      </c>
      <c r="B40" s="26" t="s">
        <v>154</v>
      </c>
      <c r="C40" s="208">
        <f>'producten &amp; tarieven'!$B$23</f>
        <v>15.326666666666668</v>
      </c>
      <c r="D40" s="282">
        <f>'Eenheden 2019'!D40</f>
        <v>3212.9972654859589</v>
      </c>
      <c r="E40" s="209">
        <f t="shared" si="0"/>
        <v>49244.538089014801</v>
      </c>
      <c r="F40" s="27">
        <f>(D15/(D15+D20)*F15)+(D20/(D15+D20)*F20)</f>
        <v>-0.2</v>
      </c>
      <c r="G40" s="27">
        <f t="shared" ref="G40:G42" si="12">(D15/(D15+D20)*G15)+(D20/(D15+D20)*G20)</f>
        <v>-0.1</v>
      </c>
      <c r="H40" s="471"/>
      <c r="J40" s="220">
        <f>H40*E40</f>
        <v>0</v>
      </c>
      <c r="K40" s="220">
        <f>F40*(E40+J40)</f>
        <v>-9848.9076178029609</v>
      </c>
      <c r="L40" s="221">
        <f>G40*(E40+J40+K40)</f>
        <v>-3939.5630471211844</v>
      </c>
      <c r="M40" s="16"/>
      <c r="N40" s="30">
        <f t="shared" si="2"/>
        <v>-13788.470664924145</v>
      </c>
      <c r="O40" s="222">
        <f>+E40+N40</f>
        <v>35456.067424090652</v>
      </c>
    </row>
    <row r="41" spans="1:15" ht="13" outlineLevel="1" x14ac:dyDescent="0.15">
      <c r="A41" s="25" t="s">
        <v>8</v>
      </c>
      <c r="B41" s="26" t="s">
        <v>4</v>
      </c>
      <c r="C41" s="208">
        <f>'producten &amp; tarieven'!$B$23</f>
        <v>15.326666666666668</v>
      </c>
      <c r="D41" s="282">
        <f>'Eenheden 2019'!D41</f>
        <v>6001.7095701329872</v>
      </c>
      <c r="E41" s="209">
        <f t="shared" si="0"/>
        <v>91986.202011571586</v>
      </c>
      <c r="F41" s="27">
        <f>(D16/(D16+D21)*F16)+(D21/(D16+D21)*F21)</f>
        <v>-0.3372376817323145</v>
      </c>
      <c r="G41" s="27">
        <f>(D16/(D16+D21)*G16)+(D21/(D16+D21)*G21)</f>
        <v>-2.0920772755895167E-2</v>
      </c>
      <c r="H41" s="471"/>
      <c r="J41" s="220">
        <f>H41*E41</f>
        <v>0</v>
      </c>
      <c r="K41" s="220">
        <f>F41*(E41+J41)</f>
        <v>-31021.213517742766</v>
      </c>
      <c r="L41" s="221">
        <f>G41*(E41+J41+K41)</f>
        <v>-1275.4346703451563</v>
      </c>
      <c r="M41" s="16"/>
      <c r="N41" s="30">
        <f t="shared" si="2"/>
        <v>-32296.648188087922</v>
      </c>
      <c r="O41" s="222">
        <f>+E41+N41</f>
        <v>59689.553823483664</v>
      </c>
    </row>
    <row r="42" spans="1:15" ht="13" outlineLevel="1" x14ac:dyDescent="0.15">
      <c r="A42" s="25" t="s">
        <v>9</v>
      </c>
      <c r="B42" s="26" t="s">
        <v>5</v>
      </c>
      <c r="C42" s="208">
        <f>'producten &amp; tarieven'!$B$23</f>
        <v>15.326666666666668</v>
      </c>
      <c r="D42" s="282">
        <f>'Eenheden 2019'!D42</f>
        <v>1397.318702091485</v>
      </c>
      <c r="E42" s="209">
        <f t="shared" si="0"/>
        <v>21416.237974055493</v>
      </c>
      <c r="F42" s="27">
        <f>(D17/(D17+D22)*F17)+(D22/(D17+D22)*F22)</f>
        <v>-0.13279677791964231</v>
      </c>
      <c r="G42" s="27">
        <f t="shared" si="12"/>
        <v>0</v>
      </c>
      <c r="H42" s="471"/>
      <c r="J42" s="220">
        <f>H42*E42</f>
        <v>0</v>
      </c>
      <c r="K42" s="220">
        <f>F42*(E47+J42)</f>
        <v>-3.9418857395463922</v>
      </c>
      <c r="L42" s="221">
        <f>G42*(E47+J42+K42)</f>
        <v>0</v>
      </c>
      <c r="M42" s="16"/>
      <c r="N42" s="30">
        <f t="shared" si="2"/>
        <v>-3.9418857395463922</v>
      </c>
      <c r="O42" s="222">
        <f>+E47+N42</f>
        <v>25.74170900799859</v>
      </c>
    </row>
    <row r="43" spans="1:15" thickBot="1" x14ac:dyDescent="0.2">
      <c r="A43" s="25">
        <v>9</v>
      </c>
      <c r="B43" s="201" t="s">
        <v>124</v>
      </c>
      <c r="C43" s="211">
        <f>'producten &amp; tarieven'!B24</f>
        <v>24.846666666666668</v>
      </c>
      <c r="D43" s="305">
        <f>'Eenheden 2019'!D43</f>
        <v>11.443051201671892</v>
      </c>
      <c r="E43" s="216">
        <f t="shared" si="0"/>
        <v>284.32167885754097</v>
      </c>
      <c r="F43" s="202"/>
      <c r="G43" s="202"/>
      <c r="H43" s="473"/>
      <c r="J43" s="212">
        <f>SUM(J44:J47)</f>
        <v>8.5473956055334224</v>
      </c>
      <c r="K43" s="212">
        <f>SUM(K44:K47)</f>
        <v>-96.882873707075333</v>
      </c>
      <c r="L43" s="212">
        <f>SUM(L44:L47)</f>
        <v>-8.0673269121309161</v>
      </c>
      <c r="M43" s="16"/>
      <c r="N43" s="229">
        <f t="shared" si="2"/>
        <v>-96.402805013672833</v>
      </c>
      <c r="O43" s="224">
        <f>+E43+N43</f>
        <v>187.91887384386814</v>
      </c>
    </row>
    <row r="44" spans="1:15" outlineLevel="1" thickTop="1" x14ac:dyDescent="0.15">
      <c r="A44" s="25" t="s">
        <v>6</v>
      </c>
      <c r="B44" s="193" t="s">
        <v>2</v>
      </c>
      <c r="C44" s="208">
        <f>'producten &amp; tarieven'!$B$24</f>
        <v>24.846666666666668</v>
      </c>
      <c r="D44" s="282">
        <f>'Eenheden 2019'!D44</f>
        <v>2.369691902759973</v>
      </c>
      <c r="E44" s="213">
        <f t="shared" si="0"/>
        <v>58.878944810576129</v>
      </c>
      <c r="F44" s="199">
        <f>(D14/(D14+D19)*F14)+(D19/(D14+D19)*F19)</f>
        <v>-0.53827161823579961</v>
      </c>
      <c r="G44" s="199">
        <f>(D14/(D14+D19)*G14)+(D19/(D14+D19)*G19)</f>
        <v>-2.6954730294033398E-2</v>
      </c>
      <c r="H44" s="474">
        <f>'T-effecten'!F44</f>
        <v>0.14516896715849595</v>
      </c>
      <c r="J44" s="220">
        <f>H44*E44</f>
        <v>8.5473956055334224</v>
      </c>
      <c r="K44" s="220">
        <f>F44*(E44+J44)</f>
        <v>-36.29368536749719</v>
      </c>
      <c r="L44" s="221">
        <f>G44*(E44+J44+K44)</f>
        <v>-0.83917232017252352</v>
      </c>
      <c r="M44" s="16"/>
      <c r="N44" s="30">
        <f t="shared" si="2"/>
        <v>-28.585462082136289</v>
      </c>
      <c r="O44" s="230">
        <f>+E44+N44</f>
        <v>30.293482728439841</v>
      </c>
    </row>
    <row r="45" spans="1:15" ht="13" outlineLevel="1" x14ac:dyDescent="0.15">
      <c r="A45" s="25" t="s">
        <v>7</v>
      </c>
      <c r="B45" s="26" t="s">
        <v>154</v>
      </c>
      <c r="C45" s="208">
        <f>'producten &amp; tarieven'!$B$24</f>
        <v>24.846666666666668</v>
      </c>
      <c r="D45" s="282">
        <f>'Eenheden 2019'!D45</f>
        <v>2.747028999932402</v>
      </c>
      <c r="E45" s="209">
        <f t="shared" si="0"/>
        <v>68.254513884987091</v>
      </c>
      <c r="F45" s="27">
        <f t="shared" ref="F45:F47" si="13">(D15/(D15+D20)*F15)+(D20/(D15+D20)*F20)</f>
        <v>-0.2</v>
      </c>
      <c r="G45" s="27">
        <f t="shared" ref="G45:G47" si="14">(D15/(D15+D20)*G15)+(D20/(D15+D20)*G20)</f>
        <v>-0.1</v>
      </c>
      <c r="H45" s="471"/>
      <c r="J45" s="220">
        <f t="shared" ref="J45:J47" si="15">H45*E45</f>
        <v>0</v>
      </c>
      <c r="K45" s="220">
        <f t="shared" ref="K45:K46" si="16">F45*(E45+J45)</f>
        <v>-13.65090277699742</v>
      </c>
      <c r="L45" s="221">
        <f t="shared" ref="L45:L47" si="17">G45*(E45+J45+K45)</f>
        <v>-5.4603611107989671</v>
      </c>
      <c r="M45" s="16"/>
      <c r="N45" s="30">
        <f t="shared" si="2"/>
        <v>-19.111263887796387</v>
      </c>
      <c r="O45" s="230">
        <f>+E45+N45</f>
        <v>49.143249997190708</v>
      </c>
    </row>
    <row r="46" spans="1:15" ht="13" outlineLevel="1" x14ac:dyDescent="0.15">
      <c r="A46" s="25" t="s">
        <v>8</v>
      </c>
      <c r="B46" s="26" t="s">
        <v>4</v>
      </c>
      <c r="C46" s="208">
        <f>'producten &amp; tarieven'!$B$24</f>
        <v>24.846666666666668</v>
      </c>
      <c r="D46" s="282">
        <f>'Eenheden 2019'!D46</f>
        <v>5.1313054061480949</v>
      </c>
      <c r="E46" s="209">
        <f t="shared" si="0"/>
        <v>127.49583499142634</v>
      </c>
      <c r="F46" s="27">
        <f>(D16/(D16+D21)*F16)+(D21/(D16+D21)*F21)</f>
        <v>-0.3372376817323145</v>
      </c>
      <c r="G46" s="27">
        <f t="shared" si="14"/>
        <v>-2.0920772755895167E-2</v>
      </c>
      <c r="H46" s="471"/>
      <c r="J46" s="220">
        <f t="shared" si="15"/>
        <v>0</v>
      </c>
      <c r="K46" s="220">
        <f t="shared" si="16"/>
        <v>-42.996399823034324</v>
      </c>
      <c r="L46" s="221">
        <f t="shared" si="17"/>
        <v>-1.7677934811594256</v>
      </c>
      <c r="M46" s="16"/>
      <c r="N46" s="30">
        <f t="shared" si="2"/>
        <v>-44.764193304193746</v>
      </c>
      <c r="O46" s="222">
        <f t="shared" ref="O46:O52" si="18">+E46+N46</f>
        <v>82.731641687232582</v>
      </c>
    </row>
    <row r="47" spans="1:15" ht="13" outlineLevel="1" x14ac:dyDescent="0.15">
      <c r="A47" s="25" t="s">
        <v>9</v>
      </c>
      <c r="B47" s="26" t="s">
        <v>5</v>
      </c>
      <c r="C47" s="208">
        <f>'producten &amp; tarieven'!$B$24</f>
        <v>24.846666666666668</v>
      </c>
      <c r="D47" s="282">
        <f>'Eenheden 2019'!D47</f>
        <v>1.1946711060187141</v>
      </c>
      <c r="E47" s="209">
        <f t="shared" si="0"/>
        <v>29.683594747544984</v>
      </c>
      <c r="F47" s="27">
        <f t="shared" si="13"/>
        <v>-0.13279677791964231</v>
      </c>
      <c r="G47" s="27">
        <f t="shared" si="14"/>
        <v>0</v>
      </c>
      <c r="H47" s="471"/>
      <c r="J47" s="220">
        <f t="shared" si="15"/>
        <v>0</v>
      </c>
      <c r="K47" s="220">
        <f>F47*(E47+J47)</f>
        <v>-3.9418857395463922</v>
      </c>
      <c r="L47" s="221">
        <f t="shared" si="17"/>
        <v>0</v>
      </c>
      <c r="M47" s="16"/>
      <c r="N47" s="30">
        <f t="shared" si="2"/>
        <v>-3.9418857395463922</v>
      </c>
      <c r="O47" s="222">
        <f t="shared" si="18"/>
        <v>25.74170900799859</v>
      </c>
    </row>
    <row r="48" spans="1:15" thickBot="1" x14ac:dyDescent="0.2">
      <c r="A48" s="25">
        <v>10</v>
      </c>
      <c r="B48" s="201" t="s">
        <v>160</v>
      </c>
      <c r="C48" s="211"/>
      <c r="D48" s="207"/>
      <c r="E48" s="216">
        <f t="shared" si="0"/>
        <v>0</v>
      </c>
      <c r="F48" s="202"/>
      <c r="G48" s="202"/>
      <c r="H48" s="473"/>
      <c r="J48" s="228">
        <f>SUM(J49:J52)</f>
        <v>0</v>
      </c>
      <c r="K48" s="228">
        <f t="shared" ref="K48:L48" si="19">SUM(K49:K52)</f>
        <v>0</v>
      </c>
      <c r="L48" s="228">
        <f t="shared" si="19"/>
        <v>0</v>
      </c>
      <c r="M48" s="16"/>
      <c r="N48" s="229">
        <f t="shared" si="2"/>
        <v>0</v>
      </c>
      <c r="O48" s="224">
        <f t="shared" si="18"/>
        <v>0</v>
      </c>
    </row>
    <row r="49" spans="1:45" outlineLevel="1" thickTop="1" x14ac:dyDescent="0.15">
      <c r="A49" s="25" t="s">
        <v>6</v>
      </c>
      <c r="B49" s="193" t="s">
        <v>2</v>
      </c>
      <c r="C49" s="214"/>
      <c r="D49" s="215"/>
      <c r="E49" s="213">
        <f t="shared" si="0"/>
        <v>0</v>
      </c>
      <c r="F49" s="142">
        <f>'T-effecten'!B49</f>
        <v>0</v>
      </c>
      <c r="G49" s="142">
        <f>'T-effecten'!C49</f>
        <v>0</v>
      </c>
      <c r="H49" s="475">
        <f>'T-effecten'!F49</f>
        <v>0.14516896715849595</v>
      </c>
      <c r="J49" s="220">
        <f>H49*E49</f>
        <v>0</v>
      </c>
      <c r="K49" s="220">
        <f t="shared" ref="K49:K52" si="20">F49*(E49+J49)</f>
        <v>0</v>
      </c>
      <c r="L49" s="221">
        <f t="shared" ref="L49:L52" si="21">G49*(E49+J49+K49)</f>
        <v>0</v>
      </c>
      <c r="M49" s="16"/>
      <c r="N49" s="30">
        <f t="shared" si="2"/>
        <v>0</v>
      </c>
      <c r="O49" s="230">
        <f t="shared" si="18"/>
        <v>0</v>
      </c>
    </row>
    <row r="50" spans="1:45" ht="13" outlineLevel="1" x14ac:dyDescent="0.15">
      <c r="A50" s="25" t="s">
        <v>7</v>
      </c>
      <c r="B50" s="26" t="s">
        <v>154</v>
      </c>
      <c r="C50" s="214"/>
      <c r="D50" s="215"/>
      <c r="E50" s="209">
        <f t="shared" si="0"/>
        <v>0</v>
      </c>
      <c r="F50" s="142">
        <f>'T-effecten'!B50</f>
        <v>0</v>
      </c>
      <c r="G50" s="142">
        <f>'T-effecten'!C50</f>
        <v>0</v>
      </c>
      <c r="H50" s="476"/>
      <c r="J50" s="220">
        <f t="shared" ref="J50:J51" si="22">H50*E50</f>
        <v>0</v>
      </c>
      <c r="K50" s="220">
        <f t="shared" si="20"/>
        <v>0</v>
      </c>
      <c r="L50" s="221">
        <f t="shared" si="21"/>
        <v>0</v>
      </c>
      <c r="M50" s="16"/>
      <c r="N50" s="30">
        <f t="shared" si="2"/>
        <v>0</v>
      </c>
      <c r="O50" s="222">
        <f t="shared" si="18"/>
        <v>0</v>
      </c>
    </row>
    <row r="51" spans="1:45" ht="13" outlineLevel="1" x14ac:dyDescent="0.15">
      <c r="A51" s="25" t="s">
        <v>8</v>
      </c>
      <c r="B51" s="26" t="s">
        <v>4</v>
      </c>
      <c r="C51" s="214"/>
      <c r="D51" s="215"/>
      <c r="E51" s="209">
        <f t="shared" si="0"/>
        <v>0</v>
      </c>
      <c r="F51" s="142">
        <f>'T-effecten'!B51</f>
        <v>0</v>
      </c>
      <c r="G51" s="142">
        <f>'T-effecten'!C51</f>
        <v>0</v>
      </c>
      <c r="H51" s="476"/>
      <c r="J51" s="220">
        <f t="shared" si="22"/>
        <v>0</v>
      </c>
      <c r="K51" s="220">
        <f t="shared" si="20"/>
        <v>0</v>
      </c>
      <c r="L51" s="221">
        <f t="shared" si="21"/>
        <v>0</v>
      </c>
      <c r="M51" s="16"/>
      <c r="N51" s="30">
        <f t="shared" si="2"/>
        <v>0</v>
      </c>
      <c r="O51" s="222">
        <f t="shared" si="18"/>
        <v>0</v>
      </c>
    </row>
    <row r="52" spans="1:45" outlineLevel="1" thickBot="1" x14ac:dyDescent="0.2">
      <c r="A52" s="25" t="s">
        <v>9</v>
      </c>
      <c r="B52" s="26" t="s">
        <v>5</v>
      </c>
      <c r="C52" s="214"/>
      <c r="D52" s="215"/>
      <c r="E52" s="209">
        <f t="shared" si="0"/>
        <v>0</v>
      </c>
      <c r="F52" s="142">
        <f>'T-effecten'!B52</f>
        <v>0</v>
      </c>
      <c r="G52" s="142">
        <f>'T-effecten'!C52</f>
        <v>0</v>
      </c>
      <c r="H52" s="476"/>
      <c r="J52" s="220">
        <f>H52*E52</f>
        <v>0</v>
      </c>
      <c r="K52" s="220">
        <f t="shared" si="20"/>
        <v>0</v>
      </c>
      <c r="L52" s="221">
        <f t="shared" si="21"/>
        <v>0</v>
      </c>
      <c r="M52" s="16"/>
      <c r="N52" s="30">
        <f t="shared" si="2"/>
        <v>0</v>
      </c>
      <c r="O52" s="222">
        <f t="shared" si="18"/>
        <v>0</v>
      </c>
    </row>
    <row r="53" spans="1:45" s="232" customFormat="1" ht="16" thickTop="1" thickBot="1" x14ac:dyDescent="0.2">
      <c r="A53" s="15"/>
      <c r="B53" s="291" t="s">
        <v>164</v>
      </c>
      <c r="C53" s="276"/>
      <c r="D53" s="292"/>
      <c r="E53" s="292">
        <f>E3+E8+E13+E18+E23+E28+E33+E38+E43+E48</f>
        <v>2266745.4950702088</v>
      </c>
      <c r="F53" s="293"/>
      <c r="G53" s="293"/>
      <c r="H53" s="293"/>
      <c r="I53" s="275"/>
      <c r="J53" s="294">
        <f>J3+J8+J13+J18+J23+J28+J33+J38+J43+J48</f>
        <v>79145.364251492458</v>
      </c>
      <c r="K53" s="295">
        <f>K3+K8+K13+K18+K23+K28+K33+K38+K43+K48</f>
        <v>-649382.11581008136</v>
      </c>
      <c r="L53" s="294">
        <f>L3+L8+L13+L18+L23+L28+L33+L38+L43+L48</f>
        <v>-82063.904272982807</v>
      </c>
      <c r="M53" s="296"/>
      <c r="N53" s="294">
        <f>N3+N8+N13+N18+N23+N28+N33+N38+N43+N48</f>
        <v>-652300.65583157178</v>
      </c>
      <c r="O53" s="297">
        <f>O3+O8+O13+O18+O23+O28+O33+O38+O43+O48</f>
        <v>1614444.8392386376</v>
      </c>
      <c r="P53" s="231"/>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row>
    <row r="54" spans="1:45" s="4" customFormat="1" ht="14.5" customHeight="1" thickTop="1" x14ac:dyDescent="0.2">
      <c r="A54" s="15"/>
      <c r="B54" s="16"/>
      <c r="C54" s="203" t="s">
        <v>155</v>
      </c>
      <c r="D54" s="203"/>
      <c r="E54" s="298">
        <v>2106789.15</v>
      </c>
      <c r="F54" s="16"/>
      <c r="H54" s="35"/>
      <c r="I54" s="35"/>
      <c r="J54" s="189"/>
      <c r="K54" s="189"/>
      <c r="L54" s="190"/>
      <c r="M54" s="19"/>
      <c r="N54" s="191"/>
      <c r="O54" s="192"/>
      <c r="R54" s="5"/>
    </row>
    <row r="55" spans="1:45" s="4" customFormat="1" ht="15" customHeight="1" outlineLevel="1" x14ac:dyDescent="0.15">
      <c r="A55" s="16"/>
      <c r="B55" s="16"/>
      <c r="C55" s="203" t="s">
        <v>156</v>
      </c>
      <c r="D55" s="203"/>
      <c r="E55" s="301">
        <f>(E53-E54)/E54</f>
        <v>7.5924230514576599E-2</v>
      </c>
      <c r="F55" s="16"/>
      <c r="G55" s="16"/>
      <c r="H55" s="16"/>
      <c r="I55" s="16"/>
      <c r="J55" s="16"/>
      <c r="K55" s="16"/>
      <c r="L55" s="16"/>
      <c r="M55" s="19"/>
      <c r="N55" s="16"/>
      <c r="O55" s="16"/>
    </row>
    <row r="56" spans="1:45" s="4" customFormat="1" ht="14.5" customHeight="1" outlineLevel="1" x14ac:dyDescent="0.15">
      <c r="A56" s="16"/>
      <c r="B56" s="16"/>
      <c r="C56" s="299"/>
      <c r="D56" s="299"/>
      <c r="E56" s="300"/>
      <c r="F56" s="16"/>
      <c r="G56" s="16"/>
      <c r="H56" s="16"/>
      <c r="I56" s="16"/>
      <c r="J56" s="16"/>
      <c r="K56" s="16"/>
      <c r="L56" s="16"/>
      <c r="M56" s="19"/>
      <c r="N56" s="16"/>
      <c r="O56" s="16"/>
    </row>
    <row r="57" spans="1:45" s="4" customFormat="1" ht="24.75" customHeight="1" outlineLevel="1" x14ac:dyDescent="0.25">
      <c r="A57" s="16"/>
      <c r="B57" s="37" t="s">
        <v>25</v>
      </c>
      <c r="C57" s="16"/>
      <c r="D57" s="16"/>
      <c r="E57" s="38"/>
      <c r="F57" s="16"/>
      <c r="G57" s="16"/>
      <c r="H57" s="16"/>
      <c r="I57" s="16"/>
      <c r="J57" s="16"/>
      <c r="K57" s="60"/>
      <c r="L57" s="38"/>
      <c r="M57" s="19"/>
      <c r="N57" s="60"/>
      <c r="O57" s="16"/>
    </row>
    <row r="58" spans="1:45" s="1" customFormat="1" ht="16" thickBot="1" x14ac:dyDescent="0.2">
      <c r="A58" s="22"/>
      <c r="B58" s="526" t="s">
        <v>21</v>
      </c>
      <c r="C58" s="526"/>
      <c r="D58" s="526"/>
      <c r="E58" s="23" t="s">
        <v>98</v>
      </c>
      <c r="F58" s="523" t="s">
        <v>14</v>
      </c>
      <c r="G58" s="524"/>
      <c r="H58" s="525"/>
      <c r="I58" s="39"/>
      <c r="J58" s="16"/>
      <c r="K58" s="38"/>
      <c r="L58" s="38"/>
      <c r="M58" s="19"/>
      <c r="N58" s="40" t="s">
        <v>22</v>
      </c>
      <c r="O58" s="16"/>
      <c r="P58" s="4"/>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row>
    <row r="59" spans="1:45" ht="15" outlineLevel="1" thickTop="1" x14ac:dyDescent="0.15">
      <c r="A59" s="25" t="s">
        <v>6</v>
      </c>
      <c r="B59" s="527" t="s">
        <v>2</v>
      </c>
      <c r="C59" s="527"/>
      <c r="D59" s="527"/>
      <c r="E59" s="41">
        <f>+E80</f>
        <v>545194.78784388746</v>
      </c>
      <c r="F59" s="521">
        <f>Investeringen!D2</f>
        <v>0.09</v>
      </c>
      <c r="G59" s="521"/>
      <c r="H59" s="521"/>
      <c r="J59" s="16"/>
      <c r="K59" s="38"/>
      <c r="L59" s="38"/>
      <c r="N59" s="30">
        <f>+F59*E59</f>
        <v>49067.530905949869</v>
      </c>
      <c r="O59" s="16"/>
      <c r="P59" s="4"/>
    </row>
    <row r="60" spans="1:45" outlineLevel="1" x14ac:dyDescent="0.15">
      <c r="A60" s="25" t="s">
        <v>7</v>
      </c>
      <c r="B60" s="528" t="s">
        <v>3</v>
      </c>
      <c r="C60" s="528"/>
      <c r="D60" s="528"/>
      <c r="E60" s="12">
        <f>+E95</f>
        <v>813133.11070539791</v>
      </c>
      <c r="F60" s="521">
        <f>Investeringen!D3</f>
        <v>0.05</v>
      </c>
      <c r="G60" s="521"/>
      <c r="H60" s="521"/>
      <c r="J60" s="16"/>
      <c r="K60" s="16"/>
      <c r="L60" s="38"/>
      <c r="N60" s="30">
        <f>+F60*E60</f>
        <v>40656.6555352699</v>
      </c>
      <c r="O60" s="16"/>
      <c r="P60" s="4"/>
    </row>
    <row r="61" spans="1:45" outlineLevel="1" x14ac:dyDescent="0.15">
      <c r="A61" s="25" t="s">
        <v>8</v>
      </c>
      <c r="B61" s="528" t="s">
        <v>4</v>
      </c>
      <c r="C61" s="528"/>
      <c r="D61" s="528"/>
      <c r="E61" s="12">
        <f>E110</f>
        <v>716564.65170912014</v>
      </c>
      <c r="F61" s="521">
        <f>Investeringen!D4</f>
        <v>0.05</v>
      </c>
      <c r="G61" s="521"/>
      <c r="H61" s="521"/>
      <c r="J61" s="16"/>
      <c r="K61" s="16"/>
      <c r="L61" s="38"/>
      <c r="N61" s="30">
        <f>+F61*E61</f>
        <v>35828.232585456011</v>
      </c>
      <c r="O61" s="16"/>
      <c r="P61" s="4"/>
    </row>
    <row r="62" spans="1:45" outlineLevel="1" x14ac:dyDescent="0.15">
      <c r="A62" s="25" t="s">
        <v>9</v>
      </c>
      <c r="B62" s="528" t="s">
        <v>5</v>
      </c>
      <c r="C62" s="528"/>
      <c r="D62" s="528"/>
      <c r="E62" s="12">
        <f>E125</f>
        <v>191822.38650194037</v>
      </c>
      <c r="F62" s="521">
        <f>Investeringen!D5</f>
        <v>0.02</v>
      </c>
      <c r="G62" s="521"/>
      <c r="H62" s="521"/>
      <c r="J62" s="16"/>
      <c r="K62" s="16"/>
      <c r="L62" s="16"/>
      <c r="N62" s="30">
        <f>+F62*E62</f>
        <v>3836.4477300388075</v>
      </c>
      <c r="O62" s="16"/>
      <c r="P62" s="4"/>
    </row>
    <row r="63" spans="1:45" outlineLevel="1" x14ac:dyDescent="0.15">
      <c r="A63" s="25"/>
      <c r="B63" s="520" t="s">
        <v>13</v>
      </c>
      <c r="C63" s="520"/>
      <c r="D63" s="520"/>
      <c r="E63" s="13">
        <f>SUM(E59:E62)</f>
        <v>2266714.9367603459</v>
      </c>
      <c r="F63" s="521">
        <f>Investeringen!D6</f>
        <v>0.05</v>
      </c>
      <c r="G63" s="521"/>
      <c r="H63" s="521"/>
      <c r="I63" s="274"/>
      <c r="J63" s="42"/>
      <c r="K63" s="42"/>
      <c r="L63" s="42"/>
      <c r="N63" s="43">
        <f>+F63*E63</f>
        <v>113335.74683801731</v>
      </c>
      <c r="O63" s="38"/>
      <c r="P63" s="4"/>
    </row>
    <row r="64" spans="1:45" s="4" customFormat="1" ht="22" thickBot="1" x14ac:dyDescent="0.3">
      <c r="A64" s="15"/>
      <c r="B64" s="44" t="s">
        <v>161</v>
      </c>
      <c r="C64" s="46"/>
      <c r="D64" s="46"/>
      <c r="E64" s="36"/>
      <c r="F64" s="45"/>
      <c r="G64" s="45"/>
      <c r="H64" s="45"/>
      <c r="I64" s="272"/>
      <c r="J64" s="273"/>
      <c r="K64" s="273"/>
      <c r="L64" s="273"/>
      <c r="M64" s="19"/>
      <c r="N64" s="11">
        <f>SUM(N59:N63)</f>
        <v>242724.6135947319</v>
      </c>
      <c r="O64" s="16"/>
    </row>
    <row r="65" spans="1:45" s="4" customFormat="1" ht="22" thickTop="1" x14ac:dyDescent="0.25">
      <c r="A65" s="15"/>
      <c r="B65" s="303"/>
      <c r="C65" s="42"/>
      <c r="D65" s="42"/>
      <c r="E65" s="192"/>
      <c r="F65" s="304"/>
      <c r="G65" s="304"/>
      <c r="H65" s="304"/>
      <c r="I65" s="42"/>
      <c r="J65" s="47"/>
      <c r="K65" s="47"/>
      <c r="L65" s="47"/>
      <c r="M65" s="19"/>
      <c r="N65" s="191"/>
      <c r="O65" s="16"/>
    </row>
    <row r="66" spans="1:45" s="6" customFormat="1" x14ac:dyDescent="0.15">
      <c r="A66" s="49"/>
      <c r="B66" s="50"/>
      <c r="C66" s="50"/>
      <c r="D66" s="50"/>
      <c r="E66" s="51"/>
      <c r="F66" s="50"/>
      <c r="G66" s="50"/>
      <c r="H66" s="50"/>
      <c r="I66" s="50"/>
      <c r="J66" s="50"/>
      <c r="K66" s="50"/>
      <c r="L66" s="50"/>
      <c r="M66" s="19"/>
      <c r="N66" s="52"/>
      <c r="O66" s="16"/>
      <c r="P66" s="4"/>
    </row>
    <row r="67" spans="1:45" s="6" customFormat="1" x14ac:dyDescent="0.15">
      <c r="A67" s="49"/>
      <c r="B67" s="50"/>
      <c r="C67" s="50"/>
      <c r="D67" s="50"/>
      <c r="E67" s="51"/>
      <c r="F67" s="50"/>
      <c r="G67" s="50"/>
      <c r="H67" s="50"/>
      <c r="I67" s="50"/>
      <c r="J67" s="50"/>
      <c r="K67" s="50"/>
      <c r="L67" s="50"/>
      <c r="M67" s="19"/>
      <c r="N67" s="52"/>
      <c r="O67" s="16"/>
      <c r="P67" s="4"/>
    </row>
    <row r="68" spans="1:45" s="4" customFormat="1" ht="16" x14ac:dyDescent="0.2">
      <c r="A68" s="15" t="s">
        <v>6</v>
      </c>
      <c r="B68" s="53" t="str">
        <f>+B4</f>
        <v>Ouderen met somatische of psychogeriatrische problematiek (SOM 65+/PG 65+)</v>
      </c>
      <c r="C68" s="16"/>
      <c r="D68" s="16"/>
      <c r="E68" s="17"/>
      <c r="F68" s="16"/>
      <c r="G68" s="16"/>
      <c r="H68" s="16"/>
      <c r="I68" s="16"/>
      <c r="J68" s="54"/>
      <c r="K68" s="54"/>
      <c r="L68" s="54"/>
      <c r="M68" s="19"/>
      <c r="N68" s="54"/>
      <c r="O68" s="16"/>
    </row>
    <row r="69" spans="1:45" s="1" customFormat="1" ht="62.25" customHeight="1" thickBot="1" x14ac:dyDescent="0.2">
      <c r="A69" s="22"/>
      <c r="B69" s="217" t="s">
        <v>0</v>
      </c>
      <c r="C69" s="217" t="s">
        <v>26</v>
      </c>
      <c r="D69" s="217" t="s">
        <v>20</v>
      </c>
      <c r="E69" s="217" t="s">
        <v>216</v>
      </c>
      <c r="F69" s="217" t="s">
        <v>11</v>
      </c>
      <c r="G69" s="248" t="s">
        <v>12</v>
      </c>
      <c r="H69" s="217" t="s">
        <v>19</v>
      </c>
      <c r="I69" s="253"/>
      <c r="J69" s="249" t="s">
        <v>18</v>
      </c>
      <c r="K69" s="249" t="s">
        <v>24</v>
      </c>
      <c r="L69" s="219" t="s">
        <v>15</v>
      </c>
      <c r="M69" s="16"/>
      <c r="N69" s="217" t="s">
        <v>16</v>
      </c>
      <c r="O69" s="217" t="s">
        <v>17</v>
      </c>
      <c r="P69" s="5"/>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row>
    <row r="70" spans="1:45" s="4" customFormat="1" thickTop="1" x14ac:dyDescent="0.15">
      <c r="A70" s="15"/>
      <c r="B70" s="243" t="str">
        <f>+B3</f>
        <v>Individuele begeleiding basis</v>
      </c>
      <c r="C70" s="244">
        <f>C3</f>
        <v>54.161260653728334</v>
      </c>
      <c r="D70" s="245">
        <f>D4</f>
        <v>3706.819382428755</v>
      </c>
      <c r="E70" s="246">
        <f>C70*D70</f>
        <v>200766.0107680161</v>
      </c>
      <c r="F70" s="247">
        <f>+F4</f>
        <v>-0.5</v>
      </c>
      <c r="G70" s="247">
        <f>+G4</f>
        <v>0</v>
      </c>
      <c r="H70" s="264">
        <f>+H4</f>
        <v>0.14516896715849595</v>
      </c>
      <c r="I70" s="254"/>
      <c r="J70" s="256">
        <f>+J4</f>
        <v>29144.994423724373</v>
      </c>
      <c r="K70" s="257">
        <f>+K4</f>
        <v>-114955.50259587023</v>
      </c>
      <c r="L70" s="257">
        <f>+L4</f>
        <v>0</v>
      </c>
      <c r="M70" s="16"/>
      <c r="N70" s="30">
        <f>SUM(J70:L70)</f>
        <v>-85810.508172145855</v>
      </c>
      <c r="O70" s="242">
        <f>N70+E70</f>
        <v>114955.50259587025</v>
      </c>
      <c r="P70" s="5"/>
    </row>
    <row r="71" spans="1:45" s="4" customFormat="1" ht="13" x14ac:dyDescent="0.15">
      <c r="A71" s="15"/>
      <c r="B71" s="233" t="str">
        <f>+B8</f>
        <v>Individuele begeleiding plus</v>
      </c>
      <c r="C71" s="234">
        <f>C8</f>
        <v>67.462938501976552</v>
      </c>
      <c r="D71" s="236">
        <f>D9</f>
        <v>2064.5739123456069</v>
      </c>
      <c r="E71" s="237">
        <f t="shared" ref="E71:E79" si="23">C71*D71</f>
        <v>139282.22288135681</v>
      </c>
      <c r="F71" s="28">
        <f>+F9</f>
        <v>-0.2</v>
      </c>
      <c r="G71" s="28">
        <f>+G9</f>
        <v>-0.1</v>
      </c>
      <c r="H71" s="251">
        <f>+H9</f>
        <v>0.14516896715849595</v>
      </c>
      <c r="I71" s="254"/>
      <c r="J71" s="256">
        <f>+J9</f>
        <v>20219.456439226</v>
      </c>
      <c r="K71" s="257">
        <f>+K9</f>
        <v>-31900.335864116561</v>
      </c>
      <c r="L71" s="257">
        <f>+L9</f>
        <v>-12760.134345646626</v>
      </c>
      <c r="M71" s="16"/>
      <c r="N71" s="30">
        <f t="shared" ref="N71:N79" si="24">SUM(J71:L71)</f>
        <v>-24441.013770537189</v>
      </c>
      <c r="O71" s="242">
        <f t="shared" ref="O71:O78" si="25">N71+E71</f>
        <v>114841.20911081962</v>
      </c>
      <c r="P71" s="5"/>
    </row>
    <row r="72" spans="1:45" s="4" customFormat="1" ht="13" x14ac:dyDescent="0.15">
      <c r="A72" s="15"/>
      <c r="B72" s="233" t="str">
        <f>+B13</f>
        <v>Dagbesteding basis</v>
      </c>
      <c r="C72" s="234">
        <f>C13</f>
        <v>36.10395767297338</v>
      </c>
      <c r="D72" s="236">
        <f>D14</f>
        <v>2923.514249852833</v>
      </c>
      <c r="E72" s="237">
        <f t="shared" si="23"/>
        <v>105550.4347330212</v>
      </c>
      <c r="F72" s="28">
        <f>+F14</f>
        <v>-0.7</v>
      </c>
      <c r="G72" s="28">
        <f>+G14</f>
        <v>0</v>
      </c>
      <c r="H72" s="251">
        <f>+H14</f>
        <v>0.14516896715849595</v>
      </c>
      <c r="I72" s="254"/>
      <c r="J72" s="256">
        <f>+J14</f>
        <v>15322.647593322925</v>
      </c>
      <c r="K72" s="257">
        <f>+K14</f>
        <v>-84611.15762844088</v>
      </c>
      <c r="L72" s="257">
        <f>+L14</f>
        <v>0</v>
      </c>
      <c r="M72" s="16"/>
      <c r="N72" s="30">
        <f t="shared" si="24"/>
        <v>-69288.510035117957</v>
      </c>
      <c r="O72" s="242">
        <f t="shared" si="25"/>
        <v>36261.924697903247</v>
      </c>
      <c r="P72" s="5"/>
    </row>
    <row r="73" spans="1:45" s="4" customFormat="1" ht="13" x14ac:dyDescent="0.15">
      <c r="A73" s="15"/>
      <c r="B73" s="233" t="str">
        <f>+B18</f>
        <v>Dagbesteding plus</v>
      </c>
      <c r="C73" s="234">
        <f>C18</f>
        <v>48.858878642934805</v>
      </c>
      <c r="D73" s="236">
        <f>D19</f>
        <v>1078.8178130186245</v>
      </c>
      <c r="E73" s="237">
        <f t="shared" si="23"/>
        <v>52709.828604113311</v>
      </c>
      <c r="F73" s="28">
        <f>F19</f>
        <v>-0.1</v>
      </c>
      <c r="G73" s="28">
        <f>G19</f>
        <v>-0.1</v>
      </c>
      <c r="H73" s="251">
        <f>H19</f>
        <v>0.14516896715849595</v>
      </c>
      <c r="I73" s="254"/>
      <c r="J73" s="256">
        <f>J19</f>
        <v>7651.8313775604756</v>
      </c>
      <c r="K73" s="257">
        <f>K19</f>
        <v>-6036.1659981673793</v>
      </c>
      <c r="L73" s="257">
        <f>L19</f>
        <v>-5432.5493983506412</v>
      </c>
      <c r="M73" s="16"/>
      <c r="N73" s="30">
        <f t="shared" si="24"/>
        <v>-3816.8840189575449</v>
      </c>
      <c r="O73" s="242">
        <f t="shared" si="25"/>
        <v>48892.944585155768</v>
      </c>
      <c r="P73" s="5"/>
    </row>
    <row r="74" spans="1:45" s="4" customFormat="1" ht="13" x14ac:dyDescent="0.15">
      <c r="A74" s="15"/>
      <c r="B74" s="233" t="str">
        <f>+B23</f>
        <v>Persoonlijke verzorging</v>
      </c>
      <c r="C74" s="234">
        <f>C23</f>
        <v>44.180909502664626</v>
      </c>
      <c r="D74" s="236">
        <f>D24</f>
        <v>0</v>
      </c>
      <c r="E74" s="237">
        <f t="shared" si="23"/>
        <v>0</v>
      </c>
      <c r="F74" s="28">
        <f>+F24</f>
        <v>0</v>
      </c>
      <c r="G74" s="28">
        <f>+G24</f>
        <v>0</v>
      </c>
      <c r="H74" s="251">
        <f>+H24</f>
        <v>0.14516896715849595</v>
      </c>
      <c r="I74" s="254"/>
      <c r="J74" s="256">
        <f>+J24</f>
        <v>0</v>
      </c>
      <c r="K74" s="257">
        <f>+K24</f>
        <v>0</v>
      </c>
      <c r="L74" s="257">
        <f>+L24</f>
        <v>0</v>
      </c>
      <c r="M74" s="16"/>
      <c r="N74" s="30">
        <f t="shared" si="24"/>
        <v>0</v>
      </c>
      <c r="O74" s="242">
        <f t="shared" si="25"/>
        <v>0</v>
      </c>
      <c r="P74" s="5"/>
    </row>
    <row r="75" spans="1:45" s="4" customFormat="1" ht="13" x14ac:dyDescent="0.15">
      <c r="A75" s="15"/>
      <c r="B75" s="233" t="s">
        <v>157</v>
      </c>
      <c r="C75" s="234">
        <f>C28</f>
        <v>53.92</v>
      </c>
      <c r="D75" s="236">
        <f>D29</f>
        <v>0</v>
      </c>
      <c r="E75" s="237">
        <f t="shared" si="23"/>
        <v>0</v>
      </c>
      <c r="F75" s="28">
        <f>F29</f>
        <v>0</v>
      </c>
      <c r="G75" s="28">
        <f>G29</f>
        <v>0</v>
      </c>
      <c r="H75" s="251">
        <f>H29</f>
        <v>0.14516896715849595</v>
      </c>
      <c r="I75" s="254"/>
      <c r="J75" s="256">
        <f>J29</f>
        <v>0</v>
      </c>
      <c r="K75" s="257">
        <f>K29</f>
        <v>0</v>
      </c>
      <c r="L75" s="257">
        <f>L29</f>
        <v>0</v>
      </c>
      <c r="M75" s="16"/>
      <c r="N75" s="30">
        <f t="shared" si="24"/>
        <v>0</v>
      </c>
      <c r="O75" s="242">
        <f t="shared" si="25"/>
        <v>0</v>
      </c>
      <c r="P75" s="5"/>
    </row>
    <row r="76" spans="1:45" s="4" customFormat="1" ht="13" x14ac:dyDescent="0.15">
      <c r="A76" s="15"/>
      <c r="B76" s="233" t="s">
        <v>158</v>
      </c>
      <c r="C76" s="234">
        <f>C33</f>
        <v>220.37878605783692</v>
      </c>
      <c r="D76" s="236">
        <f>D34</f>
        <v>19.726021540864309</v>
      </c>
      <c r="E76" s="237">
        <f t="shared" si="23"/>
        <v>4347.1966809264186</v>
      </c>
      <c r="F76" s="28">
        <f>F34</f>
        <v>0</v>
      </c>
      <c r="G76" s="28">
        <f>G34</f>
        <v>0</v>
      </c>
      <c r="H76" s="251">
        <f>H34</f>
        <v>0.14516896715849595</v>
      </c>
      <c r="I76" s="254"/>
      <c r="J76" s="256">
        <f>J34</f>
        <v>631.0780522049298</v>
      </c>
      <c r="K76" s="257">
        <f>K34</f>
        <v>0</v>
      </c>
      <c r="L76" s="257">
        <f>L34</f>
        <v>0</v>
      </c>
      <c r="M76" s="16"/>
      <c r="N76" s="30">
        <f t="shared" si="24"/>
        <v>631.0780522049298</v>
      </c>
      <c r="O76" s="242">
        <f t="shared" si="25"/>
        <v>4978.2747331313485</v>
      </c>
      <c r="P76" s="5"/>
    </row>
    <row r="77" spans="1:45" ht="13" x14ac:dyDescent="0.15">
      <c r="B77" s="225" t="s">
        <v>125</v>
      </c>
      <c r="C77" s="235">
        <f>C38</f>
        <v>15.326666666666668</v>
      </c>
      <c r="D77" s="236">
        <f>D39</f>
        <v>2771.6538863620913</v>
      </c>
      <c r="E77" s="237">
        <f t="shared" si="23"/>
        <v>42480.215231642986</v>
      </c>
      <c r="F77" s="239">
        <f>F39</f>
        <v>-0.53827161823579961</v>
      </c>
      <c r="G77" s="239">
        <f>G39</f>
        <v>-2.6954730294033398E-2</v>
      </c>
      <c r="H77" s="252">
        <f>H39</f>
        <v>0.14516896715849595</v>
      </c>
      <c r="I77" s="255"/>
      <c r="J77" s="258">
        <f>J39</f>
        <v>6166.8089698482199</v>
      </c>
      <c r="K77" s="259">
        <f>K39</f>
        <v>-26185.312439292778</v>
      </c>
      <c r="L77" s="259">
        <f>L39</f>
        <v>-605.44938249237634</v>
      </c>
      <c r="M77" s="16"/>
      <c r="N77" s="30">
        <f t="shared" si="24"/>
        <v>-20623.952851936934</v>
      </c>
      <c r="O77" s="242">
        <f t="shared" si="25"/>
        <v>21856.262379706051</v>
      </c>
    </row>
    <row r="78" spans="1:45" ht="13" x14ac:dyDescent="0.15">
      <c r="B78" s="225" t="s">
        <v>124</v>
      </c>
      <c r="C78" s="235">
        <f>C43</f>
        <v>24.846666666666668</v>
      </c>
      <c r="D78" s="236">
        <f>D44</f>
        <v>2.369691902759973</v>
      </c>
      <c r="E78" s="237">
        <f t="shared" si="23"/>
        <v>58.878944810576129</v>
      </c>
      <c r="F78" s="239">
        <f>F44</f>
        <v>-0.53827161823579961</v>
      </c>
      <c r="G78" s="239">
        <f>G44</f>
        <v>-2.6954730294033398E-2</v>
      </c>
      <c r="H78" s="252">
        <f>H44</f>
        <v>0.14516896715849595</v>
      </c>
      <c r="I78" s="255"/>
      <c r="J78" s="258">
        <f>J44</f>
        <v>8.5473956055334224</v>
      </c>
      <c r="K78" s="259">
        <f>K44</f>
        <v>-36.29368536749719</v>
      </c>
      <c r="L78" s="259">
        <f>L44</f>
        <v>-0.83917232017252352</v>
      </c>
      <c r="M78" s="16"/>
      <c r="N78" s="30">
        <f t="shared" si="24"/>
        <v>-28.585462082136289</v>
      </c>
      <c r="O78" s="242">
        <f t="shared" si="25"/>
        <v>30.293482728439841</v>
      </c>
    </row>
    <row r="79" spans="1:45" ht="13" x14ac:dyDescent="0.15">
      <c r="B79" s="225" t="s">
        <v>160</v>
      </c>
      <c r="C79" s="235">
        <f>C48</f>
        <v>0</v>
      </c>
      <c r="D79" s="236">
        <f>D49</f>
        <v>0</v>
      </c>
      <c r="E79" s="237">
        <f t="shared" si="23"/>
        <v>0</v>
      </c>
      <c r="F79" s="239">
        <f>F49</f>
        <v>0</v>
      </c>
      <c r="G79" s="239">
        <f>G49</f>
        <v>0</v>
      </c>
      <c r="H79" s="252">
        <f>H49</f>
        <v>0.14516896715849595</v>
      </c>
      <c r="I79" s="255"/>
      <c r="J79" s="258">
        <f>J49</f>
        <v>0</v>
      </c>
      <c r="K79" s="259">
        <f>K49</f>
        <v>0</v>
      </c>
      <c r="L79" s="259">
        <f>L49</f>
        <v>0</v>
      </c>
      <c r="M79" s="16"/>
      <c r="N79" s="30">
        <f t="shared" si="24"/>
        <v>0</v>
      </c>
      <c r="O79" s="242">
        <f>N79+E79</f>
        <v>0</v>
      </c>
    </row>
    <row r="80" spans="1:45" s="3" customFormat="1" thickBot="1" x14ac:dyDescent="0.2">
      <c r="A80" s="15"/>
      <c r="B80" s="250"/>
      <c r="C80" s="240"/>
      <c r="D80" s="238"/>
      <c r="E80" s="241">
        <f>SUM(E70:E79)</f>
        <v>545194.78784388746</v>
      </c>
      <c r="F80" s="20"/>
      <c r="G80" s="20"/>
      <c r="H80" s="271"/>
      <c r="I80" s="20"/>
      <c r="J80" s="223">
        <f>SUM(J70:J79)</f>
        <v>79145.364251492458</v>
      </c>
      <c r="K80" s="223">
        <f>SUM(K70:K79)</f>
        <v>-263724.76821125532</v>
      </c>
      <c r="L80" s="223">
        <f>SUM(L70:L79)</f>
        <v>-18798.972298809815</v>
      </c>
      <c r="M80" s="20"/>
      <c r="N80" s="33">
        <f>SUM(J80:L80)</f>
        <v>-203378.37625857268</v>
      </c>
      <c r="O80" s="224">
        <f>SUM(O70:O79)</f>
        <v>341816.41158531466</v>
      </c>
      <c r="P80" s="231"/>
    </row>
    <row r="81" spans="1:45" s="4" customFormat="1" ht="15" thickTop="1" x14ac:dyDescent="0.15">
      <c r="A81" s="15"/>
      <c r="B81" s="16"/>
      <c r="C81" s="16"/>
      <c r="D81" s="16"/>
      <c r="E81" s="17"/>
      <c r="F81" s="16"/>
      <c r="G81" s="16"/>
      <c r="H81" s="16"/>
      <c r="I81" s="16"/>
      <c r="J81" s="54"/>
      <c r="K81" s="54"/>
      <c r="L81" s="54"/>
      <c r="M81" s="19"/>
      <c r="N81" s="54"/>
      <c r="O81" s="21"/>
      <c r="P81" s="5"/>
    </row>
    <row r="82" spans="1:45" s="4" customFormat="1" x14ac:dyDescent="0.15">
      <c r="A82" s="15"/>
      <c r="B82" s="16"/>
      <c r="C82" s="16"/>
      <c r="D82" s="16"/>
      <c r="E82" s="17"/>
      <c r="F82" s="16"/>
      <c r="G82" s="16"/>
      <c r="H82" s="16"/>
      <c r="I82" s="16"/>
      <c r="J82" s="54"/>
      <c r="K82" s="54"/>
      <c r="L82" s="54"/>
      <c r="M82" s="19"/>
      <c r="N82" s="54"/>
      <c r="O82" s="21"/>
      <c r="P82" s="5"/>
    </row>
    <row r="83" spans="1:45" s="4" customFormat="1" ht="16" x14ac:dyDescent="0.2">
      <c r="A83" s="15" t="s">
        <v>7</v>
      </c>
      <c r="B83" s="53" t="str">
        <f>+B5</f>
        <v xml:space="preserve">Volwassenen met psychische problematiek (GGZ); </v>
      </c>
      <c r="C83" s="16"/>
      <c r="D83" s="16"/>
      <c r="E83" s="17"/>
      <c r="F83" s="16"/>
      <c r="G83" s="16"/>
      <c r="H83" s="16"/>
      <c r="I83" s="16"/>
      <c r="J83" s="54"/>
      <c r="K83" s="54"/>
      <c r="L83" s="54"/>
      <c r="M83" s="19"/>
      <c r="N83" s="54"/>
      <c r="O83" s="21"/>
      <c r="P83" s="5"/>
    </row>
    <row r="84" spans="1:45" s="1" customFormat="1" ht="62.25" customHeight="1" thickBot="1" x14ac:dyDescent="0.2">
      <c r="A84" s="22"/>
      <c r="B84" s="217" t="s">
        <v>0</v>
      </c>
      <c r="C84" s="217" t="s">
        <v>26</v>
      </c>
      <c r="D84" s="217" t="s">
        <v>20</v>
      </c>
      <c r="E84" s="217" t="s">
        <v>216</v>
      </c>
      <c r="F84" s="217" t="s">
        <v>11</v>
      </c>
      <c r="G84" s="248" t="s">
        <v>12</v>
      </c>
      <c r="H84" s="217" t="s">
        <v>19</v>
      </c>
      <c r="I84" s="253"/>
      <c r="J84" s="249" t="s">
        <v>18</v>
      </c>
      <c r="K84" s="249" t="s">
        <v>24</v>
      </c>
      <c r="L84" s="219" t="s">
        <v>15</v>
      </c>
      <c r="M84" s="16"/>
      <c r="N84" s="217" t="s">
        <v>16</v>
      </c>
      <c r="O84" s="217" t="s">
        <v>17</v>
      </c>
      <c r="P84" s="5"/>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row>
    <row r="85" spans="1:45" s="4" customFormat="1" thickTop="1" x14ac:dyDescent="0.15">
      <c r="A85" s="15"/>
      <c r="B85" s="243" t="s">
        <v>105</v>
      </c>
      <c r="C85" s="244">
        <f t="shared" ref="C85:C94" si="26">C70</f>
        <v>54.161260653728334</v>
      </c>
      <c r="D85" s="245">
        <f>D5</f>
        <v>6310.0109505886685</v>
      </c>
      <c r="E85" s="246">
        <f>C85*D85</f>
        <v>341758.14782271296</v>
      </c>
      <c r="F85" s="247">
        <f>+F5</f>
        <v>-0.25</v>
      </c>
      <c r="G85" s="247">
        <f>+G5</f>
        <v>0</v>
      </c>
      <c r="H85" s="264">
        <f>+H5</f>
        <v>0</v>
      </c>
      <c r="I85" s="254"/>
      <c r="J85" s="266">
        <f>+J5</f>
        <v>0</v>
      </c>
      <c r="K85" s="265">
        <f>+K5</f>
        <v>-85439.536955678239</v>
      </c>
      <c r="L85" s="265">
        <f>+L5</f>
        <v>0</v>
      </c>
      <c r="M85" s="16"/>
      <c r="N85" s="30">
        <f>SUM(J85:L85)</f>
        <v>-85439.536955678239</v>
      </c>
      <c r="O85" s="242">
        <f>N85+E85</f>
        <v>256318.6108670347</v>
      </c>
      <c r="P85" s="5"/>
    </row>
    <row r="86" spans="1:45" s="4" customFormat="1" ht="13" x14ac:dyDescent="0.15">
      <c r="A86" s="15"/>
      <c r="B86" s="233" t="s">
        <v>104</v>
      </c>
      <c r="C86" s="234">
        <f t="shared" si="26"/>
        <v>67.462938501976552</v>
      </c>
      <c r="D86" s="236">
        <f>D10</f>
        <v>3659.0200391912704</v>
      </c>
      <c r="E86" s="237">
        <f t="shared" ref="E86:E94" si="27">C86*D86</f>
        <v>246848.24388146051</v>
      </c>
      <c r="F86" s="28">
        <f>+F10</f>
        <v>-0.15</v>
      </c>
      <c r="G86" s="28">
        <f>+G10</f>
        <v>-0.1</v>
      </c>
      <c r="H86" s="251">
        <f>+H10</f>
        <v>0</v>
      </c>
      <c r="I86" s="254"/>
      <c r="J86" s="256">
        <f>+J10</f>
        <v>0</v>
      </c>
      <c r="K86" s="257">
        <f>+K10</f>
        <v>-37027.236582219077</v>
      </c>
      <c r="L86" s="257">
        <f>+L10</f>
        <v>-20982.100729924146</v>
      </c>
      <c r="M86" s="16"/>
      <c r="N86" s="30">
        <f t="shared" ref="N86:N93" si="28">SUM(J86:L86)</f>
        <v>-58009.337312143223</v>
      </c>
      <c r="O86" s="242">
        <f t="shared" ref="O86:O93" si="29">N86+E86</f>
        <v>188838.90656931727</v>
      </c>
      <c r="P86" s="5"/>
    </row>
    <row r="87" spans="1:45" s="4" customFormat="1" ht="13" x14ac:dyDescent="0.15">
      <c r="A87" s="15"/>
      <c r="B87" s="233" t="s">
        <v>101</v>
      </c>
      <c r="C87" s="234">
        <f t="shared" si="26"/>
        <v>36.10395767297338</v>
      </c>
      <c r="D87" s="236">
        <f>D15</f>
        <v>4639.6420696133036</v>
      </c>
      <c r="E87" s="237">
        <f t="shared" si="27"/>
        <v>167509.44089906532</v>
      </c>
      <c r="F87" s="28">
        <f>+F15</f>
        <v>-0.2</v>
      </c>
      <c r="G87" s="28">
        <f>+G15</f>
        <v>-0.1</v>
      </c>
      <c r="H87" s="251">
        <f>+H15</f>
        <v>0</v>
      </c>
      <c r="I87" s="254"/>
      <c r="J87" s="256">
        <f>+J15</f>
        <v>0</v>
      </c>
      <c r="K87" s="257">
        <f>+K15</f>
        <v>-33501.888179813068</v>
      </c>
      <c r="L87" s="257">
        <f>+L15</f>
        <v>-13400.755271925225</v>
      </c>
      <c r="M87" s="16"/>
      <c r="N87" s="30">
        <f t="shared" si="28"/>
        <v>-46902.643451738295</v>
      </c>
      <c r="O87" s="242">
        <f t="shared" si="29"/>
        <v>120606.79744732703</v>
      </c>
      <c r="P87" s="5"/>
    </row>
    <row r="88" spans="1:45" s="4" customFormat="1" ht="13" x14ac:dyDescent="0.15">
      <c r="A88" s="15"/>
      <c r="B88" s="233" t="s">
        <v>102</v>
      </c>
      <c r="C88" s="234">
        <f t="shared" si="26"/>
        <v>48.858878642934805</v>
      </c>
      <c r="D88" s="245">
        <f>D20</f>
        <v>0</v>
      </c>
      <c r="E88" s="237">
        <f t="shared" si="27"/>
        <v>0</v>
      </c>
      <c r="F88" s="28">
        <f>F20</f>
        <v>-0.1</v>
      </c>
      <c r="G88" s="28">
        <f>G20</f>
        <v>-0.1</v>
      </c>
      <c r="H88" s="251">
        <f>H20</f>
        <v>0</v>
      </c>
      <c r="I88" s="254"/>
      <c r="J88" s="256">
        <f>J20</f>
        <v>0</v>
      </c>
      <c r="K88" s="257">
        <f>K20</f>
        <v>0</v>
      </c>
      <c r="L88" s="257">
        <f>L20</f>
        <v>0</v>
      </c>
      <c r="M88" s="16"/>
      <c r="N88" s="30">
        <f t="shared" si="28"/>
        <v>0</v>
      </c>
      <c r="O88" s="242">
        <f t="shared" si="29"/>
        <v>0</v>
      </c>
      <c r="P88" s="5"/>
    </row>
    <row r="89" spans="1:45" s="4" customFormat="1" ht="13" x14ac:dyDescent="0.15">
      <c r="A89" s="15"/>
      <c r="B89" s="233" t="s">
        <v>27</v>
      </c>
      <c r="C89" s="234">
        <f t="shared" si="26"/>
        <v>44.180909502664626</v>
      </c>
      <c r="D89" s="236">
        <f>D25</f>
        <v>0</v>
      </c>
      <c r="E89" s="237">
        <f t="shared" si="27"/>
        <v>0</v>
      </c>
      <c r="F89" s="28">
        <f>+F25</f>
        <v>0</v>
      </c>
      <c r="G89" s="28">
        <f>+G25</f>
        <v>0</v>
      </c>
      <c r="H89" s="251">
        <f>+H25</f>
        <v>0</v>
      </c>
      <c r="I89" s="254"/>
      <c r="J89" s="256">
        <f>+J25</f>
        <v>0</v>
      </c>
      <c r="K89" s="257">
        <f>+K25</f>
        <v>0</v>
      </c>
      <c r="L89" s="257">
        <f>+L25</f>
        <v>0</v>
      </c>
      <c r="M89" s="16"/>
      <c r="N89" s="30">
        <f t="shared" si="28"/>
        <v>0</v>
      </c>
      <c r="O89" s="242">
        <f t="shared" si="29"/>
        <v>0</v>
      </c>
      <c r="P89" s="5"/>
    </row>
    <row r="90" spans="1:45" s="4" customFormat="1" ht="13" x14ac:dyDescent="0.15">
      <c r="A90" s="15"/>
      <c r="B90" s="233" t="s">
        <v>157</v>
      </c>
      <c r="C90" s="234">
        <f t="shared" si="26"/>
        <v>53.92</v>
      </c>
      <c r="D90" s="236">
        <f>D30</f>
        <v>0</v>
      </c>
      <c r="E90" s="237">
        <f t="shared" si="27"/>
        <v>0</v>
      </c>
      <c r="F90" s="28">
        <f>F30</f>
        <v>0</v>
      </c>
      <c r="G90" s="28">
        <f>G30</f>
        <v>0</v>
      </c>
      <c r="H90" s="251">
        <f>H30</f>
        <v>0</v>
      </c>
      <c r="I90" s="254"/>
      <c r="J90" s="256">
        <f>J30</f>
        <v>0</v>
      </c>
      <c r="K90" s="257">
        <f>K30</f>
        <v>0</v>
      </c>
      <c r="L90" s="257">
        <f>L30</f>
        <v>0</v>
      </c>
      <c r="M90" s="16"/>
      <c r="N90" s="30">
        <f t="shared" si="28"/>
        <v>0</v>
      </c>
      <c r="O90" s="242">
        <f t="shared" si="29"/>
        <v>0</v>
      </c>
      <c r="P90" s="5"/>
    </row>
    <row r="91" spans="1:45" s="4" customFormat="1" ht="13" x14ac:dyDescent="0.15">
      <c r="A91" s="15"/>
      <c r="B91" s="233" t="s">
        <v>158</v>
      </c>
      <c r="C91" s="234">
        <f t="shared" si="26"/>
        <v>220.37878605783692</v>
      </c>
      <c r="D91" s="236">
        <f>D35</f>
        <v>34.960195747866578</v>
      </c>
      <c r="E91" s="237">
        <f t="shared" si="27"/>
        <v>7704.4854992591881</v>
      </c>
      <c r="F91" s="28">
        <f>F35</f>
        <v>0</v>
      </c>
      <c r="G91" s="28">
        <f>G35</f>
        <v>0</v>
      </c>
      <c r="H91" s="251">
        <f>H35</f>
        <v>0</v>
      </c>
      <c r="I91" s="254"/>
      <c r="J91" s="256">
        <f>J35</f>
        <v>0</v>
      </c>
      <c r="K91" s="257">
        <f>K35</f>
        <v>0</v>
      </c>
      <c r="L91" s="257">
        <f>L35</f>
        <v>0</v>
      </c>
      <c r="M91" s="16"/>
      <c r="N91" s="30">
        <f t="shared" si="28"/>
        <v>0</v>
      </c>
      <c r="O91" s="242">
        <f t="shared" si="29"/>
        <v>7704.4854992591881</v>
      </c>
      <c r="P91" s="5"/>
    </row>
    <row r="92" spans="1:45" s="4" customFormat="1" ht="13" x14ac:dyDescent="0.15">
      <c r="A92" s="15"/>
      <c r="B92" s="225" t="s">
        <v>125</v>
      </c>
      <c r="C92" s="235">
        <f t="shared" si="26"/>
        <v>15.326666666666668</v>
      </c>
      <c r="D92" s="236">
        <f>D40</f>
        <v>3212.9972654859589</v>
      </c>
      <c r="E92" s="237">
        <f t="shared" si="27"/>
        <v>49244.538089014801</v>
      </c>
      <c r="F92" s="239">
        <f>F40</f>
        <v>-0.2</v>
      </c>
      <c r="G92" s="239">
        <f>G40</f>
        <v>-0.1</v>
      </c>
      <c r="H92" s="252">
        <f>H40</f>
        <v>0</v>
      </c>
      <c r="I92" s="254"/>
      <c r="J92" s="258">
        <f>J40</f>
        <v>0</v>
      </c>
      <c r="K92" s="259">
        <f>K40</f>
        <v>-9848.9076178029609</v>
      </c>
      <c r="L92" s="259">
        <f>L40</f>
        <v>-3939.5630471211844</v>
      </c>
      <c r="M92" s="16"/>
      <c r="N92" s="30">
        <f t="shared" si="28"/>
        <v>-13788.470664924145</v>
      </c>
      <c r="O92" s="242">
        <f t="shared" si="29"/>
        <v>35456.067424090652</v>
      </c>
      <c r="P92" s="5"/>
    </row>
    <row r="93" spans="1:45" s="4" customFormat="1" ht="13" x14ac:dyDescent="0.15">
      <c r="A93" s="15"/>
      <c r="B93" s="225" t="s">
        <v>124</v>
      </c>
      <c r="C93" s="235">
        <f t="shared" si="26"/>
        <v>24.846666666666668</v>
      </c>
      <c r="D93" s="236">
        <f>D45</f>
        <v>2.747028999932402</v>
      </c>
      <c r="E93" s="237">
        <f t="shared" si="27"/>
        <v>68.254513884987091</v>
      </c>
      <c r="F93" s="239">
        <f>F45</f>
        <v>-0.2</v>
      </c>
      <c r="G93" s="239">
        <f>G45</f>
        <v>-0.1</v>
      </c>
      <c r="H93" s="252">
        <f>H45</f>
        <v>0</v>
      </c>
      <c r="I93" s="254"/>
      <c r="J93" s="258">
        <f>J45</f>
        <v>0</v>
      </c>
      <c r="K93" s="259">
        <f>K45</f>
        <v>-13.65090277699742</v>
      </c>
      <c r="L93" s="259">
        <f>L45</f>
        <v>-5.4603611107989671</v>
      </c>
      <c r="M93" s="16"/>
      <c r="N93" s="30">
        <f t="shared" si="28"/>
        <v>-19.111263887796387</v>
      </c>
      <c r="O93" s="242">
        <f t="shared" si="29"/>
        <v>49.143249997190708</v>
      </c>
      <c r="P93" s="5"/>
    </row>
    <row r="94" spans="1:45" s="4" customFormat="1" ht="13" x14ac:dyDescent="0.15">
      <c r="A94" s="15"/>
      <c r="B94" s="225" t="s">
        <v>160</v>
      </c>
      <c r="C94" s="235">
        <f t="shared" si="26"/>
        <v>0</v>
      </c>
      <c r="D94" s="236">
        <f>D50</f>
        <v>0</v>
      </c>
      <c r="E94" s="237">
        <f t="shared" si="27"/>
        <v>0</v>
      </c>
      <c r="F94" s="239">
        <f>F50</f>
        <v>0</v>
      </c>
      <c r="G94" s="239">
        <f>G50</f>
        <v>0</v>
      </c>
      <c r="H94" s="252">
        <f>H50</f>
        <v>0</v>
      </c>
      <c r="I94" s="254"/>
      <c r="J94" s="258">
        <f>J50</f>
        <v>0</v>
      </c>
      <c r="K94" s="259">
        <f>K50</f>
        <v>0</v>
      </c>
      <c r="L94" s="259">
        <f>L50</f>
        <v>0</v>
      </c>
      <c r="M94" s="16"/>
      <c r="N94" s="30">
        <f>SUM(J94:L94)</f>
        <v>0</v>
      </c>
      <c r="O94" s="242">
        <f>N94+E94</f>
        <v>0</v>
      </c>
      <c r="P94" s="5"/>
    </row>
    <row r="95" spans="1:45" s="3" customFormat="1" thickBot="1" x14ac:dyDescent="0.2">
      <c r="A95" s="15"/>
      <c r="B95" s="250"/>
      <c r="C95" s="240"/>
      <c r="D95" s="238"/>
      <c r="E95" s="241">
        <f>SUM(E85:E94)</f>
        <v>813133.11070539791</v>
      </c>
      <c r="F95" s="20"/>
      <c r="G95" s="20"/>
      <c r="H95" s="271"/>
      <c r="I95" s="20"/>
      <c r="J95" s="223">
        <f>SUM(J85:J94)</f>
        <v>0</v>
      </c>
      <c r="K95" s="223">
        <f>SUM(K85:K94)</f>
        <v>-165831.22023829035</v>
      </c>
      <c r="L95" s="223">
        <f>SUM(L85:L94)</f>
        <v>-38327.879410081354</v>
      </c>
      <c r="M95" s="20"/>
      <c r="N95" s="33">
        <f>SUM(J95:L95)</f>
        <v>-204159.09964837169</v>
      </c>
      <c r="O95" s="224">
        <f>SUM(O85:O94)</f>
        <v>608974.0110570261</v>
      </c>
      <c r="P95" s="231"/>
    </row>
    <row r="96" spans="1:45" s="4" customFormat="1" thickTop="1" x14ac:dyDescent="0.15">
      <c r="A96" s="15"/>
      <c r="B96" s="42"/>
      <c r="C96" s="260"/>
      <c r="D96" s="261"/>
      <c r="E96" s="48"/>
      <c r="F96" s="16"/>
      <c r="G96" s="16"/>
      <c r="H96" s="42"/>
      <c r="I96" s="16"/>
      <c r="J96" s="262"/>
      <c r="K96" s="262"/>
      <c r="L96" s="262"/>
      <c r="M96" s="20"/>
      <c r="O96" s="5"/>
    </row>
    <row r="97" spans="1:45" s="4" customFormat="1" ht="13" x14ac:dyDescent="0.15">
      <c r="A97" s="15"/>
      <c r="B97" s="42"/>
      <c r="C97" s="260"/>
      <c r="D97" s="261"/>
      <c r="E97" s="48"/>
      <c r="F97" s="16"/>
      <c r="G97" s="16"/>
      <c r="H97" s="42"/>
      <c r="I97" s="16"/>
      <c r="J97" s="262"/>
      <c r="K97" s="262"/>
      <c r="L97" s="262"/>
      <c r="M97" s="20"/>
      <c r="N97" s="263"/>
      <c r="P97" s="5"/>
    </row>
    <row r="98" spans="1:45" s="4" customFormat="1" ht="16" x14ac:dyDescent="0.2">
      <c r="A98" s="15" t="s">
        <v>8</v>
      </c>
      <c r="B98" s="53" t="str">
        <f>+B6</f>
        <v>Volwassenen met een verstandelijke beperking (VG)</v>
      </c>
      <c r="C98" s="16"/>
      <c r="D98" s="16"/>
      <c r="E98" s="17"/>
      <c r="F98" s="16"/>
      <c r="G98" s="16"/>
      <c r="H98" s="16"/>
      <c r="I98" s="16"/>
      <c r="J98" s="54"/>
      <c r="K98" s="54"/>
      <c r="L98" s="54"/>
      <c r="M98" s="19"/>
      <c r="N98" s="54"/>
      <c r="O98" s="21"/>
      <c r="P98" s="5"/>
    </row>
    <row r="99" spans="1:45" s="1" customFormat="1" ht="62.25" customHeight="1" thickBot="1" x14ac:dyDescent="0.2">
      <c r="A99" s="22"/>
      <c r="B99" s="217" t="s">
        <v>0</v>
      </c>
      <c r="C99" s="217" t="s">
        <v>26</v>
      </c>
      <c r="D99" s="217" t="s">
        <v>20</v>
      </c>
      <c r="E99" s="217" t="s">
        <v>216</v>
      </c>
      <c r="F99" s="217" t="s">
        <v>11</v>
      </c>
      <c r="G99" s="248" t="s">
        <v>12</v>
      </c>
      <c r="H99" s="217" t="s">
        <v>19</v>
      </c>
      <c r="I99" s="16"/>
      <c r="J99" s="249" t="s">
        <v>18</v>
      </c>
      <c r="K99" s="249" t="s">
        <v>24</v>
      </c>
      <c r="L99" s="219" t="s">
        <v>15</v>
      </c>
      <c r="M99" s="16"/>
      <c r="N99" s="217" t="s">
        <v>16</v>
      </c>
      <c r="O99" s="217" t="s">
        <v>17</v>
      </c>
      <c r="P99" s="5"/>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row>
    <row r="100" spans="1:45" s="4" customFormat="1" thickTop="1" x14ac:dyDescent="0.15">
      <c r="A100" s="15"/>
      <c r="B100" s="243" t="s">
        <v>105</v>
      </c>
      <c r="C100" s="244">
        <f t="shared" ref="C100:C109" si="30">C70</f>
        <v>54.161260653728334</v>
      </c>
      <c r="D100" s="245">
        <f>D6</f>
        <v>2940.8383212980543</v>
      </c>
      <c r="E100" s="267">
        <f>C100*D100</f>
        <v>159279.51086029678</v>
      </c>
      <c r="F100" s="269">
        <f>F6</f>
        <v>-0.2</v>
      </c>
      <c r="G100" s="269">
        <f>G6</f>
        <v>0</v>
      </c>
      <c r="H100" s="269">
        <f>H6</f>
        <v>0</v>
      </c>
      <c r="I100" s="16"/>
      <c r="J100" s="267">
        <f>J6</f>
        <v>0</v>
      </c>
      <c r="K100" s="267">
        <f>K6</f>
        <v>-31855.902172059359</v>
      </c>
      <c r="L100" s="267">
        <f>L6</f>
        <v>0</v>
      </c>
      <c r="M100" s="16"/>
      <c r="N100" s="30">
        <f>SUM(J100:L100)</f>
        <v>-31855.902172059359</v>
      </c>
      <c r="O100" s="242">
        <f>N100+E100</f>
        <v>127423.60868823742</v>
      </c>
      <c r="P100" s="5"/>
    </row>
    <row r="101" spans="1:45" s="4" customFormat="1" ht="13" x14ac:dyDescent="0.15">
      <c r="A101" s="15"/>
      <c r="B101" s="233" t="s">
        <v>104</v>
      </c>
      <c r="C101" s="234">
        <f t="shared" si="30"/>
        <v>67.462938501976552</v>
      </c>
      <c r="D101" s="236">
        <f>D11</f>
        <v>1856.3907505676368</v>
      </c>
      <c r="E101" s="267">
        <f t="shared" ref="E101:E109" si="31">C101*D101</f>
        <v>125237.57504118257</v>
      </c>
      <c r="F101" s="270">
        <f>F11</f>
        <v>-0.2</v>
      </c>
      <c r="G101" s="270">
        <f>G11</f>
        <v>-0.1</v>
      </c>
      <c r="H101" s="270">
        <f>H11</f>
        <v>0</v>
      </c>
      <c r="I101" s="16"/>
      <c r="J101" s="268">
        <f>J11</f>
        <v>0</v>
      </c>
      <c r="K101" s="268">
        <f>K11</f>
        <v>-25047.515008236514</v>
      </c>
      <c r="L101" s="268">
        <f>L11</f>
        <v>-10019.006003294606</v>
      </c>
      <c r="M101" s="16"/>
      <c r="N101" s="30">
        <f t="shared" ref="N101:N109" si="32">SUM(J101:L101)</f>
        <v>-35066.52101153112</v>
      </c>
      <c r="O101" s="242">
        <f t="shared" ref="O101:O109" si="33">N101+E101</f>
        <v>90171.054029651452</v>
      </c>
      <c r="P101" s="5"/>
    </row>
    <row r="102" spans="1:45" s="4" customFormat="1" ht="13" x14ac:dyDescent="0.15">
      <c r="A102" s="15"/>
      <c r="B102" s="233" t="s">
        <v>101</v>
      </c>
      <c r="C102" s="234">
        <f t="shared" si="30"/>
        <v>36.10395767297338</v>
      </c>
      <c r="D102" s="236">
        <f>D16</f>
        <v>6853.485750147167</v>
      </c>
      <c r="E102" s="267">
        <f t="shared" si="31"/>
        <v>247437.95943563952</v>
      </c>
      <c r="F102" s="270">
        <f>F16</f>
        <v>-0.4</v>
      </c>
      <c r="G102" s="270">
        <f>G16</f>
        <v>0</v>
      </c>
      <c r="H102" s="270">
        <f>H16</f>
        <v>0</v>
      </c>
      <c r="I102" s="16"/>
      <c r="J102" s="268">
        <f>J16</f>
        <v>0</v>
      </c>
      <c r="K102" s="268">
        <f>K16</f>
        <v>-98975.183774255813</v>
      </c>
      <c r="L102" s="268">
        <f>L16</f>
        <v>0</v>
      </c>
      <c r="M102" s="16"/>
      <c r="N102" s="30">
        <f t="shared" si="32"/>
        <v>-98975.183774255813</v>
      </c>
      <c r="O102" s="242">
        <f t="shared" si="33"/>
        <v>148462.7756613837</v>
      </c>
      <c r="P102" s="5"/>
    </row>
    <row r="103" spans="1:45" s="4" customFormat="1" ht="13" x14ac:dyDescent="0.15">
      <c r="A103" s="15"/>
      <c r="B103" s="233" t="s">
        <v>102</v>
      </c>
      <c r="C103" s="234">
        <f t="shared" si="30"/>
        <v>48.858878642934805</v>
      </c>
      <c r="D103" s="236">
        <f>D21</f>
        <v>1813.1211313181266</v>
      </c>
      <c r="E103" s="267">
        <f t="shared" si="31"/>
        <v>88587.065320013004</v>
      </c>
      <c r="F103" s="270">
        <f>F21</f>
        <v>-0.1</v>
      </c>
      <c r="G103" s="270">
        <f>G21</f>
        <v>-0.1</v>
      </c>
      <c r="H103" s="270">
        <f>H21</f>
        <v>0</v>
      </c>
      <c r="I103" s="16"/>
      <c r="J103" s="268">
        <f>J21</f>
        <v>0</v>
      </c>
      <c r="K103" s="268">
        <f>K21</f>
        <v>-8858.7065320013007</v>
      </c>
      <c r="L103" s="268">
        <f>L21</f>
        <v>-7972.8358788011701</v>
      </c>
      <c r="M103" s="16"/>
      <c r="N103" s="30">
        <f t="shared" si="32"/>
        <v>-16831.542410802471</v>
      </c>
      <c r="O103" s="242">
        <f t="shared" si="33"/>
        <v>71755.522909210529</v>
      </c>
      <c r="P103" s="5"/>
    </row>
    <row r="104" spans="1:45" s="4" customFormat="1" ht="13" x14ac:dyDescent="0.15">
      <c r="A104" s="15"/>
      <c r="B104" s="233" t="s">
        <v>27</v>
      </c>
      <c r="C104" s="234">
        <f t="shared" si="30"/>
        <v>44.180909502664626</v>
      </c>
      <c r="D104" s="236">
        <f>D26</f>
        <v>0</v>
      </c>
      <c r="E104" s="267">
        <f t="shared" si="31"/>
        <v>0</v>
      </c>
      <c r="F104" s="270">
        <f>F26</f>
        <v>0</v>
      </c>
      <c r="G104" s="270">
        <f>G26</f>
        <v>0</v>
      </c>
      <c r="H104" s="270">
        <f>H26</f>
        <v>0</v>
      </c>
      <c r="I104" s="16"/>
      <c r="J104" s="268">
        <f>J26</f>
        <v>0</v>
      </c>
      <c r="K104" s="268">
        <f>K26</f>
        <v>0</v>
      </c>
      <c r="L104" s="268">
        <f>L26</f>
        <v>0</v>
      </c>
      <c r="M104" s="16"/>
      <c r="N104" s="30">
        <f t="shared" si="32"/>
        <v>0</v>
      </c>
      <c r="O104" s="242">
        <f t="shared" si="33"/>
        <v>0</v>
      </c>
      <c r="P104" s="5"/>
    </row>
    <row r="105" spans="1:45" s="4" customFormat="1" ht="13" x14ac:dyDescent="0.15">
      <c r="A105" s="15"/>
      <c r="B105" s="233" t="s">
        <v>157</v>
      </c>
      <c r="C105" s="234">
        <f t="shared" si="30"/>
        <v>53.92</v>
      </c>
      <c r="D105" s="236">
        <f>D31</f>
        <v>0</v>
      </c>
      <c r="E105" s="267">
        <f t="shared" si="31"/>
        <v>0</v>
      </c>
      <c r="F105" s="270">
        <f>F31</f>
        <v>0</v>
      </c>
      <c r="G105" s="270">
        <f>G31</f>
        <v>0</v>
      </c>
      <c r="H105" s="270">
        <f>H31</f>
        <v>0</v>
      </c>
      <c r="I105" s="16"/>
      <c r="J105" s="268">
        <f>J31</f>
        <v>0</v>
      </c>
      <c r="K105" s="268">
        <f>K31</f>
        <v>0</v>
      </c>
      <c r="L105" s="268">
        <f>L31</f>
        <v>0</v>
      </c>
      <c r="M105" s="16"/>
      <c r="N105" s="30">
        <f t="shared" si="32"/>
        <v>0</v>
      </c>
      <c r="O105" s="242">
        <f t="shared" si="33"/>
        <v>0</v>
      </c>
      <c r="P105" s="5"/>
    </row>
    <row r="106" spans="1:45" s="4" customFormat="1" ht="13" x14ac:dyDescent="0.15">
      <c r="A106" s="15"/>
      <c r="B106" s="233" t="s">
        <v>158</v>
      </c>
      <c r="C106" s="234">
        <f t="shared" si="30"/>
        <v>220.37878605783692</v>
      </c>
      <c r="D106" s="236">
        <f>D36</f>
        <v>17.736930470246328</v>
      </c>
      <c r="E106" s="267">
        <f t="shared" si="31"/>
        <v>3908.8432054251443</v>
      </c>
      <c r="F106" s="270">
        <f>F36</f>
        <v>0</v>
      </c>
      <c r="G106" s="270">
        <f>G36</f>
        <v>0</v>
      </c>
      <c r="H106" s="270">
        <f>H36</f>
        <v>0</v>
      </c>
      <c r="I106" s="16"/>
      <c r="J106" s="268">
        <f>J36</f>
        <v>0</v>
      </c>
      <c r="K106" s="268">
        <f>K36</f>
        <v>0</v>
      </c>
      <c r="L106" s="268">
        <f>L36</f>
        <v>0</v>
      </c>
      <c r="M106" s="16"/>
      <c r="N106" s="30">
        <f t="shared" si="32"/>
        <v>0</v>
      </c>
      <c r="O106" s="242">
        <f t="shared" si="33"/>
        <v>3908.8432054251443</v>
      </c>
      <c r="P106" s="5"/>
    </row>
    <row r="107" spans="1:45" ht="13" x14ac:dyDescent="0.15">
      <c r="B107" s="225" t="s">
        <v>125</v>
      </c>
      <c r="C107" s="235">
        <f t="shared" si="30"/>
        <v>15.326666666666668</v>
      </c>
      <c r="D107" s="236">
        <f>D41</f>
        <v>6001.7095701329872</v>
      </c>
      <c r="E107" s="267">
        <f t="shared" si="31"/>
        <v>91986.202011571586</v>
      </c>
      <c r="F107" s="270">
        <f>F41</f>
        <v>-0.3372376817323145</v>
      </c>
      <c r="G107" s="270">
        <f>G41</f>
        <v>-2.0920772755895167E-2</v>
      </c>
      <c r="H107" s="270">
        <f>H41</f>
        <v>0</v>
      </c>
      <c r="J107" s="268">
        <f>J41</f>
        <v>0</v>
      </c>
      <c r="K107" s="268">
        <f>K41</f>
        <v>-31021.213517742766</v>
      </c>
      <c r="L107" s="268">
        <f>L41</f>
        <v>-1275.4346703451563</v>
      </c>
      <c r="M107" s="16"/>
      <c r="N107" s="30">
        <f t="shared" si="32"/>
        <v>-32296.648188087922</v>
      </c>
      <c r="O107" s="242">
        <f t="shared" si="33"/>
        <v>59689.553823483664</v>
      </c>
    </row>
    <row r="108" spans="1:45" ht="13" x14ac:dyDescent="0.15">
      <c r="B108" s="225" t="s">
        <v>124</v>
      </c>
      <c r="C108" s="235">
        <f t="shared" si="30"/>
        <v>24.846666666666668</v>
      </c>
      <c r="D108" s="236">
        <f>D46</f>
        <v>5.1313054061480949</v>
      </c>
      <c r="E108" s="267">
        <f t="shared" si="31"/>
        <v>127.49583499142634</v>
      </c>
      <c r="F108" s="270">
        <f>F46</f>
        <v>-0.3372376817323145</v>
      </c>
      <c r="G108" s="270">
        <f>G46</f>
        <v>-2.0920772755895167E-2</v>
      </c>
      <c r="H108" s="270">
        <f>H46</f>
        <v>0</v>
      </c>
      <c r="J108" s="268">
        <f>J46</f>
        <v>0</v>
      </c>
      <c r="K108" s="268">
        <f>K46</f>
        <v>-42.996399823034324</v>
      </c>
      <c r="L108" s="268">
        <f>L46</f>
        <v>-1.7677934811594256</v>
      </c>
      <c r="M108" s="16"/>
      <c r="N108" s="30">
        <f t="shared" si="32"/>
        <v>-44.764193304193746</v>
      </c>
      <c r="O108" s="242">
        <f t="shared" si="33"/>
        <v>82.731641687232582</v>
      </c>
    </row>
    <row r="109" spans="1:45" ht="13" x14ac:dyDescent="0.15">
      <c r="B109" s="225" t="s">
        <v>160</v>
      </c>
      <c r="C109" s="235">
        <f t="shared" si="30"/>
        <v>0</v>
      </c>
      <c r="D109" s="236">
        <f>D51</f>
        <v>0</v>
      </c>
      <c r="E109" s="267">
        <f t="shared" si="31"/>
        <v>0</v>
      </c>
      <c r="F109" s="270">
        <f>F51</f>
        <v>0</v>
      </c>
      <c r="G109" s="270">
        <f>G51</f>
        <v>0</v>
      </c>
      <c r="H109" s="270">
        <f>H51</f>
        <v>0</v>
      </c>
      <c r="J109" s="268">
        <f>J51</f>
        <v>0</v>
      </c>
      <c r="K109" s="268">
        <f>K51</f>
        <v>0</v>
      </c>
      <c r="L109" s="268">
        <f>L51</f>
        <v>0</v>
      </c>
      <c r="M109" s="16"/>
      <c r="N109" s="30">
        <f t="shared" si="32"/>
        <v>0</v>
      </c>
      <c r="O109" s="242">
        <f t="shared" si="33"/>
        <v>0</v>
      </c>
    </row>
    <row r="110" spans="1:45" s="3" customFormat="1" thickBot="1" x14ac:dyDescent="0.2">
      <c r="A110" s="15"/>
      <c r="B110" s="250"/>
      <c r="C110" s="240"/>
      <c r="D110" s="238"/>
      <c r="E110" s="241">
        <f>SUM(E100:E109)</f>
        <v>716564.65170912014</v>
      </c>
      <c r="F110" s="20"/>
      <c r="G110" s="20"/>
      <c r="H110" s="271"/>
      <c r="I110" s="20"/>
      <c r="J110" s="223">
        <f>SUM(J100:J109)</f>
        <v>0</v>
      </c>
      <c r="K110" s="223">
        <f>SUM(K100:K109)</f>
        <v>-195801.51740411876</v>
      </c>
      <c r="L110" s="223">
        <f>SUM(L100:L109)</f>
        <v>-19269.044345922088</v>
      </c>
      <c r="M110" s="20"/>
      <c r="N110" s="33">
        <f>SUM(J110:L110)</f>
        <v>-215070.56175004086</v>
      </c>
      <c r="O110" s="224">
        <f>SUM(O100:O109)</f>
        <v>501494.08995907911</v>
      </c>
      <c r="P110" s="231"/>
    </row>
    <row r="111" spans="1:45" s="4" customFormat="1" thickTop="1" x14ac:dyDescent="0.15">
      <c r="A111" s="15"/>
      <c r="B111" s="42"/>
      <c r="C111" s="260"/>
      <c r="D111" s="261"/>
      <c r="E111" s="48"/>
      <c r="F111" s="16"/>
      <c r="G111" s="16"/>
      <c r="H111" s="42"/>
      <c r="I111" s="16"/>
      <c r="J111" s="262"/>
      <c r="K111" s="262"/>
      <c r="L111" s="262"/>
      <c r="M111" s="262"/>
      <c r="N111" s="262"/>
      <c r="O111" s="262"/>
      <c r="P111" s="5"/>
    </row>
    <row r="112" spans="1:45" s="4" customFormat="1" x14ac:dyDescent="0.15">
      <c r="A112" s="15"/>
      <c r="B112" s="16"/>
      <c r="C112" s="16"/>
      <c r="D112" s="16"/>
      <c r="E112" s="17"/>
      <c r="F112" s="16"/>
      <c r="G112" s="16"/>
      <c r="H112" s="16"/>
      <c r="I112" s="16"/>
      <c r="J112" s="54"/>
      <c r="K112" s="54"/>
      <c r="L112" s="54"/>
      <c r="M112" s="19"/>
      <c r="N112" s="54"/>
      <c r="O112" s="21"/>
      <c r="P112" s="5"/>
    </row>
    <row r="113" spans="1:45" s="4" customFormat="1" ht="16" x14ac:dyDescent="0.2">
      <c r="A113" s="15" t="s">
        <v>9</v>
      </c>
      <c r="B113" s="53" t="str">
        <f>+B22</f>
        <v>Volwassenen met een lichamelijke beperking of chronische ziekte (SOM 0-64, LG)</v>
      </c>
      <c r="C113" s="16"/>
      <c r="D113" s="16"/>
      <c r="E113" s="17"/>
      <c r="F113" s="16"/>
      <c r="G113" s="16"/>
      <c r="H113" s="16"/>
      <c r="I113" s="16"/>
      <c r="J113" s="54"/>
      <c r="K113" s="54"/>
      <c r="L113" s="54"/>
      <c r="M113" s="19"/>
      <c r="N113" s="54"/>
      <c r="O113" s="21"/>
      <c r="P113" s="5"/>
    </row>
    <row r="114" spans="1:45" s="1" customFormat="1" ht="62.25" customHeight="1" thickBot="1" x14ac:dyDescent="0.2">
      <c r="A114" s="22"/>
      <c r="B114" s="217" t="s">
        <v>0</v>
      </c>
      <c r="C114" s="217" t="s">
        <v>26</v>
      </c>
      <c r="D114" s="217" t="s">
        <v>20</v>
      </c>
      <c r="E114" s="217" t="s">
        <v>216</v>
      </c>
      <c r="F114" s="217" t="s">
        <v>11</v>
      </c>
      <c r="G114" s="248" t="s">
        <v>12</v>
      </c>
      <c r="H114" s="217" t="s">
        <v>19</v>
      </c>
      <c r="I114" s="253"/>
      <c r="J114" s="249" t="s">
        <v>18</v>
      </c>
      <c r="K114" s="249" t="s">
        <v>24</v>
      </c>
      <c r="L114" s="219" t="s">
        <v>15</v>
      </c>
      <c r="M114" s="16"/>
      <c r="N114" s="217" t="s">
        <v>16</v>
      </c>
      <c r="O114" s="217" t="s">
        <v>17</v>
      </c>
      <c r="P114" s="5"/>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row>
    <row r="115" spans="1:45" s="4" customFormat="1" thickTop="1" x14ac:dyDescent="0.15">
      <c r="A115" s="15"/>
      <c r="B115" s="243" t="s">
        <v>105</v>
      </c>
      <c r="C115" s="244">
        <f t="shared" ref="C115:C124" si="34">C70</f>
        <v>54.161260653728334</v>
      </c>
      <c r="D115" s="245">
        <f>D7</f>
        <v>972.51195673310178</v>
      </c>
      <c r="E115" s="267">
        <f>C115*D115</f>
        <v>52672.473577488898</v>
      </c>
      <c r="F115" s="269">
        <f>F7</f>
        <v>-0.2</v>
      </c>
      <c r="G115" s="269">
        <f>G7</f>
        <v>-0.1</v>
      </c>
      <c r="H115" s="269">
        <f>H7</f>
        <v>0</v>
      </c>
      <c r="I115" s="253"/>
      <c r="J115" s="267">
        <f>J7</f>
        <v>0</v>
      </c>
      <c r="K115" s="267">
        <f>K7</f>
        <v>-10534.49471549778</v>
      </c>
      <c r="L115" s="267">
        <f>L7</f>
        <v>-4213.7978861991123</v>
      </c>
      <c r="M115" s="16"/>
      <c r="N115" s="30">
        <f>SUM(J115:L115)</f>
        <v>-14748.292601696892</v>
      </c>
      <c r="O115" s="242">
        <f>N115+E115</f>
        <v>37924.180975792005</v>
      </c>
      <c r="P115" s="5"/>
    </row>
    <row r="116" spans="1:45" s="4" customFormat="1" ht="13" x14ac:dyDescent="0.15">
      <c r="A116" s="15"/>
      <c r="B116" s="233" t="s">
        <v>104</v>
      </c>
      <c r="C116" s="234">
        <f t="shared" si="34"/>
        <v>67.462938501976552</v>
      </c>
      <c r="D116" s="236">
        <f>D12</f>
        <v>479.01538048111325</v>
      </c>
      <c r="E116" s="267">
        <f t="shared" ref="E116:E124" si="35">C116*D116</f>
        <v>32315.785154898243</v>
      </c>
      <c r="F116" s="270">
        <f>F12</f>
        <v>-0.1</v>
      </c>
      <c r="G116" s="270">
        <f>G12</f>
        <v>-0.05</v>
      </c>
      <c r="H116" s="270">
        <f>H12</f>
        <v>0</v>
      </c>
      <c r="I116" s="253"/>
      <c r="J116" s="268">
        <f>J12</f>
        <v>0</v>
      </c>
      <c r="K116" s="268">
        <f>K12</f>
        <v>-3231.5785154898244</v>
      </c>
      <c r="L116" s="268">
        <f>L12</f>
        <v>-1454.2103319704211</v>
      </c>
      <c r="M116" s="16"/>
      <c r="N116" s="30">
        <f t="shared" ref="N116:N124" si="36">SUM(J116:L116)</f>
        <v>-4685.788847460246</v>
      </c>
      <c r="O116" s="242">
        <f t="shared" ref="O116:O124" si="37">N116+E116</f>
        <v>27629.996307437999</v>
      </c>
      <c r="P116" s="5"/>
    </row>
    <row r="117" spans="1:45" s="4" customFormat="1" ht="13" x14ac:dyDescent="0.15">
      <c r="A117" s="15"/>
      <c r="B117" s="233" t="s">
        <v>101</v>
      </c>
      <c r="C117" s="234">
        <f t="shared" si="34"/>
        <v>36.10395767297338</v>
      </c>
      <c r="D117" s="236">
        <f>D17</f>
        <v>1113.7603960396038</v>
      </c>
      <c r="E117" s="267">
        <f t="shared" si="35"/>
        <v>40211.158196447926</v>
      </c>
      <c r="F117" s="270">
        <f>F17</f>
        <v>-0.2</v>
      </c>
      <c r="G117" s="270">
        <f>G17</f>
        <v>0</v>
      </c>
      <c r="H117" s="270">
        <f>H17</f>
        <v>0</v>
      </c>
      <c r="I117" s="253"/>
      <c r="J117" s="268">
        <f>J17</f>
        <v>0</v>
      </c>
      <c r="K117" s="268">
        <f>K17</f>
        <v>-8042.2316392895855</v>
      </c>
      <c r="L117" s="268">
        <f>L17</f>
        <v>0</v>
      </c>
      <c r="M117" s="16"/>
      <c r="N117" s="30">
        <f t="shared" si="36"/>
        <v>-8042.2316392895855</v>
      </c>
      <c r="O117" s="242">
        <f t="shared" si="37"/>
        <v>32168.926557158342</v>
      </c>
      <c r="P117" s="5"/>
    </row>
    <row r="118" spans="1:45" s="4" customFormat="1" ht="13" x14ac:dyDescent="0.15">
      <c r="A118" s="15"/>
      <c r="B118" s="233" t="s">
        <v>102</v>
      </c>
      <c r="C118" s="234">
        <f t="shared" si="34"/>
        <v>48.858878642934805</v>
      </c>
      <c r="D118" s="236">
        <f>D22</f>
        <v>904</v>
      </c>
      <c r="E118" s="267">
        <f t="shared" si="35"/>
        <v>44168.426293213066</v>
      </c>
      <c r="F118" s="270">
        <f>F22</f>
        <v>-0.05</v>
      </c>
      <c r="G118" s="270">
        <f>G22</f>
        <v>0</v>
      </c>
      <c r="H118" s="270">
        <f>H22</f>
        <v>0</v>
      </c>
      <c r="I118" s="253"/>
      <c r="J118" s="268">
        <f>J22</f>
        <v>0</v>
      </c>
      <c r="K118" s="268">
        <f>K22</f>
        <v>-2208.4213146606535</v>
      </c>
      <c r="L118" s="268">
        <f>L22</f>
        <v>0</v>
      </c>
      <c r="M118" s="16"/>
      <c r="N118" s="30">
        <f t="shared" si="36"/>
        <v>-2208.4213146606535</v>
      </c>
      <c r="O118" s="242">
        <f t="shared" si="37"/>
        <v>41960.00497855241</v>
      </c>
      <c r="P118" s="5"/>
    </row>
    <row r="119" spans="1:45" s="4" customFormat="1" ht="13" x14ac:dyDescent="0.15">
      <c r="A119" s="15"/>
      <c r="B119" s="233" t="s">
        <v>27</v>
      </c>
      <c r="C119" s="234">
        <f t="shared" si="34"/>
        <v>44.180909502664626</v>
      </c>
      <c r="D119" s="236">
        <f>D27</f>
        <v>0</v>
      </c>
      <c r="E119" s="267">
        <f t="shared" si="35"/>
        <v>0</v>
      </c>
      <c r="F119" s="270">
        <f>F27</f>
        <v>0</v>
      </c>
      <c r="G119" s="270">
        <f>G27</f>
        <v>0</v>
      </c>
      <c r="H119" s="270">
        <f>H27</f>
        <v>0</v>
      </c>
      <c r="I119" s="253"/>
      <c r="J119" s="268">
        <f>J27</f>
        <v>0</v>
      </c>
      <c r="K119" s="268">
        <f>K27</f>
        <v>0</v>
      </c>
      <c r="L119" s="268">
        <f>L27</f>
        <v>0</v>
      </c>
      <c r="M119" s="16"/>
      <c r="N119" s="30">
        <f t="shared" si="36"/>
        <v>0</v>
      </c>
      <c r="O119" s="242">
        <f t="shared" si="37"/>
        <v>0</v>
      </c>
      <c r="P119" s="5"/>
    </row>
    <row r="120" spans="1:45" s="4" customFormat="1" ht="13" x14ac:dyDescent="0.15">
      <c r="A120" s="15"/>
      <c r="B120" s="233" t="s">
        <v>157</v>
      </c>
      <c r="C120" s="234">
        <f t="shared" si="34"/>
        <v>53.92</v>
      </c>
      <c r="D120" s="236">
        <f>D32</f>
        <v>0</v>
      </c>
      <c r="E120" s="267">
        <f t="shared" si="35"/>
        <v>0</v>
      </c>
      <c r="F120" s="270">
        <f>F32</f>
        <v>0</v>
      </c>
      <c r="G120" s="270">
        <f>G32</f>
        <v>0</v>
      </c>
      <c r="H120" s="270">
        <f>H32</f>
        <v>0</v>
      </c>
      <c r="I120" s="253"/>
      <c r="J120" s="268">
        <f>J32</f>
        <v>0</v>
      </c>
      <c r="K120" s="268">
        <f>K32</f>
        <v>0</v>
      </c>
      <c r="L120" s="257">
        <f>L32</f>
        <v>0</v>
      </c>
      <c r="M120" s="16"/>
      <c r="N120" s="30">
        <f t="shared" si="36"/>
        <v>0</v>
      </c>
      <c r="O120" s="242">
        <f t="shared" si="37"/>
        <v>0</v>
      </c>
      <c r="P120" s="5"/>
    </row>
    <row r="121" spans="1:45" s="4" customFormat="1" ht="13" x14ac:dyDescent="0.15">
      <c r="A121" s="15"/>
      <c r="B121" s="233" t="s">
        <v>158</v>
      </c>
      <c r="C121" s="234">
        <f t="shared" si="34"/>
        <v>220.37878605783692</v>
      </c>
      <c r="D121" s="236">
        <f>D37</f>
        <v>4.5767640757605346</v>
      </c>
      <c r="E121" s="267">
        <f t="shared" si="35"/>
        <v>1008.6217110892246</v>
      </c>
      <c r="F121" s="270">
        <f>F37</f>
        <v>0</v>
      </c>
      <c r="G121" s="270">
        <f>G37</f>
        <v>0</v>
      </c>
      <c r="H121" s="270">
        <f>H37</f>
        <v>0</v>
      </c>
      <c r="I121" s="253"/>
      <c r="J121" s="268">
        <f>J37</f>
        <v>0</v>
      </c>
      <c r="K121" s="268">
        <f>K37</f>
        <v>0</v>
      </c>
      <c r="L121" s="268">
        <f>L37</f>
        <v>0</v>
      </c>
      <c r="M121" s="16"/>
      <c r="N121" s="30">
        <f t="shared" si="36"/>
        <v>0</v>
      </c>
      <c r="O121" s="242">
        <f t="shared" si="37"/>
        <v>1008.6217110892246</v>
      </c>
      <c r="P121" s="5"/>
    </row>
    <row r="122" spans="1:45" ht="13" x14ac:dyDescent="0.15">
      <c r="B122" s="225" t="s">
        <v>125</v>
      </c>
      <c r="C122" s="235">
        <f t="shared" si="34"/>
        <v>15.326666666666668</v>
      </c>
      <c r="D122" s="236">
        <f>D42</f>
        <v>1397.318702091485</v>
      </c>
      <c r="E122" s="267">
        <f t="shared" si="35"/>
        <v>21416.237974055493</v>
      </c>
      <c r="F122" s="270">
        <f>F42</f>
        <v>-0.13279677791964231</v>
      </c>
      <c r="G122" s="270">
        <f>G42</f>
        <v>0</v>
      </c>
      <c r="H122" s="270">
        <f>H42</f>
        <v>0</v>
      </c>
      <c r="I122" s="253"/>
      <c r="J122" s="268">
        <f>J42</f>
        <v>0</v>
      </c>
      <c r="K122" s="268">
        <f>K42</f>
        <v>-3.9418857395463922</v>
      </c>
      <c r="L122" s="268">
        <f>L42</f>
        <v>0</v>
      </c>
      <c r="M122" s="16"/>
      <c r="N122" s="30">
        <f t="shared" si="36"/>
        <v>-3.9418857395463922</v>
      </c>
      <c r="O122" s="242">
        <f t="shared" si="37"/>
        <v>21412.296088315947</v>
      </c>
    </row>
    <row r="123" spans="1:45" ht="13" x14ac:dyDescent="0.15">
      <c r="B123" s="225" t="s">
        <v>124</v>
      </c>
      <c r="C123" s="235">
        <f t="shared" si="34"/>
        <v>24.846666666666668</v>
      </c>
      <c r="D123" s="236">
        <f>D47</f>
        <v>1.1946711060187141</v>
      </c>
      <c r="E123" s="267">
        <f t="shared" si="35"/>
        <v>29.683594747544984</v>
      </c>
      <c r="F123" s="270">
        <f>F47</f>
        <v>-0.13279677791964231</v>
      </c>
      <c r="G123" s="270">
        <f>G47</f>
        <v>0</v>
      </c>
      <c r="H123" s="270">
        <f>H47</f>
        <v>0</v>
      </c>
      <c r="I123" s="253"/>
      <c r="J123" s="268">
        <f>J47</f>
        <v>0</v>
      </c>
      <c r="K123" s="268">
        <f>K47</f>
        <v>-3.9418857395463922</v>
      </c>
      <c r="L123" s="268">
        <f>L47</f>
        <v>0</v>
      </c>
      <c r="M123" s="16"/>
      <c r="N123" s="30">
        <f t="shared" si="36"/>
        <v>-3.9418857395463922</v>
      </c>
      <c r="O123" s="242">
        <f t="shared" si="37"/>
        <v>25.74170900799859</v>
      </c>
    </row>
    <row r="124" spans="1:45" ht="13" x14ac:dyDescent="0.15">
      <c r="B124" s="225" t="s">
        <v>160</v>
      </c>
      <c r="C124" s="235">
        <f t="shared" si="34"/>
        <v>0</v>
      </c>
      <c r="D124" s="236">
        <f>D52</f>
        <v>0</v>
      </c>
      <c r="E124" s="267">
        <f t="shared" si="35"/>
        <v>0</v>
      </c>
      <c r="F124" s="270">
        <f>F52</f>
        <v>0</v>
      </c>
      <c r="G124" s="270">
        <f>G52</f>
        <v>0</v>
      </c>
      <c r="H124" s="270">
        <f>H52</f>
        <v>0</v>
      </c>
      <c r="I124" s="253"/>
      <c r="J124" s="268">
        <f>J52</f>
        <v>0</v>
      </c>
      <c r="K124" s="268">
        <f>K52</f>
        <v>0</v>
      </c>
      <c r="L124" s="268">
        <f>L52</f>
        <v>0</v>
      </c>
      <c r="M124" s="16"/>
      <c r="N124" s="30">
        <f t="shared" si="36"/>
        <v>0</v>
      </c>
      <c r="O124" s="242">
        <f t="shared" si="37"/>
        <v>0</v>
      </c>
    </row>
    <row r="125" spans="1:45" s="3" customFormat="1" thickBot="1" x14ac:dyDescent="0.2">
      <c r="A125" s="15"/>
      <c r="B125" s="250"/>
      <c r="C125" s="240"/>
      <c r="D125" s="238"/>
      <c r="E125" s="241">
        <f>SUM(E115:E124)</f>
        <v>191822.38650194037</v>
      </c>
      <c r="F125" s="20"/>
      <c r="G125" s="20"/>
      <c r="H125" s="271"/>
      <c r="I125" s="20"/>
      <c r="J125" s="223">
        <f>SUM(J115:J124)</f>
        <v>0</v>
      </c>
      <c r="K125" s="223">
        <f>SUM(K115:K124)</f>
        <v>-24024.609956416934</v>
      </c>
      <c r="L125" s="223">
        <f>SUM(L115:L124)</f>
        <v>-5668.0082181695334</v>
      </c>
      <c r="M125" s="20"/>
      <c r="N125" s="33">
        <f>SUM(J125:L125)</f>
        <v>-29692.618174586467</v>
      </c>
      <c r="O125" s="224">
        <f>SUM(O115:O124)</f>
        <v>162129.76832735393</v>
      </c>
      <c r="P125" s="231"/>
    </row>
    <row r="126" spans="1:45" s="4" customFormat="1" thickTop="1" x14ac:dyDescent="0.15">
      <c r="A126" s="15"/>
      <c r="B126" s="42"/>
      <c r="C126" s="260"/>
      <c r="D126" s="261"/>
      <c r="E126" s="48"/>
      <c r="F126" s="16"/>
      <c r="G126" s="16"/>
      <c r="H126" s="42"/>
      <c r="I126" s="16"/>
      <c r="J126" s="262"/>
      <c r="K126" s="262"/>
      <c r="L126" s="262"/>
      <c r="M126" s="20"/>
      <c r="N126" s="5"/>
    </row>
    <row r="127" spans="1:45" s="4" customFormat="1" ht="13" x14ac:dyDescent="0.15">
      <c r="A127" s="15"/>
      <c r="B127" s="42"/>
      <c r="C127" s="260"/>
      <c r="D127" s="261"/>
      <c r="E127" s="48"/>
      <c r="F127" s="16"/>
      <c r="G127" s="16"/>
      <c r="H127" s="42"/>
      <c r="I127" s="16"/>
      <c r="J127" s="262"/>
      <c r="K127" s="262"/>
      <c r="L127" s="262"/>
      <c r="M127" s="20"/>
      <c r="N127" s="5"/>
    </row>
    <row r="128" spans="1:45" s="4" customFormat="1" x14ac:dyDescent="0.15">
      <c r="A128" s="15"/>
      <c r="B128" s="16"/>
      <c r="C128" s="16"/>
      <c r="D128" s="16"/>
      <c r="E128" s="17"/>
      <c r="F128" s="16"/>
      <c r="G128" s="16"/>
      <c r="H128" s="16"/>
      <c r="I128" s="16"/>
      <c r="J128" s="54"/>
      <c r="K128" s="54"/>
      <c r="L128" s="54"/>
      <c r="M128" s="19"/>
      <c r="N128" s="54"/>
      <c r="O128" s="21"/>
      <c r="P128" s="5"/>
    </row>
    <row r="129" spans="1:16" s="4" customFormat="1" x14ac:dyDescent="0.15">
      <c r="A129" s="15"/>
      <c r="B129" s="16"/>
      <c r="C129" s="16"/>
      <c r="D129" s="16"/>
      <c r="E129" s="17"/>
      <c r="F129" s="16"/>
      <c r="G129" s="16"/>
      <c r="H129" s="16"/>
      <c r="I129" s="16"/>
      <c r="J129" s="54"/>
      <c r="K129" s="54"/>
      <c r="L129" s="54"/>
      <c r="M129" s="19"/>
      <c r="N129" s="54"/>
      <c r="O129" s="21"/>
      <c r="P129" s="5"/>
    </row>
    <row r="130" spans="1:16" s="4" customFormat="1" x14ac:dyDescent="0.15">
      <c r="A130" s="15"/>
      <c r="B130" s="16"/>
      <c r="C130" s="16"/>
      <c r="D130" s="16"/>
      <c r="E130" s="17"/>
      <c r="F130" s="16"/>
      <c r="G130" s="16"/>
      <c r="H130" s="16"/>
      <c r="I130" s="16"/>
      <c r="J130" s="54"/>
      <c r="K130" s="54"/>
      <c r="L130" s="54"/>
      <c r="M130" s="19"/>
      <c r="N130" s="54"/>
      <c r="O130" s="21"/>
      <c r="P130" s="5"/>
    </row>
    <row r="131" spans="1:16" s="4" customFormat="1" x14ac:dyDescent="0.15">
      <c r="A131" s="15"/>
      <c r="B131" s="16"/>
      <c r="C131" s="16"/>
      <c r="D131" s="16"/>
      <c r="E131" s="17"/>
      <c r="F131" s="16"/>
      <c r="G131" s="16"/>
      <c r="H131" s="16"/>
      <c r="I131" s="16"/>
      <c r="J131" s="54"/>
      <c r="K131" s="54"/>
      <c r="L131" s="54"/>
      <c r="M131" s="19"/>
      <c r="N131" s="54"/>
      <c r="O131" s="21"/>
      <c r="P131" s="5"/>
    </row>
    <row r="132" spans="1:16" s="4" customFormat="1" x14ac:dyDescent="0.15">
      <c r="A132" s="15"/>
      <c r="B132" s="16"/>
      <c r="C132" s="16"/>
      <c r="D132" s="16"/>
      <c r="E132" s="17"/>
      <c r="F132" s="16"/>
      <c r="G132" s="16"/>
      <c r="H132" s="16"/>
      <c r="I132" s="16"/>
      <c r="J132" s="54"/>
      <c r="K132" s="54"/>
      <c r="L132" s="54"/>
      <c r="M132" s="19"/>
      <c r="N132" s="54"/>
      <c r="O132" s="21"/>
      <c r="P132" s="5"/>
    </row>
    <row r="133" spans="1:16" s="4" customFormat="1" x14ac:dyDescent="0.15">
      <c r="A133" s="15"/>
      <c r="B133" s="16"/>
      <c r="C133" s="16"/>
      <c r="D133" s="16"/>
      <c r="E133" s="17"/>
      <c r="F133" s="16"/>
      <c r="G133" s="16"/>
      <c r="H133" s="16"/>
      <c r="I133" s="16"/>
      <c r="J133" s="54"/>
      <c r="K133" s="54"/>
      <c r="L133" s="54"/>
      <c r="M133" s="19"/>
      <c r="N133" s="54"/>
      <c r="O133" s="21"/>
      <c r="P133" s="5"/>
    </row>
    <row r="134" spans="1:16" s="4" customFormat="1" x14ac:dyDescent="0.15">
      <c r="A134" s="15"/>
      <c r="B134" s="16"/>
      <c r="C134" s="16"/>
      <c r="D134" s="16"/>
      <c r="E134" s="17"/>
      <c r="F134" s="16"/>
      <c r="G134" s="16"/>
      <c r="H134" s="16"/>
      <c r="I134" s="16"/>
      <c r="J134" s="54"/>
      <c r="K134" s="54"/>
      <c r="L134" s="54"/>
      <c r="M134" s="19"/>
      <c r="N134" s="54"/>
      <c r="O134" s="21"/>
      <c r="P134" s="5"/>
    </row>
    <row r="135" spans="1:16" s="4" customFormat="1" x14ac:dyDescent="0.15">
      <c r="A135" s="15"/>
      <c r="B135" s="16"/>
      <c r="C135" s="16"/>
      <c r="D135" s="16"/>
      <c r="E135" s="17"/>
      <c r="F135" s="16"/>
      <c r="G135" s="16"/>
      <c r="H135" s="16"/>
      <c r="I135" s="16"/>
      <c r="J135" s="54"/>
      <c r="K135" s="54"/>
      <c r="L135" s="54"/>
      <c r="M135" s="19"/>
      <c r="N135" s="54"/>
      <c r="O135" s="21"/>
      <c r="P135" s="5"/>
    </row>
    <row r="136" spans="1:16" s="4" customFormat="1" x14ac:dyDescent="0.15">
      <c r="A136" s="15"/>
      <c r="B136" s="16"/>
      <c r="C136" s="16"/>
      <c r="D136" s="16"/>
      <c r="E136" s="17"/>
      <c r="F136" s="16"/>
      <c r="G136" s="16"/>
      <c r="H136" s="16"/>
      <c r="I136" s="16"/>
      <c r="J136" s="54"/>
      <c r="K136" s="54"/>
      <c r="L136" s="54"/>
      <c r="M136" s="19"/>
      <c r="N136" s="54"/>
      <c r="O136" s="21"/>
      <c r="P136" s="5"/>
    </row>
    <row r="137" spans="1:16" s="4" customFormat="1" x14ac:dyDescent="0.15">
      <c r="A137" s="15"/>
      <c r="B137" s="16"/>
      <c r="C137" s="16"/>
      <c r="D137" s="16"/>
      <c r="E137" s="17"/>
      <c r="F137" s="16"/>
      <c r="G137" s="16"/>
      <c r="H137" s="16"/>
      <c r="I137" s="16"/>
      <c r="J137" s="54"/>
      <c r="K137" s="54"/>
      <c r="L137" s="54"/>
      <c r="M137" s="19"/>
      <c r="N137" s="54"/>
      <c r="O137" s="21"/>
      <c r="P137" s="5"/>
    </row>
    <row r="138" spans="1:16" s="4" customFormat="1" x14ac:dyDescent="0.15">
      <c r="A138" s="15"/>
      <c r="B138" s="16"/>
      <c r="C138" s="16"/>
      <c r="D138" s="16"/>
      <c r="E138" s="17"/>
      <c r="F138" s="16"/>
      <c r="G138" s="16"/>
      <c r="H138" s="16"/>
      <c r="I138" s="16"/>
      <c r="J138" s="54"/>
      <c r="K138" s="54"/>
      <c r="L138" s="54"/>
      <c r="M138" s="19"/>
      <c r="N138" s="54"/>
      <c r="O138" s="21"/>
      <c r="P138" s="5"/>
    </row>
    <row r="139" spans="1:16" s="4" customFormat="1" x14ac:dyDescent="0.15">
      <c r="A139" s="15"/>
      <c r="B139" s="16"/>
      <c r="C139" s="16"/>
      <c r="D139" s="16"/>
      <c r="E139" s="17"/>
      <c r="F139" s="16"/>
      <c r="G139" s="16"/>
      <c r="H139" s="16"/>
      <c r="I139" s="16"/>
      <c r="J139" s="54"/>
      <c r="K139" s="54"/>
      <c r="L139" s="54"/>
      <c r="M139" s="19"/>
      <c r="N139" s="54"/>
      <c r="O139" s="21"/>
      <c r="P139" s="5"/>
    </row>
    <row r="140" spans="1:16" s="4" customFormat="1" x14ac:dyDescent="0.15">
      <c r="A140" s="15"/>
      <c r="B140" s="16"/>
      <c r="C140" s="16"/>
      <c r="D140" s="16"/>
      <c r="E140" s="17"/>
      <c r="F140" s="16"/>
      <c r="G140" s="16"/>
      <c r="H140" s="16"/>
      <c r="I140" s="16"/>
      <c r="J140" s="54"/>
      <c r="K140" s="54"/>
      <c r="L140" s="54"/>
      <c r="M140" s="19"/>
      <c r="N140" s="54"/>
      <c r="O140" s="21"/>
      <c r="P140" s="5"/>
    </row>
    <row r="141" spans="1:16" s="4" customFormat="1" x14ac:dyDescent="0.15">
      <c r="A141" s="15"/>
      <c r="B141" s="16"/>
      <c r="C141" s="16"/>
      <c r="D141" s="16"/>
      <c r="E141" s="17"/>
      <c r="F141" s="16"/>
      <c r="G141" s="16"/>
      <c r="H141" s="16"/>
      <c r="I141" s="16"/>
      <c r="J141" s="54"/>
      <c r="K141" s="54"/>
      <c r="L141" s="54"/>
      <c r="M141" s="19"/>
      <c r="N141" s="54"/>
      <c r="O141" s="21"/>
      <c r="P141" s="5"/>
    </row>
    <row r="142" spans="1:16" s="4" customFormat="1" x14ac:dyDescent="0.15">
      <c r="A142" s="15"/>
      <c r="B142" s="16"/>
      <c r="C142" s="16"/>
      <c r="D142" s="16"/>
      <c r="E142" s="17"/>
      <c r="F142" s="16"/>
      <c r="G142" s="16"/>
      <c r="H142" s="16"/>
      <c r="I142" s="16"/>
      <c r="J142" s="54"/>
      <c r="K142" s="54"/>
      <c r="L142" s="54"/>
      <c r="M142" s="19"/>
      <c r="N142" s="54"/>
      <c r="O142" s="21"/>
      <c r="P142" s="5"/>
    </row>
    <row r="143" spans="1:16" s="4" customFormat="1" x14ac:dyDescent="0.15">
      <c r="A143" s="15"/>
      <c r="B143" s="16"/>
      <c r="C143" s="16"/>
      <c r="D143" s="16"/>
      <c r="E143" s="17"/>
      <c r="F143" s="16"/>
      <c r="G143" s="16"/>
      <c r="H143" s="16"/>
      <c r="I143" s="16"/>
      <c r="J143" s="54"/>
      <c r="K143" s="54"/>
      <c r="L143" s="54"/>
      <c r="M143" s="19"/>
      <c r="N143" s="54"/>
      <c r="O143" s="21"/>
      <c r="P143" s="5"/>
    </row>
    <row r="144" spans="1:16" s="4" customFormat="1" x14ac:dyDescent="0.15">
      <c r="A144" s="15"/>
      <c r="B144" s="16"/>
      <c r="C144" s="16"/>
      <c r="D144" s="16"/>
      <c r="E144" s="17"/>
      <c r="F144" s="16"/>
      <c r="G144" s="16"/>
      <c r="H144" s="16"/>
      <c r="I144" s="16"/>
      <c r="J144" s="54"/>
      <c r="K144" s="54"/>
      <c r="L144" s="54"/>
      <c r="M144" s="19"/>
      <c r="N144" s="54"/>
      <c r="O144" s="21"/>
      <c r="P144" s="5"/>
    </row>
    <row r="145" spans="1:16" s="4" customFormat="1" x14ac:dyDescent="0.15">
      <c r="A145" s="15"/>
      <c r="B145" s="16"/>
      <c r="C145" s="16"/>
      <c r="D145" s="16"/>
      <c r="E145" s="17"/>
      <c r="F145" s="16"/>
      <c r="G145" s="16"/>
      <c r="H145" s="16"/>
      <c r="I145" s="16"/>
      <c r="J145" s="54"/>
      <c r="K145" s="54"/>
      <c r="L145" s="54"/>
      <c r="M145" s="19"/>
      <c r="N145" s="54"/>
      <c r="O145" s="21"/>
      <c r="P145" s="5"/>
    </row>
    <row r="146" spans="1:16" s="4" customFormat="1" x14ac:dyDescent="0.15">
      <c r="A146" s="15"/>
      <c r="B146" s="16"/>
      <c r="C146" s="16"/>
      <c r="D146" s="16"/>
      <c r="E146" s="17"/>
      <c r="F146" s="16"/>
      <c r="G146" s="16"/>
      <c r="H146" s="16"/>
      <c r="I146" s="16"/>
      <c r="J146" s="54"/>
      <c r="K146" s="54"/>
      <c r="L146" s="54"/>
      <c r="M146" s="19"/>
      <c r="N146" s="54"/>
      <c r="O146" s="21"/>
      <c r="P146" s="5"/>
    </row>
    <row r="147" spans="1:16" s="4" customFormat="1" x14ac:dyDescent="0.15">
      <c r="A147" s="15"/>
      <c r="B147" s="16"/>
      <c r="C147" s="16"/>
      <c r="D147" s="16"/>
      <c r="E147" s="17"/>
      <c r="F147" s="16"/>
      <c r="G147" s="16"/>
      <c r="H147" s="16"/>
      <c r="I147" s="16"/>
      <c r="J147" s="54"/>
      <c r="K147" s="54"/>
      <c r="L147" s="54"/>
      <c r="M147" s="19"/>
      <c r="N147" s="54"/>
      <c r="O147" s="21"/>
      <c r="P147" s="5"/>
    </row>
    <row r="148" spans="1:16" s="4" customFormat="1" x14ac:dyDescent="0.15">
      <c r="A148" s="15"/>
      <c r="B148" s="16"/>
      <c r="C148" s="16"/>
      <c r="D148" s="16"/>
      <c r="E148" s="17"/>
      <c r="F148" s="16"/>
      <c r="G148" s="16"/>
      <c r="H148" s="16"/>
      <c r="I148" s="16"/>
      <c r="J148" s="54"/>
      <c r="K148" s="54"/>
      <c r="L148" s="54"/>
      <c r="M148" s="19"/>
      <c r="N148" s="54"/>
      <c r="O148" s="21"/>
      <c r="P148" s="5"/>
    </row>
    <row r="149" spans="1:16" s="4" customFormat="1" x14ac:dyDescent="0.15">
      <c r="A149" s="15"/>
      <c r="B149" s="16"/>
      <c r="C149" s="16"/>
      <c r="D149" s="16"/>
      <c r="E149" s="17"/>
      <c r="F149" s="16"/>
      <c r="G149" s="16"/>
      <c r="H149" s="16"/>
      <c r="I149" s="16"/>
      <c r="J149" s="54"/>
      <c r="K149" s="54"/>
      <c r="L149" s="54"/>
      <c r="M149" s="19"/>
      <c r="N149" s="54"/>
      <c r="O149" s="21"/>
      <c r="P149" s="5"/>
    </row>
    <row r="150" spans="1:16" s="4" customFormat="1" x14ac:dyDescent="0.15">
      <c r="A150" s="15"/>
      <c r="B150" s="16"/>
      <c r="C150" s="16"/>
      <c r="D150" s="16"/>
      <c r="E150" s="17"/>
      <c r="F150" s="16"/>
      <c r="G150" s="16"/>
      <c r="H150" s="16"/>
      <c r="I150" s="16"/>
      <c r="J150" s="54"/>
      <c r="K150" s="54"/>
      <c r="L150" s="54"/>
      <c r="M150" s="19"/>
      <c r="N150" s="54"/>
      <c r="O150" s="21"/>
      <c r="P150" s="5"/>
    </row>
    <row r="151" spans="1:16" s="4" customFormat="1" x14ac:dyDescent="0.15">
      <c r="A151" s="15"/>
      <c r="B151" s="16"/>
      <c r="C151" s="16"/>
      <c r="D151" s="16"/>
      <c r="E151" s="17"/>
      <c r="F151" s="16"/>
      <c r="G151" s="16"/>
      <c r="H151" s="16"/>
      <c r="I151" s="16"/>
      <c r="J151" s="54"/>
      <c r="K151" s="54"/>
      <c r="L151" s="54"/>
      <c r="M151" s="19"/>
      <c r="N151" s="54"/>
      <c r="O151" s="21"/>
      <c r="P151" s="5"/>
    </row>
    <row r="152" spans="1:16" s="4" customFormat="1" x14ac:dyDescent="0.15">
      <c r="A152" s="15"/>
      <c r="B152" s="16"/>
      <c r="C152" s="16"/>
      <c r="D152" s="16"/>
      <c r="E152" s="17"/>
      <c r="F152" s="16"/>
      <c r="G152" s="16"/>
      <c r="H152" s="16"/>
      <c r="I152" s="16"/>
      <c r="J152" s="54"/>
      <c r="K152" s="54"/>
      <c r="L152" s="54"/>
      <c r="M152" s="19"/>
      <c r="N152" s="54"/>
      <c r="O152" s="21"/>
      <c r="P152" s="5"/>
    </row>
    <row r="153" spans="1:16" s="4" customFormat="1" x14ac:dyDescent="0.15">
      <c r="A153" s="15"/>
      <c r="B153" s="16"/>
      <c r="C153" s="16"/>
      <c r="D153" s="16"/>
      <c r="E153" s="17"/>
      <c r="F153" s="16"/>
      <c r="G153" s="16"/>
      <c r="H153" s="16"/>
      <c r="I153" s="16"/>
      <c r="J153" s="54"/>
      <c r="K153" s="54"/>
      <c r="L153" s="54"/>
      <c r="M153" s="19"/>
      <c r="N153" s="54"/>
      <c r="O153" s="21"/>
      <c r="P153" s="5"/>
    </row>
    <row r="154" spans="1:16" s="4" customFormat="1" x14ac:dyDescent="0.15">
      <c r="A154" s="15"/>
      <c r="B154" s="16"/>
      <c r="C154" s="16"/>
      <c r="D154" s="16"/>
      <c r="E154" s="17"/>
      <c r="F154" s="16"/>
      <c r="G154" s="16"/>
      <c r="H154" s="16"/>
      <c r="I154" s="16"/>
      <c r="J154" s="54"/>
      <c r="K154" s="54"/>
      <c r="L154" s="54"/>
      <c r="M154" s="19"/>
      <c r="N154" s="54"/>
      <c r="O154" s="21"/>
      <c r="P154" s="5"/>
    </row>
    <row r="155" spans="1:16" s="4" customFormat="1" x14ac:dyDescent="0.15">
      <c r="A155" s="15"/>
      <c r="B155" s="16"/>
      <c r="C155" s="16"/>
      <c r="D155" s="16"/>
      <c r="E155" s="17"/>
      <c r="F155" s="16"/>
      <c r="G155" s="16"/>
      <c r="H155" s="16"/>
      <c r="I155" s="16"/>
      <c r="J155" s="54"/>
      <c r="K155" s="54"/>
      <c r="L155" s="54"/>
      <c r="M155" s="19"/>
      <c r="N155" s="54"/>
      <c r="O155" s="21"/>
      <c r="P155" s="5"/>
    </row>
    <row r="156" spans="1:16" s="4" customFormat="1" x14ac:dyDescent="0.15">
      <c r="A156" s="15"/>
      <c r="B156" s="16"/>
      <c r="C156" s="16"/>
      <c r="D156" s="16"/>
      <c r="E156" s="17"/>
      <c r="F156" s="16"/>
      <c r="G156" s="16"/>
      <c r="H156" s="16"/>
      <c r="I156" s="16"/>
      <c r="J156" s="54"/>
      <c r="K156" s="54"/>
      <c r="L156" s="54"/>
      <c r="M156" s="19"/>
      <c r="N156" s="54"/>
      <c r="O156" s="21"/>
      <c r="P156" s="5"/>
    </row>
    <row r="157" spans="1:16" s="4" customFormat="1" x14ac:dyDescent="0.15">
      <c r="A157" s="15"/>
      <c r="B157" s="16"/>
      <c r="C157" s="16"/>
      <c r="D157" s="16"/>
      <c r="E157" s="17"/>
      <c r="F157" s="16"/>
      <c r="G157" s="16"/>
      <c r="H157" s="16"/>
      <c r="I157" s="16"/>
      <c r="J157" s="54"/>
      <c r="K157" s="54"/>
      <c r="L157" s="54"/>
      <c r="M157" s="19"/>
      <c r="N157" s="54"/>
      <c r="O157" s="21"/>
      <c r="P157" s="5"/>
    </row>
    <row r="158" spans="1:16" s="4" customFormat="1" x14ac:dyDescent="0.15">
      <c r="A158" s="15"/>
      <c r="B158" s="16"/>
      <c r="C158" s="16"/>
      <c r="D158" s="16"/>
      <c r="E158" s="17"/>
      <c r="F158" s="16"/>
      <c r="G158" s="16"/>
      <c r="H158" s="16"/>
      <c r="I158" s="16"/>
      <c r="J158" s="54"/>
      <c r="K158" s="54"/>
      <c r="L158" s="54"/>
      <c r="M158" s="19"/>
      <c r="N158" s="54"/>
      <c r="O158" s="21"/>
      <c r="P158" s="5"/>
    </row>
    <row r="159" spans="1:16" s="4" customFormat="1" x14ac:dyDescent="0.15">
      <c r="A159" s="15"/>
      <c r="B159" s="16"/>
      <c r="C159" s="16"/>
      <c r="D159" s="16"/>
      <c r="E159" s="17"/>
      <c r="F159" s="16"/>
      <c r="G159" s="16"/>
      <c r="H159" s="16"/>
      <c r="I159" s="16"/>
      <c r="J159" s="54"/>
      <c r="K159" s="54"/>
      <c r="L159" s="54"/>
      <c r="M159" s="19"/>
      <c r="N159" s="54"/>
      <c r="O159" s="21"/>
      <c r="P159" s="5"/>
    </row>
    <row r="160" spans="1:16" s="4" customFormat="1" x14ac:dyDescent="0.15">
      <c r="A160" s="15"/>
      <c r="B160" s="16"/>
      <c r="C160" s="16"/>
      <c r="D160" s="16"/>
      <c r="E160" s="17"/>
      <c r="F160" s="16"/>
      <c r="G160" s="16"/>
      <c r="H160" s="16"/>
      <c r="I160" s="16"/>
      <c r="J160" s="54"/>
      <c r="K160" s="54"/>
      <c r="L160" s="54"/>
      <c r="M160" s="19"/>
      <c r="N160" s="54"/>
      <c r="O160" s="21"/>
      <c r="P160" s="5"/>
    </row>
    <row r="161" spans="1:16" s="4" customFormat="1" x14ac:dyDescent="0.15">
      <c r="A161" s="15"/>
      <c r="B161" s="16"/>
      <c r="C161" s="16"/>
      <c r="D161" s="16"/>
      <c r="E161" s="17"/>
      <c r="F161" s="16"/>
      <c r="G161" s="16"/>
      <c r="H161" s="16"/>
      <c r="I161" s="16"/>
      <c r="J161" s="54"/>
      <c r="K161" s="54"/>
      <c r="L161" s="54"/>
      <c r="M161" s="19"/>
      <c r="N161" s="54"/>
      <c r="O161" s="21"/>
      <c r="P161" s="5"/>
    </row>
    <row r="162" spans="1:16" s="4" customFormat="1" x14ac:dyDescent="0.15">
      <c r="A162" s="15"/>
      <c r="B162" s="16"/>
      <c r="C162" s="16"/>
      <c r="D162" s="16"/>
      <c r="E162" s="17"/>
      <c r="F162" s="16"/>
      <c r="G162" s="16"/>
      <c r="H162" s="16"/>
      <c r="I162" s="16"/>
      <c r="J162" s="54"/>
      <c r="K162" s="54"/>
      <c r="L162" s="54"/>
      <c r="M162" s="19"/>
      <c r="N162" s="54"/>
      <c r="O162" s="21"/>
      <c r="P162" s="5"/>
    </row>
    <row r="163" spans="1:16" s="4" customFormat="1" x14ac:dyDescent="0.15">
      <c r="A163" s="15"/>
      <c r="B163" s="16"/>
      <c r="C163" s="16"/>
      <c r="D163" s="16"/>
      <c r="E163" s="17"/>
      <c r="F163" s="16"/>
      <c r="G163" s="16"/>
      <c r="H163" s="16"/>
      <c r="I163" s="16"/>
      <c r="J163" s="54"/>
      <c r="K163" s="54"/>
      <c r="L163" s="54"/>
      <c r="M163" s="19"/>
      <c r="N163" s="54"/>
      <c r="O163" s="21"/>
      <c r="P163" s="5"/>
    </row>
    <row r="164" spans="1:16" s="4" customFormat="1" x14ac:dyDescent="0.15">
      <c r="A164" s="15"/>
      <c r="B164" s="16"/>
      <c r="C164" s="16"/>
      <c r="D164" s="16"/>
      <c r="E164" s="17"/>
      <c r="F164" s="16"/>
      <c r="G164" s="16"/>
      <c r="H164" s="16"/>
      <c r="I164" s="16"/>
      <c r="J164" s="54"/>
      <c r="K164" s="54"/>
      <c r="L164" s="54"/>
      <c r="M164" s="19"/>
      <c r="N164" s="54"/>
      <c r="O164" s="21"/>
      <c r="P164" s="5"/>
    </row>
    <row r="165" spans="1:16" s="4" customFormat="1" x14ac:dyDescent="0.15">
      <c r="A165" s="15"/>
      <c r="B165" s="16"/>
      <c r="C165" s="16"/>
      <c r="D165" s="16"/>
      <c r="E165" s="17"/>
      <c r="F165" s="16"/>
      <c r="G165" s="16"/>
      <c r="H165" s="16"/>
      <c r="I165" s="16"/>
      <c r="J165" s="54"/>
      <c r="K165" s="54"/>
      <c r="L165" s="54"/>
      <c r="M165" s="19"/>
      <c r="N165" s="54"/>
      <c r="O165" s="21"/>
      <c r="P165" s="5"/>
    </row>
    <row r="166" spans="1:16" s="4" customFormat="1" x14ac:dyDescent="0.15">
      <c r="A166" s="15"/>
      <c r="B166" s="16"/>
      <c r="C166" s="16"/>
      <c r="D166" s="16"/>
      <c r="E166" s="17"/>
      <c r="F166" s="16"/>
      <c r="G166" s="16"/>
      <c r="H166" s="16"/>
      <c r="I166" s="16"/>
      <c r="J166" s="54"/>
      <c r="K166" s="54"/>
      <c r="L166" s="54"/>
      <c r="M166" s="19"/>
      <c r="N166" s="54"/>
      <c r="O166" s="21"/>
      <c r="P166" s="5"/>
    </row>
    <row r="167" spans="1:16" s="4" customFormat="1" x14ac:dyDescent="0.15">
      <c r="A167" s="15"/>
      <c r="B167" s="16"/>
      <c r="C167" s="16"/>
      <c r="D167" s="16"/>
      <c r="E167" s="17"/>
      <c r="F167" s="16"/>
      <c r="G167" s="16"/>
      <c r="H167" s="16"/>
      <c r="I167" s="16"/>
      <c r="J167" s="54"/>
      <c r="K167" s="54"/>
      <c r="L167" s="54"/>
      <c r="M167" s="19"/>
      <c r="N167" s="54"/>
      <c r="O167" s="21"/>
      <c r="P167" s="5"/>
    </row>
    <row r="168" spans="1:16" s="4" customFormat="1" x14ac:dyDescent="0.15">
      <c r="A168" s="15"/>
      <c r="B168" s="16"/>
      <c r="C168" s="16"/>
      <c r="D168" s="16"/>
      <c r="E168" s="17"/>
      <c r="F168" s="16"/>
      <c r="G168" s="16"/>
      <c r="H168" s="16"/>
      <c r="I168" s="16"/>
      <c r="J168" s="54"/>
      <c r="K168" s="54"/>
      <c r="L168" s="54"/>
      <c r="M168" s="19"/>
      <c r="N168" s="54"/>
      <c r="O168" s="21"/>
      <c r="P168" s="5"/>
    </row>
    <row r="169" spans="1:16" s="4" customFormat="1" x14ac:dyDescent="0.15">
      <c r="A169" s="15"/>
      <c r="B169" s="16"/>
      <c r="C169" s="16"/>
      <c r="D169" s="16"/>
      <c r="E169" s="17"/>
      <c r="F169" s="16"/>
      <c r="G169" s="16"/>
      <c r="H169" s="16"/>
      <c r="I169" s="16"/>
      <c r="J169" s="54"/>
      <c r="K169" s="54"/>
      <c r="L169" s="54"/>
      <c r="M169" s="19"/>
      <c r="N169" s="54"/>
      <c r="O169" s="21"/>
      <c r="P169" s="5"/>
    </row>
    <row r="170" spans="1:16" s="4" customFormat="1" x14ac:dyDescent="0.15">
      <c r="A170" s="15"/>
      <c r="B170" s="16"/>
      <c r="C170" s="16"/>
      <c r="D170" s="16"/>
      <c r="E170" s="17"/>
      <c r="F170" s="16"/>
      <c r="G170" s="16"/>
      <c r="H170" s="16"/>
      <c r="I170" s="16"/>
      <c r="J170" s="54"/>
      <c r="K170" s="54"/>
      <c r="L170" s="54"/>
      <c r="M170" s="19"/>
      <c r="N170" s="54"/>
      <c r="O170" s="21"/>
      <c r="P170" s="5"/>
    </row>
    <row r="171" spans="1:16" s="4" customFormat="1" x14ac:dyDescent="0.15">
      <c r="A171" s="15"/>
      <c r="B171" s="16"/>
      <c r="C171" s="16"/>
      <c r="D171" s="16"/>
      <c r="E171" s="17"/>
      <c r="F171" s="16"/>
      <c r="G171" s="16"/>
      <c r="H171" s="16"/>
      <c r="I171" s="16"/>
      <c r="J171" s="54"/>
      <c r="K171" s="54"/>
      <c r="L171" s="54"/>
      <c r="M171" s="19"/>
      <c r="N171" s="54"/>
      <c r="O171" s="21"/>
      <c r="P171" s="5"/>
    </row>
    <row r="172" spans="1:16" s="4" customFormat="1" x14ac:dyDescent="0.15">
      <c r="A172" s="15"/>
      <c r="B172" s="16"/>
      <c r="C172" s="16"/>
      <c r="D172" s="16"/>
      <c r="E172" s="17"/>
      <c r="F172" s="16"/>
      <c r="G172" s="16"/>
      <c r="H172" s="16"/>
      <c r="I172" s="16"/>
      <c r="J172" s="54"/>
      <c r="K172" s="54"/>
      <c r="L172" s="54"/>
      <c r="M172" s="19"/>
      <c r="N172" s="54"/>
      <c r="O172" s="21"/>
      <c r="P172" s="5"/>
    </row>
    <row r="173" spans="1:16" s="4" customFormat="1" x14ac:dyDescent="0.15">
      <c r="A173" s="15"/>
      <c r="B173" s="16"/>
      <c r="C173" s="16"/>
      <c r="D173" s="16"/>
      <c r="E173" s="17"/>
      <c r="F173" s="16"/>
      <c r="G173" s="16"/>
      <c r="H173" s="16"/>
      <c r="I173" s="16"/>
      <c r="J173" s="54"/>
      <c r="K173" s="54"/>
      <c r="L173" s="54"/>
      <c r="M173" s="19"/>
      <c r="N173" s="54"/>
      <c r="O173" s="21"/>
      <c r="P173" s="5"/>
    </row>
    <row r="174" spans="1:16" s="4" customFormat="1" x14ac:dyDescent="0.15">
      <c r="A174" s="15"/>
      <c r="B174" s="16"/>
      <c r="C174" s="16"/>
      <c r="D174" s="16"/>
      <c r="E174" s="17"/>
      <c r="F174" s="16"/>
      <c r="G174" s="16"/>
      <c r="H174" s="16"/>
      <c r="I174" s="16"/>
      <c r="J174" s="54"/>
      <c r="K174" s="54"/>
      <c r="L174" s="54"/>
      <c r="M174" s="19"/>
      <c r="N174" s="54"/>
      <c r="O174" s="21"/>
      <c r="P174" s="5"/>
    </row>
    <row r="175" spans="1:16" s="4" customFormat="1" x14ac:dyDescent="0.15">
      <c r="A175" s="15"/>
      <c r="B175" s="16"/>
      <c r="C175" s="16"/>
      <c r="D175" s="16"/>
      <c r="E175" s="17"/>
      <c r="F175" s="16"/>
      <c r="G175" s="16"/>
      <c r="H175" s="16"/>
      <c r="I175" s="16"/>
      <c r="J175" s="54"/>
      <c r="K175" s="54"/>
      <c r="L175" s="54"/>
      <c r="M175" s="19"/>
      <c r="N175" s="54"/>
      <c r="O175" s="21"/>
      <c r="P175" s="5"/>
    </row>
    <row r="176" spans="1:16" s="4" customFormat="1" x14ac:dyDescent="0.15">
      <c r="A176" s="15"/>
      <c r="B176" s="16"/>
      <c r="C176" s="16"/>
      <c r="D176" s="16"/>
      <c r="E176" s="17"/>
      <c r="F176" s="16"/>
      <c r="G176" s="16"/>
      <c r="H176" s="16"/>
      <c r="I176" s="16"/>
      <c r="J176" s="54"/>
      <c r="K176" s="54"/>
      <c r="L176" s="54"/>
      <c r="M176" s="19"/>
      <c r="N176" s="54"/>
      <c r="O176" s="21"/>
      <c r="P176" s="5"/>
    </row>
    <row r="177" spans="1:16" s="4" customFormat="1" x14ac:dyDescent="0.15">
      <c r="A177" s="15"/>
      <c r="B177" s="16"/>
      <c r="C177" s="16"/>
      <c r="D177" s="16"/>
      <c r="E177" s="17"/>
      <c r="F177" s="16"/>
      <c r="G177" s="16"/>
      <c r="H177" s="16"/>
      <c r="I177" s="16"/>
      <c r="J177" s="54"/>
      <c r="K177" s="54"/>
      <c r="L177" s="54"/>
      <c r="M177" s="19"/>
      <c r="N177" s="54"/>
      <c r="O177" s="21"/>
      <c r="P177" s="5"/>
    </row>
    <row r="178" spans="1:16" s="4" customFormat="1" x14ac:dyDescent="0.15">
      <c r="A178" s="15"/>
      <c r="B178" s="16"/>
      <c r="C178" s="16"/>
      <c r="D178" s="16"/>
      <c r="E178" s="17"/>
      <c r="F178" s="16"/>
      <c r="G178" s="16"/>
      <c r="H178" s="16"/>
      <c r="I178" s="16"/>
      <c r="J178" s="54"/>
      <c r="K178" s="54"/>
      <c r="L178" s="54"/>
      <c r="M178" s="19"/>
      <c r="N178" s="54"/>
      <c r="O178" s="21"/>
      <c r="P178" s="5"/>
    </row>
    <row r="179" spans="1:16" s="4" customFormat="1" x14ac:dyDescent="0.15">
      <c r="A179" s="15"/>
      <c r="B179" s="16"/>
      <c r="C179" s="16"/>
      <c r="D179" s="16"/>
      <c r="E179" s="17"/>
      <c r="F179" s="16"/>
      <c r="G179" s="16"/>
      <c r="H179" s="16"/>
      <c r="I179" s="16"/>
      <c r="J179" s="54"/>
      <c r="K179" s="54"/>
      <c r="L179" s="54"/>
      <c r="M179" s="19"/>
      <c r="N179" s="54"/>
      <c r="O179" s="21"/>
      <c r="P179" s="5"/>
    </row>
    <row r="180" spans="1:16" s="4" customFormat="1" x14ac:dyDescent="0.15">
      <c r="A180" s="15"/>
      <c r="B180" s="16"/>
      <c r="C180" s="16"/>
      <c r="D180" s="16"/>
      <c r="E180" s="17"/>
      <c r="F180" s="16"/>
      <c r="G180" s="16"/>
      <c r="H180" s="16"/>
      <c r="I180" s="16"/>
      <c r="J180" s="54"/>
      <c r="K180" s="54"/>
      <c r="L180" s="54"/>
      <c r="M180" s="19"/>
      <c r="N180" s="54"/>
      <c r="O180" s="21"/>
      <c r="P180" s="5"/>
    </row>
    <row r="181" spans="1:16" s="4" customFormat="1" x14ac:dyDescent="0.15">
      <c r="A181" s="15"/>
      <c r="B181" s="16"/>
      <c r="C181" s="16"/>
      <c r="D181" s="16"/>
      <c r="E181" s="17"/>
      <c r="F181" s="16"/>
      <c r="G181" s="16"/>
      <c r="H181" s="16"/>
      <c r="I181" s="16"/>
      <c r="J181" s="54"/>
      <c r="K181" s="54"/>
      <c r="L181" s="54"/>
      <c r="M181" s="19"/>
      <c r="N181" s="54"/>
      <c r="O181" s="21"/>
      <c r="P181" s="5"/>
    </row>
    <row r="182" spans="1:16" s="4" customFormat="1" x14ac:dyDescent="0.15">
      <c r="A182" s="15"/>
      <c r="B182" s="16"/>
      <c r="C182" s="16"/>
      <c r="D182" s="16"/>
      <c r="E182" s="17"/>
      <c r="F182" s="16"/>
      <c r="G182" s="16"/>
      <c r="H182" s="16"/>
      <c r="I182" s="16"/>
      <c r="J182" s="54"/>
      <c r="K182" s="54"/>
      <c r="L182" s="54"/>
      <c r="M182" s="19"/>
      <c r="N182" s="54"/>
      <c r="O182" s="21"/>
      <c r="P182" s="5"/>
    </row>
    <row r="183" spans="1:16" s="4" customFormat="1" x14ac:dyDescent="0.15">
      <c r="A183" s="15"/>
      <c r="B183" s="16"/>
      <c r="C183" s="16"/>
      <c r="D183" s="16"/>
      <c r="E183" s="17"/>
      <c r="F183" s="16"/>
      <c r="G183" s="16"/>
      <c r="H183" s="16"/>
      <c r="I183" s="16"/>
      <c r="J183" s="54"/>
      <c r="K183" s="54"/>
      <c r="L183" s="54"/>
      <c r="M183" s="19"/>
      <c r="N183" s="54"/>
      <c r="O183" s="21"/>
      <c r="P183" s="5"/>
    </row>
    <row r="184" spans="1:16" s="4" customFormat="1" x14ac:dyDescent="0.15">
      <c r="A184" s="15"/>
      <c r="B184" s="16"/>
      <c r="C184" s="16"/>
      <c r="D184" s="16"/>
      <c r="E184" s="17"/>
      <c r="F184" s="16"/>
      <c r="G184" s="16"/>
      <c r="H184" s="16"/>
      <c r="I184" s="16"/>
      <c r="J184" s="54"/>
      <c r="K184" s="54"/>
      <c r="L184" s="54"/>
      <c r="M184" s="19"/>
      <c r="N184" s="54"/>
      <c r="O184" s="21"/>
      <c r="P184" s="5"/>
    </row>
    <row r="185" spans="1:16" s="4" customFormat="1" x14ac:dyDescent="0.15">
      <c r="A185" s="15"/>
      <c r="B185" s="16"/>
      <c r="C185" s="16"/>
      <c r="D185" s="16"/>
      <c r="E185" s="17"/>
      <c r="F185" s="16"/>
      <c r="G185" s="16"/>
      <c r="H185" s="16"/>
      <c r="I185" s="16"/>
      <c r="J185" s="54"/>
      <c r="K185" s="54"/>
      <c r="L185" s="54"/>
      <c r="M185" s="19"/>
      <c r="N185" s="54"/>
      <c r="O185" s="21"/>
      <c r="P185" s="5"/>
    </row>
    <row r="186" spans="1:16" s="4" customFormat="1" x14ac:dyDescent="0.15">
      <c r="A186" s="15"/>
      <c r="B186" s="16"/>
      <c r="C186" s="16"/>
      <c r="D186" s="16"/>
      <c r="E186" s="17"/>
      <c r="F186" s="16"/>
      <c r="G186" s="16"/>
      <c r="H186" s="16"/>
      <c r="I186" s="16"/>
      <c r="J186" s="54"/>
      <c r="K186" s="54"/>
      <c r="L186" s="54"/>
      <c r="M186" s="19"/>
      <c r="N186" s="54"/>
      <c r="O186" s="21"/>
      <c r="P186" s="5"/>
    </row>
    <row r="187" spans="1:16" s="4" customFormat="1" x14ac:dyDescent="0.15">
      <c r="A187" s="15"/>
      <c r="B187" s="16"/>
      <c r="C187" s="16"/>
      <c r="D187" s="16"/>
      <c r="E187" s="17"/>
      <c r="F187" s="16"/>
      <c r="G187" s="16"/>
      <c r="H187" s="16"/>
      <c r="I187" s="16"/>
      <c r="J187" s="54"/>
      <c r="K187" s="54"/>
      <c r="L187" s="54"/>
      <c r="M187" s="19"/>
      <c r="N187" s="54"/>
      <c r="O187" s="21"/>
      <c r="P187" s="5"/>
    </row>
    <row r="188" spans="1:16" s="4" customFormat="1" x14ac:dyDescent="0.15">
      <c r="A188" s="15"/>
      <c r="B188" s="16"/>
      <c r="C188" s="16"/>
      <c r="D188" s="16"/>
      <c r="E188" s="17"/>
      <c r="F188" s="16"/>
      <c r="G188" s="16"/>
      <c r="H188" s="16"/>
      <c r="I188" s="16"/>
      <c r="J188" s="54"/>
      <c r="K188" s="54"/>
      <c r="L188" s="54"/>
      <c r="M188" s="19"/>
      <c r="N188" s="54"/>
      <c r="O188" s="21"/>
      <c r="P188" s="5"/>
    </row>
    <row r="189" spans="1:16" s="4" customFormat="1" x14ac:dyDescent="0.15">
      <c r="A189" s="15"/>
      <c r="B189" s="16"/>
      <c r="C189" s="16"/>
      <c r="D189" s="16"/>
      <c r="E189" s="17"/>
      <c r="F189" s="16"/>
      <c r="G189" s="16"/>
      <c r="H189" s="16"/>
      <c r="I189" s="16"/>
      <c r="J189" s="54"/>
      <c r="K189" s="54"/>
      <c r="L189" s="54"/>
      <c r="M189" s="19"/>
      <c r="N189" s="54"/>
      <c r="O189" s="21"/>
      <c r="P189" s="5"/>
    </row>
    <row r="190" spans="1:16" s="4" customFormat="1" x14ac:dyDescent="0.15">
      <c r="A190" s="15"/>
      <c r="B190" s="16"/>
      <c r="C190" s="16"/>
      <c r="D190" s="16"/>
      <c r="E190" s="17"/>
      <c r="F190" s="16"/>
      <c r="G190" s="16"/>
      <c r="H190" s="16"/>
      <c r="I190" s="16"/>
      <c r="J190" s="54"/>
      <c r="K190" s="54"/>
      <c r="L190" s="54"/>
      <c r="M190" s="19"/>
      <c r="N190" s="54"/>
      <c r="O190" s="21"/>
      <c r="P190" s="5"/>
    </row>
    <row r="191" spans="1:16" s="4" customFormat="1" x14ac:dyDescent="0.15">
      <c r="A191" s="15"/>
      <c r="B191" s="16"/>
      <c r="C191" s="16"/>
      <c r="D191" s="16"/>
      <c r="E191" s="17"/>
      <c r="F191" s="16"/>
      <c r="G191" s="16"/>
      <c r="H191" s="16"/>
      <c r="I191" s="16"/>
      <c r="J191" s="54"/>
      <c r="K191" s="54"/>
      <c r="L191" s="54"/>
      <c r="M191" s="19"/>
      <c r="N191" s="54"/>
      <c r="O191" s="21"/>
      <c r="P191" s="5"/>
    </row>
    <row r="192" spans="1:16" s="4" customFormat="1" x14ac:dyDescent="0.15">
      <c r="A192" s="15"/>
      <c r="B192" s="16"/>
      <c r="C192" s="16"/>
      <c r="D192" s="16"/>
      <c r="E192" s="17"/>
      <c r="F192" s="16"/>
      <c r="G192" s="16"/>
      <c r="H192" s="16"/>
      <c r="I192" s="16"/>
      <c r="J192" s="54"/>
      <c r="K192" s="54"/>
      <c r="L192" s="54"/>
      <c r="M192" s="19"/>
      <c r="N192" s="54"/>
      <c r="O192" s="21"/>
      <c r="P192" s="5"/>
    </row>
    <row r="193" spans="1:16" s="4" customFormat="1" x14ac:dyDescent="0.15">
      <c r="A193" s="15"/>
      <c r="B193" s="16"/>
      <c r="C193" s="16"/>
      <c r="D193" s="16"/>
      <c r="E193" s="17"/>
      <c r="F193" s="16"/>
      <c r="G193" s="16"/>
      <c r="H193" s="16"/>
      <c r="I193" s="16"/>
      <c r="J193" s="54"/>
      <c r="K193" s="54"/>
      <c r="L193" s="54"/>
      <c r="M193" s="19"/>
      <c r="N193" s="54"/>
      <c r="O193" s="21"/>
      <c r="P193" s="5"/>
    </row>
    <row r="194" spans="1:16" s="4" customFormat="1" x14ac:dyDescent="0.15">
      <c r="A194" s="15"/>
      <c r="B194" s="16"/>
      <c r="C194" s="16"/>
      <c r="D194" s="16"/>
      <c r="E194" s="17"/>
      <c r="F194" s="16"/>
      <c r="G194" s="16"/>
      <c r="H194" s="16"/>
      <c r="I194" s="16"/>
      <c r="J194" s="54"/>
      <c r="K194" s="54"/>
      <c r="L194" s="54"/>
      <c r="M194" s="19"/>
      <c r="N194" s="54"/>
      <c r="O194" s="21"/>
      <c r="P194" s="5"/>
    </row>
    <row r="195" spans="1:16" s="4" customFormat="1" x14ac:dyDescent="0.15">
      <c r="A195" s="15"/>
      <c r="B195" s="16"/>
      <c r="C195" s="16"/>
      <c r="D195" s="16"/>
      <c r="E195" s="17"/>
      <c r="F195" s="16"/>
      <c r="G195" s="16"/>
      <c r="H195" s="16"/>
      <c r="I195" s="16"/>
      <c r="J195" s="54"/>
      <c r="K195" s="54"/>
      <c r="L195" s="54"/>
      <c r="M195" s="19"/>
      <c r="N195" s="54"/>
      <c r="O195" s="21"/>
      <c r="P195" s="5"/>
    </row>
    <row r="196" spans="1:16" s="4" customFormat="1" x14ac:dyDescent="0.15">
      <c r="A196" s="15"/>
      <c r="B196" s="16"/>
      <c r="C196" s="16"/>
      <c r="D196" s="16"/>
      <c r="E196" s="17"/>
      <c r="F196" s="16"/>
      <c r="G196" s="16"/>
      <c r="H196" s="16"/>
      <c r="I196" s="16"/>
      <c r="J196" s="54"/>
      <c r="K196" s="54"/>
      <c r="L196" s="54"/>
      <c r="M196" s="19"/>
      <c r="N196" s="54"/>
      <c r="O196" s="21"/>
      <c r="P196" s="5"/>
    </row>
    <row r="197" spans="1:16" s="4" customFormat="1" x14ac:dyDescent="0.15">
      <c r="A197" s="15"/>
      <c r="B197" s="16"/>
      <c r="C197" s="16"/>
      <c r="D197" s="16"/>
      <c r="E197" s="17"/>
      <c r="F197" s="16"/>
      <c r="G197" s="16"/>
      <c r="H197" s="16"/>
      <c r="I197" s="16"/>
      <c r="J197" s="54"/>
      <c r="K197" s="54"/>
      <c r="L197" s="54"/>
      <c r="M197" s="19"/>
      <c r="N197" s="54"/>
      <c r="O197" s="21"/>
      <c r="P197" s="5"/>
    </row>
    <row r="198" spans="1:16" s="4" customFormat="1" x14ac:dyDescent="0.15">
      <c r="A198" s="15"/>
      <c r="B198" s="16"/>
      <c r="C198" s="16"/>
      <c r="D198" s="16"/>
      <c r="E198" s="17"/>
      <c r="F198" s="16"/>
      <c r="G198" s="16"/>
      <c r="H198" s="16"/>
      <c r="I198" s="16"/>
      <c r="J198" s="54"/>
      <c r="K198" s="54"/>
      <c r="L198" s="54"/>
      <c r="M198" s="19"/>
      <c r="N198" s="54"/>
      <c r="O198" s="21"/>
      <c r="P198" s="5"/>
    </row>
    <row r="199" spans="1:16" s="4" customFormat="1" x14ac:dyDescent="0.15">
      <c r="A199" s="15"/>
      <c r="B199" s="16"/>
      <c r="C199" s="16"/>
      <c r="D199" s="16"/>
      <c r="E199" s="17"/>
      <c r="F199" s="16"/>
      <c r="G199" s="16"/>
      <c r="H199" s="16"/>
      <c r="I199" s="16"/>
      <c r="J199" s="54"/>
      <c r="K199" s="54"/>
      <c r="L199" s="54"/>
      <c r="M199" s="19"/>
      <c r="N199" s="54"/>
      <c r="O199" s="21"/>
      <c r="P199" s="5"/>
    </row>
    <row r="200" spans="1:16" s="4" customFormat="1" x14ac:dyDescent="0.15">
      <c r="A200" s="15"/>
      <c r="B200" s="16"/>
      <c r="C200" s="16"/>
      <c r="D200" s="16"/>
      <c r="E200" s="17"/>
      <c r="F200" s="16"/>
      <c r="G200" s="16"/>
      <c r="H200" s="16"/>
      <c r="I200" s="16"/>
      <c r="J200" s="54"/>
      <c r="K200" s="54"/>
      <c r="L200" s="54"/>
      <c r="M200" s="19"/>
      <c r="N200" s="54"/>
      <c r="O200" s="21"/>
      <c r="P200" s="5"/>
    </row>
    <row r="201" spans="1:16" s="4" customFormat="1" x14ac:dyDescent="0.15">
      <c r="A201" s="15"/>
      <c r="B201" s="16"/>
      <c r="C201" s="16"/>
      <c r="D201" s="16"/>
      <c r="E201" s="17"/>
      <c r="F201" s="16"/>
      <c r="G201" s="16"/>
      <c r="H201" s="16"/>
      <c r="I201" s="16"/>
      <c r="J201" s="54"/>
      <c r="K201" s="54"/>
      <c r="L201" s="54"/>
      <c r="M201" s="19"/>
      <c r="N201" s="54"/>
      <c r="O201" s="21"/>
      <c r="P201" s="5"/>
    </row>
    <row r="202" spans="1:16" s="4" customFormat="1" x14ac:dyDescent="0.15">
      <c r="A202" s="15"/>
      <c r="B202" s="16"/>
      <c r="C202" s="16"/>
      <c r="D202" s="16"/>
      <c r="E202" s="17"/>
      <c r="F202" s="16"/>
      <c r="G202" s="16"/>
      <c r="H202" s="16"/>
      <c r="I202" s="16"/>
      <c r="J202" s="54"/>
      <c r="K202" s="54"/>
      <c r="L202" s="54"/>
      <c r="M202" s="19"/>
      <c r="N202" s="54"/>
      <c r="O202" s="21"/>
      <c r="P202" s="5"/>
    </row>
    <row r="203" spans="1:16" s="4" customFormat="1" x14ac:dyDescent="0.15">
      <c r="A203" s="15"/>
      <c r="B203" s="16"/>
      <c r="C203" s="16"/>
      <c r="D203" s="16"/>
      <c r="E203" s="17"/>
      <c r="F203" s="16"/>
      <c r="G203" s="16"/>
      <c r="H203" s="16"/>
      <c r="I203" s="16"/>
      <c r="J203" s="54"/>
      <c r="K203" s="54"/>
      <c r="L203" s="54"/>
      <c r="M203" s="19"/>
      <c r="N203" s="54"/>
      <c r="O203" s="21"/>
      <c r="P203" s="5"/>
    </row>
    <row r="204" spans="1:16" s="4" customFormat="1" x14ac:dyDescent="0.15">
      <c r="A204" s="15"/>
      <c r="B204" s="16"/>
      <c r="C204" s="16"/>
      <c r="D204" s="16"/>
      <c r="E204" s="17"/>
      <c r="F204" s="16"/>
      <c r="G204" s="16"/>
      <c r="H204" s="16"/>
      <c r="I204" s="16"/>
      <c r="J204" s="54"/>
      <c r="K204" s="54"/>
      <c r="L204" s="54"/>
      <c r="M204" s="19"/>
      <c r="N204" s="54"/>
      <c r="O204" s="21"/>
      <c r="P204" s="5"/>
    </row>
    <row r="205" spans="1:16" s="4" customFormat="1" x14ac:dyDescent="0.15">
      <c r="A205" s="15"/>
      <c r="B205" s="16"/>
      <c r="C205" s="16"/>
      <c r="D205" s="16"/>
      <c r="E205" s="17"/>
      <c r="F205" s="16"/>
      <c r="G205" s="16"/>
      <c r="H205" s="16"/>
      <c r="I205" s="16"/>
      <c r="J205" s="54"/>
      <c r="K205" s="54"/>
      <c r="L205" s="54"/>
      <c r="M205" s="19"/>
      <c r="N205" s="54"/>
      <c r="O205" s="21"/>
      <c r="P205" s="5"/>
    </row>
  </sheetData>
  <sheetProtection algorithmName="SHA-512" hashValue="0AH3zw/6f0wBHCvf9VmojvnK3ufru37reEmEImBULkho3hogawKxMuFWWCxtVIXVMPc62cBwyO1UhqWLT390IQ==" saltValue="XpTOdPDa4s3RBpM6Ziu+8w==" spinCount="100000" sheet="1" objects="1" scenarios="1"/>
  <mergeCells count="13">
    <mergeCell ref="B60:D60"/>
    <mergeCell ref="F60:H60"/>
    <mergeCell ref="F1:K1"/>
    <mergeCell ref="B58:D58"/>
    <mergeCell ref="F58:H58"/>
    <mergeCell ref="B59:D59"/>
    <mergeCell ref="F59:H59"/>
    <mergeCell ref="B61:D61"/>
    <mergeCell ref="F61:H61"/>
    <mergeCell ref="B62:D62"/>
    <mergeCell ref="F62:H62"/>
    <mergeCell ref="B63:D63"/>
    <mergeCell ref="F63:H63"/>
  </mergeCells>
  <printOptions gridLines="1"/>
  <pageMargins left="0.70866141732283472" right="0.70866141732283472" top="0.63" bottom="0.57999999999999996" header="0.31496062992125984" footer="0.31496062992125984"/>
  <pageSetup paperSize="8" scale="73" fitToWidth="2" fitToHeight="2" orientation="landscape" r:id="rId1"/>
  <headerFooter>
    <oddHeader>&amp;C&amp;"-,Vet"&amp;14Dashboard uitgaven Wmo 18+ Maatwerk  Groningen</oddHeader>
    <oddFooter>&amp;L&amp;V Vertrouwelijk&amp;V&amp;C&amp;D&amp;RPagina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75484-D351-4BDD-B361-CF3C493E3866}">
  <sheetPr codeName="Blad6">
    <tabColor theme="5"/>
    <pageSetUpPr fitToPage="1"/>
  </sheetPr>
  <dimension ref="A1:AS204"/>
  <sheetViews>
    <sheetView zoomScale="75" zoomScaleNormal="75" workbookViewId="0"/>
  </sheetViews>
  <sheetFormatPr baseColWidth="10" defaultColWidth="9.5" defaultRowHeight="14" outlineLevelRow="1" x14ac:dyDescent="0.15"/>
  <cols>
    <col min="1" max="1" width="3.5" style="15" customWidth="1"/>
    <col min="2" max="2" width="50.5" style="55" customWidth="1"/>
    <col min="3" max="4" width="15.5" style="55" customWidth="1"/>
    <col min="5" max="5" width="16.83203125" style="56" customWidth="1"/>
    <col min="6" max="8" width="15.5" style="55" customWidth="1"/>
    <col min="9" max="9" width="3.5" style="16" customWidth="1"/>
    <col min="10" max="12" width="15.5" style="57" customWidth="1"/>
    <col min="13" max="13" width="3.1640625" style="19" customWidth="1"/>
    <col min="14" max="14" width="26.5" style="57" bestFit="1" customWidth="1"/>
    <col min="15" max="15" width="21.5" style="58" bestFit="1" customWidth="1"/>
    <col min="16" max="16" width="9.5" style="5" bestFit="1" customWidth="1"/>
    <col min="17" max="17" width="10.5" style="4" customWidth="1"/>
    <col min="18" max="18" width="10.5" style="4" bestFit="1" customWidth="1"/>
    <col min="19" max="45" width="9.5" style="4"/>
    <col min="46" max="16384" width="9.5" style="2"/>
  </cols>
  <sheetData>
    <row r="1" spans="1:45" s="4" customFormat="1" ht="36" customHeight="1" x14ac:dyDescent="0.25">
      <c r="A1" s="15"/>
      <c r="B1" s="307" t="s">
        <v>110</v>
      </c>
      <c r="C1" s="195"/>
      <c r="D1" s="195"/>
      <c r="E1" s="196"/>
      <c r="F1" s="522" t="s">
        <v>159</v>
      </c>
      <c r="G1" s="522"/>
      <c r="H1" s="522"/>
      <c r="I1" s="522"/>
      <c r="J1" s="522"/>
      <c r="K1" s="522"/>
      <c r="L1" s="302"/>
      <c r="M1" s="19"/>
      <c r="N1" s="20"/>
      <c r="O1" s="21"/>
      <c r="P1" s="5"/>
    </row>
    <row r="2" spans="1:45" s="1" customFormat="1" ht="51" customHeight="1" thickBot="1" x14ac:dyDescent="0.2">
      <c r="A2" s="22"/>
      <c r="B2" s="217" t="s">
        <v>0</v>
      </c>
      <c r="C2" s="217" t="s">
        <v>217</v>
      </c>
      <c r="D2" s="217" t="s">
        <v>97</v>
      </c>
      <c r="E2" s="217" t="s">
        <v>218</v>
      </c>
      <c r="F2" s="217" t="s">
        <v>11</v>
      </c>
      <c r="G2" s="217" t="s">
        <v>12</v>
      </c>
      <c r="H2" s="217" t="s">
        <v>19</v>
      </c>
      <c r="I2" s="218"/>
      <c r="J2" s="219" t="s">
        <v>18</v>
      </c>
      <c r="K2" s="219" t="s">
        <v>24</v>
      </c>
      <c r="L2" s="219" t="s">
        <v>15</v>
      </c>
      <c r="M2" s="16"/>
      <c r="N2" s="217" t="s">
        <v>16</v>
      </c>
      <c r="O2" s="217" t="s">
        <v>1</v>
      </c>
      <c r="P2" s="5"/>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row>
    <row r="3" spans="1:45" ht="19.5" customHeight="1" thickTop="1" thickBot="1" x14ac:dyDescent="0.2">
      <c r="A3" s="15">
        <v>1</v>
      </c>
      <c r="B3" s="200" t="s">
        <v>105</v>
      </c>
      <c r="C3" s="206">
        <f>'producten &amp; tarieven'!E17</f>
        <v>54.161260653728334</v>
      </c>
      <c r="D3" s="280">
        <f>'Eenheden 2019'!E3</f>
        <v>17968.268115942028</v>
      </c>
      <c r="E3" s="216">
        <f>C3*D3</f>
        <v>973184.0529236123</v>
      </c>
      <c r="F3" s="198"/>
      <c r="G3" s="198"/>
      <c r="H3" s="459"/>
      <c r="J3" s="226">
        <f>SUM(J4:J7)</f>
        <v>36868.583610599999</v>
      </c>
      <c r="K3" s="226">
        <f>SUM(K4:K7)</f>
        <v>-309662.23700548563</v>
      </c>
      <c r="L3" s="226">
        <f>SUM(L4:L7)</f>
        <v>-6462.7327412071872</v>
      </c>
      <c r="N3" s="216">
        <f>SUM(J3:L3)</f>
        <v>-279256.38613609283</v>
      </c>
      <c r="O3" s="24">
        <f>+E3+N3</f>
        <v>693927.66678751947</v>
      </c>
      <c r="S3" s="7"/>
    </row>
    <row r="4" spans="1:45" outlineLevel="1" thickTop="1" x14ac:dyDescent="0.15">
      <c r="A4" s="25" t="s">
        <v>6</v>
      </c>
      <c r="B4" s="204" t="s">
        <v>2</v>
      </c>
      <c r="C4" s="208">
        <f>'producten &amp; tarieven'!E17</f>
        <v>54.161260653728334</v>
      </c>
      <c r="D4" s="282">
        <f>'Eenheden 2019'!E4</f>
        <v>4436.0782680543052</v>
      </c>
      <c r="E4" s="213">
        <f t="shared" ref="E4:E52" si="0">C4*D4</f>
        <v>240263.59135642898</v>
      </c>
      <c r="F4" s="27">
        <f>'T-effecten'!B4</f>
        <v>-0.5</v>
      </c>
      <c r="G4" s="27">
        <f>'T-effecten'!C4</f>
        <v>0</v>
      </c>
      <c r="H4" s="470">
        <f>'T-effecten'!G4</f>
        <v>0.15345056403450563</v>
      </c>
      <c r="J4" s="29">
        <f>H4*E4</f>
        <v>36868.583610599999</v>
      </c>
      <c r="K4" s="29">
        <f>F4*(E4+J4)</f>
        <v>-138566.08748351448</v>
      </c>
      <c r="L4" s="59">
        <f>G4*(E4+J4+K4)</f>
        <v>0</v>
      </c>
      <c r="N4" s="30">
        <f>SUM(J4:L4)</f>
        <v>-101697.50387291447</v>
      </c>
      <c r="O4" s="31">
        <f t="shared" ref="O4:O29" si="1">+E4+N4</f>
        <v>138566.08748351451</v>
      </c>
    </row>
    <row r="5" spans="1:45" ht="13" outlineLevel="1" x14ac:dyDescent="0.15">
      <c r="A5" s="25" t="s">
        <v>7</v>
      </c>
      <c r="B5" s="26" t="s">
        <v>154</v>
      </c>
      <c r="C5" s="208">
        <f>'producten &amp; tarieven'!E17</f>
        <v>54.161260653728334</v>
      </c>
      <c r="D5" s="282">
        <f>'Eenheden 2019'!E5</f>
        <v>9051.5990650654112</v>
      </c>
      <c r="E5" s="209">
        <f t="shared" si="0"/>
        <v>490246.01629605144</v>
      </c>
      <c r="F5" s="27">
        <f>'T-effecten'!B5</f>
        <v>-0.25</v>
      </c>
      <c r="G5" s="27">
        <f>'T-effecten'!C5</f>
        <v>0</v>
      </c>
      <c r="H5" s="462"/>
      <c r="J5" s="29">
        <f>H5*E5</f>
        <v>0</v>
      </c>
      <c r="K5" s="29">
        <f>F5*(E5+J5)</f>
        <v>-122561.50407401286</v>
      </c>
      <c r="L5" s="59">
        <f>G5*(E5+J5+K5)</f>
        <v>0</v>
      </c>
      <c r="N5" s="30">
        <f t="shared" ref="N5:N52" si="2">SUM(J5:L5)</f>
        <v>-122561.50407401286</v>
      </c>
      <c r="O5" s="31">
        <f t="shared" si="1"/>
        <v>367684.51222203858</v>
      </c>
    </row>
    <row r="6" spans="1:45" ht="13" outlineLevel="1" x14ac:dyDescent="0.15">
      <c r="A6" s="25" t="s">
        <v>8</v>
      </c>
      <c r="B6" s="26" t="s">
        <v>4</v>
      </c>
      <c r="C6" s="210">
        <f>'producten &amp; tarieven'!E17</f>
        <v>54.161260653728334</v>
      </c>
      <c r="D6" s="282">
        <f>'Eenheden 2019'!E6</f>
        <v>2989.0195689814991</v>
      </c>
      <c r="E6" s="209">
        <f t="shared" si="0"/>
        <v>161889.0679747017</v>
      </c>
      <c r="F6" s="27">
        <f>'T-effecten'!B6</f>
        <v>-0.2</v>
      </c>
      <c r="G6" s="27">
        <f>'T-effecten'!C6</f>
        <v>0</v>
      </c>
      <c r="H6" s="462"/>
      <c r="J6" s="29">
        <f>H6*E6</f>
        <v>0</v>
      </c>
      <c r="K6" s="29">
        <f>F6*(E6+J6)</f>
        <v>-32377.81359494034</v>
      </c>
      <c r="L6" s="59">
        <f>G6*(E6+J6+K6)</f>
        <v>0</v>
      </c>
      <c r="N6" s="30">
        <f t="shared" si="2"/>
        <v>-32377.81359494034</v>
      </c>
      <c r="O6" s="31">
        <f t="shared" si="1"/>
        <v>129511.25437976136</v>
      </c>
    </row>
    <row r="7" spans="1:45" ht="13" outlineLevel="1" x14ac:dyDescent="0.15">
      <c r="A7" s="25" t="s">
        <v>9</v>
      </c>
      <c r="B7" s="26" t="s">
        <v>5</v>
      </c>
      <c r="C7" s="210">
        <f>'producten &amp; tarieven'!E17</f>
        <v>54.161260653728334</v>
      </c>
      <c r="D7" s="282">
        <f>'Eenheden 2019'!E7</f>
        <v>1491.5487248639004</v>
      </c>
      <c r="E7" s="209">
        <f t="shared" si="0"/>
        <v>80784.159265089838</v>
      </c>
      <c r="F7" s="27">
        <f>'T-effecten'!B7</f>
        <v>-0.2</v>
      </c>
      <c r="G7" s="27">
        <f>'T-effecten'!C7</f>
        <v>-0.1</v>
      </c>
      <c r="H7" s="462"/>
      <c r="J7" s="29">
        <f>H7*E7</f>
        <v>0</v>
      </c>
      <c r="K7" s="29">
        <f>F7*(E7+J7)</f>
        <v>-16156.831853017968</v>
      </c>
      <c r="L7" s="59">
        <f>G7*(E7+J7+K7)</f>
        <v>-6462.7327412071872</v>
      </c>
      <c r="N7" s="30">
        <f t="shared" si="2"/>
        <v>-22619.564594225154</v>
      </c>
      <c r="O7" s="31">
        <f t="shared" si="1"/>
        <v>58164.594670864681</v>
      </c>
    </row>
    <row r="8" spans="1:45" ht="15" thickBot="1" x14ac:dyDescent="0.2">
      <c r="A8" s="15">
        <v>2</v>
      </c>
      <c r="B8" s="201" t="s">
        <v>104</v>
      </c>
      <c r="C8" s="211">
        <f>'producten &amp; tarieven'!F17</f>
        <v>67.462938501976552</v>
      </c>
      <c r="D8" s="305">
        <f>'Eenheden 2019'!E8</f>
        <v>15179.444062652799</v>
      </c>
      <c r="E8" s="216">
        <f t="shared" si="0"/>
        <v>1024049.901292939</v>
      </c>
      <c r="F8" s="197"/>
      <c r="G8" s="197"/>
      <c r="H8" s="463"/>
      <c r="J8" s="227">
        <f>SUM(J9:J12)</f>
        <v>40256.720005639581</v>
      </c>
      <c r="K8" s="227">
        <f>SUM(K9:K12)</f>
        <v>-183526.89844975187</v>
      </c>
      <c r="L8" s="227">
        <f>SUM(L9:L12)</f>
        <v>-85338.795732105078</v>
      </c>
      <c r="N8" s="212">
        <f t="shared" si="2"/>
        <v>-228608.97417621739</v>
      </c>
      <c r="O8" s="34">
        <f t="shared" si="1"/>
        <v>795440.92711672164</v>
      </c>
    </row>
    <row r="9" spans="1:45" outlineLevel="1" thickTop="1" x14ac:dyDescent="0.15">
      <c r="A9" s="25" t="s">
        <v>6</v>
      </c>
      <c r="B9" s="193" t="s">
        <v>2</v>
      </c>
      <c r="C9" s="208">
        <f>'producten &amp; tarieven'!F17</f>
        <v>67.462938501976552</v>
      </c>
      <c r="D9" s="282">
        <f>'Eenheden 2019'!E9</f>
        <v>3888.7018254316099</v>
      </c>
      <c r="E9" s="213">
        <f t="shared" si="0"/>
        <v>262343.25210161664</v>
      </c>
      <c r="F9" s="27">
        <f>'T-effecten'!B9</f>
        <v>-0.2</v>
      </c>
      <c r="G9" s="27">
        <f>'T-effecten'!C9</f>
        <v>-0.1</v>
      </c>
      <c r="H9" s="470">
        <f>'T-effecten'!G9</f>
        <v>0.15345056403450563</v>
      </c>
      <c r="J9" s="29">
        <f>H9*E9</f>
        <v>40256.720005639581</v>
      </c>
      <c r="K9" s="29">
        <f>F9*(E9+J9)</f>
        <v>-60519.994421451251</v>
      </c>
      <c r="L9" s="59">
        <f>G9*(E9+J9+K9)</f>
        <v>-24207.997768580502</v>
      </c>
      <c r="N9" s="30">
        <f t="shared" si="2"/>
        <v>-44471.272184392175</v>
      </c>
      <c r="O9" s="31">
        <f t="shared" si="1"/>
        <v>217871.97991722447</v>
      </c>
      <c r="Q9" s="10"/>
      <c r="R9" s="10"/>
    </row>
    <row r="10" spans="1:45" ht="13" outlineLevel="1" x14ac:dyDescent="0.15">
      <c r="A10" s="25" t="s">
        <v>7</v>
      </c>
      <c r="B10" s="26" t="s">
        <v>154</v>
      </c>
      <c r="C10" s="210">
        <f>'producten &amp; tarieven'!F17</f>
        <v>67.462938501976552</v>
      </c>
      <c r="D10" s="282">
        <f>'Eenheden 2019'!E10</f>
        <v>6891.9004645991299</v>
      </c>
      <c r="E10" s="209">
        <f t="shared" si="0"/>
        <v>464947.85720499471</v>
      </c>
      <c r="F10" s="27">
        <f>'T-effecten'!B10</f>
        <v>-0.15</v>
      </c>
      <c r="G10" s="27">
        <f>'T-effecten'!C10</f>
        <v>-0.1</v>
      </c>
      <c r="H10" s="462"/>
      <c r="J10" s="29">
        <f>H10*E10</f>
        <v>0</v>
      </c>
      <c r="K10" s="29">
        <f>F10*(E10+J10)</f>
        <v>-69742.178580749198</v>
      </c>
      <c r="L10" s="59">
        <f>G10*(E10+J10+K10)</f>
        <v>-39520.567862424556</v>
      </c>
      <c r="N10" s="30">
        <f t="shared" si="2"/>
        <v>-109262.74644317376</v>
      </c>
      <c r="O10" s="31">
        <f t="shared" si="1"/>
        <v>355685.11076182092</v>
      </c>
    </row>
    <row r="11" spans="1:45" ht="13" outlineLevel="1" x14ac:dyDescent="0.15">
      <c r="A11" s="25" t="s">
        <v>8</v>
      </c>
      <c r="B11" s="26" t="s">
        <v>4</v>
      </c>
      <c r="C11" s="210">
        <f>'producten &amp; tarieven'!F17</f>
        <v>67.462938501976552</v>
      </c>
      <c r="D11" s="282">
        <f>'Eenheden 2019'!E11</f>
        <v>3496.5810898216382</v>
      </c>
      <c r="E11" s="209">
        <f t="shared" si="0"/>
        <v>235889.63502981132</v>
      </c>
      <c r="F11" s="27">
        <f>'T-effecten'!B11</f>
        <v>-0.2</v>
      </c>
      <c r="G11" s="27">
        <f>'T-effecten'!C11</f>
        <v>-0.1</v>
      </c>
      <c r="H11" s="462"/>
      <c r="J11" s="29">
        <f>H11*E11</f>
        <v>0</v>
      </c>
      <c r="K11" s="29">
        <f>F11*(E11+J11)</f>
        <v>-47177.927005962265</v>
      </c>
      <c r="L11" s="59">
        <f>G11*(E11+J11+K11)</f>
        <v>-18871.170802384906</v>
      </c>
      <c r="N11" s="30">
        <f t="shared" si="2"/>
        <v>-66049.097808347171</v>
      </c>
      <c r="O11" s="31">
        <f t="shared" si="1"/>
        <v>169840.53722146415</v>
      </c>
    </row>
    <row r="12" spans="1:45" ht="13" outlineLevel="1" x14ac:dyDescent="0.15">
      <c r="A12" s="25" t="s">
        <v>9</v>
      </c>
      <c r="B12" s="26" t="s">
        <v>5</v>
      </c>
      <c r="C12" s="210">
        <f>'producten &amp; tarieven'!F17</f>
        <v>67.462938501976552</v>
      </c>
      <c r="D12" s="282">
        <f>'Eenheden 2019'!E12</f>
        <v>902.24330228527106</v>
      </c>
      <c r="E12" s="209">
        <f t="shared" si="0"/>
        <v>60867.984415891478</v>
      </c>
      <c r="F12" s="27">
        <f>'T-effecten'!B12</f>
        <v>-0.1</v>
      </c>
      <c r="G12" s="27">
        <f>'T-effecten'!C12</f>
        <v>-0.05</v>
      </c>
      <c r="H12" s="462"/>
      <c r="J12" s="29">
        <f>H12*E12</f>
        <v>0</v>
      </c>
      <c r="K12" s="29">
        <f>F12*(E12+J12)</f>
        <v>-6086.7984415891478</v>
      </c>
      <c r="L12" s="59">
        <f>G12*(E12+J12+K12)</f>
        <v>-2739.0592987151167</v>
      </c>
      <c r="N12" s="30">
        <f t="shared" si="2"/>
        <v>-8825.8577403042655</v>
      </c>
      <c r="O12" s="31">
        <f t="shared" si="1"/>
        <v>52042.126675587213</v>
      </c>
    </row>
    <row r="13" spans="1:45" ht="15" thickBot="1" x14ac:dyDescent="0.2">
      <c r="A13" s="15">
        <v>3</v>
      </c>
      <c r="B13" s="201" t="s">
        <v>101</v>
      </c>
      <c r="C13" s="211">
        <f>'producten &amp; tarieven'!G17</f>
        <v>36.10395767297338</v>
      </c>
      <c r="D13" s="305">
        <f>'Eenheden 2019'!E13</f>
        <v>10868</v>
      </c>
      <c r="E13" s="216">
        <f t="shared" si="0"/>
        <v>392377.8119898747</v>
      </c>
      <c r="F13" s="197"/>
      <c r="G13" s="197"/>
      <c r="H13" s="463"/>
      <c r="J13" s="227">
        <f>SUM(J14:J17)</f>
        <v>7506.1452217932037</v>
      </c>
      <c r="K13" s="227">
        <f>SUM(K14:K17)</f>
        <v>-131142.42281279832</v>
      </c>
      <c r="L13" s="227">
        <f>SUM(L14:L17)</f>
        <v>-14237.02561685131</v>
      </c>
      <c r="N13" s="212">
        <f t="shared" si="2"/>
        <v>-137873.30320785643</v>
      </c>
      <c r="O13" s="34">
        <f t="shared" si="1"/>
        <v>254504.50878201827</v>
      </c>
    </row>
    <row r="14" spans="1:45" outlineLevel="1" thickTop="1" x14ac:dyDescent="0.15">
      <c r="A14" s="25" t="s">
        <v>6</v>
      </c>
      <c r="B14" s="193" t="s">
        <v>2</v>
      </c>
      <c r="C14" s="208">
        <f>'producten &amp; tarieven'!G17</f>
        <v>36.10395767297338</v>
      </c>
      <c r="D14" s="282">
        <f>'Eenheden 2019'!E14</f>
        <v>1354.8576317974007</v>
      </c>
      <c r="E14" s="213">
        <f t="shared" si="0"/>
        <v>48915.722591318307</v>
      </c>
      <c r="F14" s="199">
        <f>'T-effecten'!B14</f>
        <v>-0.7</v>
      </c>
      <c r="G14" s="199">
        <f>'T-effecten'!C14</f>
        <v>0</v>
      </c>
      <c r="H14" s="474">
        <f>'T-effecten'!G14</f>
        <v>0.15345056403450563</v>
      </c>
      <c r="J14" s="29">
        <f>H14*E14</f>
        <v>7506.1452217932037</v>
      </c>
      <c r="K14" s="29">
        <f>F14*(E14+J14)</f>
        <v>-39495.307469178057</v>
      </c>
      <c r="L14" s="59">
        <f>G14*(E14+J14+K14)</f>
        <v>0</v>
      </c>
      <c r="N14" s="30">
        <f t="shared" si="2"/>
        <v>-31989.162247384855</v>
      </c>
      <c r="O14" s="31">
        <f t="shared" si="1"/>
        <v>16926.560343933452</v>
      </c>
    </row>
    <row r="15" spans="1:45" ht="13" outlineLevel="1" x14ac:dyDescent="0.15">
      <c r="A15" s="25" t="s">
        <v>7</v>
      </c>
      <c r="B15" s="26" t="s">
        <v>154</v>
      </c>
      <c r="C15" s="210">
        <f>'producten &amp; tarieven'!G17</f>
        <v>36.10395767297338</v>
      </c>
      <c r="D15" s="282">
        <f>'Eenheden 2019'!E15</f>
        <v>4929.1776215398231</v>
      </c>
      <c r="E15" s="209">
        <f t="shared" si="0"/>
        <v>177962.82021064137</v>
      </c>
      <c r="F15" s="199">
        <f>'T-effecten'!B15</f>
        <v>-0.2</v>
      </c>
      <c r="G15" s="199">
        <f>'T-effecten'!C15</f>
        <v>-0.1</v>
      </c>
      <c r="H15" s="462"/>
      <c r="J15" s="29">
        <f>H15*E15</f>
        <v>0</v>
      </c>
      <c r="K15" s="29">
        <f>F15*(E15+J15)</f>
        <v>-35592.564042128273</v>
      </c>
      <c r="L15" s="59">
        <f>G15*(E15+J15+K15)</f>
        <v>-14237.02561685131</v>
      </c>
      <c r="N15" s="30">
        <f t="shared" si="2"/>
        <v>-49829.589658979581</v>
      </c>
      <c r="O15" s="31">
        <f t="shared" si="1"/>
        <v>128133.23055166178</v>
      </c>
    </row>
    <row r="16" spans="1:45" ht="13" outlineLevel="1" x14ac:dyDescent="0.15">
      <c r="A16" s="25" t="s">
        <v>8</v>
      </c>
      <c r="B16" s="26" t="s">
        <v>4</v>
      </c>
      <c r="C16" s="210">
        <f>'producten &amp; tarieven'!G17</f>
        <v>36.10395767297338</v>
      </c>
      <c r="D16" s="282">
        <f>'Eenheden 2019'!E16</f>
        <v>3176.1423682025993</v>
      </c>
      <c r="E16" s="209">
        <f t="shared" si="0"/>
        <v>114671.30962492408</v>
      </c>
      <c r="F16" s="199">
        <f>'T-effecten'!B16</f>
        <v>-0.4</v>
      </c>
      <c r="G16" s="199">
        <f>'T-effecten'!C16</f>
        <v>0</v>
      </c>
      <c r="H16" s="462"/>
      <c r="J16" s="29">
        <f>H16*E16</f>
        <v>0</v>
      </c>
      <c r="K16" s="29">
        <f>F16*(E16+J16)</f>
        <v>-45868.523849969635</v>
      </c>
      <c r="L16" s="59">
        <f>G16*(E16+J16+K16)</f>
        <v>0</v>
      </c>
      <c r="N16" s="30">
        <f t="shared" si="2"/>
        <v>-45868.523849969635</v>
      </c>
      <c r="O16" s="31">
        <f t="shared" si="1"/>
        <v>68802.785774954449</v>
      </c>
    </row>
    <row r="17" spans="1:17" ht="13" outlineLevel="1" x14ac:dyDescent="0.15">
      <c r="A17" s="25" t="s">
        <v>9</v>
      </c>
      <c r="B17" s="26" t="s">
        <v>5</v>
      </c>
      <c r="C17" s="210">
        <f>'producten &amp; tarieven'!G17</f>
        <v>36.10395767297338</v>
      </c>
      <c r="D17" s="282">
        <f>'Eenheden 2019'!E17</f>
        <v>1410.6524752475248</v>
      </c>
      <c r="E17" s="209">
        <f t="shared" si="0"/>
        <v>50930.137257611765</v>
      </c>
      <c r="F17" s="199">
        <f>'T-effecten'!B17</f>
        <v>-0.2</v>
      </c>
      <c r="G17" s="199">
        <f>'T-effecten'!C17</f>
        <v>0</v>
      </c>
      <c r="H17" s="462"/>
      <c r="J17" s="29">
        <f>H17*E17</f>
        <v>0</v>
      </c>
      <c r="K17" s="29">
        <f>F17*(E17+J17)</f>
        <v>-10186.027451522354</v>
      </c>
      <c r="L17" s="59">
        <f>G17*(E17+J17+K17)</f>
        <v>0</v>
      </c>
      <c r="N17" s="30">
        <f t="shared" si="2"/>
        <v>-10186.027451522354</v>
      </c>
      <c r="O17" s="31">
        <f t="shared" si="1"/>
        <v>40744.109806089415</v>
      </c>
      <c r="Q17" s="10"/>
    </row>
    <row r="18" spans="1:17" ht="15" thickBot="1" x14ac:dyDescent="0.2">
      <c r="A18" s="15">
        <v>4</v>
      </c>
      <c r="B18" s="201" t="s">
        <v>102</v>
      </c>
      <c r="C18" s="211">
        <f>'producten &amp; tarieven'!H17</f>
        <v>48.858878642934805</v>
      </c>
      <c r="D18" s="305">
        <f>'Eenheden 2019'!E18</f>
        <v>4569.7518933814999</v>
      </c>
      <c r="E18" s="216">
        <f t="shared" si="0"/>
        <v>223272.95318704826</v>
      </c>
      <c r="F18" s="197"/>
      <c r="G18" s="197"/>
      <c r="H18" s="463"/>
      <c r="J18" s="227">
        <f>SUM(J19:J22)</f>
        <v>4869.984440121244</v>
      </c>
      <c r="K18" s="227">
        <f>SUM(K19:K22)</f>
        <v>-22280.46581031616</v>
      </c>
      <c r="L18" s="227">
        <f>SUM(L19:L22)</f>
        <v>-19571.974072123834</v>
      </c>
      <c r="N18" s="212">
        <f t="shared" si="2"/>
        <v>-36982.455442318751</v>
      </c>
      <c r="O18" s="34">
        <f t="shared" si="1"/>
        <v>186290.49774472951</v>
      </c>
    </row>
    <row r="19" spans="1:17" outlineLevel="1" thickTop="1" x14ac:dyDescent="0.15">
      <c r="A19" s="25" t="s">
        <v>6</v>
      </c>
      <c r="B19" s="193" t="s">
        <v>2</v>
      </c>
      <c r="C19" s="208">
        <f>'producten &amp; tarieven'!H17</f>
        <v>48.858878642934805</v>
      </c>
      <c r="D19" s="282">
        <f>'Eenheden 2019'!E19</f>
        <v>649.5544901346118</v>
      </c>
      <c r="E19" s="213">
        <f t="shared" si="0"/>
        <v>31736.504005460392</v>
      </c>
      <c r="F19" s="199">
        <f>'T-effecten'!B19</f>
        <v>-0.1</v>
      </c>
      <c r="G19" s="199">
        <f>'T-effecten'!C19</f>
        <v>-0.1</v>
      </c>
      <c r="H19" s="474">
        <f>'T-effecten'!G19</f>
        <v>0.15345056403450563</v>
      </c>
      <c r="J19" s="29">
        <f>H19*E19</f>
        <v>4869.984440121244</v>
      </c>
      <c r="K19" s="29">
        <f>F19*(E19+J19)</f>
        <v>-3660.6488445581635</v>
      </c>
      <c r="L19" s="59">
        <f>G19*(E19+J19+K19)</f>
        <v>-3294.5839601023472</v>
      </c>
      <c r="N19" s="30">
        <f t="shared" si="2"/>
        <v>-2085.2483645392667</v>
      </c>
      <c r="O19" s="31">
        <f t="shared" si="1"/>
        <v>29651.255640921125</v>
      </c>
    </row>
    <row r="20" spans="1:17" ht="13" outlineLevel="1" x14ac:dyDescent="0.15">
      <c r="A20" s="25" t="s">
        <v>7</v>
      </c>
      <c r="B20" s="26" t="s">
        <v>154</v>
      </c>
      <c r="C20" s="210">
        <f>'producten &amp; tarieven'!H17</f>
        <v>48.858878642934805</v>
      </c>
      <c r="D20" s="282">
        <f>'Eenheden 2019'!E20</f>
        <v>0</v>
      </c>
      <c r="E20" s="209">
        <f t="shared" si="0"/>
        <v>0</v>
      </c>
      <c r="F20" s="199">
        <f>'T-effecten'!B20</f>
        <v>-0.1</v>
      </c>
      <c r="G20" s="199">
        <f>'T-effecten'!C20</f>
        <v>-0.1</v>
      </c>
      <c r="H20" s="462"/>
      <c r="J20" s="29">
        <f>H20*E20</f>
        <v>0</v>
      </c>
      <c r="K20" s="29">
        <f>F20*(E20+J20)</f>
        <v>0</v>
      </c>
      <c r="L20" s="59">
        <f t="shared" ref="L20:L22" si="3">G20*(E20+J20+K20)</f>
        <v>0</v>
      </c>
      <c r="N20" s="30">
        <f t="shared" si="2"/>
        <v>0</v>
      </c>
      <c r="O20" s="31">
        <f t="shared" si="1"/>
        <v>0</v>
      </c>
    </row>
    <row r="21" spans="1:17" ht="13" outlineLevel="1" x14ac:dyDescent="0.15">
      <c r="A21" s="25" t="s">
        <v>8</v>
      </c>
      <c r="B21" s="26" t="s">
        <v>4</v>
      </c>
      <c r="C21" s="210">
        <f>'producten &amp; tarieven'!H17</f>
        <v>48.858878642934805</v>
      </c>
      <c r="D21" s="282">
        <f>'Eenheden 2019'!E21</f>
        <v>3701.6791043305111</v>
      </c>
      <c r="E21" s="209">
        <f t="shared" si="0"/>
        <v>180859.89013357204</v>
      </c>
      <c r="F21" s="199">
        <f>'T-effecten'!B21</f>
        <v>-0.1</v>
      </c>
      <c r="G21" s="199">
        <f>'T-effecten'!C21</f>
        <v>-0.1</v>
      </c>
      <c r="H21" s="462"/>
      <c r="J21" s="29">
        <f>H21*E21</f>
        <v>0</v>
      </c>
      <c r="K21" s="29">
        <f t="shared" ref="K21:K22" si="4">F21*(E21+J21)</f>
        <v>-18085.989013357204</v>
      </c>
      <c r="L21" s="59">
        <f t="shared" si="3"/>
        <v>-16277.390112021485</v>
      </c>
      <c r="N21" s="30">
        <f t="shared" si="2"/>
        <v>-34363.379125378691</v>
      </c>
      <c r="O21" s="31">
        <f t="shared" si="1"/>
        <v>146496.51100819337</v>
      </c>
    </row>
    <row r="22" spans="1:17" ht="13" outlineLevel="1" x14ac:dyDescent="0.15">
      <c r="A22" s="25" t="s">
        <v>9</v>
      </c>
      <c r="B22" s="26" t="s">
        <v>5</v>
      </c>
      <c r="C22" s="210">
        <f>'producten &amp; tarieven'!H17</f>
        <v>48.858878642934805</v>
      </c>
      <c r="D22" s="282">
        <f>'Eenheden 2019'!E22</f>
        <v>218.51829891637703</v>
      </c>
      <c r="E22" s="209">
        <f t="shared" si="0"/>
        <v>10676.559048015817</v>
      </c>
      <c r="F22" s="199">
        <f>'T-effecten'!B22</f>
        <v>-0.05</v>
      </c>
      <c r="G22" s="199">
        <f>'T-effecten'!C22</f>
        <v>0</v>
      </c>
      <c r="H22" s="462"/>
      <c r="J22" s="29">
        <f>H22*E22</f>
        <v>0</v>
      </c>
      <c r="K22" s="29">
        <f t="shared" si="4"/>
        <v>-533.82795240079088</v>
      </c>
      <c r="L22" s="59">
        <f t="shared" si="3"/>
        <v>0</v>
      </c>
      <c r="N22" s="30">
        <f t="shared" si="2"/>
        <v>-533.82795240079088</v>
      </c>
      <c r="O22" s="31">
        <f t="shared" si="1"/>
        <v>10142.731095615027</v>
      </c>
    </row>
    <row r="23" spans="1:17" ht="15" thickBot="1" x14ac:dyDescent="0.2">
      <c r="A23" s="15">
        <v>5</v>
      </c>
      <c r="B23" s="201" t="s">
        <v>27</v>
      </c>
      <c r="C23" s="211">
        <f>'producten &amp; tarieven'!C17</f>
        <v>44.180909502664626</v>
      </c>
      <c r="D23" s="305">
        <f>'Eenheden 2019'!E23</f>
        <v>229.51666666666665</v>
      </c>
      <c r="E23" s="216">
        <f t="shared" si="0"/>
        <v>10140.255079353243</v>
      </c>
      <c r="F23" s="197"/>
      <c r="G23" s="197"/>
      <c r="H23" s="463"/>
      <c r="J23" s="227">
        <f>SUM(J24:J27)</f>
        <v>398.62648197113077</v>
      </c>
      <c r="K23" s="227">
        <f>SUM(K24:K27)</f>
        <v>0</v>
      </c>
      <c r="L23" s="227">
        <f>SUM(L24:L27)</f>
        <v>0</v>
      </c>
      <c r="N23" s="212">
        <f t="shared" si="2"/>
        <v>398.62648197113077</v>
      </c>
      <c r="O23" s="34">
        <f t="shared" si="1"/>
        <v>10538.881561324373</v>
      </c>
    </row>
    <row r="24" spans="1:17" outlineLevel="1" thickTop="1" x14ac:dyDescent="0.15">
      <c r="A24" s="25" t="s">
        <v>6</v>
      </c>
      <c r="B24" s="193" t="s">
        <v>2</v>
      </c>
      <c r="C24" s="208">
        <f>'producten &amp; tarieven'!C17</f>
        <v>44.180909502664626</v>
      </c>
      <c r="D24" s="282">
        <f>'Eenheden 2019'!E24</f>
        <v>58.798061177325188</v>
      </c>
      <c r="E24" s="213">
        <f t="shared" si="0"/>
        <v>2597.7518198075422</v>
      </c>
      <c r="F24" s="199">
        <f>'T-effecten'!B24</f>
        <v>0</v>
      </c>
      <c r="G24" s="199">
        <f>'T-effecten'!C24</f>
        <v>0</v>
      </c>
      <c r="H24" s="474">
        <f>'T-effecten'!G24</f>
        <v>0.15345056403450563</v>
      </c>
      <c r="J24" s="29">
        <f>H24*E24</f>
        <v>398.62648197113077</v>
      </c>
      <c r="K24" s="29">
        <f>F24*(E24+J24)</f>
        <v>0</v>
      </c>
      <c r="L24" s="59">
        <f>G24*(E24+J24+K24)</f>
        <v>0</v>
      </c>
      <c r="N24" s="30">
        <f t="shared" si="2"/>
        <v>398.62648197113077</v>
      </c>
      <c r="O24" s="31">
        <f t="shared" si="1"/>
        <v>2996.3783017786732</v>
      </c>
    </row>
    <row r="25" spans="1:17" ht="13" outlineLevel="1" x14ac:dyDescent="0.15">
      <c r="A25" s="25" t="s">
        <v>7</v>
      </c>
      <c r="B25" s="26" t="s">
        <v>154</v>
      </c>
      <c r="C25" s="210">
        <f>'producten &amp; tarieven'!C17</f>
        <v>44.180909502664626</v>
      </c>
      <c r="D25" s="282">
        <f>'Eenheden 2019'!E25</f>
        <v>104.20711161122742</v>
      </c>
      <c r="E25" s="209">
        <f t="shared" si="0"/>
        <v>4603.9649676297104</v>
      </c>
      <c r="F25" s="199">
        <f>'T-effecten'!B25</f>
        <v>0</v>
      </c>
      <c r="G25" s="199">
        <f>'T-effecten'!C25</f>
        <v>0</v>
      </c>
      <c r="H25" s="464"/>
      <c r="J25" s="29">
        <f>H25*E25</f>
        <v>0</v>
      </c>
      <c r="K25" s="29">
        <f>F25*(E25+J25)</f>
        <v>0</v>
      </c>
      <c r="L25" s="59">
        <f>G25*(E25+J25+K25)</f>
        <v>0</v>
      </c>
      <c r="N25" s="30">
        <f t="shared" si="2"/>
        <v>0</v>
      </c>
      <c r="O25" s="31">
        <f t="shared" si="1"/>
        <v>4603.9649676297104</v>
      </c>
    </row>
    <row r="26" spans="1:17" ht="13" outlineLevel="1" x14ac:dyDescent="0.15">
      <c r="A26" s="25" t="s">
        <v>8</v>
      </c>
      <c r="B26" s="26" t="s">
        <v>4</v>
      </c>
      <c r="C26" s="210">
        <f>'producten &amp; tarieven'!C17</f>
        <v>44.180909502664626</v>
      </c>
      <c r="D26" s="282">
        <f>'Eenheden 2019'!E26</f>
        <v>52.869105953628171</v>
      </c>
      <c r="E26" s="209">
        <f t="shared" si="0"/>
        <v>2335.805185624034</v>
      </c>
      <c r="F26" s="199">
        <f>'T-effecten'!B26</f>
        <v>0</v>
      </c>
      <c r="G26" s="199">
        <f>'T-effecten'!C26</f>
        <v>0</v>
      </c>
      <c r="H26" s="464"/>
      <c r="J26" s="29">
        <f>H26*E26</f>
        <v>0</v>
      </c>
      <c r="K26" s="29">
        <f>F26*(E26+J26)</f>
        <v>0</v>
      </c>
      <c r="L26" s="59">
        <f>G26*(E26+J26+K26)</f>
        <v>0</v>
      </c>
      <c r="N26" s="30">
        <f t="shared" si="2"/>
        <v>0</v>
      </c>
      <c r="O26" s="31">
        <f t="shared" si="1"/>
        <v>2335.805185624034</v>
      </c>
    </row>
    <row r="27" spans="1:17" ht="13" outlineLevel="1" x14ac:dyDescent="0.15">
      <c r="A27" s="25" t="s">
        <v>9</v>
      </c>
      <c r="B27" s="26" t="s">
        <v>5</v>
      </c>
      <c r="C27" s="210">
        <f>'producten &amp; tarieven'!C17</f>
        <v>44.180909502664626</v>
      </c>
      <c r="D27" s="282">
        <f>'Eenheden 2019'!E27</f>
        <v>13.642125127120847</v>
      </c>
      <c r="E27" s="209">
        <f t="shared" si="0"/>
        <v>602.72149566535336</v>
      </c>
      <c r="F27" s="199">
        <f>'T-effecten'!B27</f>
        <v>0</v>
      </c>
      <c r="G27" s="199">
        <f>'T-effecten'!C27</f>
        <v>0</v>
      </c>
      <c r="H27" s="464"/>
      <c r="J27" s="29">
        <f>H27*E27</f>
        <v>0</v>
      </c>
      <c r="K27" s="29">
        <f>F27*(E27+J27)</f>
        <v>0</v>
      </c>
      <c r="L27" s="59">
        <f>G27*(E27+J27+K27)</f>
        <v>0</v>
      </c>
      <c r="N27" s="30">
        <f t="shared" si="2"/>
        <v>0</v>
      </c>
      <c r="O27" s="31">
        <f t="shared" si="1"/>
        <v>602.72149566535336</v>
      </c>
    </row>
    <row r="28" spans="1:17" ht="15" thickBot="1" x14ac:dyDescent="0.2">
      <c r="A28" s="15">
        <v>6</v>
      </c>
      <c r="B28" s="201" t="s">
        <v>157</v>
      </c>
      <c r="C28" s="211">
        <f>'producten &amp; tarieven'!I17</f>
        <v>53.92</v>
      </c>
      <c r="D28" s="305">
        <f>'Eenheden 2019'!E28</f>
        <v>0</v>
      </c>
      <c r="E28" s="216">
        <f t="shared" si="0"/>
        <v>0</v>
      </c>
      <c r="F28" s="197"/>
      <c r="G28" s="197"/>
      <c r="H28" s="463"/>
      <c r="J28" s="227">
        <f>SUM(J29:J32)</f>
        <v>0</v>
      </c>
      <c r="K28" s="227">
        <f>SUM(K29:K32)</f>
        <v>0</v>
      </c>
      <c r="L28" s="227">
        <f>SUM(L29:L32)</f>
        <v>0</v>
      </c>
      <c r="N28" s="212">
        <f t="shared" si="2"/>
        <v>0</v>
      </c>
      <c r="O28" s="34">
        <f t="shared" si="1"/>
        <v>0</v>
      </c>
    </row>
    <row r="29" spans="1:17" outlineLevel="1" thickTop="1" x14ac:dyDescent="0.15">
      <c r="A29" s="25" t="s">
        <v>6</v>
      </c>
      <c r="B29" s="193" t="s">
        <v>2</v>
      </c>
      <c r="C29" s="208">
        <f>'producten &amp; tarieven'!I17</f>
        <v>53.92</v>
      </c>
      <c r="D29" s="282">
        <f>'Eenheden 2019'!E29</f>
        <v>0</v>
      </c>
      <c r="E29" s="213">
        <f t="shared" si="0"/>
        <v>0</v>
      </c>
      <c r="F29" s="199">
        <f>'T-effecten'!B29</f>
        <v>0</v>
      </c>
      <c r="G29" s="199">
        <f>'T-effecten'!C29</f>
        <v>0</v>
      </c>
      <c r="H29" s="474">
        <f>'T-effecten'!G29</f>
        <v>0.15345056403450563</v>
      </c>
      <c r="J29" s="29">
        <f>H29*E29</f>
        <v>0</v>
      </c>
      <c r="K29" s="29">
        <f>F29*(E29+J29)</f>
        <v>0</v>
      </c>
      <c r="L29" s="59">
        <f>G29*(E29+J29+K29)</f>
        <v>0</v>
      </c>
      <c r="N29" s="30">
        <f t="shared" si="2"/>
        <v>0</v>
      </c>
      <c r="O29" s="31">
        <f t="shared" si="1"/>
        <v>0</v>
      </c>
    </row>
    <row r="30" spans="1:17" ht="13" outlineLevel="1" x14ac:dyDescent="0.15">
      <c r="A30" s="25" t="s">
        <v>7</v>
      </c>
      <c r="B30" s="26" t="s">
        <v>154</v>
      </c>
      <c r="C30" s="210">
        <f>'producten &amp; tarieven'!I17</f>
        <v>53.92</v>
      </c>
      <c r="D30" s="282">
        <f>'Eenheden 2019'!E30</f>
        <v>0</v>
      </c>
      <c r="E30" s="209">
        <f t="shared" si="0"/>
        <v>0</v>
      </c>
      <c r="F30" s="199">
        <f>'T-effecten'!B30</f>
        <v>0</v>
      </c>
      <c r="G30" s="199">
        <f>'T-effecten'!C30</f>
        <v>0</v>
      </c>
      <c r="H30" s="462"/>
      <c r="J30" s="29">
        <f t="shared" ref="J30:J32" si="5">H30*E30</f>
        <v>0</v>
      </c>
      <c r="K30" s="29">
        <f t="shared" ref="K30:K31" si="6">F30*(E30+J30)</f>
        <v>0</v>
      </c>
      <c r="L30" s="59">
        <f t="shared" ref="L30:L32" si="7">G30*(E30+J30+K30)</f>
        <v>0</v>
      </c>
      <c r="N30" s="30">
        <f t="shared" si="2"/>
        <v>0</v>
      </c>
      <c r="O30" s="31"/>
    </row>
    <row r="31" spans="1:17" ht="13" outlineLevel="1" x14ac:dyDescent="0.15">
      <c r="A31" s="25" t="s">
        <v>8</v>
      </c>
      <c r="B31" s="26" t="s">
        <v>4</v>
      </c>
      <c r="C31" s="210">
        <f>'producten &amp; tarieven'!I17</f>
        <v>53.92</v>
      </c>
      <c r="D31" s="282">
        <f>'Eenheden 2019'!E31</f>
        <v>0</v>
      </c>
      <c r="E31" s="209">
        <f t="shared" si="0"/>
        <v>0</v>
      </c>
      <c r="F31" s="199">
        <f>'T-effecten'!B31</f>
        <v>0</v>
      </c>
      <c r="G31" s="199">
        <f>'T-effecten'!C31</f>
        <v>0</v>
      </c>
      <c r="H31" s="462"/>
      <c r="J31" s="29">
        <f t="shared" si="5"/>
        <v>0</v>
      </c>
      <c r="K31" s="29">
        <f t="shared" si="6"/>
        <v>0</v>
      </c>
      <c r="L31" s="59">
        <f t="shared" si="7"/>
        <v>0</v>
      </c>
      <c r="N31" s="30">
        <f t="shared" si="2"/>
        <v>0</v>
      </c>
      <c r="O31" s="31"/>
    </row>
    <row r="32" spans="1:17" ht="13" outlineLevel="1" x14ac:dyDescent="0.15">
      <c r="A32" s="25" t="s">
        <v>9</v>
      </c>
      <c r="B32" s="26" t="s">
        <v>5</v>
      </c>
      <c r="C32" s="210">
        <f>'producten &amp; tarieven'!I17</f>
        <v>53.92</v>
      </c>
      <c r="D32" s="282">
        <f>'Eenheden 2019'!E32</f>
        <v>0</v>
      </c>
      <c r="E32" s="209">
        <f t="shared" si="0"/>
        <v>0</v>
      </c>
      <c r="F32" s="199">
        <f>'T-effecten'!B32</f>
        <v>0</v>
      </c>
      <c r="G32" s="199">
        <f>'T-effecten'!C32</f>
        <v>0</v>
      </c>
      <c r="H32" s="462"/>
      <c r="J32" s="29">
        <f t="shared" si="5"/>
        <v>0</v>
      </c>
      <c r="K32" s="29">
        <f>F32*(E32+J32)</f>
        <v>0</v>
      </c>
      <c r="L32" s="59">
        <f t="shared" si="7"/>
        <v>0</v>
      </c>
      <c r="N32" s="30">
        <f t="shared" si="2"/>
        <v>0</v>
      </c>
      <c r="O32" s="31">
        <f>+E32+N32</f>
        <v>0</v>
      </c>
    </row>
    <row r="33" spans="1:15" ht="15" thickBot="1" x14ac:dyDescent="0.2">
      <c r="A33" s="15">
        <v>7</v>
      </c>
      <c r="B33" s="201" t="s">
        <v>158</v>
      </c>
      <c r="C33" s="211">
        <f>'producten &amp; tarieven'!J17</f>
        <v>220.37878605783692</v>
      </c>
      <c r="D33" s="305">
        <f>'Eenheden 2019'!E33</f>
        <v>152</v>
      </c>
      <c r="E33" s="216">
        <f t="shared" si="0"/>
        <v>33497.575480791209</v>
      </c>
      <c r="F33" s="197"/>
      <c r="G33" s="197"/>
      <c r="H33" s="463"/>
      <c r="J33" s="227">
        <f>SUM(J34:J37)</f>
        <v>1316.8328177126962</v>
      </c>
      <c r="K33" s="227">
        <f>SUM(K34:K37)</f>
        <v>0</v>
      </c>
      <c r="L33" s="227">
        <f>SUM(L34:L37)</f>
        <v>0</v>
      </c>
      <c r="N33" s="212">
        <f t="shared" si="2"/>
        <v>1316.8328177126962</v>
      </c>
      <c r="O33" s="34">
        <f>+E33+N33</f>
        <v>34814.408298503906</v>
      </c>
    </row>
    <row r="34" spans="1:15" outlineLevel="1" thickTop="1" x14ac:dyDescent="0.15">
      <c r="A34" s="25" t="s">
        <v>6</v>
      </c>
      <c r="B34" s="193" t="s">
        <v>2</v>
      </c>
      <c r="C34" s="208">
        <f>'producten &amp; tarieven'!J17</f>
        <v>220.37878605783692</v>
      </c>
      <c r="D34" s="282">
        <f>'Eenheden 2019'!E34</f>
        <v>38.939678885862008</v>
      </c>
      <c r="E34" s="213">
        <f t="shared" si="0"/>
        <v>8581.4791623482524</v>
      </c>
      <c r="F34" s="199">
        <f>'T-effecten'!B34</f>
        <v>0</v>
      </c>
      <c r="G34" s="199">
        <f>'T-effecten'!C34</f>
        <v>0</v>
      </c>
      <c r="H34" s="474">
        <f>'T-effecten'!G34</f>
        <v>0.15345056403450563</v>
      </c>
      <c r="J34" s="29">
        <f>H34*E34</f>
        <v>1316.8328177126962</v>
      </c>
      <c r="K34" s="29">
        <f>F34*(E34+J34)</f>
        <v>0</v>
      </c>
      <c r="L34" s="59">
        <f>G34*(E34+J34+K34)</f>
        <v>0</v>
      </c>
      <c r="N34" s="30">
        <f t="shared" si="2"/>
        <v>1316.8328177126962</v>
      </c>
      <c r="O34" s="31">
        <f>+E34+N34</f>
        <v>9898.3119800609493</v>
      </c>
    </row>
    <row r="35" spans="1:15" ht="13" outlineLevel="1" x14ac:dyDescent="0.15">
      <c r="A35" s="25" t="s">
        <v>7</v>
      </c>
      <c r="B35" s="26" t="s">
        <v>154</v>
      </c>
      <c r="C35" s="210">
        <f>'producten &amp; tarieven'!J17</f>
        <v>220.37878605783692</v>
      </c>
      <c r="D35" s="282">
        <f>'Eenheden 2019'!E35</f>
        <v>69.012334463321039</v>
      </c>
      <c r="E35" s="209">
        <f t="shared" si="0"/>
        <v>15208.854492044113</v>
      </c>
      <c r="F35" s="199">
        <f>'T-effecten'!B35</f>
        <v>0</v>
      </c>
      <c r="G35" s="199">
        <f>'T-effecten'!C35</f>
        <v>0</v>
      </c>
      <c r="H35" s="462"/>
      <c r="J35" s="29">
        <f t="shared" ref="J35:J37" si="8">H35*E35</f>
        <v>0</v>
      </c>
      <c r="K35" s="29">
        <f t="shared" ref="K35:K36" si="9">F35*(E35+J35)</f>
        <v>0</v>
      </c>
      <c r="L35" s="59">
        <f t="shared" ref="L35:L37" si="10">G35*(E35+J35+K35)</f>
        <v>0</v>
      </c>
      <c r="M35" s="16"/>
      <c r="N35" s="30">
        <f t="shared" si="2"/>
        <v>0</v>
      </c>
      <c r="O35" s="31">
        <f t="shared" ref="O35:O36" si="11">+E35+N35</f>
        <v>15208.854492044113</v>
      </c>
    </row>
    <row r="36" spans="1:15" ht="13" outlineLevel="1" x14ac:dyDescent="0.15">
      <c r="A36" s="25" t="s">
        <v>8</v>
      </c>
      <c r="B36" s="26" t="s">
        <v>4</v>
      </c>
      <c r="C36" s="210">
        <f>'producten &amp; tarieven'!J17</f>
        <v>220.37878605783692</v>
      </c>
      <c r="D36" s="282">
        <f>'Eenheden 2019'!E36</f>
        <v>35.013161447758982</v>
      </c>
      <c r="E36" s="209">
        <f t="shared" si="0"/>
        <v>7716.1580159041805</v>
      </c>
      <c r="F36" s="199">
        <f>'T-effecten'!B36</f>
        <v>0</v>
      </c>
      <c r="G36" s="199">
        <f>'T-effecten'!C36</f>
        <v>0</v>
      </c>
      <c r="H36" s="462"/>
      <c r="J36" s="29">
        <f t="shared" si="8"/>
        <v>0</v>
      </c>
      <c r="K36" s="29">
        <f t="shared" si="9"/>
        <v>0</v>
      </c>
      <c r="L36" s="59">
        <f t="shared" si="10"/>
        <v>0</v>
      </c>
      <c r="M36" s="16"/>
      <c r="N36" s="30">
        <f t="shared" si="2"/>
        <v>0</v>
      </c>
      <c r="O36" s="31">
        <f t="shared" si="11"/>
        <v>7716.1580159041805</v>
      </c>
    </row>
    <row r="37" spans="1:15" ht="13" outlineLevel="1" x14ac:dyDescent="0.15">
      <c r="A37" s="25" t="s">
        <v>9</v>
      </c>
      <c r="B37" s="26" t="s">
        <v>5</v>
      </c>
      <c r="C37" s="210">
        <f>'producten &amp; tarieven'!J17</f>
        <v>220.37878605783692</v>
      </c>
      <c r="D37" s="282">
        <f>'Eenheden 2019'!E37</f>
        <v>9.0346511625402766</v>
      </c>
      <c r="E37" s="209">
        <f t="shared" si="0"/>
        <v>1991.0454556566513</v>
      </c>
      <c r="F37" s="199">
        <f>'T-effecten'!B37</f>
        <v>0</v>
      </c>
      <c r="G37" s="199">
        <f>'T-effecten'!C37</f>
        <v>0</v>
      </c>
      <c r="H37" s="462"/>
      <c r="J37" s="29">
        <f t="shared" si="8"/>
        <v>0</v>
      </c>
      <c r="K37" s="29">
        <f>F37*(E37+J37)</f>
        <v>0</v>
      </c>
      <c r="L37" s="59">
        <f t="shared" si="10"/>
        <v>0</v>
      </c>
      <c r="M37" s="16"/>
      <c r="N37" s="30">
        <f t="shared" si="2"/>
        <v>0</v>
      </c>
      <c r="O37" s="222">
        <f>+E37+N37</f>
        <v>1991.0454556566513</v>
      </c>
    </row>
    <row r="38" spans="1:15" ht="15" thickBot="1" x14ac:dyDescent="0.2">
      <c r="A38" s="15">
        <v>8</v>
      </c>
      <c r="B38" s="201" t="s">
        <v>125</v>
      </c>
      <c r="C38" s="211">
        <f>'producten &amp; tarieven'!B23</f>
        <v>15.326666666666668</v>
      </c>
      <c r="D38" s="305">
        <f>'Eenheden 2019'!E38</f>
        <v>13635.513849534513</v>
      </c>
      <c r="E38" s="216">
        <f t="shared" si="0"/>
        <v>208986.97560053231</v>
      </c>
      <c r="F38" s="197"/>
      <c r="G38" s="197"/>
      <c r="H38" s="463"/>
      <c r="J38" s="212">
        <f>SUM(J39:J42)</f>
        <v>4163.8077935571664</v>
      </c>
      <c r="K38" s="212">
        <f>SUM(K39:K42)</f>
        <v>-51760.250743284902</v>
      </c>
      <c r="L38" s="212">
        <f>SUM(L39:L42)</f>
        <v>-9655.5148844978085</v>
      </c>
      <c r="M38" s="16"/>
      <c r="N38" s="212">
        <f t="shared" si="2"/>
        <v>-57251.957834225548</v>
      </c>
      <c r="O38" s="224">
        <f>+E38+N38</f>
        <v>151735.01776630676</v>
      </c>
    </row>
    <row r="39" spans="1:15" outlineLevel="1" thickTop="1" x14ac:dyDescent="0.15">
      <c r="A39" s="25" t="s">
        <v>6</v>
      </c>
      <c r="B39" s="193" t="s">
        <v>2</v>
      </c>
      <c r="C39" s="208">
        <f>'producten &amp; tarieven'!$B$23</f>
        <v>15.326666666666668</v>
      </c>
      <c r="D39" s="282">
        <f>'Eenheden 2019'!E39</f>
        <v>1770.4125210417644</v>
      </c>
      <c r="E39" s="213">
        <f t="shared" si="0"/>
        <v>27134.522572500111</v>
      </c>
      <c r="F39" s="199">
        <f>($D$14/($D$14+$D$19)*F14)+($D$19/($D$14+$D$19)*F19)</f>
        <v>-0.50556259373191603</v>
      </c>
      <c r="G39" s="199">
        <f>(D14/(D14+D19)*G14)+(D19/(D14+D19)*G19)</f>
        <v>-3.2406234378014008E-2</v>
      </c>
      <c r="H39" s="474">
        <f>'T-effecten'!G39</f>
        <v>0.15345056403450563</v>
      </c>
      <c r="J39" s="220">
        <f>H39*E39</f>
        <v>4163.8077935571664</v>
      </c>
      <c r="K39" s="220">
        <f>F39*(E39+J39)</f>
        <v>-15823.265079342307</v>
      </c>
      <c r="L39" s="221">
        <f>G39*(E39+J39+K39)</f>
        <v>-501.48859269635392</v>
      </c>
      <c r="M39" s="16"/>
      <c r="N39" s="30">
        <f t="shared" si="2"/>
        <v>-12160.945878481496</v>
      </c>
      <c r="O39" s="222">
        <f>+E39+N39</f>
        <v>14973.576694018615</v>
      </c>
    </row>
    <row r="40" spans="1:15" ht="13" outlineLevel="1" x14ac:dyDescent="0.15">
      <c r="A40" s="25" t="s">
        <v>7</v>
      </c>
      <c r="B40" s="26" t="s">
        <v>154</v>
      </c>
      <c r="C40" s="208">
        <f>'producten &amp; tarieven'!$B$23</f>
        <v>15.326666666666668</v>
      </c>
      <c r="D40" s="282">
        <f>'Eenheden 2019'!E40</f>
        <v>4353.7342865405835</v>
      </c>
      <c r="E40" s="209">
        <f t="shared" si="0"/>
        <v>66728.234165045345</v>
      </c>
      <c r="F40" s="199">
        <f>(D15/(D15+D20)*F15)+(D20/(D15+D20)*F20)</f>
        <v>-0.2</v>
      </c>
      <c r="G40" s="199">
        <f t="shared" ref="G40:G42" si="12">(D15/(D15+D20)*G15)+(D20/(D15+D20)*G20)</f>
        <v>-0.1</v>
      </c>
      <c r="H40" s="462"/>
      <c r="J40" s="220">
        <f>H40*E40</f>
        <v>0</v>
      </c>
      <c r="K40" s="220">
        <f>F40*(E40+J40)</f>
        <v>-13345.64683300907</v>
      </c>
      <c r="L40" s="221">
        <f>G40*(E40+J40+K40)</f>
        <v>-5338.2587332036273</v>
      </c>
      <c r="M40" s="16"/>
      <c r="N40" s="30">
        <f t="shared" si="2"/>
        <v>-18683.905566212699</v>
      </c>
      <c r="O40" s="222">
        <f>+E40+N40</f>
        <v>48044.328598832646</v>
      </c>
    </row>
    <row r="41" spans="1:15" ht="13" outlineLevel="1" x14ac:dyDescent="0.15">
      <c r="A41" s="25" t="s">
        <v>8</v>
      </c>
      <c r="B41" s="26" t="s">
        <v>4</v>
      </c>
      <c r="C41" s="208">
        <f>'producten &amp; tarieven'!$B$23</f>
        <v>15.326666666666668</v>
      </c>
      <c r="D41" s="282">
        <f>'Eenheden 2019'!E41</f>
        <v>6074.8890506238631</v>
      </c>
      <c r="E41" s="209">
        <f t="shared" si="0"/>
        <v>93107.79951589508</v>
      </c>
      <c r="F41" s="199">
        <f>(D16/(D16+D21)*F16)+(D21/(D16+D21)*F21)</f>
        <v>-0.23853844771429444</v>
      </c>
      <c r="G41" s="199">
        <f>(D16/(D16+D21)*G16)+(D21/(D16+D21)*G21)</f>
        <v>-5.3820517428568526E-2</v>
      </c>
      <c r="H41" s="462"/>
      <c r="J41" s="220">
        <f>H41*E41</f>
        <v>0</v>
      </c>
      <c r="K41" s="220">
        <f>F41*(E41+J41)</f>
        <v>-22209.789966615346</v>
      </c>
      <c r="L41" s="221">
        <f>G41*(E41+J41+K41)</f>
        <v>-3815.7675585978272</v>
      </c>
      <c r="M41" s="16"/>
      <c r="N41" s="30">
        <f t="shared" si="2"/>
        <v>-26025.557525213175</v>
      </c>
      <c r="O41" s="222">
        <f>+E41+N41</f>
        <v>67082.241990681912</v>
      </c>
    </row>
    <row r="42" spans="1:15" ht="13" outlineLevel="1" x14ac:dyDescent="0.15">
      <c r="A42" s="25" t="s">
        <v>9</v>
      </c>
      <c r="B42" s="26" t="s">
        <v>5</v>
      </c>
      <c r="C42" s="208">
        <f>'producten &amp; tarieven'!$B$23</f>
        <v>15.326666666666668</v>
      </c>
      <c r="D42" s="282">
        <f>'Eenheden 2019'!E42</f>
        <v>1438.9776962209517</v>
      </c>
      <c r="E42" s="209">
        <f t="shared" si="0"/>
        <v>22054.731490746453</v>
      </c>
      <c r="F42" s="199">
        <f>(D17/(D17+D22)*F17)+(D22/(D17+D22)*F22)</f>
        <v>-0.17988071885571469</v>
      </c>
      <c r="G42" s="199">
        <f t="shared" si="12"/>
        <v>0</v>
      </c>
      <c r="H42" s="462"/>
      <c r="J42" s="220">
        <f>H42*E42</f>
        <v>0</v>
      </c>
      <c r="K42" s="220">
        <f>F42*(E47+J42)</f>
        <v>-381.54886431818261</v>
      </c>
      <c r="L42" s="221">
        <f>G42*(E47+J42+K42)</f>
        <v>0</v>
      </c>
      <c r="M42" s="16"/>
      <c r="N42" s="30">
        <f t="shared" si="2"/>
        <v>-381.54886431818261</v>
      </c>
      <c r="O42" s="222">
        <f>+E47+N42</f>
        <v>1739.5726585740476</v>
      </c>
    </row>
    <row r="43" spans="1:15" thickBot="1" x14ac:dyDescent="0.2">
      <c r="A43" s="25">
        <v>9</v>
      </c>
      <c r="B43" s="201" t="s">
        <v>124</v>
      </c>
      <c r="C43" s="211">
        <f>'producten &amp; tarieven'!B24</f>
        <v>24.846666666666668</v>
      </c>
      <c r="D43" s="305">
        <f>'Eenheden 2019'!E43</f>
        <v>808.93730407523503</v>
      </c>
      <c r="E43" s="216">
        <f t="shared" si="0"/>
        <v>20099.395548589342</v>
      </c>
      <c r="F43" s="202"/>
      <c r="G43" s="202"/>
      <c r="H43" s="465"/>
      <c r="J43" s="212">
        <f>SUM(J44:J47)</f>
        <v>400.45567237153392</v>
      </c>
      <c r="K43" s="212">
        <f>SUM(K44:K47)</f>
        <v>-5322.9135061622655</v>
      </c>
      <c r="L43" s="212">
        <f>SUM(L44:L47)</f>
        <v>-928.62252459104479</v>
      </c>
      <c r="M43" s="16"/>
      <c r="N43" s="229">
        <f t="shared" si="2"/>
        <v>-5851.080358381776</v>
      </c>
      <c r="O43" s="224">
        <f>+E43+N43</f>
        <v>14248.315190207566</v>
      </c>
    </row>
    <row r="44" spans="1:15" outlineLevel="1" thickTop="1" x14ac:dyDescent="0.15">
      <c r="A44" s="25" t="s">
        <v>6</v>
      </c>
      <c r="B44" s="193" t="s">
        <v>2</v>
      </c>
      <c r="C44" s="208">
        <f>'producten &amp; tarieven'!$B$24</f>
        <v>24.846666666666668</v>
      </c>
      <c r="D44" s="282">
        <f>'Eenheden 2019'!E44</f>
        <v>105.03107896600874</v>
      </c>
      <c r="E44" s="213">
        <f t="shared" si="0"/>
        <v>2609.6722087087637</v>
      </c>
      <c r="F44" s="199">
        <f>(D14/(D14+D19)*F14)+(D19/(D14+D19)*F19)</f>
        <v>-0.50556259373191603</v>
      </c>
      <c r="G44" s="199">
        <f>(D14/(D14+D19)*G14)+(D19/(D14+D19)*G19)</f>
        <v>-3.2406234378014008E-2</v>
      </c>
      <c r="H44" s="474">
        <f>'T-effecten'!G44</f>
        <v>0.15345056403450563</v>
      </c>
      <c r="J44" s="220">
        <f>H44*E44</f>
        <v>400.45567237153392</v>
      </c>
      <c r="K44" s="220">
        <f>F44*(E44+J44)</f>
        <v>-1521.8080590237118</v>
      </c>
      <c r="L44" s="221">
        <f>G44*(E44+J44+K44)</f>
        <v>-48.230840983009827</v>
      </c>
      <c r="M44" s="16"/>
      <c r="N44" s="30">
        <f t="shared" si="2"/>
        <v>-1169.5832276351878</v>
      </c>
      <c r="O44" s="230">
        <f>+E44+N44</f>
        <v>1440.088981073576</v>
      </c>
    </row>
    <row r="45" spans="1:15" ht="13" outlineLevel="1" x14ac:dyDescent="0.15">
      <c r="A45" s="25" t="s">
        <v>7</v>
      </c>
      <c r="B45" s="26" t="s">
        <v>154</v>
      </c>
      <c r="C45" s="208">
        <f>'producten &amp; tarieven'!$B$24</f>
        <v>24.846666666666668</v>
      </c>
      <c r="D45" s="282">
        <f>'Eenheden 2019'!E45</f>
        <v>258.2886215567363</v>
      </c>
      <c r="E45" s="209">
        <f t="shared" si="0"/>
        <v>6417.6112836130415</v>
      </c>
      <c r="F45" s="199">
        <f t="shared" ref="F45:F47" si="13">(D15/(D15+D20)*F15)+(D20/(D15+D20)*F20)</f>
        <v>-0.2</v>
      </c>
      <c r="G45" s="199">
        <f t="shared" ref="G45:G47" si="14">(D15/(D15+D20)*G15)+(D20/(D15+D20)*G20)</f>
        <v>-0.1</v>
      </c>
      <c r="H45" s="462"/>
      <c r="J45" s="220">
        <f t="shared" ref="J45:J47" si="15">H45*E45</f>
        <v>0</v>
      </c>
      <c r="K45" s="220">
        <f t="shared" ref="K45:K46" si="16">F45*(E45+J45)</f>
        <v>-1283.5222567226083</v>
      </c>
      <c r="L45" s="221">
        <f t="shared" ref="L45:L47" si="17">G45*(E45+J45+K45)</f>
        <v>-513.40890268904332</v>
      </c>
      <c r="M45" s="16"/>
      <c r="N45" s="30">
        <f t="shared" si="2"/>
        <v>-1796.9311594116516</v>
      </c>
      <c r="O45" s="230">
        <f>+E45+N45</f>
        <v>4620.6801242013898</v>
      </c>
    </row>
    <row r="46" spans="1:15" ht="13" outlineLevel="1" x14ac:dyDescent="0.15">
      <c r="A46" s="25" t="s">
        <v>8</v>
      </c>
      <c r="B46" s="26" t="s">
        <v>4</v>
      </c>
      <c r="C46" s="208">
        <f>'producten &amp; tarieven'!$B$24</f>
        <v>24.846666666666668</v>
      </c>
      <c r="D46" s="282">
        <f>'Eenheden 2019'!E46</f>
        <v>360.39744635920647</v>
      </c>
      <c r="E46" s="209">
        <f t="shared" si="0"/>
        <v>8954.6752172050838</v>
      </c>
      <c r="F46" s="199">
        <f>(D16/(D16+D21)*F16)+(D21/(D16+D21)*F21)</f>
        <v>-0.23853844771429444</v>
      </c>
      <c r="G46" s="199">
        <f t="shared" si="14"/>
        <v>-5.3820517428568526E-2</v>
      </c>
      <c r="H46" s="462"/>
      <c r="J46" s="220">
        <f t="shared" si="15"/>
        <v>0</v>
      </c>
      <c r="K46" s="220">
        <f t="shared" si="16"/>
        <v>-2136.0343260977629</v>
      </c>
      <c r="L46" s="221">
        <f t="shared" si="17"/>
        <v>-366.98278091899164</v>
      </c>
      <c r="M46" s="16"/>
      <c r="N46" s="30">
        <f t="shared" si="2"/>
        <v>-2503.0171070167544</v>
      </c>
      <c r="O46" s="222">
        <f t="shared" ref="O46:O52" si="18">+E46+N46</f>
        <v>6451.6581101883294</v>
      </c>
    </row>
    <row r="47" spans="1:15" ht="13" outlineLevel="1" x14ac:dyDescent="0.15">
      <c r="A47" s="25" t="s">
        <v>9</v>
      </c>
      <c r="B47" s="26" t="s">
        <v>5</v>
      </c>
      <c r="C47" s="208">
        <f>'producten &amp; tarieven'!$B$24</f>
        <v>24.846666666666668</v>
      </c>
      <c r="D47" s="282">
        <f>'Eenheden 2019'!E47</f>
        <v>85.368454100841021</v>
      </c>
      <c r="E47" s="209">
        <f t="shared" si="0"/>
        <v>2121.1215228922301</v>
      </c>
      <c r="F47" s="199">
        <f t="shared" si="13"/>
        <v>-0.17988071885571469</v>
      </c>
      <c r="G47" s="199">
        <f t="shared" si="14"/>
        <v>0</v>
      </c>
      <c r="H47" s="462"/>
      <c r="J47" s="220">
        <f t="shared" si="15"/>
        <v>0</v>
      </c>
      <c r="K47" s="220">
        <f>F47*(E47+J47)</f>
        <v>-381.54886431818261</v>
      </c>
      <c r="L47" s="221">
        <f t="shared" si="17"/>
        <v>0</v>
      </c>
      <c r="M47" s="16"/>
      <c r="N47" s="30">
        <f t="shared" si="2"/>
        <v>-381.54886431818261</v>
      </c>
      <c r="O47" s="222">
        <f t="shared" si="18"/>
        <v>1739.5726585740476</v>
      </c>
    </row>
    <row r="48" spans="1:15" thickBot="1" x14ac:dyDescent="0.2">
      <c r="A48" s="25">
        <v>10</v>
      </c>
      <c r="B48" s="201" t="s">
        <v>160</v>
      </c>
      <c r="C48" s="211"/>
      <c r="D48" s="207"/>
      <c r="E48" s="216">
        <f t="shared" si="0"/>
        <v>0</v>
      </c>
      <c r="F48" s="202"/>
      <c r="G48" s="202"/>
      <c r="H48" s="465"/>
      <c r="J48" s="228">
        <f>SUM(J49:J52)</f>
        <v>0</v>
      </c>
      <c r="K48" s="228">
        <f t="shared" ref="K48:L48" si="19">SUM(K49:K52)</f>
        <v>0</v>
      </c>
      <c r="L48" s="228">
        <f t="shared" si="19"/>
        <v>0</v>
      </c>
      <c r="M48" s="16"/>
      <c r="N48" s="229">
        <f t="shared" si="2"/>
        <v>0</v>
      </c>
      <c r="O48" s="224">
        <f t="shared" si="18"/>
        <v>0</v>
      </c>
    </row>
    <row r="49" spans="1:45" outlineLevel="1" thickTop="1" x14ac:dyDescent="0.15">
      <c r="A49" s="25" t="s">
        <v>6</v>
      </c>
      <c r="B49" s="193" t="s">
        <v>2</v>
      </c>
      <c r="C49" s="214"/>
      <c r="D49" s="215"/>
      <c r="E49" s="213">
        <f t="shared" si="0"/>
        <v>0</v>
      </c>
      <c r="F49" s="199">
        <f>'T-effecten'!B49</f>
        <v>0</v>
      </c>
      <c r="G49" s="199">
        <f>'T-effecten'!C49</f>
        <v>0</v>
      </c>
      <c r="H49" s="474">
        <f>'T-effecten'!G49</f>
        <v>0.15345056403450563</v>
      </c>
      <c r="J49" s="220">
        <f>H49*E49</f>
        <v>0</v>
      </c>
      <c r="K49" s="220">
        <f t="shared" ref="K49:K52" si="20">F49*(E49+J49)</f>
        <v>0</v>
      </c>
      <c r="L49" s="221">
        <f t="shared" ref="L49:L52" si="21">G49*(E49+J49+K49)</f>
        <v>0</v>
      </c>
      <c r="M49" s="16"/>
      <c r="N49" s="30">
        <f t="shared" si="2"/>
        <v>0</v>
      </c>
      <c r="O49" s="230">
        <f t="shared" si="18"/>
        <v>0</v>
      </c>
    </row>
    <row r="50" spans="1:45" ht="13" outlineLevel="1" x14ac:dyDescent="0.15">
      <c r="A50" s="25" t="s">
        <v>7</v>
      </c>
      <c r="B50" s="26" t="s">
        <v>154</v>
      </c>
      <c r="C50" s="214"/>
      <c r="D50" s="215"/>
      <c r="E50" s="209">
        <f t="shared" si="0"/>
        <v>0</v>
      </c>
      <c r="F50" s="199">
        <f>'T-effecten'!B50</f>
        <v>0</v>
      </c>
      <c r="G50" s="199">
        <f>'T-effecten'!C50</f>
        <v>0</v>
      </c>
      <c r="H50" s="469"/>
      <c r="J50" s="220">
        <f t="shared" ref="J50:J51" si="22">H50*E50</f>
        <v>0</v>
      </c>
      <c r="K50" s="220">
        <f t="shared" si="20"/>
        <v>0</v>
      </c>
      <c r="L50" s="221">
        <f t="shared" si="21"/>
        <v>0</v>
      </c>
      <c r="M50" s="16"/>
      <c r="N50" s="30">
        <f t="shared" si="2"/>
        <v>0</v>
      </c>
      <c r="O50" s="222">
        <f t="shared" si="18"/>
        <v>0</v>
      </c>
    </row>
    <row r="51" spans="1:45" ht="13" outlineLevel="1" x14ac:dyDescent="0.15">
      <c r="A51" s="25" t="s">
        <v>8</v>
      </c>
      <c r="B51" s="26" t="s">
        <v>4</v>
      </c>
      <c r="C51" s="214"/>
      <c r="D51" s="215"/>
      <c r="E51" s="209">
        <f t="shared" si="0"/>
        <v>0</v>
      </c>
      <c r="F51" s="199">
        <f>'T-effecten'!B51</f>
        <v>0</v>
      </c>
      <c r="G51" s="199">
        <f>'T-effecten'!C51</f>
        <v>0</v>
      </c>
      <c r="H51" s="469"/>
      <c r="J51" s="220">
        <f t="shared" si="22"/>
        <v>0</v>
      </c>
      <c r="K51" s="220">
        <f t="shared" si="20"/>
        <v>0</v>
      </c>
      <c r="L51" s="221">
        <f t="shared" si="21"/>
        <v>0</v>
      </c>
      <c r="M51" s="16"/>
      <c r="N51" s="30">
        <f t="shared" si="2"/>
        <v>0</v>
      </c>
      <c r="O51" s="222">
        <f t="shared" si="18"/>
        <v>0</v>
      </c>
    </row>
    <row r="52" spans="1:45" outlineLevel="1" thickBot="1" x14ac:dyDescent="0.2">
      <c r="A52" s="25" t="s">
        <v>9</v>
      </c>
      <c r="B52" s="26" t="s">
        <v>5</v>
      </c>
      <c r="C52" s="214"/>
      <c r="D52" s="215"/>
      <c r="E52" s="209">
        <f t="shared" si="0"/>
        <v>0</v>
      </c>
      <c r="F52" s="199">
        <f>'T-effecten'!B52</f>
        <v>0</v>
      </c>
      <c r="G52" s="199">
        <f>'T-effecten'!C52</f>
        <v>0</v>
      </c>
      <c r="H52" s="469"/>
      <c r="J52" s="220">
        <f>H52*E52</f>
        <v>0</v>
      </c>
      <c r="K52" s="220">
        <f t="shared" si="20"/>
        <v>0</v>
      </c>
      <c r="L52" s="221">
        <f t="shared" si="21"/>
        <v>0</v>
      </c>
      <c r="M52" s="16"/>
      <c r="N52" s="30">
        <f t="shared" si="2"/>
        <v>0</v>
      </c>
      <c r="O52" s="222">
        <f t="shared" si="18"/>
        <v>0</v>
      </c>
    </row>
    <row r="53" spans="1:45" s="232" customFormat="1" ht="16" thickTop="1" thickBot="1" x14ac:dyDescent="0.2">
      <c r="A53" s="15"/>
      <c r="B53" s="291" t="s">
        <v>164</v>
      </c>
      <c r="C53" s="276"/>
      <c r="D53" s="292"/>
      <c r="E53" s="292">
        <f>E3+E8+E13+E18+E23+E28+E33+E38+E43+E48</f>
        <v>2885608.9211027408</v>
      </c>
      <c r="F53" s="293"/>
      <c r="G53" s="293"/>
      <c r="H53" s="477"/>
      <c r="I53" s="275"/>
      <c r="J53" s="294">
        <f>J3+J8+J13+J18+J23+J28+J33+J38+J43+J48</f>
        <v>95781.156043766561</v>
      </c>
      <c r="K53" s="295">
        <f>K3+K8+K13+K18+K23+K28+K33+K38+K43+K48</f>
        <v>-703695.18832779909</v>
      </c>
      <c r="L53" s="294">
        <f>L3+L8+L13+L18+L23+L28+L33+L38+L43+L48</f>
        <v>-136194.66557137627</v>
      </c>
      <c r="M53" s="296"/>
      <c r="N53" s="294">
        <f>N3+N8+N13+N18+N23+N28+N33+N38+N43+N48</f>
        <v>-744108.69785540877</v>
      </c>
      <c r="O53" s="297">
        <f>O3+O8+O13+O18+O23+O28+O33+O38+O43+O48</f>
        <v>2141500.2232473316</v>
      </c>
      <c r="P53" s="231"/>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row>
    <row r="54" spans="1:45" s="4" customFormat="1" ht="14.5" customHeight="1" thickTop="1" x14ac:dyDescent="0.2">
      <c r="A54" s="15"/>
      <c r="B54" s="16"/>
      <c r="C54" s="203" t="s">
        <v>155</v>
      </c>
      <c r="D54" s="203"/>
      <c r="E54" s="298">
        <v>2769505.7599999993</v>
      </c>
      <c r="F54" s="16"/>
      <c r="H54" s="35"/>
      <c r="I54" s="35"/>
      <c r="J54" s="189"/>
      <c r="K54" s="189"/>
      <c r="L54" s="190"/>
      <c r="M54" s="19"/>
      <c r="N54" s="191"/>
      <c r="O54" s="192"/>
      <c r="R54" s="5"/>
    </row>
    <row r="55" spans="1:45" s="4" customFormat="1" ht="15" customHeight="1" outlineLevel="1" x14ac:dyDescent="0.15">
      <c r="A55" s="16"/>
      <c r="B55" s="16"/>
      <c r="C55" s="203" t="s">
        <v>156</v>
      </c>
      <c r="D55" s="203"/>
      <c r="E55" s="301">
        <f>(E53-E54)/E54</f>
        <v>4.1921978563692001E-2</v>
      </c>
      <c r="F55" s="16"/>
      <c r="G55" s="16"/>
      <c r="H55" s="16"/>
      <c r="I55" s="16"/>
      <c r="J55" s="16"/>
      <c r="K55" s="16"/>
      <c r="L55" s="16"/>
      <c r="M55" s="19"/>
      <c r="N55" s="16"/>
      <c r="O55" s="16"/>
    </row>
    <row r="56" spans="1:45" s="4" customFormat="1" ht="14.5" customHeight="1" outlineLevel="1" x14ac:dyDescent="0.15">
      <c r="A56" s="16"/>
      <c r="B56" s="16"/>
      <c r="C56" s="299"/>
      <c r="D56" s="299"/>
      <c r="E56" s="300"/>
      <c r="F56" s="16"/>
      <c r="G56" s="16"/>
      <c r="H56" s="16"/>
      <c r="I56" s="16"/>
      <c r="J56" s="16"/>
      <c r="K56" s="16"/>
      <c r="L56" s="16"/>
      <c r="M56" s="19"/>
      <c r="N56" s="16"/>
      <c r="O56" s="16"/>
    </row>
    <row r="57" spans="1:45" s="4" customFormat="1" ht="24.75" customHeight="1" outlineLevel="1" x14ac:dyDescent="0.25">
      <c r="A57" s="16"/>
      <c r="B57" s="37" t="s">
        <v>25</v>
      </c>
      <c r="C57" s="16"/>
      <c r="D57" s="16"/>
      <c r="E57" s="38"/>
      <c r="F57" s="16"/>
      <c r="G57" s="16"/>
      <c r="H57" s="16"/>
      <c r="I57" s="16"/>
      <c r="J57" s="16"/>
      <c r="K57" s="60"/>
      <c r="L57" s="38"/>
      <c r="M57" s="19"/>
      <c r="N57" s="60"/>
      <c r="O57" s="16"/>
    </row>
    <row r="58" spans="1:45" s="1" customFormat="1" ht="16" thickBot="1" x14ac:dyDescent="0.2">
      <c r="A58" s="22"/>
      <c r="B58" s="526" t="s">
        <v>21</v>
      </c>
      <c r="C58" s="526"/>
      <c r="D58" s="526"/>
      <c r="E58" s="23" t="s">
        <v>98</v>
      </c>
      <c r="F58" s="523" t="s">
        <v>14</v>
      </c>
      <c r="G58" s="524"/>
      <c r="H58" s="525"/>
      <c r="I58" s="39"/>
      <c r="J58" s="16"/>
      <c r="K58" s="38"/>
      <c r="L58" s="38"/>
      <c r="M58" s="19"/>
      <c r="N58" s="40" t="s">
        <v>22</v>
      </c>
      <c r="O58" s="16"/>
      <c r="P58" s="4"/>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row>
    <row r="59" spans="1:45" ht="15" outlineLevel="1" thickTop="1" x14ac:dyDescent="0.15">
      <c r="A59" s="25" t="s">
        <v>6</v>
      </c>
      <c r="B59" s="527" t="s">
        <v>2</v>
      </c>
      <c r="C59" s="527"/>
      <c r="D59" s="527"/>
      <c r="E59" s="41">
        <f>+E79</f>
        <v>624182.495818189</v>
      </c>
      <c r="F59" s="521">
        <f>Investeringen!D2</f>
        <v>0.09</v>
      </c>
      <c r="G59" s="521"/>
      <c r="H59" s="521"/>
      <c r="J59" s="16"/>
      <c r="K59" s="38"/>
      <c r="L59" s="38"/>
      <c r="N59" s="30">
        <f>+F59*E59</f>
        <v>56176.424623637009</v>
      </c>
      <c r="O59" s="16"/>
      <c r="P59" s="4"/>
    </row>
    <row r="60" spans="1:45" outlineLevel="1" x14ac:dyDescent="0.15">
      <c r="A60" s="25" t="s">
        <v>7</v>
      </c>
      <c r="B60" s="528" t="s">
        <v>3</v>
      </c>
      <c r="C60" s="528"/>
      <c r="D60" s="528"/>
      <c r="E60" s="12">
        <f>+E94</f>
        <v>1226115.3586200196</v>
      </c>
      <c r="F60" s="521">
        <f>Investeringen!D3</f>
        <v>0.05</v>
      </c>
      <c r="G60" s="521"/>
      <c r="H60" s="521"/>
      <c r="J60" s="16"/>
      <c r="K60" s="16"/>
      <c r="L60" s="38"/>
      <c r="N60" s="30">
        <f>+F60*E60</f>
        <v>61305.767931000984</v>
      </c>
      <c r="O60" s="16"/>
      <c r="P60" s="4"/>
    </row>
    <row r="61" spans="1:45" outlineLevel="1" x14ac:dyDescent="0.15">
      <c r="A61" s="25" t="s">
        <v>8</v>
      </c>
      <c r="B61" s="528" t="s">
        <v>4</v>
      </c>
      <c r="C61" s="528"/>
      <c r="D61" s="528"/>
      <c r="E61" s="12">
        <f>E109</f>
        <v>805424.34069763753</v>
      </c>
      <c r="F61" s="521">
        <f>Investeringen!D4</f>
        <v>0.05</v>
      </c>
      <c r="G61" s="521"/>
      <c r="H61" s="521"/>
      <c r="J61" s="16"/>
      <c r="K61" s="16"/>
      <c r="L61" s="38"/>
      <c r="N61" s="30">
        <f>+F61*E61</f>
        <v>40271.217034881876</v>
      </c>
      <c r="O61" s="16"/>
      <c r="P61" s="4"/>
    </row>
    <row r="62" spans="1:45" outlineLevel="1" x14ac:dyDescent="0.15">
      <c r="A62" s="25" t="s">
        <v>9</v>
      </c>
      <c r="B62" s="528" t="s">
        <v>5</v>
      </c>
      <c r="C62" s="528"/>
      <c r="D62" s="528"/>
      <c r="E62" s="12">
        <f>E124</f>
        <v>230028.45995156959</v>
      </c>
      <c r="F62" s="521">
        <f>Investeringen!D5</f>
        <v>0.02</v>
      </c>
      <c r="G62" s="521"/>
      <c r="H62" s="521"/>
      <c r="J62" s="16"/>
      <c r="K62" s="16"/>
      <c r="L62" s="16"/>
      <c r="N62" s="30">
        <f>+F62*E62</f>
        <v>4600.5691990313917</v>
      </c>
      <c r="O62" s="16"/>
      <c r="P62" s="4"/>
    </row>
    <row r="63" spans="1:45" outlineLevel="1" x14ac:dyDescent="0.15">
      <c r="A63" s="25"/>
      <c r="B63" s="520" t="s">
        <v>13</v>
      </c>
      <c r="C63" s="520"/>
      <c r="D63" s="520"/>
      <c r="E63" s="13">
        <f>SUM(E59:E62)</f>
        <v>2885750.6550874156</v>
      </c>
      <c r="F63" s="521">
        <f>Investeringen!D6</f>
        <v>0.05</v>
      </c>
      <c r="G63" s="521"/>
      <c r="H63" s="521"/>
      <c r="I63" s="274"/>
      <c r="J63" s="42"/>
      <c r="K63" s="42"/>
      <c r="L63" s="42"/>
      <c r="N63" s="43">
        <f>+F63*E63</f>
        <v>144287.5327543708</v>
      </c>
      <c r="O63" s="38"/>
      <c r="P63" s="4"/>
    </row>
    <row r="64" spans="1:45" s="4" customFormat="1" ht="22" thickBot="1" x14ac:dyDescent="0.3">
      <c r="A64" s="15"/>
      <c r="B64" s="44" t="s">
        <v>161</v>
      </c>
      <c r="C64" s="46"/>
      <c r="D64" s="46"/>
      <c r="E64" s="36"/>
      <c r="F64" s="45"/>
      <c r="G64" s="45"/>
      <c r="H64" s="45"/>
      <c r="I64" s="272"/>
      <c r="J64" s="273"/>
      <c r="K64" s="273"/>
      <c r="L64" s="273"/>
      <c r="M64" s="19"/>
      <c r="N64" s="11">
        <f>SUM(N59:N63)</f>
        <v>306641.51154292206</v>
      </c>
      <c r="O64" s="16"/>
    </row>
    <row r="65" spans="1:45" s="4" customFormat="1" ht="22" thickTop="1" x14ac:dyDescent="0.25">
      <c r="A65" s="15"/>
      <c r="B65" s="303"/>
      <c r="C65" s="42"/>
      <c r="D65" s="42"/>
      <c r="E65" s="192"/>
      <c r="F65" s="304"/>
      <c r="G65" s="304"/>
      <c r="H65" s="304"/>
      <c r="I65" s="42"/>
      <c r="J65" s="47"/>
      <c r="K65" s="47"/>
      <c r="L65" s="47"/>
      <c r="M65" s="19"/>
      <c r="N65" s="191"/>
      <c r="O65" s="16"/>
    </row>
    <row r="66" spans="1:45" s="6" customFormat="1" x14ac:dyDescent="0.15">
      <c r="A66" s="49"/>
      <c r="B66" s="50"/>
      <c r="C66" s="50"/>
      <c r="D66" s="50"/>
      <c r="E66" s="51"/>
      <c r="F66" s="50"/>
      <c r="G66" s="50"/>
      <c r="H66" s="50"/>
      <c r="I66" s="50"/>
      <c r="J66" s="50"/>
      <c r="K66" s="50"/>
      <c r="L66" s="50"/>
      <c r="M66" s="19"/>
      <c r="N66" s="52"/>
      <c r="O66" s="16"/>
      <c r="P66" s="4"/>
    </row>
    <row r="67" spans="1:45" s="4" customFormat="1" ht="16" x14ac:dyDescent="0.2">
      <c r="A67" s="15" t="s">
        <v>6</v>
      </c>
      <c r="B67" s="53" t="str">
        <f>+B4</f>
        <v>Ouderen met somatische of psychogeriatrische problematiek (SOM 65+/PG 65+)</v>
      </c>
      <c r="C67" s="16"/>
      <c r="D67" s="16"/>
      <c r="E67" s="17"/>
      <c r="F67" s="16"/>
      <c r="G67" s="16"/>
      <c r="H67" s="16"/>
      <c r="I67" s="16"/>
      <c r="J67" s="54"/>
      <c r="K67" s="54"/>
      <c r="L67" s="54"/>
      <c r="M67" s="19"/>
      <c r="N67" s="54"/>
      <c r="O67" s="16"/>
    </row>
    <row r="68" spans="1:45" s="1" customFormat="1" ht="62.25" customHeight="1" thickBot="1" x14ac:dyDescent="0.2">
      <c r="A68" s="22"/>
      <c r="B68" s="217" t="s">
        <v>0</v>
      </c>
      <c r="C68" s="217" t="s">
        <v>26</v>
      </c>
      <c r="D68" s="217" t="s">
        <v>20</v>
      </c>
      <c r="E68" s="217" t="s">
        <v>216</v>
      </c>
      <c r="F68" s="217" t="s">
        <v>11</v>
      </c>
      <c r="G68" s="248" t="s">
        <v>12</v>
      </c>
      <c r="H68" s="217" t="s">
        <v>19</v>
      </c>
      <c r="I68" s="253"/>
      <c r="J68" s="249" t="s">
        <v>18</v>
      </c>
      <c r="K68" s="249" t="s">
        <v>24</v>
      </c>
      <c r="L68" s="219" t="s">
        <v>15</v>
      </c>
      <c r="M68" s="16"/>
      <c r="N68" s="217" t="s">
        <v>16</v>
      </c>
      <c r="O68" s="217" t="s">
        <v>17</v>
      </c>
      <c r="P68" s="5"/>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row>
    <row r="69" spans="1:45" s="4" customFormat="1" thickTop="1" x14ac:dyDescent="0.15">
      <c r="A69" s="15"/>
      <c r="B69" s="243" t="str">
        <f>+B3</f>
        <v>Individuele begeleiding basis</v>
      </c>
      <c r="C69" s="244">
        <f>C3</f>
        <v>54.161260653728334</v>
      </c>
      <c r="D69" s="245">
        <f>D4</f>
        <v>4436.0782680543052</v>
      </c>
      <c r="E69" s="246">
        <f>C69*D69</f>
        <v>240263.59135642898</v>
      </c>
      <c r="F69" s="247">
        <f>+F4</f>
        <v>-0.5</v>
      </c>
      <c r="G69" s="247">
        <f>+G4</f>
        <v>0</v>
      </c>
      <c r="H69" s="264">
        <f>+H4</f>
        <v>0.15345056403450563</v>
      </c>
      <c r="I69" s="254"/>
      <c r="J69" s="256">
        <f>+J4</f>
        <v>36868.583610599999</v>
      </c>
      <c r="K69" s="257">
        <f>+K4</f>
        <v>-138566.08748351448</v>
      </c>
      <c r="L69" s="257">
        <f>+L4</f>
        <v>0</v>
      </c>
      <c r="M69" s="16"/>
      <c r="N69" s="30">
        <f>SUM(J69:L69)</f>
        <v>-101697.50387291447</v>
      </c>
      <c r="O69" s="242">
        <f>N69+E69</f>
        <v>138566.08748351451</v>
      </c>
      <c r="P69" s="5"/>
    </row>
    <row r="70" spans="1:45" s="4" customFormat="1" ht="13" x14ac:dyDescent="0.15">
      <c r="A70" s="15"/>
      <c r="B70" s="233" t="str">
        <f>+B8</f>
        <v>Individuele begeleiding plus</v>
      </c>
      <c r="C70" s="234">
        <f>C8</f>
        <v>67.462938501976552</v>
      </c>
      <c r="D70" s="236">
        <f>D9</f>
        <v>3888.7018254316099</v>
      </c>
      <c r="E70" s="237">
        <f t="shared" ref="E70:E78" si="23">C70*D70</f>
        <v>262343.25210161664</v>
      </c>
      <c r="F70" s="28">
        <f>+F9</f>
        <v>-0.2</v>
      </c>
      <c r="G70" s="28">
        <f>+G9</f>
        <v>-0.1</v>
      </c>
      <c r="H70" s="251">
        <f>+H9</f>
        <v>0.15345056403450563</v>
      </c>
      <c r="I70" s="254"/>
      <c r="J70" s="256">
        <f>+J9</f>
        <v>40256.720005639581</v>
      </c>
      <c r="K70" s="257">
        <f>+K9</f>
        <v>-60519.994421451251</v>
      </c>
      <c r="L70" s="257">
        <f>+L9</f>
        <v>-24207.997768580502</v>
      </c>
      <c r="M70" s="16"/>
      <c r="N70" s="30">
        <f t="shared" ref="N70:N78" si="24">SUM(J70:L70)</f>
        <v>-44471.272184392175</v>
      </c>
      <c r="O70" s="242">
        <f t="shared" ref="O70:O77" si="25">N70+E70</f>
        <v>217871.97991722447</v>
      </c>
      <c r="P70" s="5"/>
    </row>
    <row r="71" spans="1:45" s="4" customFormat="1" ht="13" x14ac:dyDescent="0.15">
      <c r="A71" s="15"/>
      <c r="B71" s="233" t="str">
        <f>+B13</f>
        <v>Dagbesteding basis</v>
      </c>
      <c r="C71" s="234">
        <f>C13</f>
        <v>36.10395767297338</v>
      </c>
      <c r="D71" s="236">
        <f>D14</f>
        <v>1354.8576317974007</v>
      </c>
      <c r="E71" s="237">
        <f t="shared" si="23"/>
        <v>48915.722591318307</v>
      </c>
      <c r="F71" s="28">
        <f>+F14</f>
        <v>-0.7</v>
      </c>
      <c r="G71" s="28">
        <f>+G14</f>
        <v>0</v>
      </c>
      <c r="H71" s="251">
        <f>+H14</f>
        <v>0.15345056403450563</v>
      </c>
      <c r="I71" s="254"/>
      <c r="J71" s="256">
        <f>+J14</f>
        <v>7506.1452217932037</v>
      </c>
      <c r="K71" s="257">
        <f>+K14</f>
        <v>-39495.307469178057</v>
      </c>
      <c r="L71" s="257">
        <f>+L14</f>
        <v>0</v>
      </c>
      <c r="M71" s="16"/>
      <c r="N71" s="30">
        <f t="shared" si="24"/>
        <v>-31989.162247384855</v>
      </c>
      <c r="O71" s="242">
        <f t="shared" si="25"/>
        <v>16926.560343933452</v>
      </c>
      <c r="P71" s="5"/>
    </row>
    <row r="72" spans="1:45" s="4" customFormat="1" ht="13" x14ac:dyDescent="0.15">
      <c r="A72" s="15"/>
      <c r="B72" s="233" t="str">
        <f>+B18</f>
        <v>Dagbesteding plus</v>
      </c>
      <c r="C72" s="234">
        <f>C18</f>
        <v>48.858878642934805</v>
      </c>
      <c r="D72" s="236">
        <f>D19</f>
        <v>649.5544901346118</v>
      </c>
      <c r="E72" s="237">
        <f t="shared" si="23"/>
        <v>31736.504005460392</v>
      </c>
      <c r="F72" s="28">
        <f>F19</f>
        <v>-0.1</v>
      </c>
      <c r="G72" s="28">
        <f>G19</f>
        <v>-0.1</v>
      </c>
      <c r="H72" s="251">
        <f>H19</f>
        <v>0.15345056403450563</v>
      </c>
      <c r="I72" s="254"/>
      <c r="J72" s="256">
        <f>J19</f>
        <v>4869.984440121244</v>
      </c>
      <c r="K72" s="257">
        <f>K19</f>
        <v>-3660.6488445581635</v>
      </c>
      <c r="L72" s="257">
        <f>L19</f>
        <v>-3294.5839601023472</v>
      </c>
      <c r="M72" s="16"/>
      <c r="N72" s="30">
        <f t="shared" si="24"/>
        <v>-2085.2483645392667</v>
      </c>
      <c r="O72" s="242">
        <f t="shared" si="25"/>
        <v>29651.255640921125</v>
      </c>
      <c r="P72" s="5"/>
    </row>
    <row r="73" spans="1:45" s="4" customFormat="1" ht="13" x14ac:dyDescent="0.15">
      <c r="A73" s="15"/>
      <c r="B73" s="233" t="str">
        <f>+B23</f>
        <v>Persoonlijke verzorging</v>
      </c>
      <c r="C73" s="234">
        <f>C23</f>
        <v>44.180909502664626</v>
      </c>
      <c r="D73" s="236">
        <f>D24</f>
        <v>58.798061177325188</v>
      </c>
      <c r="E73" s="237">
        <f t="shared" si="23"/>
        <v>2597.7518198075422</v>
      </c>
      <c r="F73" s="28">
        <f>+F24</f>
        <v>0</v>
      </c>
      <c r="G73" s="28">
        <f>+G24</f>
        <v>0</v>
      </c>
      <c r="H73" s="251">
        <f>+H24</f>
        <v>0.15345056403450563</v>
      </c>
      <c r="I73" s="254"/>
      <c r="J73" s="256">
        <f>+J24</f>
        <v>398.62648197113077</v>
      </c>
      <c r="K73" s="257">
        <f>+K24</f>
        <v>0</v>
      </c>
      <c r="L73" s="257">
        <f>+L24</f>
        <v>0</v>
      </c>
      <c r="M73" s="16"/>
      <c r="N73" s="30">
        <f t="shared" si="24"/>
        <v>398.62648197113077</v>
      </c>
      <c r="O73" s="242">
        <f t="shared" si="25"/>
        <v>2996.3783017786732</v>
      </c>
      <c r="P73" s="5"/>
    </row>
    <row r="74" spans="1:45" s="4" customFormat="1" ht="13" x14ac:dyDescent="0.15">
      <c r="A74" s="15"/>
      <c r="B74" s="233" t="s">
        <v>157</v>
      </c>
      <c r="C74" s="234">
        <f>C28</f>
        <v>53.92</v>
      </c>
      <c r="D74" s="236">
        <f>D29</f>
        <v>0</v>
      </c>
      <c r="E74" s="237">
        <f t="shared" si="23"/>
        <v>0</v>
      </c>
      <c r="F74" s="28">
        <f>F29</f>
        <v>0</v>
      </c>
      <c r="G74" s="28">
        <f>G29</f>
        <v>0</v>
      </c>
      <c r="H74" s="251">
        <f>H29</f>
        <v>0.15345056403450563</v>
      </c>
      <c r="I74" s="254"/>
      <c r="J74" s="256">
        <f>J29</f>
        <v>0</v>
      </c>
      <c r="K74" s="257">
        <f>K29</f>
        <v>0</v>
      </c>
      <c r="L74" s="257">
        <f>L29</f>
        <v>0</v>
      </c>
      <c r="M74" s="16"/>
      <c r="N74" s="30">
        <f t="shared" si="24"/>
        <v>0</v>
      </c>
      <c r="O74" s="242">
        <f t="shared" si="25"/>
        <v>0</v>
      </c>
      <c r="P74" s="5"/>
    </row>
    <row r="75" spans="1:45" s="4" customFormat="1" ht="13" x14ac:dyDescent="0.15">
      <c r="A75" s="15"/>
      <c r="B75" s="233" t="s">
        <v>158</v>
      </c>
      <c r="C75" s="234">
        <f>C33</f>
        <v>220.37878605783692</v>
      </c>
      <c r="D75" s="236">
        <f>D34</f>
        <v>38.939678885862008</v>
      </c>
      <c r="E75" s="237">
        <f t="shared" si="23"/>
        <v>8581.4791623482524</v>
      </c>
      <c r="F75" s="28">
        <f>F34</f>
        <v>0</v>
      </c>
      <c r="G75" s="28">
        <f>G34</f>
        <v>0</v>
      </c>
      <c r="H75" s="251">
        <f>H34</f>
        <v>0.15345056403450563</v>
      </c>
      <c r="I75" s="254"/>
      <c r="J75" s="256">
        <f>J34</f>
        <v>1316.8328177126962</v>
      </c>
      <c r="K75" s="257">
        <f>K34</f>
        <v>0</v>
      </c>
      <c r="L75" s="257">
        <f>L34</f>
        <v>0</v>
      </c>
      <c r="M75" s="16"/>
      <c r="N75" s="30">
        <f t="shared" si="24"/>
        <v>1316.8328177126962</v>
      </c>
      <c r="O75" s="242">
        <f t="shared" si="25"/>
        <v>9898.3119800609493</v>
      </c>
      <c r="P75" s="5"/>
    </row>
    <row r="76" spans="1:45" ht="13" x14ac:dyDescent="0.15">
      <c r="B76" s="225" t="s">
        <v>125</v>
      </c>
      <c r="C76" s="235">
        <f>C38</f>
        <v>15.326666666666668</v>
      </c>
      <c r="D76" s="236">
        <f>D39</f>
        <v>1770.4125210417644</v>
      </c>
      <c r="E76" s="237">
        <f t="shared" si="23"/>
        <v>27134.522572500111</v>
      </c>
      <c r="F76" s="239">
        <f>F39</f>
        <v>-0.50556259373191603</v>
      </c>
      <c r="G76" s="239">
        <f>G39</f>
        <v>-3.2406234378014008E-2</v>
      </c>
      <c r="H76" s="252">
        <f>H39</f>
        <v>0.15345056403450563</v>
      </c>
      <c r="I76" s="255"/>
      <c r="J76" s="258">
        <f>J39</f>
        <v>4163.8077935571664</v>
      </c>
      <c r="K76" s="259">
        <f>K39</f>
        <v>-15823.265079342307</v>
      </c>
      <c r="L76" s="259">
        <f>L39</f>
        <v>-501.48859269635392</v>
      </c>
      <c r="M76" s="16"/>
      <c r="N76" s="30">
        <f t="shared" si="24"/>
        <v>-12160.945878481496</v>
      </c>
      <c r="O76" s="242">
        <f t="shared" si="25"/>
        <v>14973.576694018615</v>
      </c>
    </row>
    <row r="77" spans="1:45" ht="13" x14ac:dyDescent="0.15">
      <c r="B77" s="225" t="s">
        <v>124</v>
      </c>
      <c r="C77" s="235">
        <f>C43</f>
        <v>24.846666666666668</v>
      </c>
      <c r="D77" s="236">
        <f>D44</f>
        <v>105.03107896600874</v>
      </c>
      <c r="E77" s="237">
        <f t="shared" si="23"/>
        <v>2609.6722087087637</v>
      </c>
      <c r="F77" s="239">
        <f>F44</f>
        <v>-0.50556259373191603</v>
      </c>
      <c r="G77" s="239">
        <f>G44</f>
        <v>-3.2406234378014008E-2</v>
      </c>
      <c r="H77" s="252">
        <f>H44</f>
        <v>0.15345056403450563</v>
      </c>
      <c r="I77" s="255"/>
      <c r="J77" s="258">
        <f>J44</f>
        <v>400.45567237153392</v>
      </c>
      <c r="K77" s="259">
        <f>K44</f>
        <v>-1521.8080590237118</v>
      </c>
      <c r="L77" s="259">
        <f>L44</f>
        <v>-48.230840983009827</v>
      </c>
      <c r="M77" s="16"/>
      <c r="N77" s="30">
        <f t="shared" si="24"/>
        <v>-1169.5832276351878</v>
      </c>
      <c r="O77" s="242">
        <f t="shared" si="25"/>
        <v>1440.088981073576</v>
      </c>
    </row>
    <row r="78" spans="1:45" ht="13" x14ac:dyDescent="0.15">
      <c r="B78" s="225" t="s">
        <v>160</v>
      </c>
      <c r="C78" s="235">
        <f>C48</f>
        <v>0</v>
      </c>
      <c r="D78" s="236">
        <f>D49</f>
        <v>0</v>
      </c>
      <c r="E78" s="237">
        <f t="shared" si="23"/>
        <v>0</v>
      </c>
      <c r="F78" s="239">
        <f>F49</f>
        <v>0</v>
      </c>
      <c r="G78" s="239">
        <f>G49</f>
        <v>0</v>
      </c>
      <c r="H78" s="252">
        <f>H49</f>
        <v>0.15345056403450563</v>
      </c>
      <c r="I78" s="255"/>
      <c r="J78" s="258">
        <f>J49</f>
        <v>0</v>
      </c>
      <c r="K78" s="259">
        <f>K49</f>
        <v>0</v>
      </c>
      <c r="L78" s="259">
        <f>L49</f>
        <v>0</v>
      </c>
      <c r="M78" s="16"/>
      <c r="N78" s="30">
        <f t="shared" si="24"/>
        <v>0</v>
      </c>
      <c r="O78" s="242">
        <f>N78+E78</f>
        <v>0</v>
      </c>
    </row>
    <row r="79" spans="1:45" s="3" customFormat="1" thickBot="1" x14ac:dyDescent="0.2">
      <c r="A79" s="15"/>
      <c r="B79" s="250"/>
      <c r="C79" s="240"/>
      <c r="D79" s="238"/>
      <c r="E79" s="241">
        <f>SUM(E69:E78)</f>
        <v>624182.495818189</v>
      </c>
      <c r="F79" s="20"/>
      <c r="G79" s="20"/>
      <c r="H79" s="271"/>
      <c r="I79" s="20"/>
      <c r="J79" s="223">
        <f>SUM(J69:J78)</f>
        <v>95781.156043766561</v>
      </c>
      <c r="K79" s="223">
        <f>SUM(K69:K78)</f>
        <v>-259587.11135706797</v>
      </c>
      <c r="L79" s="223">
        <f>SUM(L69:L78)</f>
        <v>-28052.301162362215</v>
      </c>
      <c r="M79" s="20"/>
      <c r="N79" s="33">
        <f>SUM(J79:L79)</f>
        <v>-191858.25647566363</v>
      </c>
      <c r="O79" s="224">
        <f>SUM(O69:O78)</f>
        <v>432324.23934252537</v>
      </c>
      <c r="P79" s="231"/>
    </row>
    <row r="80" spans="1:45" s="4" customFormat="1" ht="15" thickTop="1" x14ac:dyDescent="0.15">
      <c r="A80" s="15"/>
      <c r="B80" s="16"/>
      <c r="C80" s="16"/>
      <c r="D80" s="16"/>
      <c r="E80" s="17"/>
      <c r="F80" s="16"/>
      <c r="G80" s="16"/>
      <c r="H80" s="16"/>
      <c r="I80" s="16"/>
      <c r="J80" s="54"/>
      <c r="K80" s="54"/>
      <c r="L80" s="54"/>
      <c r="M80" s="19"/>
      <c r="N80" s="54"/>
      <c r="O80" s="21"/>
      <c r="P80" s="5"/>
    </row>
    <row r="81" spans="1:45" s="4" customFormat="1" x14ac:dyDescent="0.15">
      <c r="A81" s="15"/>
      <c r="B81" s="16"/>
      <c r="C81" s="16"/>
      <c r="D81" s="16"/>
      <c r="E81" s="17"/>
      <c r="F81" s="16"/>
      <c r="G81" s="16"/>
      <c r="H81" s="16"/>
      <c r="I81" s="16"/>
      <c r="J81" s="54"/>
      <c r="K81" s="54"/>
      <c r="L81" s="54"/>
      <c r="M81" s="19"/>
      <c r="N81" s="54"/>
      <c r="O81" s="21"/>
      <c r="P81" s="5"/>
    </row>
    <row r="82" spans="1:45" s="4" customFormat="1" ht="16" x14ac:dyDescent="0.2">
      <c r="A82" s="15" t="s">
        <v>7</v>
      </c>
      <c r="B82" s="53" t="str">
        <f>+B5</f>
        <v xml:space="preserve">Volwassenen met psychische problematiek (GGZ); </v>
      </c>
      <c r="C82" s="16"/>
      <c r="D82" s="16"/>
      <c r="E82" s="17"/>
      <c r="F82" s="16"/>
      <c r="G82" s="16"/>
      <c r="H82" s="16"/>
      <c r="I82" s="16"/>
      <c r="J82" s="54"/>
      <c r="K82" s="54"/>
      <c r="L82" s="54"/>
      <c r="M82" s="19"/>
      <c r="N82" s="54"/>
      <c r="O82" s="21"/>
      <c r="P82" s="5"/>
    </row>
    <row r="83" spans="1:45" s="1" customFormat="1" ht="62.25" customHeight="1" thickBot="1" x14ac:dyDescent="0.2">
      <c r="A83" s="22"/>
      <c r="B83" s="217" t="s">
        <v>0</v>
      </c>
      <c r="C83" s="217" t="s">
        <v>26</v>
      </c>
      <c r="D83" s="217" t="s">
        <v>20</v>
      </c>
      <c r="E83" s="217" t="s">
        <v>216</v>
      </c>
      <c r="F83" s="217" t="s">
        <v>11</v>
      </c>
      <c r="G83" s="248" t="s">
        <v>12</v>
      </c>
      <c r="H83" s="217" t="s">
        <v>19</v>
      </c>
      <c r="I83" s="253"/>
      <c r="J83" s="249" t="s">
        <v>18</v>
      </c>
      <c r="K83" s="249" t="s">
        <v>24</v>
      </c>
      <c r="L83" s="219" t="s">
        <v>15</v>
      </c>
      <c r="M83" s="16"/>
      <c r="N83" s="217" t="s">
        <v>16</v>
      </c>
      <c r="O83" s="217" t="s">
        <v>17</v>
      </c>
      <c r="P83" s="5"/>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row>
    <row r="84" spans="1:45" s="4" customFormat="1" thickTop="1" x14ac:dyDescent="0.15">
      <c r="A84" s="15"/>
      <c r="B84" s="243" t="s">
        <v>105</v>
      </c>
      <c r="C84" s="244">
        <f t="shared" ref="C84:C93" si="26">C69</f>
        <v>54.161260653728334</v>
      </c>
      <c r="D84" s="245">
        <f>D5</f>
        <v>9051.5990650654112</v>
      </c>
      <c r="E84" s="246">
        <f>C84*D84</f>
        <v>490246.01629605144</v>
      </c>
      <c r="F84" s="247">
        <f>+F5</f>
        <v>-0.25</v>
      </c>
      <c r="G84" s="247">
        <f>+G5</f>
        <v>0</v>
      </c>
      <c r="H84" s="264">
        <f>+H5</f>
        <v>0</v>
      </c>
      <c r="I84" s="254"/>
      <c r="J84" s="266">
        <f>+J5</f>
        <v>0</v>
      </c>
      <c r="K84" s="265">
        <f>+K5</f>
        <v>-122561.50407401286</v>
      </c>
      <c r="L84" s="265">
        <f>+L5</f>
        <v>0</v>
      </c>
      <c r="M84" s="16"/>
      <c r="N84" s="30">
        <f>SUM(J84:L84)</f>
        <v>-122561.50407401286</v>
      </c>
      <c r="O84" s="242">
        <f>N84+E84</f>
        <v>367684.51222203858</v>
      </c>
      <c r="P84" s="5"/>
    </row>
    <row r="85" spans="1:45" s="4" customFormat="1" ht="13" x14ac:dyDescent="0.15">
      <c r="A85" s="15"/>
      <c r="B85" s="233" t="s">
        <v>104</v>
      </c>
      <c r="C85" s="234">
        <f t="shared" si="26"/>
        <v>67.462938501976552</v>
      </c>
      <c r="D85" s="236">
        <f>D10</f>
        <v>6891.9004645991299</v>
      </c>
      <c r="E85" s="237">
        <f t="shared" ref="E85:E93" si="27">C85*D85</f>
        <v>464947.85720499471</v>
      </c>
      <c r="F85" s="28">
        <f>+F10</f>
        <v>-0.15</v>
      </c>
      <c r="G85" s="28">
        <f>+G10</f>
        <v>-0.1</v>
      </c>
      <c r="H85" s="251">
        <f>+H10</f>
        <v>0</v>
      </c>
      <c r="I85" s="254"/>
      <c r="J85" s="256">
        <f>+J10</f>
        <v>0</v>
      </c>
      <c r="K85" s="257">
        <f>+K10</f>
        <v>-69742.178580749198</v>
      </c>
      <c r="L85" s="257">
        <f>+L10</f>
        <v>-39520.567862424556</v>
      </c>
      <c r="M85" s="16"/>
      <c r="N85" s="30">
        <f t="shared" ref="N85:N92" si="28">SUM(J85:L85)</f>
        <v>-109262.74644317376</v>
      </c>
      <c r="O85" s="242">
        <f t="shared" ref="O85:O92" si="29">N85+E85</f>
        <v>355685.11076182092</v>
      </c>
      <c r="P85" s="5"/>
    </row>
    <row r="86" spans="1:45" s="4" customFormat="1" ht="13" x14ac:dyDescent="0.15">
      <c r="A86" s="15"/>
      <c r="B86" s="233" t="s">
        <v>101</v>
      </c>
      <c r="C86" s="234">
        <f t="shared" si="26"/>
        <v>36.10395767297338</v>
      </c>
      <c r="D86" s="236">
        <f>D15</f>
        <v>4929.1776215398231</v>
      </c>
      <c r="E86" s="237">
        <f t="shared" si="27"/>
        <v>177962.82021064137</v>
      </c>
      <c r="F86" s="28">
        <f>+F15</f>
        <v>-0.2</v>
      </c>
      <c r="G86" s="28">
        <f>+G15</f>
        <v>-0.1</v>
      </c>
      <c r="H86" s="251">
        <f>+H15</f>
        <v>0</v>
      </c>
      <c r="I86" s="254"/>
      <c r="J86" s="256">
        <f>+J15</f>
        <v>0</v>
      </c>
      <c r="K86" s="257">
        <f>+K15</f>
        <v>-35592.564042128273</v>
      </c>
      <c r="L86" s="257">
        <f>+L15</f>
        <v>-14237.02561685131</v>
      </c>
      <c r="M86" s="16"/>
      <c r="N86" s="30">
        <f t="shared" si="28"/>
        <v>-49829.589658979581</v>
      </c>
      <c r="O86" s="242">
        <f t="shared" si="29"/>
        <v>128133.23055166178</v>
      </c>
      <c r="P86" s="5"/>
    </row>
    <row r="87" spans="1:45" s="4" customFormat="1" ht="13" x14ac:dyDescent="0.15">
      <c r="A87" s="15"/>
      <c r="B87" s="233" t="s">
        <v>102</v>
      </c>
      <c r="C87" s="234">
        <f t="shared" si="26"/>
        <v>48.858878642934805</v>
      </c>
      <c r="D87" s="245">
        <f>D20</f>
        <v>0</v>
      </c>
      <c r="E87" s="237">
        <f t="shared" si="27"/>
        <v>0</v>
      </c>
      <c r="F87" s="28">
        <f>F20</f>
        <v>-0.1</v>
      </c>
      <c r="G87" s="28">
        <f>G20</f>
        <v>-0.1</v>
      </c>
      <c r="H87" s="251">
        <f>H20</f>
        <v>0</v>
      </c>
      <c r="I87" s="254"/>
      <c r="J87" s="256">
        <f>J20</f>
        <v>0</v>
      </c>
      <c r="K87" s="257">
        <f>K20</f>
        <v>0</v>
      </c>
      <c r="L87" s="257">
        <f>L20</f>
        <v>0</v>
      </c>
      <c r="M87" s="16"/>
      <c r="N87" s="30">
        <f t="shared" si="28"/>
        <v>0</v>
      </c>
      <c r="O87" s="242">
        <f t="shared" si="29"/>
        <v>0</v>
      </c>
      <c r="P87" s="5"/>
    </row>
    <row r="88" spans="1:45" s="4" customFormat="1" ht="13" x14ac:dyDescent="0.15">
      <c r="A88" s="15"/>
      <c r="B88" s="233" t="s">
        <v>27</v>
      </c>
      <c r="C88" s="234">
        <f t="shared" si="26"/>
        <v>44.180909502664626</v>
      </c>
      <c r="D88" s="236">
        <f>D25</f>
        <v>104.20711161122742</v>
      </c>
      <c r="E88" s="237">
        <f t="shared" si="27"/>
        <v>4603.9649676297104</v>
      </c>
      <c r="F88" s="28">
        <f>+F25</f>
        <v>0</v>
      </c>
      <c r="G88" s="28">
        <f>+G25</f>
        <v>0</v>
      </c>
      <c r="H88" s="251">
        <f>+H25</f>
        <v>0</v>
      </c>
      <c r="I88" s="254"/>
      <c r="J88" s="256">
        <f>+J25</f>
        <v>0</v>
      </c>
      <c r="K88" s="257">
        <f>+K25</f>
        <v>0</v>
      </c>
      <c r="L88" s="257">
        <f>+L25</f>
        <v>0</v>
      </c>
      <c r="M88" s="16"/>
      <c r="N88" s="30">
        <f t="shared" si="28"/>
        <v>0</v>
      </c>
      <c r="O88" s="242">
        <f t="shared" si="29"/>
        <v>4603.9649676297104</v>
      </c>
      <c r="P88" s="5"/>
    </row>
    <row r="89" spans="1:45" s="4" customFormat="1" ht="13" x14ac:dyDescent="0.15">
      <c r="A89" s="15"/>
      <c r="B89" s="233" t="s">
        <v>157</v>
      </c>
      <c r="C89" s="234">
        <f t="shared" si="26"/>
        <v>53.92</v>
      </c>
      <c r="D89" s="236">
        <f>D30</f>
        <v>0</v>
      </c>
      <c r="E89" s="237">
        <f t="shared" si="27"/>
        <v>0</v>
      </c>
      <c r="F89" s="28">
        <f>F30</f>
        <v>0</v>
      </c>
      <c r="G89" s="28">
        <f>G30</f>
        <v>0</v>
      </c>
      <c r="H89" s="251">
        <f>H30</f>
        <v>0</v>
      </c>
      <c r="I89" s="254"/>
      <c r="J89" s="256">
        <f>J30</f>
        <v>0</v>
      </c>
      <c r="K89" s="257">
        <f>K30</f>
        <v>0</v>
      </c>
      <c r="L89" s="257">
        <f>L30</f>
        <v>0</v>
      </c>
      <c r="M89" s="16"/>
      <c r="N89" s="30">
        <f t="shared" si="28"/>
        <v>0</v>
      </c>
      <c r="O89" s="242">
        <f t="shared" si="29"/>
        <v>0</v>
      </c>
      <c r="P89" s="5"/>
    </row>
    <row r="90" spans="1:45" s="4" customFormat="1" ht="13" x14ac:dyDescent="0.15">
      <c r="A90" s="15"/>
      <c r="B90" s="233" t="s">
        <v>158</v>
      </c>
      <c r="C90" s="234">
        <f t="shared" si="26"/>
        <v>220.37878605783692</v>
      </c>
      <c r="D90" s="236">
        <f>D35</f>
        <v>69.012334463321039</v>
      </c>
      <c r="E90" s="237">
        <f t="shared" si="27"/>
        <v>15208.854492044113</v>
      </c>
      <c r="F90" s="28">
        <f>F35</f>
        <v>0</v>
      </c>
      <c r="G90" s="28">
        <f>G35</f>
        <v>0</v>
      </c>
      <c r="H90" s="251">
        <f>H35</f>
        <v>0</v>
      </c>
      <c r="I90" s="254"/>
      <c r="J90" s="256">
        <f>J35</f>
        <v>0</v>
      </c>
      <c r="K90" s="257">
        <f>K35</f>
        <v>0</v>
      </c>
      <c r="L90" s="257">
        <f>L35</f>
        <v>0</v>
      </c>
      <c r="M90" s="16"/>
      <c r="N90" s="30">
        <f t="shared" si="28"/>
        <v>0</v>
      </c>
      <c r="O90" s="242">
        <f t="shared" si="29"/>
        <v>15208.854492044113</v>
      </c>
      <c r="P90" s="5"/>
    </row>
    <row r="91" spans="1:45" s="4" customFormat="1" ht="13" x14ac:dyDescent="0.15">
      <c r="A91" s="15"/>
      <c r="B91" s="225" t="s">
        <v>125</v>
      </c>
      <c r="C91" s="235">
        <f t="shared" si="26"/>
        <v>15.326666666666668</v>
      </c>
      <c r="D91" s="236">
        <f>D40</f>
        <v>4353.7342865405835</v>
      </c>
      <c r="E91" s="237">
        <f t="shared" si="27"/>
        <v>66728.234165045345</v>
      </c>
      <c r="F91" s="239">
        <f>F40</f>
        <v>-0.2</v>
      </c>
      <c r="G91" s="239">
        <f>G40</f>
        <v>-0.1</v>
      </c>
      <c r="H91" s="252">
        <f>H40</f>
        <v>0</v>
      </c>
      <c r="I91" s="254"/>
      <c r="J91" s="258">
        <f>J40</f>
        <v>0</v>
      </c>
      <c r="K91" s="259">
        <f>K40</f>
        <v>-13345.64683300907</v>
      </c>
      <c r="L91" s="259">
        <f>L40</f>
        <v>-5338.2587332036273</v>
      </c>
      <c r="M91" s="16"/>
      <c r="N91" s="30">
        <f t="shared" si="28"/>
        <v>-18683.905566212699</v>
      </c>
      <c r="O91" s="242">
        <f t="shared" si="29"/>
        <v>48044.328598832646</v>
      </c>
      <c r="P91" s="5"/>
    </row>
    <row r="92" spans="1:45" s="4" customFormat="1" ht="13" x14ac:dyDescent="0.15">
      <c r="A92" s="15"/>
      <c r="B92" s="225" t="s">
        <v>124</v>
      </c>
      <c r="C92" s="235">
        <f t="shared" si="26"/>
        <v>24.846666666666668</v>
      </c>
      <c r="D92" s="236">
        <f>D45</f>
        <v>258.2886215567363</v>
      </c>
      <c r="E92" s="237">
        <f t="shared" si="27"/>
        <v>6417.6112836130415</v>
      </c>
      <c r="F92" s="239">
        <f>F45</f>
        <v>-0.2</v>
      </c>
      <c r="G92" s="239">
        <f>G45</f>
        <v>-0.1</v>
      </c>
      <c r="H92" s="252">
        <f>H45</f>
        <v>0</v>
      </c>
      <c r="I92" s="254"/>
      <c r="J92" s="258">
        <f>J45</f>
        <v>0</v>
      </c>
      <c r="K92" s="259">
        <f>K45</f>
        <v>-1283.5222567226083</v>
      </c>
      <c r="L92" s="259">
        <f>L45</f>
        <v>-513.40890268904332</v>
      </c>
      <c r="M92" s="16"/>
      <c r="N92" s="30">
        <f t="shared" si="28"/>
        <v>-1796.9311594116516</v>
      </c>
      <c r="O92" s="242">
        <f t="shared" si="29"/>
        <v>4620.6801242013898</v>
      </c>
      <c r="P92" s="5"/>
    </row>
    <row r="93" spans="1:45" s="4" customFormat="1" ht="13" x14ac:dyDescent="0.15">
      <c r="A93" s="15"/>
      <c r="B93" s="225" t="s">
        <v>160</v>
      </c>
      <c r="C93" s="235">
        <f t="shared" si="26"/>
        <v>0</v>
      </c>
      <c r="D93" s="236">
        <f>D50</f>
        <v>0</v>
      </c>
      <c r="E93" s="237">
        <f t="shared" si="27"/>
        <v>0</v>
      </c>
      <c r="F93" s="239">
        <f>F50</f>
        <v>0</v>
      </c>
      <c r="G93" s="239">
        <f>G50</f>
        <v>0</v>
      </c>
      <c r="H93" s="252">
        <f>H50</f>
        <v>0</v>
      </c>
      <c r="I93" s="254"/>
      <c r="J93" s="258">
        <f>J50</f>
        <v>0</v>
      </c>
      <c r="K93" s="259">
        <f>K50</f>
        <v>0</v>
      </c>
      <c r="L93" s="259">
        <f>L50</f>
        <v>0</v>
      </c>
      <c r="M93" s="16"/>
      <c r="N93" s="30">
        <f>SUM(J93:L93)</f>
        <v>0</v>
      </c>
      <c r="O93" s="242">
        <f>N93+E93</f>
        <v>0</v>
      </c>
      <c r="P93" s="5"/>
    </row>
    <row r="94" spans="1:45" s="3" customFormat="1" thickBot="1" x14ac:dyDescent="0.2">
      <c r="A94" s="15"/>
      <c r="B94" s="250"/>
      <c r="C94" s="240"/>
      <c r="D94" s="238"/>
      <c r="E94" s="241">
        <f>SUM(E84:E93)</f>
        <v>1226115.3586200196</v>
      </c>
      <c r="F94" s="20"/>
      <c r="G94" s="20"/>
      <c r="H94" s="271"/>
      <c r="I94" s="20"/>
      <c r="J94" s="223">
        <f>SUM(J84:J93)</f>
        <v>0</v>
      </c>
      <c r="K94" s="223">
        <f>SUM(K84:K93)</f>
        <v>-242525.415786622</v>
      </c>
      <c r="L94" s="223">
        <f>SUM(L84:L93)</f>
        <v>-59609.261115168534</v>
      </c>
      <c r="M94" s="20"/>
      <c r="N94" s="33">
        <f>SUM(J94:L94)</f>
        <v>-302134.67690179055</v>
      </c>
      <c r="O94" s="224">
        <f>SUM(O84:O93)</f>
        <v>923980.68171822908</v>
      </c>
      <c r="P94" s="231"/>
    </row>
    <row r="95" spans="1:45" s="4" customFormat="1" thickTop="1" x14ac:dyDescent="0.15">
      <c r="A95" s="15"/>
      <c r="B95" s="42"/>
      <c r="C95" s="260"/>
      <c r="D95" s="261"/>
      <c r="E95" s="48"/>
      <c r="F95" s="16"/>
      <c r="G95" s="16"/>
      <c r="H95" s="42"/>
      <c r="I95" s="16"/>
      <c r="J95" s="262"/>
      <c r="K95" s="262"/>
      <c r="L95" s="262"/>
      <c r="M95" s="20"/>
      <c r="O95" s="5"/>
    </row>
    <row r="96" spans="1:45" s="4" customFormat="1" ht="13" x14ac:dyDescent="0.15">
      <c r="A96" s="15"/>
      <c r="B96" s="42"/>
      <c r="C96" s="260"/>
      <c r="D96" s="261"/>
      <c r="E96" s="48"/>
      <c r="F96" s="16"/>
      <c r="G96" s="16"/>
      <c r="H96" s="42"/>
      <c r="I96" s="16"/>
      <c r="J96" s="262"/>
      <c r="K96" s="262"/>
      <c r="L96" s="262"/>
      <c r="M96" s="20"/>
      <c r="N96" s="263"/>
      <c r="P96" s="5"/>
    </row>
    <row r="97" spans="1:45" s="4" customFormat="1" ht="16" x14ac:dyDescent="0.2">
      <c r="A97" s="15" t="s">
        <v>8</v>
      </c>
      <c r="B97" s="53" t="str">
        <f>+B6</f>
        <v>Volwassenen met een verstandelijke beperking (VG)</v>
      </c>
      <c r="C97" s="16"/>
      <c r="D97" s="16"/>
      <c r="E97" s="17"/>
      <c r="F97" s="16"/>
      <c r="G97" s="16"/>
      <c r="H97" s="16"/>
      <c r="I97" s="16"/>
      <c r="J97" s="54"/>
      <c r="K97" s="54"/>
      <c r="L97" s="54"/>
      <c r="M97" s="19"/>
      <c r="N97" s="54"/>
      <c r="O97" s="21"/>
      <c r="P97" s="5"/>
    </row>
    <row r="98" spans="1:45" s="1" customFormat="1" ht="62.25" customHeight="1" thickBot="1" x14ac:dyDescent="0.2">
      <c r="A98" s="22"/>
      <c r="B98" s="217" t="s">
        <v>0</v>
      </c>
      <c r="C98" s="217" t="s">
        <v>26</v>
      </c>
      <c r="D98" s="217" t="s">
        <v>20</v>
      </c>
      <c r="E98" s="217" t="s">
        <v>216</v>
      </c>
      <c r="F98" s="217" t="s">
        <v>11</v>
      </c>
      <c r="G98" s="248" t="s">
        <v>12</v>
      </c>
      <c r="H98" s="217" t="s">
        <v>19</v>
      </c>
      <c r="I98" s="16"/>
      <c r="J98" s="249" t="s">
        <v>18</v>
      </c>
      <c r="K98" s="249" t="s">
        <v>24</v>
      </c>
      <c r="L98" s="219" t="s">
        <v>15</v>
      </c>
      <c r="M98" s="16"/>
      <c r="N98" s="217" t="s">
        <v>16</v>
      </c>
      <c r="O98" s="217" t="s">
        <v>17</v>
      </c>
      <c r="P98" s="5"/>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row>
    <row r="99" spans="1:45" s="4" customFormat="1" thickTop="1" x14ac:dyDescent="0.15">
      <c r="A99" s="15"/>
      <c r="B99" s="243" t="s">
        <v>105</v>
      </c>
      <c r="C99" s="244">
        <f t="shared" ref="C99:C108" si="30">C69</f>
        <v>54.161260653728334</v>
      </c>
      <c r="D99" s="245">
        <f>D6</f>
        <v>2989.0195689814991</v>
      </c>
      <c r="E99" s="267">
        <f>C99*D99</f>
        <v>161889.0679747017</v>
      </c>
      <c r="F99" s="269">
        <f>F6</f>
        <v>-0.2</v>
      </c>
      <c r="G99" s="269">
        <f>G6</f>
        <v>0</v>
      </c>
      <c r="H99" s="269">
        <f>H6</f>
        <v>0</v>
      </c>
      <c r="I99" s="16"/>
      <c r="J99" s="267">
        <f>J6</f>
        <v>0</v>
      </c>
      <c r="K99" s="267">
        <f>K6</f>
        <v>-32377.81359494034</v>
      </c>
      <c r="L99" s="267">
        <f>L6</f>
        <v>0</v>
      </c>
      <c r="M99" s="16"/>
      <c r="N99" s="30">
        <f>SUM(J99:L99)</f>
        <v>-32377.81359494034</v>
      </c>
      <c r="O99" s="242">
        <f>N99+E99</f>
        <v>129511.25437976136</v>
      </c>
      <c r="P99" s="5"/>
    </row>
    <row r="100" spans="1:45" s="4" customFormat="1" ht="13" x14ac:dyDescent="0.15">
      <c r="A100" s="15"/>
      <c r="B100" s="233" t="s">
        <v>104</v>
      </c>
      <c r="C100" s="234">
        <f t="shared" si="30"/>
        <v>67.462938501976552</v>
      </c>
      <c r="D100" s="236">
        <f>D11</f>
        <v>3496.5810898216382</v>
      </c>
      <c r="E100" s="267">
        <f t="shared" ref="E100:E108" si="31">C100*D100</f>
        <v>235889.63502981132</v>
      </c>
      <c r="F100" s="270">
        <f>F11</f>
        <v>-0.2</v>
      </c>
      <c r="G100" s="270">
        <f>G11</f>
        <v>-0.1</v>
      </c>
      <c r="H100" s="270">
        <f>H11</f>
        <v>0</v>
      </c>
      <c r="I100" s="16"/>
      <c r="J100" s="268">
        <f>J11</f>
        <v>0</v>
      </c>
      <c r="K100" s="268">
        <f>K11</f>
        <v>-47177.927005962265</v>
      </c>
      <c r="L100" s="268">
        <f>L11</f>
        <v>-18871.170802384906</v>
      </c>
      <c r="M100" s="16"/>
      <c r="N100" s="30">
        <f t="shared" ref="N100:N108" si="32">SUM(J100:L100)</f>
        <v>-66049.097808347171</v>
      </c>
      <c r="O100" s="242">
        <f t="shared" ref="O100:O108" si="33">N100+E100</f>
        <v>169840.53722146415</v>
      </c>
      <c r="P100" s="5"/>
    </row>
    <row r="101" spans="1:45" s="4" customFormat="1" ht="13" x14ac:dyDescent="0.15">
      <c r="A101" s="15"/>
      <c r="B101" s="233" t="s">
        <v>101</v>
      </c>
      <c r="C101" s="234">
        <f t="shared" si="30"/>
        <v>36.10395767297338</v>
      </c>
      <c r="D101" s="236">
        <f>D16</f>
        <v>3176.1423682025993</v>
      </c>
      <c r="E101" s="267">
        <f t="shared" si="31"/>
        <v>114671.30962492408</v>
      </c>
      <c r="F101" s="270">
        <f>F16</f>
        <v>-0.4</v>
      </c>
      <c r="G101" s="270">
        <f>G16</f>
        <v>0</v>
      </c>
      <c r="H101" s="270">
        <f>H16</f>
        <v>0</v>
      </c>
      <c r="I101" s="16"/>
      <c r="J101" s="268">
        <f>J16</f>
        <v>0</v>
      </c>
      <c r="K101" s="268">
        <f>K16</f>
        <v>-45868.523849969635</v>
      </c>
      <c r="L101" s="268">
        <f>L16</f>
        <v>0</v>
      </c>
      <c r="M101" s="16"/>
      <c r="N101" s="30">
        <f t="shared" si="32"/>
        <v>-45868.523849969635</v>
      </c>
      <c r="O101" s="242">
        <f t="shared" si="33"/>
        <v>68802.785774954449</v>
      </c>
      <c r="P101" s="5"/>
    </row>
    <row r="102" spans="1:45" s="4" customFormat="1" ht="13" x14ac:dyDescent="0.15">
      <c r="A102" s="15"/>
      <c r="B102" s="233" t="s">
        <v>102</v>
      </c>
      <c r="C102" s="234">
        <f t="shared" si="30"/>
        <v>48.858878642934805</v>
      </c>
      <c r="D102" s="236">
        <f>D21</f>
        <v>3701.6791043305111</v>
      </c>
      <c r="E102" s="267">
        <f t="shared" si="31"/>
        <v>180859.89013357204</v>
      </c>
      <c r="F102" s="270">
        <f>F21</f>
        <v>-0.1</v>
      </c>
      <c r="G102" s="270">
        <f>G21</f>
        <v>-0.1</v>
      </c>
      <c r="H102" s="270">
        <f>H21</f>
        <v>0</v>
      </c>
      <c r="I102" s="16"/>
      <c r="J102" s="268">
        <f>J21</f>
        <v>0</v>
      </c>
      <c r="K102" s="268">
        <f>K21</f>
        <v>-18085.989013357204</v>
      </c>
      <c r="L102" s="268">
        <f>L21</f>
        <v>-16277.390112021485</v>
      </c>
      <c r="M102" s="16"/>
      <c r="N102" s="30">
        <f t="shared" si="32"/>
        <v>-34363.379125378691</v>
      </c>
      <c r="O102" s="242">
        <f t="shared" si="33"/>
        <v>146496.51100819337</v>
      </c>
      <c r="P102" s="5"/>
    </row>
    <row r="103" spans="1:45" s="4" customFormat="1" ht="13" x14ac:dyDescent="0.15">
      <c r="A103" s="15"/>
      <c r="B103" s="233" t="s">
        <v>27</v>
      </c>
      <c r="C103" s="234">
        <f t="shared" si="30"/>
        <v>44.180909502664626</v>
      </c>
      <c r="D103" s="236">
        <f>D26</f>
        <v>52.869105953628171</v>
      </c>
      <c r="E103" s="267">
        <f t="shared" si="31"/>
        <v>2335.805185624034</v>
      </c>
      <c r="F103" s="270">
        <f>F26</f>
        <v>0</v>
      </c>
      <c r="G103" s="270">
        <f>G26</f>
        <v>0</v>
      </c>
      <c r="H103" s="270">
        <f>H26</f>
        <v>0</v>
      </c>
      <c r="I103" s="16"/>
      <c r="J103" s="268">
        <f>J26</f>
        <v>0</v>
      </c>
      <c r="K103" s="268">
        <f>K26</f>
        <v>0</v>
      </c>
      <c r="L103" s="268">
        <f>L26</f>
        <v>0</v>
      </c>
      <c r="M103" s="16"/>
      <c r="N103" s="30">
        <f t="shared" si="32"/>
        <v>0</v>
      </c>
      <c r="O103" s="242">
        <f t="shared" si="33"/>
        <v>2335.805185624034</v>
      </c>
      <c r="P103" s="5"/>
    </row>
    <row r="104" spans="1:45" s="4" customFormat="1" ht="13" x14ac:dyDescent="0.15">
      <c r="A104" s="15"/>
      <c r="B104" s="233" t="s">
        <v>157</v>
      </c>
      <c r="C104" s="234">
        <f t="shared" si="30"/>
        <v>53.92</v>
      </c>
      <c r="D104" s="236">
        <f>D31</f>
        <v>0</v>
      </c>
      <c r="E104" s="267">
        <f t="shared" si="31"/>
        <v>0</v>
      </c>
      <c r="F104" s="270">
        <f>F31</f>
        <v>0</v>
      </c>
      <c r="G104" s="270">
        <f>G31</f>
        <v>0</v>
      </c>
      <c r="H104" s="270">
        <f>H31</f>
        <v>0</v>
      </c>
      <c r="I104" s="16"/>
      <c r="J104" s="268">
        <f>J31</f>
        <v>0</v>
      </c>
      <c r="K104" s="268">
        <f>K31</f>
        <v>0</v>
      </c>
      <c r="L104" s="268">
        <f>L31</f>
        <v>0</v>
      </c>
      <c r="M104" s="16"/>
      <c r="N104" s="30">
        <f t="shared" si="32"/>
        <v>0</v>
      </c>
      <c r="O104" s="242">
        <f t="shared" si="33"/>
        <v>0</v>
      </c>
      <c r="P104" s="5"/>
    </row>
    <row r="105" spans="1:45" s="4" customFormat="1" ht="13" x14ac:dyDescent="0.15">
      <c r="A105" s="15"/>
      <c r="B105" s="233" t="s">
        <v>158</v>
      </c>
      <c r="C105" s="234">
        <f t="shared" si="30"/>
        <v>220.37878605783692</v>
      </c>
      <c r="D105" s="236">
        <f>D36</f>
        <v>35.013161447758982</v>
      </c>
      <c r="E105" s="267">
        <f t="shared" si="31"/>
        <v>7716.1580159041805</v>
      </c>
      <c r="F105" s="270">
        <f>F36</f>
        <v>0</v>
      </c>
      <c r="G105" s="270">
        <f>G36</f>
        <v>0</v>
      </c>
      <c r="H105" s="270">
        <f>H36</f>
        <v>0</v>
      </c>
      <c r="I105" s="16"/>
      <c r="J105" s="268">
        <f>J36</f>
        <v>0</v>
      </c>
      <c r="K105" s="268">
        <f>K36</f>
        <v>0</v>
      </c>
      <c r="L105" s="268">
        <f>L36</f>
        <v>0</v>
      </c>
      <c r="M105" s="16"/>
      <c r="N105" s="30">
        <f t="shared" si="32"/>
        <v>0</v>
      </c>
      <c r="O105" s="242">
        <f t="shared" si="33"/>
        <v>7716.1580159041805</v>
      </c>
      <c r="P105" s="5"/>
    </row>
    <row r="106" spans="1:45" ht="13" x14ac:dyDescent="0.15">
      <c r="B106" s="225" t="s">
        <v>125</v>
      </c>
      <c r="C106" s="235">
        <f t="shared" si="30"/>
        <v>15.326666666666668</v>
      </c>
      <c r="D106" s="236">
        <f>D41</f>
        <v>6074.8890506238631</v>
      </c>
      <c r="E106" s="267">
        <f t="shared" si="31"/>
        <v>93107.79951589508</v>
      </c>
      <c r="F106" s="270">
        <f>F41</f>
        <v>-0.23853844771429444</v>
      </c>
      <c r="G106" s="270">
        <f>G41</f>
        <v>-5.3820517428568526E-2</v>
      </c>
      <c r="H106" s="270">
        <f>H41</f>
        <v>0</v>
      </c>
      <c r="J106" s="268">
        <f>J41</f>
        <v>0</v>
      </c>
      <c r="K106" s="268">
        <f>K41</f>
        <v>-22209.789966615346</v>
      </c>
      <c r="L106" s="268">
        <f>L41</f>
        <v>-3815.7675585978272</v>
      </c>
      <c r="M106" s="16"/>
      <c r="N106" s="30">
        <f t="shared" si="32"/>
        <v>-26025.557525213175</v>
      </c>
      <c r="O106" s="242">
        <f t="shared" si="33"/>
        <v>67082.241990681912</v>
      </c>
    </row>
    <row r="107" spans="1:45" ht="13" x14ac:dyDescent="0.15">
      <c r="B107" s="225" t="s">
        <v>124</v>
      </c>
      <c r="C107" s="235">
        <f t="shared" si="30"/>
        <v>24.846666666666668</v>
      </c>
      <c r="D107" s="236">
        <f>D46</f>
        <v>360.39744635920647</v>
      </c>
      <c r="E107" s="267">
        <f t="shared" si="31"/>
        <v>8954.6752172050838</v>
      </c>
      <c r="F107" s="270">
        <f>F46</f>
        <v>-0.23853844771429444</v>
      </c>
      <c r="G107" s="270">
        <f>G46</f>
        <v>-5.3820517428568526E-2</v>
      </c>
      <c r="H107" s="270">
        <f>H46</f>
        <v>0</v>
      </c>
      <c r="J107" s="268">
        <f>J46</f>
        <v>0</v>
      </c>
      <c r="K107" s="268">
        <f>K46</f>
        <v>-2136.0343260977629</v>
      </c>
      <c r="L107" s="268">
        <f>L46</f>
        <v>-366.98278091899164</v>
      </c>
      <c r="M107" s="16"/>
      <c r="N107" s="30">
        <f t="shared" si="32"/>
        <v>-2503.0171070167544</v>
      </c>
      <c r="O107" s="242">
        <f t="shared" si="33"/>
        <v>6451.6581101883294</v>
      </c>
    </row>
    <row r="108" spans="1:45" ht="13" x14ac:dyDescent="0.15">
      <c r="B108" s="225" t="s">
        <v>160</v>
      </c>
      <c r="C108" s="235">
        <f t="shared" si="30"/>
        <v>0</v>
      </c>
      <c r="D108" s="236">
        <f>D51</f>
        <v>0</v>
      </c>
      <c r="E108" s="267">
        <f t="shared" si="31"/>
        <v>0</v>
      </c>
      <c r="F108" s="270">
        <f>F51</f>
        <v>0</v>
      </c>
      <c r="G108" s="270">
        <f>G51</f>
        <v>0</v>
      </c>
      <c r="H108" s="270">
        <f>H51</f>
        <v>0</v>
      </c>
      <c r="J108" s="268">
        <f>J51</f>
        <v>0</v>
      </c>
      <c r="K108" s="268">
        <f>K51</f>
        <v>0</v>
      </c>
      <c r="L108" s="268">
        <f>L51</f>
        <v>0</v>
      </c>
      <c r="M108" s="16"/>
      <c r="N108" s="30">
        <f t="shared" si="32"/>
        <v>0</v>
      </c>
      <c r="O108" s="242">
        <f t="shared" si="33"/>
        <v>0</v>
      </c>
    </row>
    <row r="109" spans="1:45" s="3" customFormat="1" thickBot="1" x14ac:dyDescent="0.2">
      <c r="A109" s="15"/>
      <c r="B109" s="250"/>
      <c r="C109" s="240"/>
      <c r="D109" s="238"/>
      <c r="E109" s="241">
        <f>SUM(E99:E108)</f>
        <v>805424.34069763753</v>
      </c>
      <c r="F109" s="20"/>
      <c r="G109" s="20"/>
      <c r="H109" s="271"/>
      <c r="I109" s="20"/>
      <c r="J109" s="223">
        <f>SUM(J99:J108)</f>
        <v>0</v>
      </c>
      <c r="K109" s="223">
        <f>SUM(K99:K108)</f>
        <v>-167856.07775694254</v>
      </c>
      <c r="L109" s="223">
        <f>SUM(L99:L108)</f>
        <v>-39331.31125392321</v>
      </c>
      <c r="M109" s="20"/>
      <c r="N109" s="33">
        <f>SUM(J109:L109)</f>
        <v>-207187.38901086577</v>
      </c>
      <c r="O109" s="224">
        <f>SUM(O99:O108)</f>
        <v>598236.95168677182</v>
      </c>
      <c r="P109" s="231"/>
    </row>
    <row r="110" spans="1:45" s="4" customFormat="1" thickTop="1" x14ac:dyDescent="0.15">
      <c r="A110" s="15"/>
      <c r="B110" s="42"/>
      <c r="C110" s="260"/>
      <c r="D110" s="261"/>
      <c r="E110" s="48"/>
      <c r="F110" s="16"/>
      <c r="G110" s="16"/>
      <c r="H110" s="42"/>
      <c r="I110" s="16"/>
      <c r="J110" s="262"/>
      <c r="K110" s="262"/>
      <c r="L110" s="262"/>
      <c r="M110" s="262"/>
      <c r="N110" s="262"/>
      <c r="O110" s="262"/>
      <c r="P110" s="5"/>
    </row>
    <row r="111" spans="1:45" s="4" customFormat="1" x14ac:dyDescent="0.15">
      <c r="A111" s="15"/>
      <c r="B111" s="16"/>
      <c r="C111" s="16"/>
      <c r="D111" s="16"/>
      <c r="E111" s="17"/>
      <c r="F111" s="16"/>
      <c r="G111" s="16"/>
      <c r="H111" s="16"/>
      <c r="I111" s="16"/>
      <c r="J111" s="54"/>
      <c r="K111" s="54"/>
      <c r="L111" s="54"/>
      <c r="M111" s="19"/>
      <c r="N111" s="54"/>
      <c r="O111" s="21"/>
      <c r="P111" s="5"/>
    </row>
    <row r="112" spans="1:45" s="4" customFormat="1" ht="16" x14ac:dyDescent="0.2">
      <c r="A112" s="15" t="s">
        <v>9</v>
      </c>
      <c r="B112" s="53" t="str">
        <f>+B22</f>
        <v>Volwassenen met een lichamelijke beperking of chronische ziekte (SOM 0-64, LG)</v>
      </c>
      <c r="C112" s="16"/>
      <c r="D112" s="16"/>
      <c r="E112" s="17"/>
      <c r="F112" s="16"/>
      <c r="G112" s="16"/>
      <c r="H112" s="16"/>
      <c r="I112" s="16"/>
      <c r="J112" s="54"/>
      <c r="K112" s="54"/>
      <c r="L112" s="54"/>
      <c r="M112" s="19"/>
      <c r="N112" s="54"/>
      <c r="O112" s="21"/>
      <c r="P112" s="5"/>
    </row>
    <row r="113" spans="1:45" s="1" customFormat="1" ht="62.25" customHeight="1" thickBot="1" x14ac:dyDescent="0.2">
      <c r="A113" s="22"/>
      <c r="B113" s="217" t="s">
        <v>0</v>
      </c>
      <c r="C113" s="217" t="s">
        <v>26</v>
      </c>
      <c r="D113" s="217" t="s">
        <v>20</v>
      </c>
      <c r="E113" s="217" t="s">
        <v>216</v>
      </c>
      <c r="F113" s="217" t="s">
        <v>11</v>
      </c>
      <c r="G113" s="248" t="s">
        <v>12</v>
      </c>
      <c r="H113" s="217" t="s">
        <v>19</v>
      </c>
      <c r="I113" s="253"/>
      <c r="J113" s="249" t="s">
        <v>18</v>
      </c>
      <c r="K113" s="249" t="s">
        <v>24</v>
      </c>
      <c r="L113" s="219" t="s">
        <v>15</v>
      </c>
      <c r="M113" s="16"/>
      <c r="N113" s="217" t="s">
        <v>16</v>
      </c>
      <c r="O113" s="217" t="s">
        <v>17</v>
      </c>
      <c r="P113" s="5"/>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row>
    <row r="114" spans="1:45" s="4" customFormat="1" thickTop="1" x14ac:dyDescent="0.15">
      <c r="A114" s="15"/>
      <c r="B114" s="243" t="s">
        <v>105</v>
      </c>
      <c r="C114" s="244">
        <f t="shared" ref="C114:C123" si="34">C69</f>
        <v>54.161260653728334</v>
      </c>
      <c r="D114" s="245">
        <f>D7</f>
        <v>1491.5487248639004</v>
      </c>
      <c r="E114" s="267">
        <f>C114*D114</f>
        <v>80784.159265089838</v>
      </c>
      <c r="F114" s="269">
        <f>F7</f>
        <v>-0.2</v>
      </c>
      <c r="G114" s="269">
        <f>G7</f>
        <v>-0.1</v>
      </c>
      <c r="H114" s="269">
        <f>H7</f>
        <v>0</v>
      </c>
      <c r="I114" s="253"/>
      <c r="J114" s="267">
        <f>J7</f>
        <v>0</v>
      </c>
      <c r="K114" s="267">
        <f>K7</f>
        <v>-16156.831853017968</v>
      </c>
      <c r="L114" s="267">
        <f>L7</f>
        <v>-6462.7327412071872</v>
      </c>
      <c r="M114" s="16"/>
      <c r="N114" s="30">
        <f>SUM(J114:L114)</f>
        <v>-22619.564594225154</v>
      </c>
      <c r="O114" s="242">
        <f>N114+E114</f>
        <v>58164.594670864681</v>
      </c>
      <c r="P114" s="5"/>
    </row>
    <row r="115" spans="1:45" s="4" customFormat="1" ht="13" x14ac:dyDescent="0.15">
      <c r="A115" s="15"/>
      <c r="B115" s="233" t="s">
        <v>104</v>
      </c>
      <c r="C115" s="234">
        <f t="shared" si="34"/>
        <v>67.462938501976552</v>
      </c>
      <c r="D115" s="236">
        <f>D12</f>
        <v>902.24330228527106</v>
      </c>
      <c r="E115" s="267">
        <f t="shared" ref="E115:E123" si="35">C115*D115</f>
        <v>60867.984415891478</v>
      </c>
      <c r="F115" s="270">
        <f>F12</f>
        <v>-0.1</v>
      </c>
      <c r="G115" s="270">
        <f>G12</f>
        <v>-0.05</v>
      </c>
      <c r="H115" s="270">
        <f>H12</f>
        <v>0</v>
      </c>
      <c r="I115" s="253"/>
      <c r="J115" s="268">
        <f>J12</f>
        <v>0</v>
      </c>
      <c r="K115" s="268">
        <f>K12</f>
        <v>-6086.7984415891478</v>
      </c>
      <c r="L115" s="268">
        <f>L12</f>
        <v>-2739.0592987151167</v>
      </c>
      <c r="M115" s="16"/>
      <c r="N115" s="30">
        <f t="shared" ref="N115:N123" si="36">SUM(J115:L115)</f>
        <v>-8825.8577403042655</v>
      </c>
      <c r="O115" s="242">
        <f t="shared" ref="O115:O123" si="37">N115+E115</f>
        <v>52042.126675587213</v>
      </c>
      <c r="P115" s="5"/>
    </row>
    <row r="116" spans="1:45" s="4" customFormat="1" ht="13" x14ac:dyDescent="0.15">
      <c r="A116" s="15"/>
      <c r="B116" s="233" t="s">
        <v>101</v>
      </c>
      <c r="C116" s="234">
        <f t="shared" si="34"/>
        <v>36.10395767297338</v>
      </c>
      <c r="D116" s="236">
        <f>D17</f>
        <v>1410.6524752475248</v>
      </c>
      <c r="E116" s="267">
        <f t="shared" si="35"/>
        <v>50930.137257611765</v>
      </c>
      <c r="F116" s="270">
        <f>F17</f>
        <v>-0.2</v>
      </c>
      <c r="G116" s="270">
        <f>G17</f>
        <v>0</v>
      </c>
      <c r="H116" s="270">
        <f>H17</f>
        <v>0</v>
      </c>
      <c r="I116" s="253"/>
      <c r="J116" s="268">
        <f>J17</f>
        <v>0</v>
      </c>
      <c r="K116" s="268">
        <f>K17</f>
        <v>-10186.027451522354</v>
      </c>
      <c r="L116" s="268">
        <f>L17</f>
        <v>0</v>
      </c>
      <c r="M116" s="16"/>
      <c r="N116" s="30">
        <f t="shared" si="36"/>
        <v>-10186.027451522354</v>
      </c>
      <c r="O116" s="242">
        <f t="shared" si="37"/>
        <v>40744.109806089415</v>
      </c>
      <c r="P116" s="5"/>
    </row>
    <row r="117" spans="1:45" s="4" customFormat="1" ht="13" x14ac:dyDescent="0.15">
      <c r="A117" s="15"/>
      <c r="B117" s="233" t="s">
        <v>102</v>
      </c>
      <c r="C117" s="234">
        <f t="shared" si="34"/>
        <v>48.858878642934805</v>
      </c>
      <c r="D117" s="236">
        <f>D22</f>
        <v>218.51829891637703</v>
      </c>
      <c r="E117" s="267">
        <f t="shared" si="35"/>
        <v>10676.559048015817</v>
      </c>
      <c r="F117" s="270">
        <f>F22</f>
        <v>-0.05</v>
      </c>
      <c r="G117" s="270">
        <f>G22</f>
        <v>0</v>
      </c>
      <c r="H117" s="270">
        <f>H22</f>
        <v>0</v>
      </c>
      <c r="I117" s="253"/>
      <c r="J117" s="268">
        <f>J22</f>
        <v>0</v>
      </c>
      <c r="K117" s="268">
        <f>K22</f>
        <v>-533.82795240079088</v>
      </c>
      <c r="L117" s="268">
        <f>L22</f>
        <v>0</v>
      </c>
      <c r="M117" s="16"/>
      <c r="N117" s="30">
        <f t="shared" si="36"/>
        <v>-533.82795240079088</v>
      </c>
      <c r="O117" s="242">
        <f t="shared" si="37"/>
        <v>10142.731095615027</v>
      </c>
      <c r="P117" s="5"/>
    </row>
    <row r="118" spans="1:45" s="4" customFormat="1" ht="13" x14ac:dyDescent="0.15">
      <c r="A118" s="15"/>
      <c r="B118" s="233" t="s">
        <v>27</v>
      </c>
      <c r="C118" s="234">
        <f t="shared" si="34"/>
        <v>44.180909502664626</v>
      </c>
      <c r="D118" s="236">
        <f>D27</f>
        <v>13.642125127120847</v>
      </c>
      <c r="E118" s="267">
        <f t="shared" si="35"/>
        <v>602.72149566535336</v>
      </c>
      <c r="F118" s="270">
        <f>F27</f>
        <v>0</v>
      </c>
      <c r="G118" s="270">
        <f>G27</f>
        <v>0</v>
      </c>
      <c r="H118" s="270">
        <f>H27</f>
        <v>0</v>
      </c>
      <c r="I118" s="253"/>
      <c r="J118" s="268">
        <f>J27</f>
        <v>0</v>
      </c>
      <c r="K118" s="268">
        <f>K27</f>
        <v>0</v>
      </c>
      <c r="L118" s="268">
        <f>L27</f>
        <v>0</v>
      </c>
      <c r="M118" s="16"/>
      <c r="N118" s="30">
        <f t="shared" si="36"/>
        <v>0</v>
      </c>
      <c r="O118" s="242">
        <f t="shared" si="37"/>
        <v>602.72149566535336</v>
      </c>
      <c r="P118" s="5"/>
    </row>
    <row r="119" spans="1:45" s="4" customFormat="1" ht="13" x14ac:dyDescent="0.15">
      <c r="A119" s="15"/>
      <c r="B119" s="233" t="s">
        <v>157</v>
      </c>
      <c r="C119" s="234">
        <f t="shared" si="34"/>
        <v>53.92</v>
      </c>
      <c r="D119" s="236">
        <f>D32</f>
        <v>0</v>
      </c>
      <c r="E119" s="267">
        <f t="shared" si="35"/>
        <v>0</v>
      </c>
      <c r="F119" s="270">
        <f>F32</f>
        <v>0</v>
      </c>
      <c r="G119" s="270">
        <f>G32</f>
        <v>0</v>
      </c>
      <c r="H119" s="270">
        <f>H32</f>
        <v>0</v>
      </c>
      <c r="I119" s="253"/>
      <c r="J119" s="268">
        <f>J32</f>
        <v>0</v>
      </c>
      <c r="K119" s="268">
        <f>K32</f>
        <v>0</v>
      </c>
      <c r="L119" s="257">
        <f>L32</f>
        <v>0</v>
      </c>
      <c r="M119" s="16"/>
      <c r="N119" s="30">
        <f t="shared" si="36"/>
        <v>0</v>
      </c>
      <c r="O119" s="242">
        <f t="shared" si="37"/>
        <v>0</v>
      </c>
      <c r="P119" s="5"/>
    </row>
    <row r="120" spans="1:45" s="4" customFormat="1" ht="13" x14ac:dyDescent="0.15">
      <c r="A120" s="15"/>
      <c r="B120" s="233" t="s">
        <v>158</v>
      </c>
      <c r="C120" s="234">
        <f t="shared" si="34"/>
        <v>220.37878605783692</v>
      </c>
      <c r="D120" s="236">
        <f>D37</f>
        <v>9.0346511625402766</v>
      </c>
      <c r="E120" s="267">
        <f t="shared" si="35"/>
        <v>1991.0454556566513</v>
      </c>
      <c r="F120" s="270">
        <f>F37</f>
        <v>0</v>
      </c>
      <c r="G120" s="270">
        <f>G37</f>
        <v>0</v>
      </c>
      <c r="H120" s="270">
        <f>H37</f>
        <v>0</v>
      </c>
      <c r="I120" s="253"/>
      <c r="J120" s="268">
        <f>J37</f>
        <v>0</v>
      </c>
      <c r="K120" s="268">
        <f>K37</f>
        <v>0</v>
      </c>
      <c r="L120" s="268">
        <f>L37</f>
        <v>0</v>
      </c>
      <c r="M120" s="16"/>
      <c r="N120" s="30">
        <f t="shared" si="36"/>
        <v>0</v>
      </c>
      <c r="O120" s="242">
        <f t="shared" si="37"/>
        <v>1991.0454556566513</v>
      </c>
      <c r="P120" s="5"/>
    </row>
    <row r="121" spans="1:45" ht="13" x14ac:dyDescent="0.15">
      <c r="B121" s="225" t="s">
        <v>125</v>
      </c>
      <c r="C121" s="235">
        <f t="shared" si="34"/>
        <v>15.326666666666668</v>
      </c>
      <c r="D121" s="236">
        <f>D42</f>
        <v>1438.9776962209517</v>
      </c>
      <c r="E121" s="267">
        <f t="shared" si="35"/>
        <v>22054.731490746453</v>
      </c>
      <c r="F121" s="270">
        <f>F42</f>
        <v>-0.17988071885571469</v>
      </c>
      <c r="G121" s="270">
        <f>G42</f>
        <v>0</v>
      </c>
      <c r="H121" s="270">
        <f>H42</f>
        <v>0</v>
      </c>
      <c r="I121" s="253"/>
      <c r="J121" s="268">
        <f>J42</f>
        <v>0</v>
      </c>
      <c r="K121" s="268">
        <f>K42</f>
        <v>-381.54886431818261</v>
      </c>
      <c r="L121" s="268">
        <f>L42</f>
        <v>0</v>
      </c>
      <c r="M121" s="16"/>
      <c r="N121" s="30">
        <f t="shared" si="36"/>
        <v>-381.54886431818261</v>
      </c>
      <c r="O121" s="242">
        <f t="shared" si="37"/>
        <v>21673.182626428272</v>
      </c>
    </row>
    <row r="122" spans="1:45" ht="13" x14ac:dyDescent="0.15">
      <c r="B122" s="225" t="s">
        <v>124</v>
      </c>
      <c r="C122" s="235">
        <f t="shared" si="34"/>
        <v>24.846666666666668</v>
      </c>
      <c r="D122" s="236">
        <f>D47</f>
        <v>85.368454100841021</v>
      </c>
      <c r="E122" s="267">
        <f t="shared" si="35"/>
        <v>2121.1215228922301</v>
      </c>
      <c r="F122" s="270">
        <f>F47</f>
        <v>-0.17988071885571469</v>
      </c>
      <c r="G122" s="270">
        <f>G47</f>
        <v>0</v>
      </c>
      <c r="H122" s="270">
        <f>H47</f>
        <v>0</v>
      </c>
      <c r="I122" s="253"/>
      <c r="J122" s="268">
        <f>J47</f>
        <v>0</v>
      </c>
      <c r="K122" s="268">
        <f>K47</f>
        <v>-381.54886431818261</v>
      </c>
      <c r="L122" s="268">
        <f>L47</f>
        <v>0</v>
      </c>
      <c r="M122" s="16"/>
      <c r="N122" s="30">
        <f t="shared" si="36"/>
        <v>-381.54886431818261</v>
      </c>
      <c r="O122" s="242">
        <f t="shared" si="37"/>
        <v>1739.5726585740476</v>
      </c>
    </row>
    <row r="123" spans="1:45" ht="13" x14ac:dyDescent="0.15">
      <c r="B123" s="225" t="s">
        <v>160</v>
      </c>
      <c r="C123" s="235">
        <f t="shared" si="34"/>
        <v>0</v>
      </c>
      <c r="D123" s="236">
        <f>D52</f>
        <v>0</v>
      </c>
      <c r="E123" s="267">
        <f t="shared" si="35"/>
        <v>0</v>
      </c>
      <c r="F123" s="270">
        <f>F52</f>
        <v>0</v>
      </c>
      <c r="G123" s="270">
        <f>G52</f>
        <v>0</v>
      </c>
      <c r="H123" s="270">
        <f>H52</f>
        <v>0</v>
      </c>
      <c r="I123" s="253"/>
      <c r="J123" s="268">
        <f>J52</f>
        <v>0</v>
      </c>
      <c r="K123" s="268">
        <f>K52</f>
        <v>0</v>
      </c>
      <c r="L123" s="268">
        <f>L52</f>
        <v>0</v>
      </c>
      <c r="M123" s="16"/>
      <c r="N123" s="30">
        <f t="shared" si="36"/>
        <v>0</v>
      </c>
      <c r="O123" s="242">
        <f t="shared" si="37"/>
        <v>0</v>
      </c>
    </row>
    <row r="124" spans="1:45" s="3" customFormat="1" thickBot="1" x14ac:dyDescent="0.2">
      <c r="A124" s="15"/>
      <c r="B124" s="250"/>
      <c r="C124" s="240"/>
      <c r="D124" s="238"/>
      <c r="E124" s="241">
        <f>SUM(E114:E123)</f>
        <v>230028.45995156959</v>
      </c>
      <c r="F124" s="20"/>
      <c r="G124" s="20"/>
      <c r="H124" s="271"/>
      <c r="I124" s="20"/>
      <c r="J124" s="223">
        <f>SUM(J114:J123)</f>
        <v>0</v>
      </c>
      <c r="K124" s="223">
        <f>SUM(K114:K123)</f>
        <v>-33726.583427166624</v>
      </c>
      <c r="L124" s="223">
        <f>SUM(L114:L123)</f>
        <v>-9201.792039922304</v>
      </c>
      <c r="M124" s="20"/>
      <c r="N124" s="33">
        <f>SUM(J124:L124)</f>
        <v>-42928.375467088932</v>
      </c>
      <c r="O124" s="224">
        <f>SUM(O114:O123)</f>
        <v>187100.08448448067</v>
      </c>
      <c r="P124" s="231"/>
    </row>
    <row r="125" spans="1:45" s="4" customFormat="1" ht="10" customHeight="1" thickTop="1" x14ac:dyDescent="0.15">
      <c r="A125" s="15"/>
      <c r="B125" s="42"/>
      <c r="C125" s="260"/>
      <c r="D125" s="261"/>
      <c r="E125" s="48"/>
      <c r="F125" s="16"/>
      <c r="G125" s="16"/>
      <c r="H125" s="42"/>
      <c r="I125" s="16"/>
      <c r="J125" s="262"/>
      <c r="K125" s="262"/>
      <c r="L125" s="262"/>
      <c r="M125" s="20"/>
      <c r="N125" s="5"/>
    </row>
    <row r="126" spans="1:45" s="4" customFormat="1" ht="13" hidden="1" x14ac:dyDescent="0.15">
      <c r="A126" s="15"/>
      <c r="B126" s="42"/>
      <c r="C126" s="260"/>
      <c r="D126" s="261"/>
      <c r="E126" s="48"/>
      <c r="F126" s="16"/>
      <c r="G126" s="16"/>
      <c r="H126" s="42"/>
      <c r="I126" s="16"/>
      <c r="J126" s="262"/>
      <c r="K126" s="262"/>
      <c r="L126" s="262"/>
      <c r="M126" s="20"/>
      <c r="N126" s="5"/>
    </row>
    <row r="127" spans="1:45" s="4" customFormat="1" x14ac:dyDescent="0.15">
      <c r="A127" s="15"/>
      <c r="B127" s="16"/>
      <c r="C127" s="16"/>
      <c r="D127" s="16"/>
      <c r="E127" s="17"/>
      <c r="F127" s="16"/>
      <c r="G127" s="16"/>
      <c r="H127" s="16"/>
      <c r="I127" s="16"/>
      <c r="J127" s="54"/>
      <c r="K127" s="54"/>
      <c r="L127" s="54"/>
      <c r="M127" s="19"/>
      <c r="N127" s="54"/>
      <c r="O127" s="21"/>
      <c r="P127" s="5"/>
    </row>
    <row r="128" spans="1:45" s="4" customFormat="1" x14ac:dyDescent="0.15">
      <c r="A128" s="15"/>
      <c r="B128" s="16"/>
      <c r="C128" s="16"/>
      <c r="D128" s="16"/>
      <c r="E128" s="17"/>
      <c r="F128" s="16"/>
      <c r="G128" s="16"/>
      <c r="H128" s="16"/>
      <c r="I128" s="16"/>
      <c r="J128" s="54"/>
      <c r="K128" s="54"/>
      <c r="L128" s="54"/>
      <c r="M128" s="19"/>
      <c r="N128" s="54"/>
      <c r="O128" s="21"/>
      <c r="P128" s="5"/>
    </row>
    <row r="129" spans="1:16" s="4" customFormat="1" x14ac:dyDescent="0.15">
      <c r="A129" s="15"/>
      <c r="B129" s="16"/>
      <c r="C129" s="16"/>
      <c r="D129" s="16"/>
      <c r="E129" s="17"/>
      <c r="F129" s="16"/>
      <c r="G129" s="16"/>
      <c r="H129" s="16"/>
      <c r="I129" s="16"/>
      <c r="J129" s="54"/>
      <c r="K129" s="54"/>
      <c r="L129" s="54"/>
      <c r="M129" s="19"/>
      <c r="N129" s="54"/>
      <c r="O129" s="21"/>
      <c r="P129" s="5"/>
    </row>
    <row r="130" spans="1:16" s="4" customFormat="1" x14ac:dyDescent="0.15">
      <c r="A130" s="15"/>
      <c r="B130" s="16"/>
      <c r="C130" s="16"/>
      <c r="D130" s="16"/>
      <c r="E130" s="17"/>
      <c r="F130" s="16"/>
      <c r="G130" s="16"/>
      <c r="H130" s="16"/>
      <c r="I130" s="16"/>
      <c r="J130" s="54"/>
      <c r="K130" s="54"/>
      <c r="L130" s="54"/>
      <c r="M130" s="19"/>
      <c r="N130" s="54"/>
      <c r="O130" s="21"/>
      <c r="P130" s="5"/>
    </row>
    <row r="131" spans="1:16" s="4" customFormat="1" x14ac:dyDescent="0.15">
      <c r="A131" s="15"/>
      <c r="B131" s="16"/>
      <c r="C131" s="16"/>
      <c r="D131" s="16"/>
      <c r="E131" s="17"/>
      <c r="F131" s="16"/>
      <c r="G131" s="16"/>
      <c r="H131" s="16"/>
      <c r="I131" s="16"/>
      <c r="J131" s="54"/>
      <c r="K131" s="54"/>
      <c r="L131" s="54"/>
      <c r="M131" s="19"/>
      <c r="N131" s="54"/>
      <c r="O131" s="21"/>
      <c r="P131" s="5"/>
    </row>
    <row r="132" spans="1:16" s="4" customFormat="1" x14ac:dyDescent="0.15">
      <c r="A132" s="15"/>
      <c r="B132" s="16"/>
      <c r="C132" s="16"/>
      <c r="D132" s="16"/>
      <c r="E132" s="17"/>
      <c r="F132" s="16"/>
      <c r="G132" s="16"/>
      <c r="H132" s="16"/>
      <c r="I132" s="16"/>
      <c r="J132" s="54"/>
      <c r="K132" s="54"/>
      <c r="L132" s="54"/>
      <c r="M132" s="19"/>
      <c r="N132" s="54"/>
      <c r="O132" s="21"/>
      <c r="P132" s="5"/>
    </row>
    <row r="133" spans="1:16" s="4" customFormat="1" x14ac:dyDescent="0.15">
      <c r="A133" s="15"/>
      <c r="B133" s="16"/>
      <c r="C133" s="16"/>
      <c r="D133" s="16"/>
      <c r="E133" s="17"/>
      <c r="F133" s="16"/>
      <c r="G133" s="16"/>
      <c r="H133" s="16"/>
      <c r="I133" s="16"/>
      <c r="J133" s="54"/>
      <c r="K133" s="54"/>
      <c r="L133" s="54"/>
      <c r="M133" s="19"/>
      <c r="N133" s="54"/>
      <c r="O133" s="21"/>
      <c r="P133" s="5"/>
    </row>
    <row r="134" spans="1:16" s="4" customFormat="1" x14ac:dyDescent="0.15">
      <c r="A134" s="15"/>
      <c r="B134" s="16"/>
      <c r="C134" s="16"/>
      <c r="D134" s="16"/>
      <c r="E134" s="17"/>
      <c r="F134" s="16"/>
      <c r="G134" s="16"/>
      <c r="H134" s="16"/>
      <c r="I134" s="16"/>
      <c r="J134" s="54"/>
      <c r="K134" s="54"/>
      <c r="L134" s="54"/>
      <c r="M134" s="19"/>
      <c r="N134" s="54"/>
      <c r="O134" s="21"/>
      <c r="P134" s="5"/>
    </row>
    <row r="135" spans="1:16" s="4" customFormat="1" x14ac:dyDescent="0.15">
      <c r="A135" s="15"/>
      <c r="B135" s="16"/>
      <c r="C135" s="16"/>
      <c r="D135" s="16"/>
      <c r="E135" s="17"/>
      <c r="F135" s="16"/>
      <c r="G135" s="16"/>
      <c r="H135" s="16"/>
      <c r="I135" s="16"/>
      <c r="J135" s="54"/>
      <c r="K135" s="54"/>
      <c r="L135" s="54"/>
      <c r="M135" s="19"/>
      <c r="N135" s="54"/>
      <c r="O135" s="21"/>
      <c r="P135" s="5"/>
    </row>
    <row r="136" spans="1:16" s="4" customFormat="1" x14ac:dyDescent="0.15">
      <c r="A136" s="15"/>
      <c r="B136" s="16"/>
      <c r="C136" s="16"/>
      <c r="D136" s="16"/>
      <c r="E136" s="17"/>
      <c r="F136" s="16"/>
      <c r="G136" s="16"/>
      <c r="H136" s="16"/>
      <c r="I136" s="16"/>
      <c r="J136" s="54"/>
      <c r="K136" s="54"/>
      <c r="L136" s="54"/>
      <c r="M136" s="19"/>
      <c r="N136" s="54"/>
      <c r="O136" s="21"/>
      <c r="P136" s="5"/>
    </row>
    <row r="137" spans="1:16" s="4" customFormat="1" x14ac:dyDescent="0.15">
      <c r="A137" s="15"/>
      <c r="B137" s="16"/>
      <c r="C137" s="16"/>
      <c r="D137" s="16"/>
      <c r="E137" s="17"/>
      <c r="F137" s="16"/>
      <c r="G137" s="16"/>
      <c r="H137" s="16"/>
      <c r="I137" s="16"/>
      <c r="J137" s="54"/>
      <c r="K137" s="54"/>
      <c r="L137" s="54"/>
      <c r="M137" s="19"/>
      <c r="N137" s="54"/>
      <c r="O137" s="21"/>
      <c r="P137" s="5"/>
    </row>
    <row r="138" spans="1:16" s="4" customFormat="1" x14ac:dyDescent="0.15">
      <c r="A138" s="15"/>
      <c r="B138" s="16"/>
      <c r="C138" s="16"/>
      <c r="D138" s="16"/>
      <c r="E138" s="17"/>
      <c r="F138" s="16"/>
      <c r="G138" s="16"/>
      <c r="H138" s="16"/>
      <c r="I138" s="16"/>
      <c r="J138" s="54"/>
      <c r="K138" s="54"/>
      <c r="L138" s="54"/>
      <c r="M138" s="19"/>
      <c r="N138" s="54"/>
      <c r="O138" s="21"/>
      <c r="P138" s="5"/>
    </row>
    <row r="139" spans="1:16" s="4" customFormat="1" x14ac:dyDescent="0.15">
      <c r="A139" s="15"/>
      <c r="B139" s="16"/>
      <c r="C139" s="16"/>
      <c r="D139" s="16"/>
      <c r="E139" s="17"/>
      <c r="F139" s="16"/>
      <c r="G139" s="16"/>
      <c r="H139" s="16"/>
      <c r="I139" s="16"/>
      <c r="J139" s="54"/>
      <c r="K139" s="54"/>
      <c r="L139" s="54"/>
      <c r="M139" s="19"/>
      <c r="N139" s="54"/>
      <c r="O139" s="21"/>
      <c r="P139" s="5"/>
    </row>
    <row r="140" spans="1:16" s="4" customFormat="1" x14ac:dyDescent="0.15">
      <c r="A140" s="15"/>
      <c r="B140" s="16"/>
      <c r="C140" s="16"/>
      <c r="D140" s="16"/>
      <c r="E140" s="17"/>
      <c r="F140" s="16"/>
      <c r="G140" s="16"/>
      <c r="H140" s="16"/>
      <c r="I140" s="16"/>
      <c r="J140" s="54"/>
      <c r="K140" s="54"/>
      <c r="L140" s="54"/>
      <c r="M140" s="19"/>
      <c r="N140" s="54"/>
      <c r="O140" s="21"/>
      <c r="P140" s="5"/>
    </row>
    <row r="141" spans="1:16" s="4" customFormat="1" x14ac:dyDescent="0.15">
      <c r="A141" s="15"/>
      <c r="B141" s="16"/>
      <c r="C141" s="16"/>
      <c r="D141" s="16"/>
      <c r="E141" s="17"/>
      <c r="F141" s="16"/>
      <c r="G141" s="16"/>
      <c r="H141" s="16"/>
      <c r="I141" s="16"/>
      <c r="J141" s="54"/>
      <c r="K141" s="54"/>
      <c r="L141" s="54"/>
      <c r="M141" s="19"/>
      <c r="N141" s="54"/>
      <c r="O141" s="21"/>
      <c r="P141" s="5"/>
    </row>
    <row r="142" spans="1:16" s="4" customFormat="1" x14ac:dyDescent="0.15">
      <c r="A142" s="15"/>
      <c r="B142" s="16"/>
      <c r="C142" s="16"/>
      <c r="D142" s="16"/>
      <c r="E142" s="17"/>
      <c r="F142" s="16"/>
      <c r="G142" s="16"/>
      <c r="H142" s="16"/>
      <c r="I142" s="16"/>
      <c r="J142" s="54"/>
      <c r="K142" s="54"/>
      <c r="L142" s="54"/>
      <c r="M142" s="19"/>
      <c r="N142" s="54"/>
      <c r="O142" s="21"/>
      <c r="P142" s="5"/>
    </row>
    <row r="143" spans="1:16" s="4" customFormat="1" x14ac:dyDescent="0.15">
      <c r="A143" s="15"/>
      <c r="B143" s="16"/>
      <c r="C143" s="16"/>
      <c r="D143" s="16"/>
      <c r="E143" s="17"/>
      <c r="F143" s="16"/>
      <c r="G143" s="16"/>
      <c r="H143" s="16"/>
      <c r="I143" s="16"/>
      <c r="J143" s="54"/>
      <c r="K143" s="54"/>
      <c r="L143" s="54"/>
      <c r="M143" s="19"/>
      <c r="N143" s="54"/>
      <c r="O143" s="21"/>
      <c r="P143" s="5"/>
    </row>
    <row r="144" spans="1:16" s="4" customFormat="1" x14ac:dyDescent="0.15">
      <c r="A144" s="15"/>
      <c r="B144" s="16"/>
      <c r="C144" s="16"/>
      <c r="D144" s="16"/>
      <c r="E144" s="17"/>
      <c r="F144" s="16"/>
      <c r="G144" s="16"/>
      <c r="H144" s="16"/>
      <c r="I144" s="16"/>
      <c r="J144" s="54"/>
      <c r="K144" s="54"/>
      <c r="L144" s="54"/>
      <c r="M144" s="19"/>
      <c r="N144" s="54"/>
      <c r="O144" s="21"/>
      <c r="P144" s="5"/>
    </row>
    <row r="145" spans="1:16" s="4" customFormat="1" x14ac:dyDescent="0.15">
      <c r="A145" s="15"/>
      <c r="B145" s="16"/>
      <c r="C145" s="16"/>
      <c r="D145" s="16"/>
      <c r="E145" s="17"/>
      <c r="F145" s="16"/>
      <c r="G145" s="16"/>
      <c r="H145" s="16"/>
      <c r="I145" s="16"/>
      <c r="J145" s="54"/>
      <c r="K145" s="54"/>
      <c r="L145" s="54"/>
      <c r="M145" s="19"/>
      <c r="N145" s="54"/>
      <c r="O145" s="21"/>
      <c r="P145" s="5"/>
    </row>
    <row r="146" spans="1:16" s="4" customFormat="1" x14ac:dyDescent="0.15">
      <c r="A146" s="15"/>
      <c r="B146" s="16"/>
      <c r="C146" s="16"/>
      <c r="D146" s="16"/>
      <c r="E146" s="17"/>
      <c r="F146" s="16"/>
      <c r="G146" s="16"/>
      <c r="H146" s="16"/>
      <c r="I146" s="16"/>
      <c r="J146" s="54"/>
      <c r="K146" s="54"/>
      <c r="L146" s="54"/>
      <c r="M146" s="19"/>
      <c r="N146" s="54"/>
      <c r="O146" s="21"/>
      <c r="P146" s="5"/>
    </row>
    <row r="147" spans="1:16" s="4" customFormat="1" x14ac:dyDescent="0.15">
      <c r="A147" s="15"/>
      <c r="B147" s="16"/>
      <c r="C147" s="16"/>
      <c r="D147" s="16"/>
      <c r="E147" s="17"/>
      <c r="F147" s="16"/>
      <c r="G147" s="16"/>
      <c r="H147" s="16"/>
      <c r="I147" s="16"/>
      <c r="J147" s="54"/>
      <c r="K147" s="54"/>
      <c r="L147" s="54"/>
      <c r="M147" s="19"/>
      <c r="N147" s="54"/>
      <c r="O147" s="21"/>
      <c r="P147" s="5"/>
    </row>
    <row r="148" spans="1:16" s="4" customFormat="1" x14ac:dyDescent="0.15">
      <c r="A148" s="15"/>
      <c r="B148" s="16"/>
      <c r="C148" s="16"/>
      <c r="D148" s="16"/>
      <c r="E148" s="17"/>
      <c r="F148" s="16"/>
      <c r="G148" s="16"/>
      <c r="H148" s="16"/>
      <c r="I148" s="16"/>
      <c r="J148" s="54"/>
      <c r="K148" s="54"/>
      <c r="L148" s="54"/>
      <c r="M148" s="19"/>
      <c r="N148" s="54"/>
      <c r="O148" s="21"/>
      <c r="P148" s="5"/>
    </row>
    <row r="149" spans="1:16" s="4" customFormat="1" x14ac:dyDescent="0.15">
      <c r="A149" s="15"/>
      <c r="B149" s="16"/>
      <c r="C149" s="16"/>
      <c r="D149" s="16"/>
      <c r="E149" s="17"/>
      <c r="F149" s="16"/>
      <c r="G149" s="16"/>
      <c r="H149" s="16"/>
      <c r="I149" s="16"/>
      <c r="J149" s="54"/>
      <c r="K149" s="54"/>
      <c r="L149" s="54"/>
      <c r="M149" s="19"/>
      <c r="N149" s="54"/>
      <c r="O149" s="21"/>
      <c r="P149" s="5"/>
    </row>
    <row r="150" spans="1:16" s="4" customFormat="1" x14ac:dyDescent="0.15">
      <c r="A150" s="15"/>
      <c r="B150" s="16"/>
      <c r="C150" s="16"/>
      <c r="D150" s="16"/>
      <c r="E150" s="17"/>
      <c r="F150" s="16"/>
      <c r="G150" s="16"/>
      <c r="H150" s="16"/>
      <c r="I150" s="16"/>
      <c r="J150" s="54"/>
      <c r="K150" s="54"/>
      <c r="L150" s="54"/>
      <c r="M150" s="19"/>
      <c r="N150" s="54"/>
      <c r="O150" s="21"/>
      <c r="P150" s="5"/>
    </row>
    <row r="151" spans="1:16" s="4" customFormat="1" x14ac:dyDescent="0.15">
      <c r="A151" s="15"/>
      <c r="B151" s="16"/>
      <c r="C151" s="16"/>
      <c r="D151" s="16"/>
      <c r="E151" s="17"/>
      <c r="F151" s="16"/>
      <c r="G151" s="16"/>
      <c r="H151" s="16"/>
      <c r="I151" s="16"/>
      <c r="J151" s="54"/>
      <c r="K151" s="54"/>
      <c r="L151" s="54"/>
      <c r="M151" s="19"/>
      <c r="N151" s="54"/>
      <c r="O151" s="21"/>
      <c r="P151" s="5"/>
    </row>
    <row r="152" spans="1:16" s="4" customFormat="1" x14ac:dyDescent="0.15">
      <c r="A152" s="15"/>
      <c r="B152" s="16"/>
      <c r="C152" s="16"/>
      <c r="D152" s="16"/>
      <c r="E152" s="17"/>
      <c r="F152" s="16"/>
      <c r="G152" s="16"/>
      <c r="H152" s="16"/>
      <c r="I152" s="16"/>
      <c r="J152" s="54"/>
      <c r="K152" s="54"/>
      <c r="L152" s="54"/>
      <c r="M152" s="19"/>
      <c r="N152" s="54"/>
      <c r="O152" s="21"/>
      <c r="P152" s="5"/>
    </row>
    <row r="153" spans="1:16" s="4" customFormat="1" x14ac:dyDescent="0.15">
      <c r="A153" s="15"/>
      <c r="B153" s="16"/>
      <c r="C153" s="16"/>
      <c r="D153" s="16"/>
      <c r="E153" s="17"/>
      <c r="F153" s="16"/>
      <c r="G153" s="16"/>
      <c r="H153" s="16"/>
      <c r="I153" s="16"/>
      <c r="J153" s="54"/>
      <c r="K153" s="54"/>
      <c r="L153" s="54"/>
      <c r="M153" s="19"/>
      <c r="N153" s="54"/>
      <c r="O153" s="21"/>
      <c r="P153" s="5"/>
    </row>
    <row r="154" spans="1:16" s="4" customFormat="1" x14ac:dyDescent="0.15">
      <c r="A154" s="15"/>
      <c r="B154" s="16"/>
      <c r="C154" s="16"/>
      <c r="D154" s="16"/>
      <c r="E154" s="17"/>
      <c r="F154" s="16"/>
      <c r="G154" s="16"/>
      <c r="H154" s="16"/>
      <c r="I154" s="16"/>
      <c r="J154" s="54"/>
      <c r="K154" s="54"/>
      <c r="L154" s="54"/>
      <c r="M154" s="19"/>
      <c r="N154" s="54"/>
      <c r="O154" s="21"/>
      <c r="P154" s="5"/>
    </row>
    <row r="155" spans="1:16" s="4" customFormat="1" x14ac:dyDescent="0.15">
      <c r="A155" s="15"/>
      <c r="B155" s="16"/>
      <c r="C155" s="16"/>
      <c r="D155" s="16"/>
      <c r="E155" s="17"/>
      <c r="F155" s="16"/>
      <c r="G155" s="16"/>
      <c r="H155" s="16"/>
      <c r="I155" s="16"/>
      <c r="J155" s="54"/>
      <c r="K155" s="54"/>
      <c r="L155" s="54"/>
      <c r="M155" s="19"/>
      <c r="N155" s="54"/>
      <c r="O155" s="21"/>
      <c r="P155" s="5"/>
    </row>
    <row r="156" spans="1:16" s="4" customFormat="1" x14ac:dyDescent="0.15">
      <c r="A156" s="15"/>
      <c r="B156" s="16"/>
      <c r="C156" s="16"/>
      <c r="D156" s="16"/>
      <c r="E156" s="17"/>
      <c r="F156" s="16"/>
      <c r="G156" s="16"/>
      <c r="H156" s="16"/>
      <c r="I156" s="16"/>
      <c r="J156" s="54"/>
      <c r="K156" s="54"/>
      <c r="L156" s="54"/>
      <c r="M156" s="19"/>
      <c r="N156" s="54"/>
      <c r="O156" s="21"/>
      <c r="P156" s="5"/>
    </row>
    <row r="157" spans="1:16" s="4" customFormat="1" x14ac:dyDescent="0.15">
      <c r="A157" s="15"/>
      <c r="B157" s="16"/>
      <c r="C157" s="16"/>
      <c r="D157" s="16"/>
      <c r="E157" s="17"/>
      <c r="F157" s="16"/>
      <c r="G157" s="16"/>
      <c r="H157" s="16"/>
      <c r="I157" s="16"/>
      <c r="J157" s="54"/>
      <c r="K157" s="54"/>
      <c r="L157" s="54"/>
      <c r="M157" s="19"/>
      <c r="N157" s="54"/>
      <c r="O157" s="21"/>
      <c r="P157" s="5"/>
    </row>
    <row r="158" spans="1:16" s="4" customFormat="1" x14ac:dyDescent="0.15">
      <c r="A158" s="15"/>
      <c r="B158" s="16"/>
      <c r="C158" s="16"/>
      <c r="D158" s="16"/>
      <c r="E158" s="17"/>
      <c r="F158" s="16"/>
      <c r="G158" s="16"/>
      <c r="H158" s="16"/>
      <c r="I158" s="16"/>
      <c r="J158" s="54"/>
      <c r="K158" s="54"/>
      <c r="L158" s="54"/>
      <c r="M158" s="19"/>
      <c r="N158" s="54"/>
      <c r="O158" s="21"/>
      <c r="P158" s="5"/>
    </row>
    <row r="159" spans="1:16" s="4" customFormat="1" x14ac:dyDescent="0.15">
      <c r="A159" s="15"/>
      <c r="B159" s="16"/>
      <c r="C159" s="16"/>
      <c r="D159" s="16"/>
      <c r="E159" s="17"/>
      <c r="F159" s="16"/>
      <c r="G159" s="16"/>
      <c r="H159" s="16"/>
      <c r="I159" s="16"/>
      <c r="J159" s="54"/>
      <c r="K159" s="54"/>
      <c r="L159" s="54"/>
      <c r="M159" s="19"/>
      <c r="N159" s="54"/>
      <c r="O159" s="21"/>
      <c r="P159" s="5"/>
    </row>
    <row r="160" spans="1:16" s="4" customFormat="1" x14ac:dyDescent="0.15">
      <c r="A160" s="15"/>
      <c r="B160" s="16"/>
      <c r="C160" s="16"/>
      <c r="D160" s="16"/>
      <c r="E160" s="17"/>
      <c r="F160" s="16"/>
      <c r="G160" s="16"/>
      <c r="H160" s="16"/>
      <c r="I160" s="16"/>
      <c r="J160" s="54"/>
      <c r="K160" s="54"/>
      <c r="L160" s="54"/>
      <c r="M160" s="19"/>
      <c r="N160" s="54"/>
      <c r="O160" s="21"/>
      <c r="P160" s="5"/>
    </row>
    <row r="161" spans="1:16" s="4" customFormat="1" x14ac:dyDescent="0.15">
      <c r="A161" s="15"/>
      <c r="B161" s="16"/>
      <c r="C161" s="16"/>
      <c r="D161" s="16"/>
      <c r="E161" s="17"/>
      <c r="F161" s="16"/>
      <c r="G161" s="16"/>
      <c r="H161" s="16"/>
      <c r="I161" s="16"/>
      <c r="J161" s="54"/>
      <c r="K161" s="54"/>
      <c r="L161" s="54"/>
      <c r="M161" s="19"/>
      <c r="N161" s="54"/>
      <c r="O161" s="21"/>
      <c r="P161" s="5"/>
    </row>
    <row r="162" spans="1:16" s="4" customFormat="1" x14ac:dyDescent="0.15">
      <c r="A162" s="15"/>
      <c r="B162" s="16"/>
      <c r="C162" s="16"/>
      <c r="D162" s="16"/>
      <c r="E162" s="17"/>
      <c r="F162" s="16"/>
      <c r="G162" s="16"/>
      <c r="H162" s="16"/>
      <c r="I162" s="16"/>
      <c r="J162" s="54"/>
      <c r="K162" s="54"/>
      <c r="L162" s="54"/>
      <c r="M162" s="19"/>
      <c r="N162" s="54"/>
      <c r="O162" s="21"/>
      <c r="P162" s="5"/>
    </row>
    <row r="163" spans="1:16" s="4" customFormat="1" x14ac:dyDescent="0.15">
      <c r="A163" s="15"/>
      <c r="B163" s="16"/>
      <c r="C163" s="16"/>
      <c r="D163" s="16"/>
      <c r="E163" s="17"/>
      <c r="F163" s="16"/>
      <c r="G163" s="16"/>
      <c r="H163" s="16"/>
      <c r="I163" s="16"/>
      <c r="J163" s="54"/>
      <c r="K163" s="54"/>
      <c r="L163" s="54"/>
      <c r="M163" s="19"/>
      <c r="N163" s="54"/>
      <c r="O163" s="21"/>
      <c r="P163" s="5"/>
    </row>
    <row r="164" spans="1:16" s="4" customFormat="1" x14ac:dyDescent="0.15">
      <c r="A164" s="15"/>
      <c r="B164" s="16"/>
      <c r="C164" s="16"/>
      <c r="D164" s="16"/>
      <c r="E164" s="17"/>
      <c r="F164" s="16"/>
      <c r="G164" s="16"/>
      <c r="H164" s="16"/>
      <c r="I164" s="16"/>
      <c r="J164" s="54"/>
      <c r="K164" s="54"/>
      <c r="L164" s="54"/>
      <c r="M164" s="19"/>
      <c r="N164" s="54"/>
      <c r="O164" s="21"/>
      <c r="P164" s="5"/>
    </row>
    <row r="165" spans="1:16" s="4" customFormat="1" x14ac:dyDescent="0.15">
      <c r="A165" s="15"/>
      <c r="B165" s="16"/>
      <c r="C165" s="16"/>
      <c r="D165" s="16"/>
      <c r="E165" s="17"/>
      <c r="F165" s="16"/>
      <c r="G165" s="16"/>
      <c r="H165" s="16"/>
      <c r="I165" s="16"/>
      <c r="J165" s="54"/>
      <c r="K165" s="54"/>
      <c r="L165" s="54"/>
      <c r="M165" s="19"/>
      <c r="N165" s="54"/>
      <c r="O165" s="21"/>
      <c r="P165" s="5"/>
    </row>
    <row r="166" spans="1:16" s="4" customFormat="1" x14ac:dyDescent="0.15">
      <c r="A166" s="15"/>
      <c r="B166" s="16"/>
      <c r="C166" s="16"/>
      <c r="D166" s="16"/>
      <c r="E166" s="17"/>
      <c r="F166" s="16"/>
      <c r="G166" s="16"/>
      <c r="H166" s="16"/>
      <c r="I166" s="16"/>
      <c r="J166" s="54"/>
      <c r="K166" s="54"/>
      <c r="L166" s="54"/>
      <c r="M166" s="19"/>
      <c r="N166" s="54"/>
      <c r="O166" s="21"/>
      <c r="P166" s="5"/>
    </row>
    <row r="167" spans="1:16" s="4" customFormat="1" x14ac:dyDescent="0.15">
      <c r="A167" s="15"/>
      <c r="B167" s="16"/>
      <c r="C167" s="16"/>
      <c r="D167" s="16"/>
      <c r="E167" s="17"/>
      <c r="F167" s="16"/>
      <c r="G167" s="16"/>
      <c r="H167" s="16"/>
      <c r="I167" s="16"/>
      <c r="J167" s="54"/>
      <c r="K167" s="54"/>
      <c r="L167" s="54"/>
      <c r="M167" s="19"/>
      <c r="N167" s="54"/>
      <c r="O167" s="21"/>
      <c r="P167" s="5"/>
    </row>
    <row r="168" spans="1:16" s="4" customFormat="1" x14ac:dyDescent="0.15">
      <c r="A168" s="15"/>
      <c r="B168" s="16"/>
      <c r="C168" s="16"/>
      <c r="D168" s="16"/>
      <c r="E168" s="17"/>
      <c r="F168" s="16"/>
      <c r="G168" s="16"/>
      <c r="H168" s="16"/>
      <c r="I168" s="16"/>
      <c r="J168" s="54"/>
      <c r="K168" s="54"/>
      <c r="L168" s="54"/>
      <c r="M168" s="19"/>
      <c r="N168" s="54"/>
      <c r="O168" s="21"/>
      <c r="P168" s="5"/>
    </row>
    <row r="169" spans="1:16" s="4" customFormat="1" x14ac:dyDescent="0.15">
      <c r="A169" s="15"/>
      <c r="B169" s="16"/>
      <c r="C169" s="16"/>
      <c r="D169" s="16"/>
      <c r="E169" s="17"/>
      <c r="F169" s="16"/>
      <c r="G169" s="16"/>
      <c r="H169" s="16"/>
      <c r="I169" s="16"/>
      <c r="J169" s="54"/>
      <c r="K169" s="54"/>
      <c r="L169" s="54"/>
      <c r="M169" s="19"/>
      <c r="N169" s="54"/>
      <c r="O169" s="21"/>
      <c r="P169" s="5"/>
    </row>
    <row r="170" spans="1:16" s="4" customFormat="1" x14ac:dyDescent="0.15">
      <c r="A170" s="15"/>
      <c r="B170" s="16"/>
      <c r="C170" s="16"/>
      <c r="D170" s="16"/>
      <c r="E170" s="17"/>
      <c r="F170" s="16"/>
      <c r="G170" s="16"/>
      <c r="H170" s="16"/>
      <c r="I170" s="16"/>
      <c r="J170" s="54"/>
      <c r="K170" s="54"/>
      <c r="L170" s="54"/>
      <c r="M170" s="19"/>
      <c r="N170" s="54"/>
      <c r="O170" s="21"/>
      <c r="P170" s="5"/>
    </row>
    <row r="171" spans="1:16" s="4" customFormat="1" x14ac:dyDescent="0.15">
      <c r="A171" s="15"/>
      <c r="B171" s="16"/>
      <c r="C171" s="16"/>
      <c r="D171" s="16"/>
      <c r="E171" s="17"/>
      <c r="F171" s="16"/>
      <c r="G171" s="16"/>
      <c r="H171" s="16"/>
      <c r="I171" s="16"/>
      <c r="J171" s="54"/>
      <c r="K171" s="54"/>
      <c r="L171" s="54"/>
      <c r="M171" s="19"/>
      <c r="N171" s="54"/>
      <c r="O171" s="21"/>
      <c r="P171" s="5"/>
    </row>
    <row r="172" spans="1:16" s="4" customFormat="1" x14ac:dyDescent="0.15">
      <c r="A172" s="15"/>
      <c r="B172" s="16"/>
      <c r="C172" s="16"/>
      <c r="D172" s="16"/>
      <c r="E172" s="17"/>
      <c r="F172" s="16"/>
      <c r="G172" s="16"/>
      <c r="H172" s="16"/>
      <c r="I172" s="16"/>
      <c r="J172" s="54"/>
      <c r="K172" s="54"/>
      <c r="L172" s="54"/>
      <c r="M172" s="19"/>
      <c r="N172" s="54"/>
      <c r="O172" s="21"/>
      <c r="P172" s="5"/>
    </row>
    <row r="173" spans="1:16" s="4" customFormat="1" x14ac:dyDescent="0.15">
      <c r="A173" s="15"/>
      <c r="B173" s="16"/>
      <c r="C173" s="16"/>
      <c r="D173" s="16"/>
      <c r="E173" s="17"/>
      <c r="F173" s="16"/>
      <c r="G173" s="16"/>
      <c r="H173" s="16"/>
      <c r="I173" s="16"/>
      <c r="J173" s="54"/>
      <c r="K173" s="54"/>
      <c r="L173" s="54"/>
      <c r="M173" s="19"/>
      <c r="N173" s="54"/>
      <c r="O173" s="21"/>
      <c r="P173" s="5"/>
    </row>
    <row r="174" spans="1:16" s="4" customFormat="1" x14ac:dyDescent="0.15">
      <c r="A174" s="15"/>
      <c r="B174" s="16"/>
      <c r="C174" s="16"/>
      <c r="D174" s="16"/>
      <c r="E174" s="17"/>
      <c r="F174" s="16"/>
      <c r="G174" s="16"/>
      <c r="H174" s="16"/>
      <c r="I174" s="16"/>
      <c r="J174" s="54"/>
      <c r="K174" s="54"/>
      <c r="L174" s="54"/>
      <c r="M174" s="19"/>
      <c r="N174" s="54"/>
      <c r="O174" s="21"/>
      <c r="P174" s="5"/>
    </row>
    <row r="175" spans="1:16" s="4" customFormat="1" x14ac:dyDescent="0.15">
      <c r="A175" s="15"/>
      <c r="B175" s="16"/>
      <c r="C175" s="16"/>
      <c r="D175" s="16"/>
      <c r="E175" s="17"/>
      <c r="F175" s="16"/>
      <c r="G175" s="16"/>
      <c r="H175" s="16"/>
      <c r="I175" s="16"/>
      <c r="J175" s="54"/>
      <c r="K175" s="54"/>
      <c r="L175" s="54"/>
      <c r="M175" s="19"/>
      <c r="N175" s="54"/>
      <c r="O175" s="21"/>
      <c r="P175" s="5"/>
    </row>
    <row r="176" spans="1:16" s="4" customFormat="1" x14ac:dyDescent="0.15">
      <c r="A176" s="15"/>
      <c r="B176" s="16"/>
      <c r="C176" s="16"/>
      <c r="D176" s="16"/>
      <c r="E176" s="17"/>
      <c r="F176" s="16"/>
      <c r="G176" s="16"/>
      <c r="H176" s="16"/>
      <c r="I176" s="16"/>
      <c r="J176" s="54"/>
      <c r="K176" s="54"/>
      <c r="L176" s="54"/>
      <c r="M176" s="19"/>
      <c r="N176" s="54"/>
      <c r="O176" s="21"/>
      <c r="P176" s="5"/>
    </row>
    <row r="177" spans="1:16" s="4" customFormat="1" x14ac:dyDescent="0.15">
      <c r="A177" s="15"/>
      <c r="B177" s="16"/>
      <c r="C177" s="16"/>
      <c r="D177" s="16"/>
      <c r="E177" s="17"/>
      <c r="F177" s="16"/>
      <c r="G177" s="16"/>
      <c r="H177" s="16"/>
      <c r="I177" s="16"/>
      <c r="J177" s="54"/>
      <c r="K177" s="54"/>
      <c r="L177" s="54"/>
      <c r="M177" s="19"/>
      <c r="N177" s="54"/>
      <c r="O177" s="21"/>
      <c r="P177" s="5"/>
    </row>
    <row r="178" spans="1:16" s="4" customFormat="1" x14ac:dyDescent="0.15">
      <c r="A178" s="15"/>
      <c r="B178" s="16"/>
      <c r="C178" s="16"/>
      <c r="D178" s="16"/>
      <c r="E178" s="17"/>
      <c r="F178" s="16"/>
      <c r="G178" s="16"/>
      <c r="H178" s="16"/>
      <c r="I178" s="16"/>
      <c r="J178" s="54"/>
      <c r="K178" s="54"/>
      <c r="L178" s="54"/>
      <c r="M178" s="19"/>
      <c r="N178" s="54"/>
      <c r="O178" s="21"/>
      <c r="P178" s="5"/>
    </row>
    <row r="179" spans="1:16" s="4" customFormat="1" x14ac:dyDescent="0.15">
      <c r="A179" s="15"/>
      <c r="B179" s="16"/>
      <c r="C179" s="16"/>
      <c r="D179" s="16"/>
      <c r="E179" s="17"/>
      <c r="F179" s="16"/>
      <c r="G179" s="16"/>
      <c r="H179" s="16"/>
      <c r="I179" s="16"/>
      <c r="J179" s="54"/>
      <c r="K179" s="54"/>
      <c r="L179" s="54"/>
      <c r="M179" s="19"/>
      <c r="N179" s="54"/>
      <c r="O179" s="21"/>
      <c r="P179" s="5"/>
    </row>
    <row r="180" spans="1:16" s="4" customFormat="1" x14ac:dyDescent="0.15">
      <c r="A180" s="15"/>
      <c r="B180" s="16"/>
      <c r="C180" s="16"/>
      <c r="D180" s="16"/>
      <c r="E180" s="17"/>
      <c r="F180" s="16"/>
      <c r="G180" s="16"/>
      <c r="H180" s="16"/>
      <c r="I180" s="16"/>
      <c r="J180" s="54"/>
      <c r="K180" s="54"/>
      <c r="L180" s="54"/>
      <c r="M180" s="19"/>
      <c r="N180" s="54"/>
      <c r="O180" s="21"/>
      <c r="P180" s="5"/>
    </row>
    <row r="181" spans="1:16" s="4" customFormat="1" x14ac:dyDescent="0.15">
      <c r="A181" s="15"/>
      <c r="B181" s="16"/>
      <c r="C181" s="16"/>
      <c r="D181" s="16"/>
      <c r="E181" s="17"/>
      <c r="F181" s="16"/>
      <c r="G181" s="16"/>
      <c r="H181" s="16"/>
      <c r="I181" s="16"/>
      <c r="J181" s="54"/>
      <c r="K181" s="54"/>
      <c r="L181" s="54"/>
      <c r="M181" s="19"/>
      <c r="N181" s="54"/>
      <c r="O181" s="21"/>
      <c r="P181" s="5"/>
    </row>
    <row r="182" spans="1:16" s="4" customFormat="1" x14ac:dyDescent="0.15">
      <c r="A182" s="15"/>
      <c r="B182" s="16"/>
      <c r="C182" s="16"/>
      <c r="D182" s="16"/>
      <c r="E182" s="17"/>
      <c r="F182" s="16"/>
      <c r="G182" s="16"/>
      <c r="H182" s="16"/>
      <c r="I182" s="16"/>
      <c r="J182" s="54"/>
      <c r="K182" s="54"/>
      <c r="L182" s="54"/>
      <c r="M182" s="19"/>
      <c r="N182" s="54"/>
      <c r="O182" s="21"/>
      <c r="P182" s="5"/>
    </row>
    <row r="183" spans="1:16" s="4" customFormat="1" x14ac:dyDescent="0.15">
      <c r="A183" s="15"/>
      <c r="B183" s="16"/>
      <c r="C183" s="16"/>
      <c r="D183" s="16"/>
      <c r="E183" s="17"/>
      <c r="F183" s="16"/>
      <c r="G183" s="16"/>
      <c r="H183" s="16"/>
      <c r="I183" s="16"/>
      <c r="J183" s="54"/>
      <c r="K183" s="54"/>
      <c r="L183" s="54"/>
      <c r="M183" s="19"/>
      <c r="N183" s="54"/>
      <c r="O183" s="21"/>
      <c r="P183" s="5"/>
    </row>
    <row r="184" spans="1:16" s="4" customFormat="1" x14ac:dyDescent="0.15">
      <c r="A184" s="15"/>
      <c r="B184" s="16"/>
      <c r="C184" s="16"/>
      <c r="D184" s="16"/>
      <c r="E184" s="17"/>
      <c r="F184" s="16"/>
      <c r="G184" s="16"/>
      <c r="H184" s="16"/>
      <c r="I184" s="16"/>
      <c r="J184" s="54"/>
      <c r="K184" s="54"/>
      <c r="L184" s="54"/>
      <c r="M184" s="19"/>
      <c r="N184" s="54"/>
      <c r="O184" s="21"/>
      <c r="P184" s="5"/>
    </row>
    <row r="185" spans="1:16" s="4" customFormat="1" x14ac:dyDescent="0.15">
      <c r="A185" s="15"/>
      <c r="B185" s="16"/>
      <c r="C185" s="16"/>
      <c r="D185" s="16"/>
      <c r="E185" s="17"/>
      <c r="F185" s="16"/>
      <c r="G185" s="16"/>
      <c r="H185" s="16"/>
      <c r="I185" s="16"/>
      <c r="J185" s="54"/>
      <c r="K185" s="54"/>
      <c r="L185" s="54"/>
      <c r="M185" s="19"/>
      <c r="N185" s="54"/>
      <c r="O185" s="21"/>
      <c r="P185" s="5"/>
    </row>
    <row r="186" spans="1:16" s="4" customFormat="1" x14ac:dyDescent="0.15">
      <c r="A186" s="15"/>
      <c r="B186" s="16"/>
      <c r="C186" s="16"/>
      <c r="D186" s="16"/>
      <c r="E186" s="17"/>
      <c r="F186" s="16"/>
      <c r="G186" s="16"/>
      <c r="H186" s="16"/>
      <c r="I186" s="16"/>
      <c r="J186" s="54"/>
      <c r="K186" s="54"/>
      <c r="L186" s="54"/>
      <c r="M186" s="19"/>
      <c r="N186" s="54"/>
      <c r="O186" s="21"/>
      <c r="P186" s="5"/>
    </row>
    <row r="187" spans="1:16" s="4" customFormat="1" x14ac:dyDescent="0.15">
      <c r="A187" s="15"/>
      <c r="B187" s="16"/>
      <c r="C187" s="16"/>
      <c r="D187" s="16"/>
      <c r="E187" s="17"/>
      <c r="F187" s="16"/>
      <c r="G187" s="16"/>
      <c r="H187" s="16"/>
      <c r="I187" s="16"/>
      <c r="J187" s="54"/>
      <c r="K187" s="54"/>
      <c r="L187" s="54"/>
      <c r="M187" s="19"/>
      <c r="N187" s="54"/>
      <c r="O187" s="21"/>
      <c r="P187" s="5"/>
    </row>
    <row r="188" spans="1:16" s="4" customFormat="1" x14ac:dyDescent="0.15">
      <c r="A188" s="15"/>
      <c r="B188" s="16"/>
      <c r="C188" s="16"/>
      <c r="D188" s="16"/>
      <c r="E188" s="17"/>
      <c r="F188" s="16"/>
      <c r="G188" s="16"/>
      <c r="H188" s="16"/>
      <c r="I188" s="16"/>
      <c r="J188" s="54"/>
      <c r="K188" s="54"/>
      <c r="L188" s="54"/>
      <c r="M188" s="19"/>
      <c r="N188" s="54"/>
      <c r="O188" s="21"/>
      <c r="P188" s="5"/>
    </row>
    <row r="189" spans="1:16" s="4" customFormat="1" x14ac:dyDescent="0.15">
      <c r="A189" s="15"/>
      <c r="B189" s="16"/>
      <c r="C189" s="16"/>
      <c r="D189" s="16"/>
      <c r="E189" s="17"/>
      <c r="F189" s="16"/>
      <c r="G189" s="16"/>
      <c r="H189" s="16"/>
      <c r="I189" s="16"/>
      <c r="J189" s="54"/>
      <c r="K189" s="54"/>
      <c r="L189" s="54"/>
      <c r="M189" s="19"/>
      <c r="N189" s="54"/>
      <c r="O189" s="21"/>
      <c r="P189" s="5"/>
    </row>
    <row r="190" spans="1:16" s="4" customFormat="1" x14ac:dyDescent="0.15">
      <c r="A190" s="15"/>
      <c r="B190" s="16"/>
      <c r="C190" s="16"/>
      <c r="D190" s="16"/>
      <c r="E190" s="17"/>
      <c r="F190" s="16"/>
      <c r="G190" s="16"/>
      <c r="H190" s="16"/>
      <c r="I190" s="16"/>
      <c r="J190" s="54"/>
      <c r="K190" s="54"/>
      <c r="L190" s="54"/>
      <c r="M190" s="19"/>
      <c r="N190" s="54"/>
      <c r="O190" s="21"/>
      <c r="P190" s="5"/>
    </row>
    <row r="191" spans="1:16" s="4" customFormat="1" x14ac:dyDescent="0.15">
      <c r="A191" s="15"/>
      <c r="B191" s="16"/>
      <c r="C191" s="16"/>
      <c r="D191" s="16"/>
      <c r="E191" s="17"/>
      <c r="F191" s="16"/>
      <c r="G191" s="16"/>
      <c r="H191" s="16"/>
      <c r="I191" s="16"/>
      <c r="J191" s="54"/>
      <c r="K191" s="54"/>
      <c r="L191" s="54"/>
      <c r="M191" s="19"/>
      <c r="N191" s="54"/>
      <c r="O191" s="21"/>
      <c r="P191" s="5"/>
    </row>
    <row r="192" spans="1:16" s="4" customFormat="1" x14ac:dyDescent="0.15">
      <c r="A192" s="15"/>
      <c r="B192" s="16"/>
      <c r="C192" s="16"/>
      <c r="D192" s="16"/>
      <c r="E192" s="17"/>
      <c r="F192" s="16"/>
      <c r="G192" s="16"/>
      <c r="H192" s="16"/>
      <c r="I192" s="16"/>
      <c r="J192" s="54"/>
      <c r="K192" s="54"/>
      <c r="L192" s="54"/>
      <c r="M192" s="19"/>
      <c r="N192" s="54"/>
      <c r="O192" s="21"/>
      <c r="P192" s="5"/>
    </row>
    <row r="193" spans="1:16" s="4" customFormat="1" x14ac:dyDescent="0.15">
      <c r="A193" s="15"/>
      <c r="B193" s="16"/>
      <c r="C193" s="16"/>
      <c r="D193" s="16"/>
      <c r="E193" s="17"/>
      <c r="F193" s="16"/>
      <c r="G193" s="16"/>
      <c r="H193" s="16"/>
      <c r="I193" s="16"/>
      <c r="J193" s="54"/>
      <c r="K193" s="54"/>
      <c r="L193" s="54"/>
      <c r="M193" s="19"/>
      <c r="N193" s="54"/>
      <c r="O193" s="21"/>
      <c r="P193" s="5"/>
    </row>
    <row r="194" spans="1:16" s="4" customFormat="1" x14ac:dyDescent="0.15">
      <c r="A194" s="15"/>
      <c r="B194" s="16"/>
      <c r="C194" s="16"/>
      <c r="D194" s="16"/>
      <c r="E194" s="17"/>
      <c r="F194" s="16"/>
      <c r="G194" s="16"/>
      <c r="H194" s="16"/>
      <c r="I194" s="16"/>
      <c r="J194" s="54"/>
      <c r="K194" s="54"/>
      <c r="L194" s="54"/>
      <c r="M194" s="19"/>
      <c r="N194" s="54"/>
      <c r="O194" s="21"/>
      <c r="P194" s="5"/>
    </row>
    <row r="195" spans="1:16" s="4" customFormat="1" x14ac:dyDescent="0.15">
      <c r="A195" s="15"/>
      <c r="B195" s="16"/>
      <c r="C195" s="16"/>
      <c r="D195" s="16"/>
      <c r="E195" s="17"/>
      <c r="F195" s="16"/>
      <c r="G195" s="16"/>
      <c r="H195" s="16"/>
      <c r="I195" s="16"/>
      <c r="J195" s="54"/>
      <c r="K195" s="54"/>
      <c r="L195" s="54"/>
      <c r="M195" s="19"/>
      <c r="N195" s="54"/>
      <c r="O195" s="21"/>
      <c r="P195" s="5"/>
    </row>
    <row r="196" spans="1:16" s="4" customFormat="1" x14ac:dyDescent="0.15">
      <c r="A196" s="15"/>
      <c r="B196" s="16"/>
      <c r="C196" s="16"/>
      <c r="D196" s="16"/>
      <c r="E196" s="17"/>
      <c r="F196" s="16"/>
      <c r="G196" s="16"/>
      <c r="H196" s="16"/>
      <c r="I196" s="16"/>
      <c r="J196" s="54"/>
      <c r="K196" s="54"/>
      <c r="L196" s="54"/>
      <c r="M196" s="19"/>
      <c r="N196" s="54"/>
      <c r="O196" s="21"/>
      <c r="P196" s="5"/>
    </row>
    <row r="197" spans="1:16" s="4" customFormat="1" x14ac:dyDescent="0.15">
      <c r="A197" s="15"/>
      <c r="B197" s="16"/>
      <c r="C197" s="16"/>
      <c r="D197" s="16"/>
      <c r="E197" s="17"/>
      <c r="F197" s="16"/>
      <c r="G197" s="16"/>
      <c r="H197" s="16"/>
      <c r="I197" s="16"/>
      <c r="J197" s="54"/>
      <c r="K197" s="54"/>
      <c r="L197" s="54"/>
      <c r="M197" s="19"/>
      <c r="N197" s="54"/>
      <c r="O197" s="21"/>
      <c r="P197" s="5"/>
    </row>
    <row r="198" spans="1:16" s="4" customFormat="1" x14ac:dyDescent="0.15">
      <c r="A198" s="15"/>
      <c r="B198" s="16"/>
      <c r="C198" s="16"/>
      <c r="D198" s="16"/>
      <c r="E198" s="17"/>
      <c r="F198" s="16"/>
      <c r="G198" s="16"/>
      <c r="H198" s="16"/>
      <c r="I198" s="16"/>
      <c r="J198" s="54"/>
      <c r="K198" s="54"/>
      <c r="L198" s="54"/>
      <c r="M198" s="19"/>
      <c r="N198" s="54"/>
      <c r="O198" s="21"/>
      <c r="P198" s="5"/>
    </row>
    <row r="199" spans="1:16" s="4" customFormat="1" x14ac:dyDescent="0.15">
      <c r="A199" s="15"/>
      <c r="B199" s="16"/>
      <c r="C199" s="16"/>
      <c r="D199" s="16"/>
      <c r="E199" s="17"/>
      <c r="F199" s="16"/>
      <c r="G199" s="16"/>
      <c r="H199" s="16"/>
      <c r="I199" s="16"/>
      <c r="J199" s="54"/>
      <c r="K199" s="54"/>
      <c r="L199" s="54"/>
      <c r="M199" s="19"/>
      <c r="N199" s="54"/>
      <c r="O199" s="21"/>
      <c r="P199" s="5"/>
    </row>
    <row r="200" spans="1:16" s="4" customFormat="1" x14ac:dyDescent="0.15">
      <c r="A200" s="15"/>
      <c r="B200" s="16"/>
      <c r="C200" s="16"/>
      <c r="D200" s="16"/>
      <c r="E200" s="17"/>
      <c r="F200" s="16"/>
      <c r="G200" s="16"/>
      <c r="H200" s="16"/>
      <c r="I200" s="16"/>
      <c r="J200" s="54"/>
      <c r="K200" s="54"/>
      <c r="L200" s="54"/>
      <c r="M200" s="19"/>
      <c r="N200" s="54"/>
      <c r="O200" s="21"/>
      <c r="P200" s="5"/>
    </row>
    <row r="201" spans="1:16" s="4" customFormat="1" x14ac:dyDescent="0.15">
      <c r="A201" s="15"/>
      <c r="B201" s="16"/>
      <c r="C201" s="16"/>
      <c r="D201" s="16"/>
      <c r="E201" s="17"/>
      <c r="F201" s="16"/>
      <c r="G201" s="16"/>
      <c r="H201" s="16"/>
      <c r="I201" s="16"/>
      <c r="J201" s="54"/>
      <c r="K201" s="54"/>
      <c r="L201" s="54"/>
      <c r="M201" s="19"/>
      <c r="N201" s="54"/>
      <c r="O201" s="21"/>
      <c r="P201" s="5"/>
    </row>
    <row r="202" spans="1:16" s="4" customFormat="1" x14ac:dyDescent="0.15">
      <c r="A202" s="15"/>
      <c r="B202" s="16"/>
      <c r="C202" s="16"/>
      <c r="D202" s="16"/>
      <c r="E202" s="17"/>
      <c r="F202" s="16"/>
      <c r="G202" s="16"/>
      <c r="H202" s="16"/>
      <c r="I202" s="16"/>
      <c r="J202" s="54"/>
      <c r="K202" s="54"/>
      <c r="L202" s="54"/>
      <c r="M202" s="19"/>
      <c r="N202" s="54"/>
      <c r="O202" s="21"/>
      <c r="P202" s="5"/>
    </row>
    <row r="203" spans="1:16" s="4" customFormat="1" x14ac:dyDescent="0.15">
      <c r="A203" s="15"/>
      <c r="B203" s="16"/>
      <c r="C203" s="16"/>
      <c r="D203" s="16"/>
      <c r="E203" s="17"/>
      <c r="F203" s="16"/>
      <c r="G203" s="16"/>
      <c r="H203" s="16"/>
      <c r="I203" s="16"/>
      <c r="J203" s="54"/>
      <c r="K203" s="54"/>
      <c r="L203" s="54"/>
      <c r="M203" s="19"/>
      <c r="N203" s="54"/>
      <c r="O203" s="21"/>
      <c r="P203" s="5"/>
    </row>
    <row r="204" spans="1:16" s="4" customFormat="1" x14ac:dyDescent="0.15">
      <c r="A204" s="15"/>
      <c r="B204" s="16"/>
      <c r="C204" s="16"/>
      <c r="D204" s="16"/>
      <c r="E204" s="17"/>
      <c r="F204" s="16"/>
      <c r="G204" s="16"/>
      <c r="H204" s="16"/>
      <c r="I204" s="16"/>
      <c r="J204" s="54"/>
      <c r="K204" s="54"/>
      <c r="L204" s="54"/>
      <c r="M204" s="19"/>
      <c r="N204" s="54"/>
      <c r="O204" s="21"/>
      <c r="P204" s="5"/>
    </row>
  </sheetData>
  <sheetProtection algorithmName="SHA-512" hashValue="UipAYcHsbORQnCUhPw3t2p3yNAKCMjanpUanMUKtG9S1+s+4Mtjoua+5kTrSbaK2DsZ+1uF//XbTVNalhQmXWA==" saltValue="A+pp1eHD/nPvXrC7oKj1YQ==" spinCount="100000" sheet="1" objects="1" scenarios="1"/>
  <mergeCells count="13">
    <mergeCell ref="B60:D60"/>
    <mergeCell ref="F60:H60"/>
    <mergeCell ref="F1:K1"/>
    <mergeCell ref="B58:D58"/>
    <mergeCell ref="F58:H58"/>
    <mergeCell ref="B59:D59"/>
    <mergeCell ref="F59:H59"/>
    <mergeCell ref="B61:D61"/>
    <mergeCell ref="F61:H61"/>
    <mergeCell ref="B62:D62"/>
    <mergeCell ref="F62:H62"/>
    <mergeCell ref="B63:D63"/>
    <mergeCell ref="F63:H63"/>
  </mergeCells>
  <printOptions gridLines="1"/>
  <pageMargins left="0.70866141732283472" right="0.70866141732283472" top="0.63" bottom="0.57999999999999996" header="0.31496062992125984" footer="0.31496062992125984"/>
  <pageSetup paperSize="8" scale="73" fitToWidth="2" fitToHeight="2" orientation="landscape" r:id="rId1"/>
  <headerFooter>
    <oddHeader>&amp;C&amp;"-,Vet"&amp;14Dashboard uitgaven Wmo 18+ Maatwerk  Groningen</oddHeader>
    <oddFooter>&amp;L&amp;V Vertrouwelijk&amp;V&amp;C&amp;D&amp;RPagina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F6A1E-9592-4E19-9429-2CE4E948B91F}">
  <sheetPr codeName="Blad7">
    <tabColor rgb="FF00B0F0"/>
  </sheetPr>
  <dimension ref="A1:H48"/>
  <sheetViews>
    <sheetView zoomScale="75" zoomScaleNormal="75" workbookViewId="0">
      <pane xSplit="1" ySplit="2" topLeftCell="B3" activePane="bottomRight" state="frozen"/>
      <selection pane="topRight"/>
      <selection pane="bottomLeft"/>
      <selection pane="bottomRight"/>
    </sheetView>
  </sheetViews>
  <sheetFormatPr baseColWidth="10" defaultColWidth="8.83203125" defaultRowHeight="15" x14ac:dyDescent="0.2"/>
  <cols>
    <col min="1" max="1" width="52.5" customWidth="1"/>
    <col min="2" max="6" width="20.5" customWidth="1"/>
    <col min="7" max="7" width="0.83203125" customWidth="1"/>
    <col min="8" max="8" width="22" customWidth="1"/>
  </cols>
  <sheetData>
    <row r="1" spans="1:8" ht="15" customHeight="1" x14ac:dyDescent="0.2">
      <c r="A1" s="426" t="s">
        <v>162</v>
      </c>
      <c r="B1" s="427"/>
      <c r="C1" s="427"/>
      <c r="D1" s="427"/>
      <c r="E1" s="427"/>
      <c r="F1" s="428"/>
    </row>
    <row r="2" spans="1:8" ht="15" customHeight="1" thickBot="1" x14ac:dyDescent="0.25">
      <c r="A2" s="277" t="s">
        <v>0</v>
      </c>
      <c r="B2" s="278" t="s">
        <v>107</v>
      </c>
      <c r="C2" s="278" t="s">
        <v>108</v>
      </c>
      <c r="D2" s="278" t="s">
        <v>109</v>
      </c>
      <c r="E2" s="278" t="s">
        <v>110</v>
      </c>
      <c r="F2" s="278" t="s">
        <v>163</v>
      </c>
    </row>
    <row r="3" spans="1:8" ht="15" customHeight="1" thickTop="1" thickBot="1" x14ac:dyDescent="0.25">
      <c r="A3" s="279" t="s">
        <v>105</v>
      </c>
      <c r="B3" s="283">
        <v>12280.347826086956</v>
      </c>
      <c r="C3" s="283">
        <v>13367.166666666666</v>
      </c>
      <c r="D3" s="283">
        <v>13930.217391304348</v>
      </c>
      <c r="E3" s="283">
        <v>17968.268115942028</v>
      </c>
      <c r="F3" s="425">
        <f>SUM(B3:E3)</f>
        <v>57546</v>
      </c>
    </row>
    <row r="4" spans="1:8" ht="15" customHeight="1" thickTop="1" x14ac:dyDescent="0.2">
      <c r="A4" s="26" t="s">
        <v>2</v>
      </c>
      <c r="B4" s="284">
        <f>$B$3*'Bolsward doelgroepen'!B5</f>
        <v>3146.0052694376295</v>
      </c>
      <c r="C4" s="284">
        <f>$C$3*'Buitengebied doelgroepen'!B5</f>
        <v>4844.6762663470372</v>
      </c>
      <c r="D4" s="284">
        <f>$D$3*'Sneek Noord doelgroepen'!B5</f>
        <v>3706.819382428755</v>
      </c>
      <c r="E4" s="284">
        <f>$E$3*'Sneek Zuid doelgroepen'!B5</f>
        <v>4436.0782680543052</v>
      </c>
      <c r="F4" s="284">
        <f>SUM(B4:E4)</f>
        <v>16133.579186267727</v>
      </c>
    </row>
    <row r="5" spans="1:8" ht="15" customHeight="1" x14ac:dyDescent="0.2">
      <c r="A5" s="26" t="s">
        <v>154</v>
      </c>
      <c r="B5" s="284">
        <f>$B$3*'Bolsward doelgroepen'!B6</f>
        <v>5575.6281019725693</v>
      </c>
      <c r="C5" s="284">
        <f>$C$3*'Buitengebied doelgroepen'!B6</f>
        <v>5252.7386584637316</v>
      </c>
      <c r="D5" s="284">
        <f>$D$3*'Sneek Noord doelgroepen'!B6</f>
        <v>6310.0109505886685</v>
      </c>
      <c r="E5" s="284">
        <f>$E$3*'Sneek Zuid doelgroepen'!B6</f>
        <v>9051.5990650654112</v>
      </c>
      <c r="F5" s="284">
        <f t="shared" ref="F5:F6" si="0">SUM(B5:E5)</f>
        <v>26189.976776090378</v>
      </c>
    </row>
    <row r="6" spans="1:8" ht="15" customHeight="1" x14ac:dyDescent="0.2">
      <c r="A6" s="26" t="s">
        <v>4</v>
      </c>
      <c r="B6" s="284">
        <f>$B$3*'Bolsward doelgroepen'!B7</f>
        <v>2828.7750070356492</v>
      </c>
      <c r="C6" s="284">
        <f>$C$3*'Buitengebied doelgroepen'!B7</f>
        <v>2726.2070744723324</v>
      </c>
      <c r="D6" s="284">
        <f>$D$3*'Sneek Noord doelgroepen'!B7</f>
        <v>2940.8383212980543</v>
      </c>
      <c r="E6" s="284">
        <f>$E$3*'Sneek Zuid doelgroepen'!B7</f>
        <v>2989.0195689814991</v>
      </c>
      <c r="F6" s="284">
        <f t="shared" si="0"/>
        <v>11484.839971787535</v>
      </c>
    </row>
    <row r="7" spans="1:8" ht="15" customHeight="1" x14ac:dyDescent="0.2">
      <c r="A7" s="26" t="s">
        <v>5</v>
      </c>
      <c r="B7" s="284">
        <f>$B$3*'Bolsward doelgroepen'!B8</f>
        <v>729.92538660102275</v>
      </c>
      <c r="C7" s="284">
        <f>$C$3*'Buitengebied doelgroepen'!B8</f>
        <v>543.52831747377957</v>
      </c>
      <c r="D7" s="284">
        <f>$D$3*'Sneek Noord doelgroepen'!B8</f>
        <v>972.51195673310178</v>
      </c>
      <c r="E7" s="284">
        <f>$E$3*'Sneek Zuid doelgroepen'!B8</f>
        <v>1491.5487248639004</v>
      </c>
      <c r="F7" s="284">
        <f>SUM(B7:E7)</f>
        <v>3737.5143856718041</v>
      </c>
    </row>
    <row r="8" spans="1:8" ht="15" customHeight="1" thickBot="1" x14ac:dyDescent="0.25">
      <c r="A8" s="32" t="s">
        <v>104</v>
      </c>
      <c r="B8" s="285">
        <v>12087.269243457762</v>
      </c>
      <c r="C8" s="285">
        <v>13676.94600350238</v>
      </c>
      <c r="D8" s="285">
        <v>8059.0093101787352</v>
      </c>
      <c r="E8" s="285">
        <v>15179.444062652799</v>
      </c>
      <c r="F8" s="446">
        <f>SUM(B8:E8)</f>
        <v>49002.668619791679</v>
      </c>
    </row>
    <row r="9" spans="1:8" ht="15" customHeight="1" thickTop="1" x14ac:dyDescent="0.2">
      <c r="A9" s="26" t="s">
        <v>2</v>
      </c>
      <c r="B9" s="284">
        <f>$B$8*'Bolsward doelgroepen'!B5</f>
        <v>3096.5419930736944</v>
      </c>
      <c r="C9" s="284">
        <f>$C$8*'Bolsward doelgroepen'!B5</f>
        <v>3503.7887204977401</v>
      </c>
      <c r="D9" s="284">
        <f>$D$8*'Bolsward doelgroepen'!B5</f>
        <v>2064.5739123456069</v>
      </c>
      <c r="E9" s="284">
        <f>$E$8*'Bolsward doelgroepen'!B5</f>
        <v>3888.7018254316099</v>
      </c>
      <c r="F9" s="284">
        <f>SUM(B9:E9)</f>
        <v>12553.606451348653</v>
      </c>
    </row>
    <row r="10" spans="1:8" ht="15" customHeight="1" x14ac:dyDescent="0.2">
      <c r="A10" s="26" t="s">
        <v>154</v>
      </c>
      <c r="B10" s="284">
        <f>$B$8*'Bolsward doelgroepen'!B6</f>
        <v>5487.9649195902666</v>
      </c>
      <c r="C10" s="284">
        <f>$C$8*'Bolsward doelgroepen'!B6</f>
        <v>6209.7235002005809</v>
      </c>
      <c r="D10" s="284">
        <f>$D$8*'Bolsward doelgroepen'!B6</f>
        <v>3659.0200391912704</v>
      </c>
      <c r="E10" s="284">
        <f>$E$8*'Bolsward doelgroepen'!B6</f>
        <v>6891.9004645991299</v>
      </c>
      <c r="F10" s="284">
        <f t="shared" ref="F10:F12" si="1">SUM(B10:E10)</f>
        <v>22248.608923581247</v>
      </c>
    </row>
    <row r="11" spans="1:8" ht="15" customHeight="1" x14ac:dyDescent="0.2">
      <c r="A11" s="26" t="s">
        <v>4</v>
      </c>
      <c r="B11" s="284">
        <f>$B$8*'Bolsward doelgroepen'!B7</f>
        <v>2784.299404498146</v>
      </c>
      <c r="C11" s="284">
        <f>$C$8*'Bolsward doelgroepen'!B7</f>
        <v>3150.4810429796767</v>
      </c>
      <c r="D11" s="284">
        <f>$D$8*'Bolsward doelgroepen'!B7</f>
        <v>1856.3907505676368</v>
      </c>
      <c r="E11" s="284">
        <f>$E$8*'Bolsward doelgroepen'!B7</f>
        <v>3496.5810898216382</v>
      </c>
      <c r="F11" s="284">
        <f t="shared" si="1"/>
        <v>11287.752287867097</v>
      </c>
    </row>
    <row r="12" spans="1:8" ht="15" customHeight="1" x14ac:dyDescent="0.2">
      <c r="A12" s="26" t="s">
        <v>5</v>
      </c>
      <c r="B12" s="284">
        <f>$B$8*'Bolsward doelgroepen'!B8</f>
        <v>718.44908633120383</v>
      </c>
      <c r="C12" s="284">
        <f>$C$8*'Bolsward doelgroepen'!B8</f>
        <v>812.9370796746274</v>
      </c>
      <c r="D12" s="284">
        <f>$D$8*'Bolsward doelgroepen'!B8</f>
        <v>479.01538048111325</v>
      </c>
      <c r="E12" s="284">
        <f>$E$8*'Bolsward doelgroepen'!B8</f>
        <v>902.24330228527106</v>
      </c>
      <c r="F12" s="284">
        <f t="shared" si="1"/>
        <v>2912.6448487722155</v>
      </c>
    </row>
    <row r="13" spans="1:8" ht="15" customHeight="1" thickBot="1" x14ac:dyDescent="0.25">
      <c r="A13" s="32" t="s">
        <v>101</v>
      </c>
      <c r="B13" s="285">
        <v>13122</v>
      </c>
      <c r="C13" s="285">
        <v>13858</v>
      </c>
      <c r="D13" s="285">
        <v>15531</v>
      </c>
      <c r="E13" s="285">
        <v>10868</v>
      </c>
      <c r="F13" s="285">
        <f>SUM(B13:E13)</f>
        <v>53379</v>
      </c>
      <c r="G13" s="61"/>
      <c r="H13" s="413" t="s">
        <v>175</v>
      </c>
    </row>
    <row r="14" spans="1:8" ht="15" customHeight="1" thickTop="1" x14ac:dyDescent="0.2">
      <c r="A14" s="26" t="s">
        <v>2</v>
      </c>
      <c r="B14" s="445">
        <f>8319*H14</f>
        <v>2487.5437296231685</v>
      </c>
      <c r="C14" s="448">
        <f>9926*H14</f>
        <v>2968.0681644716396</v>
      </c>
      <c r="D14" s="448">
        <f>9777*H14</f>
        <v>2923.514249852833</v>
      </c>
      <c r="E14" s="286">
        <f>4531*H14</f>
        <v>1354.8576317974007</v>
      </c>
      <c r="F14" s="284">
        <f>SUM(B14:E14)</f>
        <v>9733.9837757450405</v>
      </c>
      <c r="H14" s="414">
        <f>B19/(B19+B21)</f>
        <v>0.2990195612000443</v>
      </c>
    </row>
    <row r="15" spans="1:8" ht="15" customHeight="1" x14ac:dyDescent="0.2">
      <c r="A15" s="26" t="s">
        <v>154</v>
      </c>
      <c r="B15" s="444">
        <v>4181.2884783094833</v>
      </c>
      <c r="C15" s="443">
        <v>3390.2757317988408</v>
      </c>
      <c r="D15" s="284">
        <v>4639.6420696133036</v>
      </c>
      <c r="E15" s="284">
        <v>4929.1776215398231</v>
      </c>
      <c r="F15" s="284">
        <f t="shared" ref="F15:F17" si="2">SUM(B15:E15)</f>
        <v>17140.383901261452</v>
      </c>
      <c r="H15" s="414"/>
    </row>
    <row r="16" spans="1:8" ht="15" customHeight="1" x14ac:dyDescent="0.2">
      <c r="A16" s="26" t="s">
        <v>4</v>
      </c>
      <c r="B16" s="444">
        <f>8319*H16</f>
        <v>5831.4562703768315</v>
      </c>
      <c r="C16" s="444">
        <f>9926*H16</f>
        <v>6957.9318355283604</v>
      </c>
      <c r="D16" s="447">
        <f>9777*H16</f>
        <v>6853.485750147167</v>
      </c>
      <c r="E16" s="286">
        <f>4531*H16</f>
        <v>3176.1423682025993</v>
      </c>
      <c r="F16" s="284">
        <f t="shared" si="2"/>
        <v>22819.01622425496</v>
      </c>
      <c r="H16" s="415">
        <f>B21/(B19+B21)</f>
        <v>0.70098043879995575</v>
      </c>
    </row>
    <row r="17" spans="1:8" ht="15" customHeight="1" x14ac:dyDescent="0.2">
      <c r="A17" s="26" t="s">
        <v>5</v>
      </c>
      <c r="B17" s="284">
        <v>622.51287128712875</v>
      </c>
      <c r="C17" s="284">
        <v>540.28910891089106</v>
      </c>
      <c r="D17" s="284">
        <v>1113.7603960396038</v>
      </c>
      <c r="E17" s="284">
        <v>1410.6524752475248</v>
      </c>
      <c r="F17" s="284">
        <f t="shared" si="2"/>
        <v>3687.2148514851483</v>
      </c>
    </row>
    <row r="18" spans="1:8" ht="15" customHeight="1" thickBot="1" x14ac:dyDescent="0.25">
      <c r="A18" s="32" t="s">
        <v>102</v>
      </c>
      <c r="B18" s="285">
        <v>4066.261103284387</v>
      </c>
      <c r="C18" s="285">
        <v>4822.1433657690877</v>
      </c>
      <c r="D18" s="285">
        <v>3795.9389443367509</v>
      </c>
      <c r="E18" s="285">
        <v>4569.7518933814999</v>
      </c>
      <c r="F18" s="285">
        <f>SUM(B18:E18)</f>
        <v>17254.095306771727</v>
      </c>
      <c r="H18" s="61"/>
    </row>
    <row r="19" spans="1:8" ht="15" customHeight="1" thickTop="1" x14ac:dyDescent="0.2">
      <c r="A19" s="26" t="s">
        <v>2</v>
      </c>
      <c r="B19" s="288">
        <v>763.30038723953533</v>
      </c>
      <c r="C19" s="288">
        <v>1577.910381707542</v>
      </c>
      <c r="D19" s="288">
        <v>1078.8178130186245</v>
      </c>
      <c r="E19" s="288">
        <v>649.5544901346118</v>
      </c>
      <c r="F19" s="284">
        <f>SUM(B19:E19)</f>
        <v>4069.583072100314</v>
      </c>
    </row>
    <row r="20" spans="1:8" ht="15" customHeight="1" x14ac:dyDescent="0.2">
      <c r="A20" s="26" t="s">
        <v>154</v>
      </c>
      <c r="B20" s="284"/>
      <c r="C20" s="284"/>
      <c r="D20" s="284"/>
      <c r="E20" s="284"/>
      <c r="F20" s="284"/>
    </row>
    <row r="21" spans="1:8" ht="15" customHeight="1" x14ac:dyDescent="0.2">
      <c r="A21" s="26" t="s">
        <v>4</v>
      </c>
      <c r="B21" s="284">
        <v>1789.3767158108794</v>
      </c>
      <c r="C21" s="284">
        <v>2700.5677413504977</v>
      </c>
      <c r="D21" s="284">
        <v>1813.1211313181266</v>
      </c>
      <c r="E21" s="284">
        <v>3701.6791043305111</v>
      </c>
      <c r="F21" s="284">
        <f t="shared" ref="F21:F22" si="3">SUM(B21:E21)</f>
        <v>10004.744692810014</v>
      </c>
    </row>
    <row r="22" spans="1:8" ht="15" customHeight="1" x14ac:dyDescent="0.2">
      <c r="A22" s="26" t="s">
        <v>5</v>
      </c>
      <c r="B22" s="284">
        <v>1513.5840002339721</v>
      </c>
      <c r="C22" s="284">
        <v>543.66524271104845</v>
      </c>
      <c r="D22" s="284">
        <v>904</v>
      </c>
      <c r="E22" s="284">
        <v>218.51829891637703</v>
      </c>
      <c r="F22" s="284">
        <f t="shared" si="3"/>
        <v>3179.7675418613971</v>
      </c>
    </row>
    <row r="23" spans="1:8" ht="15" customHeight="1" thickBot="1" x14ac:dyDescent="0.25">
      <c r="A23" s="32" t="s">
        <v>27</v>
      </c>
      <c r="B23" s="287">
        <v>64.916666666666657</v>
      </c>
      <c r="C23" s="287">
        <v>513.51666666666665</v>
      </c>
      <c r="D23" s="287">
        <v>0</v>
      </c>
      <c r="E23" s="287">
        <v>229.51666666666665</v>
      </c>
      <c r="F23" s="285">
        <f>SUM(B23:E23)</f>
        <v>807.94999999999993</v>
      </c>
    </row>
    <row r="24" spans="1:8" ht="15" customHeight="1" thickTop="1" x14ac:dyDescent="0.2">
      <c r="A24" s="26" t="s">
        <v>2</v>
      </c>
      <c r="B24" s="449">
        <f>$B$23*'Bolsward doelgroepen'!B5</f>
        <v>16.630487857503564</v>
      </c>
      <c r="C24" s="449">
        <f>$C$23*'Bolsward doelgroepen'!B5</f>
        <v>131.55377699038317</v>
      </c>
      <c r="D24" s="449">
        <f>$D$23*'Bolsward doelgroepen'!B5</f>
        <v>0</v>
      </c>
      <c r="E24" s="449">
        <f>$E$23*'Bolsward doelgroepen'!B5</f>
        <v>58.798061177325188</v>
      </c>
      <c r="F24" s="288">
        <f>SUM(B24:E24)</f>
        <v>206.98232602521193</v>
      </c>
    </row>
    <row r="25" spans="1:8" ht="15" customHeight="1" x14ac:dyDescent="0.2">
      <c r="A25" s="26" t="s">
        <v>154</v>
      </c>
      <c r="B25" s="449">
        <f>$B$23*'Bolsward doelgroepen'!B6</f>
        <v>29.474017843710026</v>
      </c>
      <c r="C25" s="449">
        <f>$C$23*'Bolsward doelgroepen'!B6</f>
        <v>233.1512102137483</v>
      </c>
      <c r="D25" s="449">
        <f>$D$23*'Bolsward doelgroepen'!B6</f>
        <v>0</v>
      </c>
      <c r="E25" s="449">
        <f>$E$23*'Bolsward doelgroepen'!B6</f>
        <v>104.20711161122742</v>
      </c>
      <c r="F25" s="288">
        <f t="shared" ref="F25:F26" si="4">SUM(B25:E25)</f>
        <v>366.83233966868579</v>
      </c>
    </row>
    <row r="26" spans="1:8" ht="15" customHeight="1" x14ac:dyDescent="0.2">
      <c r="A26" s="26" t="s">
        <v>4</v>
      </c>
      <c r="B26" s="449">
        <f>$B$23*'Bolsward doelgroepen'!B7</f>
        <v>14.953537701647063</v>
      </c>
      <c r="C26" s="449">
        <f>$C$23*'Bolsward doelgroepen'!B7</f>
        <v>118.28843392180943</v>
      </c>
      <c r="D26" s="449">
        <f>$D$23*'Bolsward doelgroepen'!B7</f>
        <v>0</v>
      </c>
      <c r="E26" s="449">
        <f>$E$23*'Bolsward doelgroepen'!B7</f>
        <v>52.869105953628171</v>
      </c>
      <c r="F26" s="288">
        <f t="shared" si="4"/>
        <v>186.11107757708467</v>
      </c>
    </row>
    <row r="27" spans="1:8" ht="15" customHeight="1" x14ac:dyDescent="0.2">
      <c r="A27" s="26" t="s">
        <v>5</v>
      </c>
      <c r="B27" s="449">
        <f>$B$23*'Bolsward doelgroepen'!B8</f>
        <v>3.8585489340015755</v>
      </c>
      <c r="C27" s="449">
        <f>$C$23*'Bolsward doelgroepen'!B8</f>
        <v>30.522657562393469</v>
      </c>
      <c r="D27" s="449">
        <f>$D$23*'Bolsward doelgroepen'!B8</f>
        <v>0</v>
      </c>
      <c r="E27" s="449">
        <f>$E$23*'Bolsward doelgroepen'!B8</f>
        <v>13.642125127120847</v>
      </c>
      <c r="F27" s="288">
        <f>SUM(B27:E27)</f>
        <v>48.023331623515894</v>
      </c>
    </row>
    <row r="28" spans="1:8" ht="15" customHeight="1" thickBot="1" x14ac:dyDescent="0.25">
      <c r="A28" s="32" t="s">
        <v>157</v>
      </c>
      <c r="B28" s="285">
        <v>123.06095979247729</v>
      </c>
      <c r="C28" s="289">
        <v>0</v>
      </c>
      <c r="D28" s="285">
        <v>0</v>
      </c>
      <c r="E28" s="285">
        <v>0</v>
      </c>
      <c r="F28" s="285">
        <f>SUM(B28:E28)</f>
        <v>123.06095979247729</v>
      </c>
    </row>
    <row r="29" spans="1:8" ht="15" customHeight="1" thickTop="1" x14ac:dyDescent="0.2">
      <c r="A29" s="26" t="s">
        <v>2</v>
      </c>
      <c r="B29" s="284">
        <f>$B$28*'Bolsward doelgroepen'!B5</f>
        <v>31.526014853322646</v>
      </c>
      <c r="C29" s="284">
        <f>$C$28*'Bolsward doelgroepen'!B5</f>
        <v>0</v>
      </c>
      <c r="D29" s="284">
        <f>$D$28*'Bolsward doelgroepen'!B5</f>
        <v>0</v>
      </c>
      <c r="E29" s="284">
        <f>$E$28*'Bolsward doelgroepen'!B5</f>
        <v>0</v>
      </c>
      <c r="F29" s="284">
        <f>SUM(B29:E29)</f>
        <v>31.526014853322646</v>
      </c>
    </row>
    <row r="30" spans="1:8" ht="15" customHeight="1" x14ac:dyDescent="0.2">
      <c r="A30" s="26" t="s">
        <v>154</v>
      </c>
      <c r="B30" s="284">
        <f>$B$28*'Bolsward doelgroepen'!B6</f>
        <v>55.873184977472015</v>
      </c>
      <c r="C30" s="284">
        <f>$C$28*'Bolsward doelgroepen'!B6</f>
        <v>0</v>
      </c>
      <c r="D30" s="284">
        <f>$D$28*'Bolsward doelgroepen'!B6</f>
        <v>0</v>
      </c>
      <c r="E30" s="284">
        <f>$E$28*'Bolsward doelgroepen'!B6</f>
        <v>0</v>
      </c>
      <c r="F30" s="284">
        <f t="shared" ref="F30:F32" si="5">SUM(B30:E30)</f>
        <v>55.873184977472015</v>
      </c>
    </row>
    <row r="31" spans="1:8" ht="15" customHeight="1" x14ac:dyDescent="0.2">
      <c r="A31" s="26" t="s">
        <v>4</v>
      </c>
      <c r="B31" s="284">
        <f>$B$28*'Bolsward doelgroepen'!B7</f>
        <v>28.347060875856474</v>
      </c>
      <c r="C31" s="284">
        <f>$C$28*'Bolsward doelgroepen'!B7</f>
        <v>0</v>
      </c>
      <c r="D31" s="284">
        <f>$D$28*'Bolsward doelgroepen'!B7</f>
        <v>0</v>
      </c>
      <c r="E31" s="284">
        <f>$E$28*'Bolsward doelgroepen'!B7</f>
        <v>0</v>
      </c>
      <c r="F31" s="284">
        <f t="shared" si="5"/>
        <v>28.347060875856474</v>
      </c>
    </row>
    <row r="32" spans="1:8" ht="15" customHeight="1" x14ac:dyDescent="0.2">
      <c r="A32" s="26" t="s">
        <v>5</v>
      </c>
      <c r="B32" s="284">
        <f>$B$28*'Bolsward doelgroepen'!B8</f>
        <v>7.3145581806080733</v>
      </c>
      <c r="C32" s="284">
        <f>$C$28*'Bolsward doelgroepen'!B8</f>
        <v>0</v>
      </c>
      <c r="D32" s="284">
        <f>$D$28*'Bolsward doelgroepen'!B8</f>
        <v>0</v>
      </c>
      <c r="E32" s="284">
        <f>$E$28*'Bolsward doelgroepen'!B8</f>
        <v>0</v>
      </c>
      <c r="F32" s="284">
        <f t="shared" si="5"/>
        <v>7.3145581806080733</v>
      </c>
    </row>
    <row r="33" spans="1:6" ht="15" customHeight="1" thickBot="1" x14ac:dyDescent="0.25">
      <c r="A33" s="201" t="s">
        <v>158</v>
      </c>
      <c r="B33" s="285">
        <v>212</v>
      </c>
      <c r="C33" s="285">
        <v>387</v>
      </c>
      <c r="D33" s="285">
        <v>77</v>
      </c>
      <c r="E33" s="285">
        <v>152</v>
      </c>
      <c r="F33" s="285">
        <f>SUM(B33:E33)</f>
        <v>828</v>
      </c>
    </row>
    <row r="34" spans="1:6" ht="15" customHeight="1" thickTop="1" x14ac:dyDescent="0.2">
      <c r="A34" s="193" t="s">
        <v>2</v>
      </c>
      <c r="B34" s="290">
        <f>$B$33*'Bolsward doelgroepen'!B5</f>
        <v>54.310604761860176</v>
      </c>
      <c r="C34" s="290">
        <f>$C$33*'Bolsward doelgroepen'!B5</f>
        <v>99.142471900188156</v>
      </c>
      <c r="D34" s="290">
        <f>$D$33*'Bolsward doelgroepen'!B5</f>
        <v>19.726021540864309</v>
      </c>
      <c r="E34" s="290">
        <f>$E$33*'Bolsward doelgroepen'!B5</f>
        <v>38.939678885862008</v>
      </c>
      <c r="F34" s="290">
        <f>SUM(B34:E34)</f>
        <v>212.11877708877464</v>
      </c>
    </row>
    <row r="35" spans="1:6" ht="15" customHeight="1" x14ac:dyDescent="0.2">
      <c r="A35" s="26" t="s">
        <v>154</v>
      </c>
      <c r="B35" s="290">
        <f>$B$33*'Bolsward doelgroepen'!B6</f>
        <v>96.254045435684617</v>
      </c>
      <c r="C35" s="290">
        <f>$C$33*'Bolsward doelgroepen'!B6</f>
        <v>175.70903577174502</v>
      </c>
      <c r="D35" s="290">
        <f>$D$33*'Bolsward doelgroepen'!B6</f>
        <v>34.960195747866578</v>
      </c>
      <c r="E35" s="290">
        <f>$E$33*'Bolsward doelgroepen'!B6</f>
        <v>69.012334463321039</v>
      </c>
      <c r="F35" s="290">
        <f t="shared" ref="F35:F37" si="6">SUM(B35:E35)</f>
        <v>375.93561141861727</v>
      </c>
    </row>
    <row r="36" spans="1:6" ht="15" customHeight="1" x14ac:dyDescent="0.2">
      <c r="A36" s="26" t="s">
        <v>4</v>
      </c>
      <c r="B36" s="290">
        <f>$B$33*'Bolsward doelgroepen'!B7</f>
        <v>48.834146229769111</v>
      </c>
      <c r="C36" s="290">
        <f>$C$33*'Bolsward doelgroepen'!B7</f>
        <v>89.145351843965301</v>
      </c>
      <c r="D36" s="290">
        <f>$D$33*'Bolsward doelgroepen'!B7</f>
        <v>17.736930470246328</v>
      </c>
      <c r="E36" s="290">
        <f>$E$33*'Bolsward doelgroepen'!B7</f>
        <v>35.013161447758982</v>
      </c>
      <c r="F36" s="290">
        <f t="shared" si="6"/>
        <v>190.72958999173974</v>
      </c>
    </row>
    <row r="37" spans="1:6" ht="15" customHeight="1" x14ac:dyDescent="0.2">
      <c r="A37" s="26" t="s">
        <v>5</v>
      </c>
      <c r="B37" s="290">
        <f>$B$33*'Bolsward doelgroepen'!B8</f>
        <v>12.600960831964068</v>
      </c>
      <c r="C37" s="290">
        <f>$C$33*'Bolsward doelgroepen'!B8</f>
        <v>23.002697367783465</v>
      </c>
      <c r="D37" s="290">
        <f>$D$33*'Bolsward doelgroepen'!B8</f>
        <v>4.5767640757605346</v>
      </c>
      <c r="E37" s="290">
        <f>$E$33*'Bolsward doelgroepen'!B8</f>
        <v>9.0346511625402766</v>
      </c>
      <c r="F37" s="290">
        <f t="shared" si="6"/>
        <v>49.21507343804835</v>
      </c>
    </row>
    <row r="38" spans="1:6" ht="15" customHeight="1" thickBot="1" x14ac:dyDescent="0.25">
      <c r="A38" s="32" t="s">
        <v>125</v>
      </c>
      <c r="B38" s="285">
        <v>15409.651339250899</v>
      </c>
      <c r="C38" s="285">
        <v>17818.42315386012</v>
      </c>
      <c r="D38" s="285">
        <v>13384.093222420419</v>
      </c>
      <c r="E38" s="285">
        <v>13635.513849534513</v>
      </c>
      <c r="F38" s="285">
        <f>SUM(B38:E38)</f>
        <v>60247.681565065956</v>
      </c>
    </row>
    <row r="39" spans="1:6" ht="15" customHeight="1" thickTop="1" x14ac:dyDescent="0.2">
      <c r="A39" s="26" t="s">
        <v>2</v>
      </c>
      <c r="B39" s="284">
        <f>B38*((B14+B19)/(B13+B18))</f>
        <v>2914.452724338536</v>
      </c>
      <c r="C39" s="284">
        <f t="shared" ref="C39:E39" si="7">C38*((C14+C19)/(C13+C18))</f>
        <v>4336.2712907559917</v>
      </c>
      <c r="D39" s="284">
        <f t="shared" si="7"/>
        <v>2771.6538863620913</v>
      </c>
      <c r="E39" s="284">
        <f t="shared" si="7"/>
        <v>1770.4125210417644</v>
      </c>
      <c r="F39" s="284">
        <f>SUM(B39:E39)</f>
        <v>11792.790422498383</v>
      </c>
    </row>
    <row r="40" spans="1:6" ht="15" customHeight="1" x14ac:dyDescent="0.2">
      <c r="A40" s="26" t="s">
        <v>154</v>
      </c>
      <c r="B40" s="284">
        <f>B38*((B15+B20)/(B13+B18))</f>
        <v>3748.6164081638358</v>
      </c>
      <c r="C40" s="284">
        <f t="shared" ref="C40:E40" si="8">C38*((C15+C20)/(C13+C18))</f>
        <v>3233.8813688203936</v>
      </c>
      <c r="D40" s="284">
        <f t="shared" si="8"/>
        <v>3212.9972654859589</v>
      </c>
      <c r="E40" s="284">
        <f t="shared" si="8"/>
        <v>4353.7342865405835</v>
      </c>
      <c r="F40" s="284">
        <f t="shared" ref="F40:F42" si="9">SUM(B40:E40)</f>
        <v>14549.229329010774</v>
      </c>
    </row>
    <row r="41" spans="1:6" ht="15" customHeight="1" x14ac:dyDescent="0.2">
      <c r="A41" s="26" t="s">
        <v>4</v>
      </c>
      <c r="B41" s="284">
        <f>B38*((B16+B21)/(B13+B18))</f>
        <v>6832.2431528210354</v>
      </c>
      <c r="C41" s="284">
        <f t="shared" ref="C41:E41" si="10">C38*((C16+C21)/(C13+C18))</f>
        <v>9212.9503035599864</v>
      </c>
      <c r="D41" s="284">
        <f t="shared" si="10"/>
        <v>6001.7095701329872</v>
      </c>
      <c r="E41" s="284">
        <f t="shared" si="10"/>
        <v>6074.8890506238631</v>
      </c>
      <c r="F41" s="284">
        <f t="shared" si="9"/>
        <v>28121.792077137874</v>
      </c>
    </row>
    <row r="42" spans="1:6" ht="15" customHeight="1" x14ac:dyDescent="0.2">
      <c r="A42" s="26" t="s">
        <v>5</v>
      </c>
      <c r="B42" s="284">
        <f>B38*((B17+B22)/(B13+B18))</f>
        <v>1915.0574813362014</v>
      </c>
      <c r="C42" s="284">
        <f t="shared" ref="C42:E42" si="11">C38*((C17+C22)/(C13+C18))</f>
        <v>1033.9512357309259</v>
      </c>
      <c r="D42" s="284">
        <f t="shared" si="11"/>
        <v>1397.318702091485</v>
      </c>
      <c r="E42" s="284">
        <f t="shared" si="11"/>
        <v>1438.9776962209517</v>
      </c>
      <c r="F42" s="284">
        <f t="shared" si="9"/>
        <v>5785.3051153795641</v>
      </c>
    </row>
    <row r="43" spans="1:6" ht="15" customHeight="1" thickBot="1" x14ac:dyDescent="0.25">
      <c r="A43" s="32" t="s">
        <v>124</v>
      </c>
      <c r="B43" s="285">
        <v>1845.2225705329151</v>
      </c>
      <c r="C43" s="285">
        <v>1006.6614420062696</v>
      </c>
      <c r="D43" s="285">
        <v>11.443051201671892</v>
      </c>
      <c r="E43" s="285">
        <v>808.93730407523503</v>
      </c>
      <c r="F43" s="285">
        <f>SUM(B43:E43)</f>
        <v>3672.2643678160921</v>
      </c>
    </row>
    <row r="44" spans="1:6" ht="15" customHeight="1" thickTop="1" x14ac:dyDescent="0.2">
      <c r="A44" s="26" t="s">
        <v>2</v>
      </c>
      <c r="B44" s="284">
        <f>B43*((B14+B19)/(B13+B18))</f>
        <v>348.98998227185325</v>
      </c>
      <c r="C44" s="284">
        <f>C43*((C14+C19)/(C13+C18))</f>
        <v>244.97998912643189</v>
      </c>
      <c r="D44" s="284">
        <f t="shared" ref="D44:E44" si="12">D43*((D14+D19)/(D13+D18))</f>
        <v>2.369691902759973</v>
      </c>
      <c r="E44" s="284">
        <f t="shared" si="12"/>
        <v>105.03107896600874</v>
      </c>
      <c r="F44" s="284">
        <f>SUM(B44:E44)</f>
        <v>701.37074226705386</v>
      </c>
    </row>
    <row r="45" spans="1:6" ht="15" customHeight="1" x14ac:dyDescent="0.2">
      <c r="A45" s="26" t="s">
        <v>154</v>
      </c>
      <c r="B45" s="284">
        <f>B43*((B15+B20)/(B13+B18))</f>
        <v>448.87658080849161</v>
      </c>
      <c r="C45" s="284">
        <f t="shared" ref="C45:E45" si="13">C43*((C15+C20)/(C13+C18))</f>
        <v>182.69987494986069</v>
      </c>
      <c r="D45" s="284">
        <f t="shared" si="13"/>
        <v>2.747028999932402</v>
      </c>
      <c r="E45" s="284">
        <f t="shared" si="13"/>
        <v>258.2886215567363</v>
      </c>
      <c r="F45" s="284">
        <f t="shared" ref="F45:F47" si="14">SUM(B45:E45)</f>
        <v>892.61210631502092</v>
      </c>
    </row>
    <row r="46" spans="1:6" ht="15" customHeight="1" x14ac:dyDescent="0.2">
      <c r="A46" s="26" t="s">
        <v>4</v>
      </c>
      <c r="B46" s="284">
        <f>B43*((B16+B21)/(B13+B18))</f>
        <v>818.12423885556893</v>
      </c>
      <c r="C46" s="284">
        <f t="shared" ref="C46:D46" si="15">C43*((C16+C21)/(C13+C18))</f>
        <v>520.49060445085684</v>
      </c>
      <c r="D46" s="284">
        <f t="shared" si="15"/>
        <v>5.1313054061480949</v>
      </c>
      <c r="E46" s="284">
        <f>E43*((E16+E21)/(E13+E18))</f>
        <v>360.39744635920647</v>
      </c>
      <c r="F46" s="284">
        <f t="shared" si="14"/>
        <v>1704.1435950717805</v>
      </c>
    </row>
    <row r="47" spans="1:6" ht="15" customHeight="1" x14ac:dyDescent="0.2">
      <c r="A47" s="26" t="s">
        <v>5</v>
      </c>
      <c r="B47" s="284">
        <f>B43*((B17+B22)/(B13+B18))</f>
        <v>229.31779640130765</v>
      </c>
      <c r="C47" s="284">
        <f t="shared" ref="C47:E47" si="16">C43*((C17+C22)/(C13+C18))</f>
        <v>58.413633627259244</v>
      </c>
      <c r="D47" s="284">
        <f t="shared" si="16"/>
        <v>1.1946711060187141</v>
      </c>
      <c r="E47" s="284">
        <f t="shared" si="16"/>
        <v>85.368454100841021</v>
      </c>
      <c r="F47" s="284">
        <f t="shared" si="14"/>
        <v>374.29455523542657</v>
      </c>
    </row>
    <row r="48" spans="1:6" x14ac:dyDescent="0.2">
      <c r="F48" s="61"/>
    </row>
  </sheetData>
  <sheetProtection algorithmName="SHA-512" hashValue="kHebACPfPBv2tfq42BC48wTrq4p6cLPjLuJMt707MeBc/ArDyQEGULmSF5wecynhmIE+Abgp1RLrizIbgO9riA==" saltValue="LF0idSLVt/NzCdZ8Ubk19A==" spinCount="100000" sheet="1" objects="1" scenarios="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ECC13-0649-41BC-A2C7-84A62A5C1BED}">
  <sheetPr codeName="Blad8">
    <tabColor rgb="FF00B0F0"/>
    <pageSetUpPr fitToPage="1"/>
  </sheetPr>
  <dimension ref="A1:Y55"/>
  <sheetViews>
    <sheetView zoomScale="75" zoomScaleNormal="75" workbookViewId="0"/>
  </sheetViews>
  <sheetFormatPr baseColWidth="10" defaultColWidth="9.1640625" defaultRowHeight="15" x14ac:dyDescent="0.2"/>
  <cols>
    <col min="1" max="1" width="32" style="160" customWidth="1"/>
    <col min="2" max="2" width="28.5" style="9" customWidth="1"/>
    <col min="3" max="3" width="17.1640625" style="9" customWidth="1"/>
    <col min="4" max="4" width="16.5" style="9" customWidth="1"/>
    <col min="5" max="5" width="15.5" style="159" customWidth="1"/>
    <col min="6" max="6" width="17.1640625" style="158" customWidth="1"/>
    <col min="7" max="7" width="16.5" style="158" customWidth="1"/>
    <col min="8" max="8" width="14.83203125" style="158" customWidth="1"/>
    <col min="9" max="9" width="14.5" style="159" customWidth="1"/>
    <col min="10" max="12" width="14.83203125" style="158" customWidth="1"/>
    <col min="13" max="13" width="17.1640625" style="159" customWidth="1"/>
    <col min="14" max="14" width="13.83203125" style="158" customWidth="1"/>
    <col min="15" max="16" width="12.5" style="158" customWidth="1"/>
    <col min="17" max="17" width="11.1640625" style="159" customWidth="1"/>
    <col min="18" max="20" width="11.1640625" style="158" customWidth="1"/>
    <col min="21" max="22" width="87.83203125" style="9" customWidth="1"/>
    <col min="23" max="16384" width="9.1640625" style="9"/>
  </cols>
  <sheetData>
    <row r="1" spans="1:20" ht="29" x14ac:dyDescent="0.35">
      <c r="A1" s="183" t="s">
        <v>167</v>
      </c>
      <c r="H1" s="159"/>
      <c r="I1" s="158"/>
      <c r="L1" s="159"/>
      <c r="M1" s="158"/>
      <c r="P1" s="159"/>
      <c r="Q1" s="158"/>
      <c r="T1" s="9"/>
    </row>
    <row r="2" spans="1:20" x14ac:dyDescent="0.2">
      <c r="A2" s="158" t="s">
        <v>147</v>
      </c>
      <c r="H2" s="159"/>
      <c r="I2" s="158"/>
      <c r="L2" s="159"/>
      <c r="M2" s="158"/>
      <c r="P2" s="159"/>
      <c r="Q2" s="158"/>
      <c r="T2" s="9"/>
    </row>
    <row r="3" spans="1:20" x14ac:dyDescent="0.2">
      <c r="H3" s="159"/>
      <c r="I3" s="158"/>
      <c r="L3" s="159"/>
      <c r="M3" s="158"/>
      <c r="P3" s="159"/>
      <c r="Q3" s="158"/>
      <c r="T3" s="9"/>
    </row>
    <row r="4" spans="1:20" x14ac:dyDescent="0.2">
      <c r="A4" s="179" t="s">
        <v>21</v>
      </c>
      <c r="B4" s="187" t="s">
        <v>168</v>
      </c>
      <c r="C4" s="158"/>
      <c r="D4" s="158"/>
      <c r="E4" s="158"/>
      <c r="H4" s="159"/>
      <c r="I4" s="158"/>
      <c r="L4" s="159"/>
      <c r="M4" s="158"/>
      <c r="P4" s="9"/>
      <c r="Q4" s="9"/>
      <c r="R4" s="9"/>
      <c r="S4" s="9"/>
      <c r="T4" s="9"/>
    </row>
    <row r="5" spans="1:20" ht="17.25" customHeight="1" x14ac:dyDescent="0.2">
      <c r="A5" s="160" t="s">
        <v>103</v>
      </c>
      <c r="B5" s="306">
        <f>D44</f>
        <v>0.25618209793330271</v>
      </c>
      <c r="C5" s="158"/>
      <c r="D5" s="158"/>
      <c r="E5" s="158"/>
      <c r="H5" s="159"/>
      <c r="I5" s="158"/>
      <c r="L5" s="159"/>
      <c r="M5" s="158"/>
      <c r="P5" s="9"/>
      <c r="Q5" s="9"/>
      <c r="R5" s="9"/>
      <c r="S5" s="9"/>
      <c r="T5" s="9"/>
    </row>
    <row r="6" spans="1:20" x14ac:dyDescent="0.2">
      <c r="A6" s="160" t="str">
        <f>$E$43</f>
        <v>GGZ:</v>
      </c>
      <c r="B6" s="306">
        <f>F44</f>
        <v>0.4540285162060595</v>
      </c>
      <c r="C6" s="158"/>
      <c r="D6" s="158"/>
      <c r="E6" s="158"/>
      <c r="H6" s="159"/>
      <c r="I6" s="158"/>
      <c r="L6" s="159"/>
      <c r="M6" s="158"/>
      <c r="P6" s="9"/>
      <c r="Q6" s="9"/>
      <c r="R6" s="9"/>
      <c r="S6" s="9"/>
      <c r="T6" s="9"/>
    </row>
    <row r="7" spans="1:20" x14ac:dyDescent="0.2">
      <c r="A7" s="160" t="s">
        <v>149</v>
      </c>
      <c r="B7" s="306">
        <f>H44</f>
        <v>0.23034974636683542</v>
      </c>
      <c r="C7" s="158"/>
      <c r="D7" s="158"/>
      <c r="E7" s="158"/>
      <c r="H7" s="159"/>
      <c r="I7" s="158"/>
      <c r="L7" s="159"/>
      <c r="M7" s="158"/>
      <c r="P7" s="9"/>
      <c r="Q7" s="9"/>
      <c r="R7" s="9"/>
      <c r="S7" s="9"/>
      <c r="T7" s="9"/>
    </row>
    <row r="8" spans="1:20" x14ac:dyDescent="0.2">
      <c r="A8" s="160" t="str">
        <f>$I$43</f>
        <v>SOM/LG:</v>
      </c>
      <c r="B8" s="306">
        <f>J44</f>
        <v>5.9438494490396551E-2</v>
      </c>
      <c r="C8" s="158"/>
      <c r="D8" s="158"/>
      <c r="Q8" s="9"/>
      <c r="R8" s="9"/>
      <c r="S8" s="9"/>
      <c r="T8" s="9"/>
    </row>
    <row r="9" spans="1:20" x14ac:dyDescent="0.2">
      <c r="B9" s="450">
        <f>SUM(B5:B8)</f>
        <v>0.99999885499659413</v>
      </c>
      <c r="C9" s="158"/>
      <c r="D9" s="158"/>
      <c r="Q9" s="9"/>
      <c r="R9" s="9"/>
      <c r="S9" s="9"/>
      <c r="T9" s="9"/>
    </row>
    <row r="10" spans="1:20" x14ac:dyDescent="0.2">
      <c r="B10" s="178"/>
      <c r="C10" s="178"/>
      <c r="D10" s="178"/>
    </row>
    <row r="11" spans="1:20" ht="50.25" customHeight="1" x14ac:dyDescent="0.2">
      <c r="A11" s="177" t="s">
        <v>146</v>
      </c>
      <c r="B11" t="s">
        <v>152</v>
      </c>
      <c r="C11" s="176" t="s">
        <v>145</v>
      </c>
      <c r="D11" s="143" t="s">
        <v>169</v>
      </c>
      <c r="E11" s="176" t="s">
        <v>148</v>
      </c>
      <c r="F11" s="143" t="s">
        <v>151</v>
      </c>
      <c r="G11" s="176" t="s">
        <v>144</v>
      </c>
      <c r="H11" s="143" t="s">
        <v>143</v>
      </c>
      <c r="I11" s="176" t="s">
        <v>142</v>
      </c>
      <c r="J11" s="143" t="s">
        <v>141</v>
      </c>
      <c r="K11" t="s">
        <v>140</v>
      </c>
      <c r="L11" s="9"/>
      <c r="M11" s="9"/>
      <c r="N11" s="9"/>
      <c r="O11" s="9"/>
      <c r="P11" s="9"/>
      <c r="Q11" s="9"/>
      <c r="R11" s="9"/>
      <c r="S11" s="9"/>
      <c r="T11" s="9"/>
    </row>
    <row r="12" spans="1:20" ht="50.25" customHeight="1" x14ac:dyDescent="0.2">
      <c r="A12" s="185"/>
      <c r="B12" s="186">
        <v>52509.799999999996</v>
      </c>
      <c r="C12" s="308">
        <v>1</v>
      </c>
      <c r="D12" s="309">
        <f>C12*B12</f>
        <v>52509.799999999996</v>
      </c>
      <c r="E12" s="308"/>
      <c r="F12" s="309">
        <f>E12*B12</f>
        <v>0</v>
      </c>
      <c r="G12" s="308"/>
      <c r="H12" s="309">
        <f>G12*B12</f>
        <v>0</v>
      </c>
      <c r="I12" s="308"/>
      <c r="J12" s="309">
        <f>I12*B12</f>
        <v>0</v>
      </c>
      <c r="K12" s="310"/>
      <c r="L12" s="9"/>
      <c r="M12" s="9"/>
      <c r="N12" s="9"/>
      <c r="O12" s="9"/>
      <c r="P12" s="9"/>
      <c r="Q12" s="9"/>
      <c r="R12" s="9"/>
      <c r="S12" s="9"/>
      <c r="T12" s="9"/>
    </row>
    <row r="13" spans="1:20" ht="50.25" customHeight="1" x14ac:dyDescent="0.2">
      <c r="A13" s="327"/>
      <c r="B13" s="186">
        <v>15590.400000000001</v>
      </c>
      <c r="C13" s="172"/>
      <c r="D13" s="171">
        <f t="shared" ref="D13" si="0">C13*B13</f>
        <v>0</v>
      </c>
      <c r="E13" s="172">
        <v>0.5</v>
      </c>
      <c r="F13" s="171">
        <f t="shared" ref="F13" si="1">E13*B13</f>
        <v>7795.2000000000007</v>
      </c>
      <c r="G13" s="172">
        <v>0.5</v>
      </c>
      <c r="H13" s="171">
        <f t="shared" ref="H13" si="2">G13*B13</f>
        <v>7795.2000000000007</v>
      </c>
      <c r="I13" s="172"/>
      <c r="J13" s="171">
        <f t="shared" ref="J13" si="3">I13*B13</f>
        <v>0</v>
      </c>
      <c r="K13" s="170"/>
      <c r="L13" s="9"/>
      <c r="M13" s="9"/>
      <c r="N13" s="9"/>
      <c r="O13" s="9"/>
      <c r="P13" s="9"/>
      <c r="Q13" s="9"/>
      <c r="R13" s="9"/>
      <c r="S13" s="9"/>
      <c r="T13" s="9"/>
    </row>
    <row r="14" spans="1:20" ht="50.25" customHeight="1" x14ac:dyDescent="0.2">
      <c r="A14" s="185"/>
      <c r="B14" s="186">
        <v>14131.199999999999</v>
      </c>
      <c r="C14" s="308"/>
      <c r="D14" s="309">
        <f t="shared" ref="D14:D20" si="4">C14*B14</f>
        <v>0</v>
      </c>
      <c r="E14" s="308">
        <v>1</v>
      </c>
      <c r="F14" s="309">
        <f t="shared" ref="F14:F20" si="5">E14*B14</f>
        <v>14131.199999999999</v>
      </c>
      <c r="G14" s="308"/>
      <c r="H14" s="309">
        <f t="shared" ref="H14:H20" si="6">G14*B14</f>
        <v>0</v>
      </c>
      <c r="I14" s="308"/>
      <c r="J14" s="309">
        <f t="shared" ref="J14:J20" si="7">I14*B14</f>
        <v>0</v>
      </c>
      <c r="K14" s="310"/>
      <c r="L14" s="9"/>
      <c r="M14" s="9"/>
      <c r="N14" s="9"/>
      <c r="O14" s="9"/>
      <c r="P14" s="9"/>
      <c r="Q14" s="9"/>
      <c r="R14" s="9"/>
      <c r="S14" s="9"/>
      <c r="T14" s="9"/>
    </row>
    <row r="15" spans="1:20" ht="50.25" customHeight="1" x14ac:dyDescent="0.2">
      <c r="A15" s="185"/>
      <c r="B15" s="186">
        <v>18362.650000000005</v>
      </c>
      <c r="C15" s="328"/>
      <c r="D15" s="329">
        <f t="shared" si="4"/>
        <v>0</v>
      </c>
      <c r="E15" s="328">
        <v>1</v>
      </c>
      <c r="F15" s="329">
        <f t="shared" si="5"/>
        <v>18362.650000000005</v>
      </c>
      <c r="G15" s="328"/>
      <c r="H15" s="329">
        <f t="shared" si="6"/>
        <v>0</v>
      </c>
      <c r="I15" s="328"/>
      <c r="J15" s="329">
        <f t="shared" si="7"/>
        <v>0</v>
      </c>
      <c r="K15" s="330"/>
      <c r="L15" s="9"/>
      <c r="M15" s="9"/>
      <c r="N15" s="9"/>
      <c r="O15" s="9"/>
      <c r="P15" s="9"/>
      <c r="Q15" s="9"/>
      <c r="R15" s="9"/>
      <c r="S15" s="9"/>
      <c r="T15" s="9"/>
    </row>
    <row r="16" spans="1:20" ht="50.25" customHeight="1" x14ac:dyDescent="0.2">
      <c r="A16" s="185"/>
      <c r="B16" s="186">
        <v>25838.159999999996</v>
      </c>
      <c r="C16" s="311"/>
      <c r="D16" s="312">
        <f t="shared" si="4"/>
        <v>0</v>
      </c>
      <c r="E16" s="311">
        <v>1</v>
      </c>
      <c r="F16" s="312">
        <f t="shared" si="5"/>
        <v>25838.159999999996</v>
      </c>
      <c r="G16" s="311"/>
      <c r="H16" s="312">
        <f t="shared" si="6"/>
        <v>0</v>
      </c>
      <c r="I16" s="311"/>
      <c r="J16" s="312">
        <f t="shared" si="7"/>
        <v>0</v>
      </c>
      <c r="K16" s="313"/>
      <c r="L16" s="9"/>
      <c r="M16" s="9"/>
      <c r="N16" s="9"/>
      <c r="O16" s="9"/>
      <c r="P16" s="9"/>
      <c r="Q16" s="9"/>
      <c r="R16" s="9"/>
      <c r="S16" s="9"/>
      <c r="T16" s="9"/>
    </row>
    <row r="17" spans="1:20" ht="50.25" customHeight="1" x14ac:dyDescent="0.2">
      <c r="A17" s="185"/>
      <c r="B17" s="186">
        <v>67924.799999999988</v>
      </c>
      <c r="C17" s="328"/>
      <c r="D17" s="329">
        <f t="shared" si="4"/>
        <v>0</v>
      </c>
      <c r="E17" s="328">
        <v>0.5</v>
      </c>
      <c r="F17" s="329">
        <f t="shared" si="5"/>
        <v>33962.399999999994</v>
      </c>
      <c r="G17" s="328">
        <v>0.5</v>
      </c>
      <c r="H17" s="329">
        <f t="shared" si="6"/>
        <v>33962.399999999994</v>
      </c>
      <c r="I17" s="328"/>
      <c r="J17" s="329">
        <f t="shared" si="7"/>
        <v>0</v>
      </c>
      <c r="K17" s="330"/>
      <c r="L17" s="9"/>
      <c r="M17" s="9"/>
      <c r="N17" s="9"/>
      <c r="O17" s="9"/>
      <c r="P17" s="9"/>
      <c r="Q17" s="9"/>
      <c r="R17" s="9"/>
      <c r="S17" s="9"/>
      <c r="T17" s="9"/>
    </row>
    <row r="18" spans="1:20" ht="50.25" customHeight="1" x14ac:dyDescent="0.2">
      <c r="A18" s="185"/>
      <c r="B18" s="186">
        <v>40066.800000000003</v>
      </c>
      <c r="C18" s="311"/>
      <c r="D18" s="312">
        <f t="shared" si="4"/>
        <v>0</v>
      </c>
      <c r="E18" s="311">
        <v>1</v>
      </c>
      <c r="F18" s="312">
        <f t="shared" si="5"/>
        <v>40066.800000000003</v>
      </c>
      <c r="G18" s="311"/>
      <c r="H18" s="312">
        <f t="shared" si="6"/>
        <v>0</v>
      </c>
      <c r="I18" s="311"/>
      <c r="J18" s="312">
        <f t="shared" si="7"/>
        <v>0</v>
      </c>
      <c r="K18" s="313"/>
      <c r="L18" s="9"/>
      <c r="M18" s="9"/>
      <c r="N18" s="9"/>
      <c r="O18" s="9"/>
      <c r="P18" s="9"/>
      <c r="Q18" s="9"/>
      <c r="R18" s="9"/>
      <c r="S18" s="9"/>
      <c r="T18" s="9"/>
    </row>
    <row r="19" spans="1:20" ht="50.25" customHeight="1" x14ac:dyDescent="0.2">
      <c r="A19" s="185"/>
      <c r="B19" s="186">
        <v>38097</v>
      </c>
      <c r="C19" s="328">
        <v>0.5</v>
      </c>
      <c r="D19" s="329">
        <f t="shared" si="4"/>
        <v>19048.5</v>
      </c>
      <c r="E19" s="328">
        <v>0.5</v>
      </c>
      <c r="F19" s="329">
        <f t="shared" si="5"/>
        <v>19048.5</v>
      </c>
      <c r="G19" s="328"/>
      <c r="H19" s="329">
        <f t="shared" si="6"/>
        <v>0</v>
      </c>
      <c r="I19" s="328"/>
      <c r="J19" s="329">
        <f t="shared" si="7"/>
        <v>0</v>
      </c>
      <c r="K19" s="331"/>
      <c r="L19" s="9"/>
      <c r="M19" s="9"/>
      <c r="N19" s="9"/>
      <c r="O19" s="9"/>
      <c r="P19" s="9"/>
      <c r="Q19" s="9"/>
      <c r="R19" s="9"/>
      <c r="S19" s="9"/>
      <c r="T19" s="9"/>
    </row>
    <row r="20" spans="1:20" ht="50.25" customHeight="1" x14ac:dyDescent="0.2">
      <c r="A20" s="185"/>
      <c r="B20" s="186">
        <v>15003.799999999997</v>
      </c>
      <c r="C20" s="311"/>
      <c r="D20" s="312">
        <f t="shared" si="4"/>
        <v>0</v>
      </c>
      <c r="E20" s="311"/>
      <c r="F20" s="312">
        <f t="shared" si="5"/>
        <v>0</v>
      </c>
      <c r="G20" s="311">
        <v>0.5</v>
      </c>
      <c r="H20" s="312">
        <f t="shared" si="6"/>
        <v>7501.8999999999987</v>
      </c>
      <c r="I20" s="311">
        <v>0.5</v>
      </c>
      <c r="J20" s="312">
        <f t="shared" si="7"/>
        <v>7501.8999999999987</v>
      </c>
      <c r="K20" s="313"/>
      <c r="L20" s="9"/>
      <c r="M20" s="9"/>
      <c r="N20" s="9"/>
      <c r="O20" s="9"/>
      <c r="P20" s="9"/>
      <c r="Q20" s="9"/>
      <c r="R20" s="9"/>
      <c r="S20" s="9"/>
      <c r="T20" s="9"/>
    </row>
    <row r="21" spans="1:20" s="140" customFormat="1" ht="50.25" customHeight="1" x14ac:dyDescent="0.2">
      <c r="A21" s="327"/>
      <c r="B21" s="186">
        <v>25285.800000000003</v>
      </c>
      <c r="C21" s="180"/>
      <c r="D21" s="181">
        <f t="shared" ref="D21" si="8">C21*B21</f>
        <v>0</v>
      </c>
      <c r="E21" s="180">
        <v>1</v>
      </c>
      <c r="F21" s="181">
        <f t="shared" ref="F21" si="9">E21*B21</f>
        <v>25285.800000000003</v>
      </c>
      <c r="G21" s="180"/>
      <c r="H21" s="181">
        <f t="shared" ref="H21" si="10">G21*B21</f>
        <v>0</v>
      </c>
      <c r="I21" s="180"/>
      <c r="J21" s="181">
        <f t="shared" ref="J21" si="11">I21*B21</f>
        <v>0</v>
      </c>
      <c r="K21" s="182"/>
      <c r="L21" s="9"/>
      <c r="M21" s="9"/>
      <c r="N21" s="9"/>
      <c r="O21" s="9"/>
      <c r="P21" s="9"/>
      <c r="Q21" s="9"/>
      <c r="R21" s="9"/>
      <c r="S21" s="9"/>
      <c r="T21" s="9"/>
    </row>
    <row r="22" spans="1:20" ht="50.25" customHeight="1" x14ac:dyDescent="0.2">
      <c r="A22" s="185"/>
      <c r="B22" s="186">
        <v>39321.599999999999</v>
      </c>
      <c r="C22" s="311"/>
      <c r="D22" s="312">
        <f>C22*B22</f>
        <v>0</v>
      </c>
      <c r="E22" s="311">
        <v>0.5</v>
      </c>
      <c r="F22" s="312">
        <f>E22*B22</f>
        <v>19660.8</v>
      </c>
      <c r="G22" s="311">
        <v>0.5</v>
      </c>
      <c r="H22" s="312">
        <f>G22*B22</f>
        <v>19660.8</v>
      </c>
      <c r="I22" s="311"/>
      <c r="J22" s="312">
        <f>I22*B22</f>
        <v>0</v>
      </c>
      <c r="K22" s="315" t="s">
        <v>150</v>
      </c>
      <c r="L22" s="9"/>
      <c r="M22" s="9"/>
      <c r="N22" s="9"/>
      <c r="O22" s="9"/>
      <c r="P22" s="9"/>
      <c r="Q22" s="9"/>
      <c r="R22" s="9"/>
      <c r="S22" s="9"/>
      <c r="T22" s="9"/>
    </row>
    <row r="23" spans="1:20" ht="50.25" customHeight="1" x14ac:dyDescent="0.2">
      <c r="A23" s="327"/>
      <c r="B23" s="186">
        <v>54326</v>
      </c>
      <c r="C23" s="180">
        <v>1</v>
      </c>
      <c r="D23" s="181">
        <f t="shared" ref="D23" si="12">C23*B23</f>
        <v>54326</v>
      </c>
      <c r="E23" s="180"/>
      <c r="F23" s="181">
        <f t="shared" ref="F23" si="13">E23*B23</f>
        <v>0</v>
      </c>
      <c r="G23" s="180"/>
      <c r="H23" s="181">
        <f t="shared" ref="H23" si="14">G23*B23</f>
        <v>0</v>
      </c>
      <c r="I23" s="180"/>
      <c r="J23" s="181">
        <f t="shared" ref="J23" si="15">I23*B23</f>
        <v>0</v>
      </c>
      <c r="K23" s="182"/>
      <c r="L23" s="9"/>
      <c r="M23" s="9"/>
      <c r="N23" s="9"/>
      <c r="O23" s="9"/>
      <c r="P23" s="9"/>
      <c r="Q23" s="9"/>
      <c r="R23" s="9"/>
      <c r="S23" s="9"/>
      <c r="T23" s="9"/>
    </row>
    <row r="24" spans="1:20" ht="50.25" customHeight="1" x14ac:dyDescent="0.2">
      <c r="A24" s="185"/>
      <c r="B24" s="186">
        <v>179347.15</v>
      </c>
      <c r="C24" s="308"/>
      <c r="D24" s="309">
        <f>C24*B24</f>
        <v>0</v>
      </c>
      <c r="E24" s="308">
        <v>1</v>
      </c>
      <c r="F24" s="309">
        <f>E24*B24</f>
        <v>179347.15</v>
      </c>
      <c r="G24" s="308"/>
      <c r="H24" s="309">
        <f>G24*B24</f>
        <v>0</v>
      </c>
      <c r="I24" s="308"/>
      <c r="J24" s="309">
        <f>I24*B24</f>
        <v>0</v>
      </c>
      <c r="K24" s="310"/>
      <c r="L24" s="9"/>
      <c r="M24" s="9"/>
      <c r="N24" s="9"/>
      <c r="O24" s="9"/>
      <c r="P24" s="9"/>
      <c r="Q24" s="9"/>
      <c r="R24" s="9"/>
      <c r="S24" s="9"/>
      <c r="T24" s="9"/>
    </row>
    <row r="25" spans="1:20" ht="50.25" customHeight="1" x14ac:dyDescent="0.2">
      <c r="A25" s="185"/>
      <c r="B25" s="186">
        <v>24537.430000000004</v>
      </c>
      <c r="C25" s="311">
        <v>1</v>
      </c>
      <c r="D25" s="312">
        <f>C25*B25</f>
        <v>24537.430000000004</v>
      </c>
      <c r="E25" s="311"/>
      <c r="F25" s="312">
        <f>E25*B25</f>
        <v>0</v>
      </c>
      <c r="G25" s="311"/>
      <c r="H25" s="312">
        <f>G25*B25</f>
        <v>0</v>
      </c>
      <c r="I25" s="311"/>
      <c r="J25" s="312">
        <f>I25*B25</f>
        <v>0</v>
      </c>
      <c r="K25" s="316"/>
      <c r="L25" s="9"/>
      <c r="M25" s="9"/>
      <c r="N25" s="9"/>
      <c r="O25" s="9"/>
      <c r="P25" s="9"/>
      <c r="Q25" s="9"/>
      <c r="R25" s="9"/>
      <c r="S25" s="9"/>
      <c r="T25" s="9"/>
    </row>
    <row r="26" spans="1:20" ht="50.25" customHeight="1" x14ac:dyDescent="0.2">
      <c r="A26" s="185"/>
      <c r="B26" s="186">
        <v>14726.400000000001</v>
      </c>
      <c r="C26" s="308"/>
      <c r="D26" s="309">
        <f>C26*B26</f>
        <v>0</v>
      </c>
      <c r="E26" s="308">
        <v>0.5</v>
      </c>
      <c r="F26" s="309">
        <f>E26*B26</f>
        <v>7363.2000000000007</v>
      </c>
      <c r="G26" s="308">
        <v>0.5</v>
      </c>
      <c r="H26" s="309">
        <f>G26*B26</f>
        <v>7363.2000000000007</v>
      </c>
      <c r="I26" s="308"/>
      <c r="J26" s="309">
        <f>I26*B26</f>
        <v>0</v>
      </c>
      <c r="K26" s="310"/>
      <c r="L26" s="9"/>
      <c r="M26" s="9"/>
      <c r="N26" s="9"/>
      <c r="O26" s="9"/>
      <c r="P26" s="9"/>
      <c r="Q26" s="9"/>
      <c r="R26" s="9"/>
      <c r="S26" s="9"/>
      <c r="T26" s="9"/>
    </row>
    <row r="27" spans="1:20" ht="50.25" customHeight="1" x14ac:dyDescent="0.2">
      <c r="A27" s="327"/>
      <c r="B27" s="186">
        <v>10812.160000000002</v>
      </c>
      <c r="C27" s="172"/>
      <c r="D27" s="171">
        <f t="shared" ref="D27:D41" si="16">C27*B27</f>
        <v>0</v>
      </c>
      <c r="E27" s="172">
        <v>1</v>
      </c>
      <c r="F27" s="171">
        <f t="shared" ref="F27:F41" si="17">E27*B27</f>
        <v>10812.160000000002</v>
      </c>
      <c r="G27" s="172"/>
      <c r="H27" s="171">
        <f t="shared" ref="H27:H41" si="18">G27*B27</f>
        <v>0</v>
      </c>
      <c r="I27" s="172"/>
      <c r="J27" s="171">
        <f t="shared" ref="J27:J41" si="19">I27*B27</f>
        <v>0</v>
      </c>
      <c r="K27" s="170"/>
      <c r="L27" s="9"/>
      <c r="M27" s="9"/>
      <c r="N27" s="9"/>
      <c r="O27" s="9"/>
      <c r="P27" s="9"/>
      <c r="Q27" s="9"/>
      <c r="R27" s="9"/>
      <c r="S27" s="9"/>
      <c r="T27" s="9"/>
    </row>
    <row r="28" spans="1:20" ht="50.25" customHeight="1" x14ac:dyDescent="0.2">
      <c r="A28" s="319"/>
      <c r="B28" s="186">
        <v>46100.800000000003</v>
      </c>
      <c r="C28" s="172"/>
      <c r="D28" s="171">
        <f t="shared" si="16"/>
        <v>0</v>
      </c>
      <c r="E28" s="172">
        <v>0.5</v>
      </c>
      <c r="F28" s="171">
        <f t="shared" si="17"/>
        <v>23050.400000000001</v>
      </c>
      <c r="G28" s="172">
        <v>0.5</v>
      </c>
      <c r="H28" s="171">
        <f t="shared" si="18"/>
        <v>23050.400000000001</v>
      </c>
      <c r="I28" s="172"/>
      <c r="J28" s="171">
        <f t="shared" si="19"/>
        <v>0</v>
      </c>
      <c r="K28" s="170"/>
      <c r="L28" s="9"/>
      <c r="M28" s="9"/>
      <c r="N28" s="9"/>
      <c r="O28" s="9"/>
      <c r="P28" s="9"/>
      <c r="Q28" s="9"/>
      <c r="R28" s="9"/>
      <c r="S28" s="9"/>
      <c r="T28" s="9"/>
    </row>
    <row r="29" spans="1:20" ht="50.25" customHeight="1" x14ac:dyDescent="0.2">
      <c r="A29" s="185"/>
      <c r="B29" s="186">
        <v>18215</v>
      </c>
      <c r="C29" s="311">
        <v>0.33329999999999999</v>
      </c>
      <c r="D29" s="312">
        <f t="shared" ref="D29:D37" si="20">C29*B29</f>
        <v>6071.0594999999994</v>
      </c>
      <c r="E29" s="311">
        <v>0.33333000000000002</v>
      </c>
      <c r="F29" s="312">
        <f t="shared" ref="F29:F37" si="21">E29*B29</f>
        <v>6071.6059500000001</v>
      </c>
      <c r="G29" s="311"/>
      <c r="H29" s="312">
        <f t="shared" ref="H29:H37" si="22">G29*B29</f>
        <v>0</v>
      </c>
      <c r="I29" s="311">
        <v>0.33329999999999999</v>
      </c>
      <c r="J29" s="312">
        <f t="shared" ref="J29:J37" si="23">I29*B29</f>
        <v>6071.0594999999994</v>
      </c>
      <c r="K29" s="316"/>
      <c r="L29" s="9"/>
      <c r="M29" s="9"/>
      <c r="N29" s="9"/>
      <c r="O29" s="9"/>
      <c r="P29" s="9"/>
      <c r="Q29" s="9"/>
      <c r="R29" s="9"/>
      <c r="S29" s="9"/>
      <c r="T29" s="9"/>
    </row>
    <row r="30" spans="1:20" ht="50.25" customHeight="1" x14ac:dyDescent="0.2">
      <c r="A30" s="185"/>
      <c r="B30" s="186">
        <v>54727.72</v>
      </c>
      <c r="C30" s="308">
        <v>0.3333333</v>
      </c>
      <c r="D30" s="309">
        <f t="shared" si="20"/>
        <v>18242.571509075999</v>
      </c>
      <c r="E30" s="308">
        <v>0.3333333</v>
      </c>
      <c r="F30" s="309">
        <f t="shared" si="21"/>
        <v>18242.571509075999</v>
      </c>
      <c r="G30" s="308">
        <v>0.3333333</v>
      </c>
      <c r="H30" s="309">
        <f t="shared" si="22"/>
        <v>18242.571509075999</v>
      </c>
      <c r="I30" s="308"/>
      <c r="J30" s="309">
        <f t="shared" si="23"/>
        <v>0</v>
      </c>
      <c r="K30" s="317"/>
      <c r="L30" s="9"/>
      <c r="M30" s="9"/>
      <c r="N30" s="9"/>
      <c r="O30" s="9"/>
      <c r="P30" s="9"/>
      <c r="Q30" s="9"/>
      <c r="R30" s="9"/>
      <c r="S30" s="9"/>
      <c r="T30" s="9"/>
    </row>
    <row r="31" spans="1:20" ht="50.25" customHeight="1" x14ac:dyDescent="0.2">
      <c r="A31" s="185"/>
      <c r="B31" s="186">
        <v>22836.480000000003</v>
      </c>
      <c r="C31" s="328"/>
      <c r="D31" s="329">
        <f t="shared" si="20"/>
        <v>0</v>
      </c>
      <c r="E31" s="328">
        <v>0.5</v>
      </c>
      <c r="F31" s="329">
        <f t="shared" si="21"/>
        <v>11418.240000000002</v>
      </c>
      <c r="G31" s="328">
        <v>0.5</v>
      </c>
      <c r="H31" s="329">
        <f t="shared" si="22"/>
        <v>11418.240000000002</v>
      </c>
      <c r="I31" s="328"/>
      <c r="J31" s="329">
        <f t="shared" si="23"/>
        <v>0</v>
      </c>
      <c r="K31" s="330"/>
      <c r="L31" s="9"/>
      <c r="M31" s="9"/>
      <c r="N31" s="9"/>
      <c r="O31" s="9"/>
      <c r="P31" s="9"/>
      <c r="Q31" s="9"/>
      <c r="R31" s="9"/>
      <c r="S31" s="9"/>
      <c r="T31" s="9"/>
    </row>
    <row r="32" spans="1:20" ht="50.25" customHeight="1" x14ac:dyDescent="0.2">
      <c r="A32" s="185"/>
      <c r="B32" s="186">
        <v>113522.92000000001</v>
      </c>
      <c r="C32" s="308">
        <v>1</v>
      </c>
      <c r="D32" s="309">
        <f t="shared" si="20"/>
        <v>113522.92000000001</v>
      </c>
      <c r="E32" s="308"/>
      <c r="F32" s="309">
        <f t="shared" si="21"/>
        <v>0</v>
      </c>
      <c r="G32" s="308"/>
      <c r="H32" s="309">
        <f t="shared" si="22"/>
        <v>0</v>
      </c>
      <c r="I32" s="308"/>
      <c r="J32" s="309">
        <f t="shared" si="23"/>
        <v>0</v>
      </c>
      <c r="K32" s="310"/>
      <c r="L32" s="9"/>
      <c r="M32" s="9"/>
      <c r="N32" s="9"/>
      <c r="O32" s="9"/>
      <c r="P32" s="9"/>
      <c r="Q32" s="9"/>
      <c r="R32" s="9"/>
      <c r="S32" s="9"/>
      <c r="T32" s="9"/>
    </row>
    <row r="33" spans="1:25" s="140" customFormat="1" ht="50.25" customHeight="1" x14ac:dyDescent="0.2">
      <c r="A33" s="185"/>
      <c r="B33" s="186">
        <v>26640.399999999998</v>
      </c>
      <c r="C33" s="311"/>
      <c r="D33" s="312">
        <f t="shared" si="20"/>
        <v>0</v>
      </c>
      <c r="E33" s="311">
        <v>0.33333000000000002</v>
      </c>
      <c r="F33" s="312">
        <f t="shared" si="21"/>
        <v>8880.0445319999999</v>
      </c>
      <c r="G33" s="311">
        <v>0.33333000000000002</v>
      </c>
      <c r="H33" s="312">
        <f t="shared" si="22"/>
        <v>8880.0445319999999</v>
      </c>
      <c r="I33" s="311">
        <v>0.33333000000000002</v>
      </c>
      <c r="J33" s="312">
        <f t="shared" si="23"/>
        <v>8880.0445319999999</v>
      </c>
      <c r="K33" s="313"/>
    </row>
    <row r="34" spans="1:25" s="140" customFormat="1" ht="50.25" customHeight="1" x14ac:dyDescent="0.2">
      <c r="A34" s="185"/>
      <c r="B34" s="186">
        <v>208032.84999999998</v>
      </c>
      <c r="C34" s="308">
        <v>0.25</v>
      </c>
      <c r="D34" s="309">
        <f t="shared" si="20"/>
        <v>52008.212499999994</v>
      </c>
      <c r="E34" s="308">
        <v>0.25</v>
      </c>
      <c r="F34" s="309">
        <f t="shared" si="21"/>
        <v>52008.212499999994</v>
      </c>
      <c r="G34" s="308">
        <v>0.25</v>
      </c>
      <c r="H34" s="309">
        <f t="shared" si="22"/>
        <v>52008.212499999994</v>
      </c>
      <c r="I34" s="308">
        <v>0.25</v>
      </c>
      <c r="J34" s="309">
        <f t="shared" si="23"/>
        <v>52008.212499999994</v>
      </c>
      <c r="K34" s="314"/>
    </row>
    <row r="35" spans="1:25" s="140" customFormat="1" ht="50.25" customHeight="1" x14ac:dyDescent="0.2">
      <c r="A35" s="417"/>
      <c r="B35" s="418">
        <v>10963.200000000003</v>
      </c>
      <c r="C35" s="328"/>
      <c r="D35" s="329">
        <f>C35*B35</f>
        <v>0</v>
      </c>
      <c r="E35" s="328">
        <v>0.5</v>
      </c>
      <c r="F35" s="329">
        <f>E35*B35</f>
        <v>5481.6000000000013</v>
      </c>
      <c r="G35" s="328">
        <v>0.5</v>
      </c>
      <c r="H35" s="329">
        <f>G35*B35</f>
        <v>5481.6000000000013</v>
      </c>
      <c r="I35" s="328"/>
      <c r="J35" s="329">
        <f>I35*B35</f>
        <v>0</v>
      </c>
      <c r="K35" s="330"/>
    </row>
    <row r="36" spans="1:25" ht="50.25" customHeight="1" x14ac:dyDescent="0.2">
      <c r="A36" s="321"/>
      <c r="B36" s="186">
        <v>12332.8</v>
      </c>
      <c r="C36" s="311"/>
      <c r="D36" s="312">
        <f t="shared" si="20"/>
        <v>0</v>
      </c>
      <c r="E36" s="311">
        <v>0.5</v>
      </c>
      <c r="F36" s="312">
        <f t="shared" si="21"/>
        <v>6166.4</v>
      </c>
      <c r="G36" s="311">
        <v>0.5</v>
      </c>
      <c r="H36" s="312">
        <f t="shared" si="22"/>
        <v>6166.4</v>
      </c>
      <c r="I36" s="311"/>
      <c r="J36" s="312">
        <f t="shared" si="23"/>
        <v>0</v>
      </c>
      <c r="K36" s="313"/>
      <c r="L36" s="9"/>
      <c r="M36" s="9"/>
      <c r="N36" s="9"/>
      <c r="O36" s="9"/>
      <c r="P36" s="9"/>
      <c r="Q36" s="9"/>
      <c r="R36" s="9"/>
      <c r="S36" s="9"/>
      <c r="T36" s="9"/>
    </row>
    <row r="37" spans="1:25" ht="50.25" customHeight="1" x14ac:dyDescent="0.2">
      <c r="A37" s="185"/>
      <c r="B37" s="186">
        <v>114219.90000000001</v>
      </c>
      <c r="C37" s="328"/>
      <c r="D37" s="329">
        <f t="shared" si="20"/>
        <v>0</v>
      </c>
      <c r="E37" s="328">
        <v>0.5</v>
      </c>
      <c r="F37" s="329">
        <f t="shared" si="21"/>
        <v>57109.950000000004</v>
      </c>
      <c r="G37" s="328">
        <v>0.5</v>
      </c>
      <c r="H37" s="329">
        <f t="shared" si="22"/>
        <v>57109.950000000004</v>
      </c>
      <c r="I37" s="328"/>
      <c r="J37" s="329">
        <f t="shared" si="23"/>
        <v>0</v>
      </c>
      <c r="K37" s="331"/>
      <c r="L37" s="9"/>
      <c r="M37" s="9"/>
      <c r="N37" s="9"/>
      <c r="O37" s="9"/>
      <c r="P37" s="9"/>
      <c r="Q37" s="9"/>
      <c r="R37" s="9"/>
      <c r="S37" s="9"/>
      <c r="T37" s="9"/>
    </row>
    <row r="38" spans="1:25" ht="50.25" customHeight="1" x14ac:dyDescent="0.2">
      <c r="A38" s="319"/>
      <c r="B38" s="186">
        <v>14532.310000000001</v>
      </c>
      <c r="C38" s="172"/>
      <c r="D38" s="171">
        <f t="shared" si="16"/>
        <v>0</v>
      </c>
      <c r="E38" s="172">
        <v>0.5</v>
      </c>
      <c r="F38" s="171">
        <f t="shared" si="17"/>
        <v>7266.1550000000007</v>
      </c>
      <c r="G38" s="172">
        <v>0.5</v>
      </c>
      <c r="H38" s="171">
        <f t="shared" si="18"/>
        <v>7266.1550000000007</v>
      </c>
      <c r="I38" s="172"/>
      <c r="J38" s="171">
        <f t="shared" si="19"/>
        <v>0</v>
      </c>
      <c r="K38" s="170"/>
      <c r="L38" s="9"/>
      <c r="M38" s="9"/>
      <c r="N38" s="9"/>
      <c r="O38" s="9"/>
      <c r="P38" s="9"/>
      <c r="Q38" s="9"/>
      <c r="R38" s="9"/>
      <c r="S38" s="9"/>
      <c r="T38" s="9"/>
    </row>
    <row r="39" spans="1:25" ht="50.25" customHeight="1" x14ac:dyDescent="0.2">
      <c r="A39" s="416"/>
      <c r="B39" s="186">
        <v>20385</v>
      </c>
      <c r="C39" s="172"/>
      <c r="D39" s="171">
        <f t="shared" si="16"/>
        <v>0</v>
      </c>
      <c r="E39" s="172">
        <v>0.5</v>
      </c>
      <c r="F39" s="171">
        <f t="shared" si="17"/>
        <v>10192.5</v>
      </c>
      <c r="G39" s="172">
        <v>0.5</v>
      </c>
      <c r="H39" s="171">
        <f t="shared" si="18"/>
        <v>10192.5</v>
      </c>
      <c r="I39" s="172"/>
      <c r="J39" s="171">
        <f t="shared" si="19"/>
        <v>0</v>
      </c>
      <c r="K39" s="170"/>
      <c r="L39" s="9"/>
      <c r="M39" s="9"/>
      <c r="N39" s="9"/>
      <c r="O39" s="9"/>
      <c r="P39" s="9"/>
      <c r="Q39" s="9"/>
      <c r="R39" s="9"/>
      <c r="S39" s="9"/>
      <c r="T39" s="9"/>
    </row>
    <row r="40" spans="1:25" ht="50.25" customHeight="1" x14ac:dyDescent="0.2">
      <c r="A40" s="321"/>
      <c r="B40" s="186">
        <v>23366.399999999998</v>
      </c>
      <c r="C40" s="172">
        <v>0.25</v>
      </c>
      <c r="D40" s="171">
        <f t="shared" si="16"/>
        <v>5841.5999999999995</v>
      </c>
      <c r="E40" s="172">
        <v>0.25</v>
      </c>
      <c r="F40" s="171">
        <f t="shared" si="17"/>
        <v>5841.5999999999995</v>
      </c>
      <c r="G40" s="172">
        <v>0.25</v>
      </c>
      <c r="H40" s="171">
        <f t="shared" si="18"/>
        <v>5841.5999999999995</v>
      </c>
      <c r="I40" s="172">
        <v>0.25</v>
      </c>
      <c r="J40" s="171">
        <f t="shared" si="19"/>
        <v>5841.5999999999995</v>
      </c>
      <c r="K40" s="170"/>
      <c r="L40" s="9"/>
      <c r="M40" s="9"/>
      <c r="N40" s="9"/>
      <c r="O40" s="9"/>
      <c r="P40" s="9"/>
      <c r="Q40" s="9"/>
      <c r="R40" s="9"/>
      <c r="S40" s="9"/>
      <c r="T40" s="9"/>
    </row>
    <row r="41" spans="1:25" ht="53.25" customHeight="1" x14ac:dyDescent="0.2">
      <c r="A41" s="321"/>
      <c r="B41" s="186">
        <v>29266.799999999999</v>
      </c>
      <c r="C41" s="172"/>
      <c r="D41" s="171">
        <f t="shared" si="16"/>
        <v>0</v>
      </c>
      <c r="E41" s="172"/>
      <c r="F41" s="171">
        <f t="shared" si="17"/>
        <v>0</v>
      </c>
      <c r="G41" s="172">
        <v>1</v>
      </c>
      <c r="H41" s="171">
        <f t="shared" si="18"/>
        <v>29266.799999999999</v>
      </c>
      <c r="I41" s="172"/>
      <c r="J41" s="171">
        <f t="shared" si="19"/>
        <v>0</v>
      </c>
      <c r="K41" s="170"/>
      <c r="L41" s="9"/>
      <c r="M41" s="9"/>
      <c r="N41" s="9"/>
      <c r="O41" s="9"/>
      <c r="P41" s="9"/>
      <c r="Q41" s="9"/>
      <c r="R41" s="9"/>
      <c r="S41" s="9"/>
      <c r="T41" s="9"/>
    </row>
    <row r="42" spans="1:25" x14ac:dyDescent="0.2">
      <c r="A42" s="184"/>
      <c r="B42" s="173">
        <f>SUM(B12:B41)</f>
        <v>1351023.73</v>
      </c>
      <c r="C42" s="172"/>
      <c r="D42" s="171">
        <f>SUM(D12:D41)</f>
        <v>346108.09350907593</v>
      </c>
      <c r="E42" s="172"/>
      <c r="F42" s="171">
        <f>SUM(F12:F41)</f>
        <v>613403.29949107592</v>
      </c>
      <c r="G42" s="172"/>
      <c r="H42" s="171">
        <f>SUM(H12:H41)</f>
        <v>311207.97354107595</v>
      </c>
      <c r="I42" s="172"/>
      <c r="J42" s="171">
        <f>SUM(J12:J41)</f>
        <v>80302.816531999997</v>
      </c>
      <c r="K42" s="170"/>
      <c r="L42" s="9"/>
      <c r="M42" s="9"/>
      <c r="N42" s="9"/>
      <c r="O42" s="9"/>
      <c r="P42" s="9"/>
      <c r="Q42" s="9"/>
      <c r="R42" s="9"/>
      <c r="S42" s="9"/>
      <c r="T42" s="9"/>
    </row>
    <row r="43" spans="1:25" x14ac:dyDescent="0.2">
      <c r="A43" s="169"/>
      <c r="B43" s="164" t="s">
        <v>136</v>
      </c>
      <c r="C43" s="162" t="s">
        <v>137</v>
      </c>
      <c r="D43" s="167" t="s">
        <v>10</v>
      </c>
      <c r="E43" s="162" t="s">
        <v>166</v>
      </c>
      <c r="F43" s="167" t="s">
        <v>10</v>
      </c>
      <c r="G43" s="168" t="s">
        <v>170</v>
      </c>
      <c r="H43" s="167" t="s">
        <v>10</v>
      </c>
      <c r="I43" s="168" t="s">
        <v>139</v>
      </c>
      <c r="J43" s="167" t="s">
        <v>10</v>
      </c>
      <c r="K43" s="166"/>
      <c r="L43" s="9"/>
      <c r="M43" s="9"/>
      <c r="N43" s="9"/>
      <c r="O43" s="9"/>
      <c r="P43" s="9"/>
      <c r="Q43" s="9"/>
      <c r="R43" s="9"/>
      <c r="S43" s="9"/>
      <c r="T43" s="9"/>
    </row>
    <row r="44" spans="1:25" x14ac:dyDescent="0.2">
      <c r="A44" s="165"/>
      <c r="B44" s="164" t="s">
        <v>138</v>
      </c>
      <c r="C44" s="163"/>
      <c r="D44" s="162">
        <f>D42/$B$42</f>
        <v>0.25618209793330271</v>
      </c>
      <c r="E44" s="163"/>
      <c r="F44" s="162">
        <f>F42/$B$42</f>
        <v>0.4540285162060595</v>
      </c>
      <c r="G44" s="162"/>
      <c r="H44" s="162">
        <f>H42/$B$42</f>
        <v>0.23034974636683542</v>
      </c>
      <c r="I44" s="162"/>
      <c r="J44" s="162">
        <f>J42/$B$42</f>
        <v>5.9438494490396551E-2</v>
      </c>
      <c r="K44" s="161"/>
      <c r="L44" s="9"/>
      <c r="M44" s="9"/>
      <c r="N44" s="9"/>
      <c r="O44" s="9"/>
      <c r="P44" s="9"/>
      <c r="Q44" s="9"/>
      <c r="R44" s="9"/>
      <c r="S44" s="9"/>
      <c r="T44" s="9"/>
    </row>
    <row r="46" spans="1:25" x14ac:dyDescent="0.2">
      <c r="Q46" s="158"/>
      <c r="R46" s="159"/>
      <c r="U46" s="158"/>
      <c r="V46" s="159"/>
      <c r="W46" s="158"/>
      <c r="X46" s="158"/>
      <c r="Y46" s="158"/>
    </row>
    <row r="47" spans="1:25" x14ac:dyDescent="0.2">
      <c r="Q47" s="158"/>
      <c r="R47" s="159"/>
      <c r="U47" s="158"/>
      <c r="V47" s="159"/>
      <c r="W47" s="158"/>
      <c r="X47" s="158"/>
      <c r="Y47" s="158"/>
    </row>
    <row r="48" spans="1:25" x14ac:dyDescent="0.2">
      <c r="Q48" s="158"/>
      <c r="R48" s="159"/>
      <c r="U48" s="158"/>
      <c r="V48" s="159"/>
      <c r="W48" s="158"/>
      <c r="X48" s="158"/>
      <c r="Y48" s="158"/>
    </row>
    <row r="49" spans="17:25" x14ac:dyDescent="0.2">
      <c r="Q49" s="158"/>
      <c r="R49" s="159"/>
      <c r="U49" s="158"/>
      <c r="V49" s="159"/>
      <c r="W49" s="158"/>
      <c r="X49" s="158"/>
      <c r="Y49" s="158"/>
    </row>
    <row r="50" spans="17:25" x14ac:dyDescent="0.2">
      <c r="Q50" s="158"/>
      <c r="R50" s="159"/>
      <c r="U50" s="158"/>
      <c r="V50" s="159"/>
      <c r="W50" s="158"/>
      <c r="X50" s="158"/>
      <c r="Y50" s="158"/>
    </row>
    <row r="51" spans="17:25" ht="23.5" customHeight="1" x14ac:dyDescent="0.2">
      <c r="Q51" s="158"/>
      <c r="R51" s="159"/>
      <c r="U51" s="158"/>
      <c r="V51" s="159"/>
      <c r="W51" s="158"/>
      <c r="X51" s="158"/>
      <c r="Y51" s="158"/>
    </row>
    <row r="52" spans="17:25" x14ac:dyDescent="0.2">
      <c r="Q52" s="158"/>
      <c r="R52" s="159"/>
      <c r="U52" s="158"/>
      <c r="V52" s="159"/>
      <c r="W52" s="158"/>
      <c r="X52" s="158"/>
      <c r="Y52" s="158"/>
    </row>
    <row r="53" spans="17:25" x14ac:dyDescent="0.2">
      <c r="Q53" s="158"/>
      <c r="R53" s="159"/>
      <c r="U53" s="158"/>
      <c r="V53" s="159"/>
      <c r="W53" s="158"/>
      <c r="X53" s="158"/>
      <c r="Y53" s="158"/>
    </row>
    <row r="54" spans="17:25" x14ac:dyDescent="0.2">
      <c r="Q54" s="158"/>
      <c r="R54" s="159"/>
      <c r="U54" s="158"/>
      <c r="V54" s="159"/>
      <c r="W54" s="158"/>
      <c r="X54" s="158"/>
      <c r="Y54" s="158"/>
    </row>
    <row r="55" spans="17:25" x14ac:dyDescent="0.2">
      <c r="Q55" s="158"/>
      <c r="R55" s="159"/>
      <c r="U55" s="158"/>
      <c r="V55" s="159"/>
      <c r="W55" s="158"/>
      <c r="X55" s="158"/>
      <c r="Y55" s="158"/>
    </row>
  </sheetData>
  <sheetProtection algorithmName="SHA-512" hashValue="BLV7U3Gr7kD3qO0D52Ki0b/n+lAInEa7w+VNpY6tWAtMuSHmUIhnZ2ET/7QyPNtccUNqiRYtD9VqQLokglUJJw==" saltValue="taHA+G0UVUPprnJUXFeYpA==" spinCount="100000" sheet="1" objects="1" scenarios="1"/>
  <pageMargins left="0.7" right="0.7" top="0.75" bottom="0.75" header="0.3" footer="0.3"/>
  <pageSetup paperSize="9" scale="67" orientation="landscape" r:id="rId1"/>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CFE5F-AB66-4F3F-8B91-F3986497B29B}">
  <sheetPr codeName="Blad9">
    <tabColor rgb="FF00B0F0"/>
    <pageSetUpPr fitToPage="1"/>
  </sheetPr>
  <dimension ref="A1:Y52"/>
  <sheetViews>
    <sheetView zoomScale="75" zoomScaleNormal="75" workbookViewId="0"/>
  </sheetViews>
  <sheetFormatPr baseColWidth="10" defaultColWidth="9.1640625" defaultRowHeight="15" x14ac:dyDescent="0.2"/>
  <cols>
    <col min="1" max="1" width="32" style="160" customWidth="1"/>
    <col min="2" max="2" width="28.5" style="9" customWidth="1"/>
    <col min="3" max="3" width="17.1640625" style="9" customWidth="1"/>
    <col min="4" max="4" width="16.5" style="9" customWidth="1"/>
    <col min="5" max="5" width="15.5" style="159" customWidth="1"/>
    <col min="6" max="6" width="17.1640625" style="158" customWidth="1"/>
    <col min="7" max="7" width="16.5" style="158" customWidth="1"/>
    <col min="8" max="8" width="14.83203125" style="158" customWidth="1"/>
    <col min="9" max="9" width="14.5" style="159" customWidth="1"/>
    <col min="10" max="12" width="14.83203125" style="158" customWidth="1"/>
    <col min="13" max="13" width="17.1640625" style="159" customWidth="1"/>
    <col min="14" max="14" width="13.83203125" style="158" customWidth="1"/>
    <col min="15" max="16" width="12.5" style="158" customWidth="1"/>
    <col min="17" max="17" width="11.1640625" style="159" customWidth="1"/>
    <col min="18" max="20" width="11.1640625" style="158" customWidth="1"/>
    <col min="21" max="22" width="87.83203125" style="9" customWidth="1"/>
    <col min="23" max="16384" width="9.1640625" style="9"/>
  </cols>
  <sheetData>
    <row r="1" spans="1:20" ht="29" x14ac:dyDescent="0.35">
      <c r="A1" s="183" t="s">
        <v>167</v>
      </c>
      <c r="H1" s="159"/>
      <c r="I1" s="158"/>
      <c r="L1" s="159"/>
      <c r="M1" s="158"/>
      <c r="P1" s="159"/>
      <c r="Q1" s="158"/>
      <c r="T1" s="9"/>
    </row>
    <row r="2" spans="1:20" x14ac:dyDescent="0.2">
      <c r="A2" s="158" t="s">
        <v>147</v>
      </c>
      <c r="H2" s="159"/>
      <c r="I2" s="158"/>
      <c r="L2" s="159"/>
      <c r="M2" s="158"/>
      <c r="P2" s="159"/>
      <c r="Q2" s="158"/>
      <c r="T2" s="9"/>
    </row>
    <row r="3" spans="1:20" x14ac:dyDescent="0.2">
      <c r="H3" s="159"/>
      <c r="I3" s="158"/>
      <c r="L3" s="159"/>
      <c r="M3" s="158"/>
      <c r="P3" s="159"/>
      <c r="Q3" s="158"/>
      <c r="T3" s="9"/>
    </row>
    <row r="4" spans="1:20" x14ac:dyDescent="0.2">
      <c r="A4" s="179" t="s">
        <v>21</v>
      </c>
      <c r="B4" s="187" t="s">
        <v>168</v>
      </c>
      <c r="C4" s="158"/>
      <c r="D4" s="158"/>
      <c r="E4" s="158"/>
      <c r="H4" s="159"/>
      <c r="I4" s="158"/>
      <c r="L4" s="159"/>
      <c r="M4" s="158"/>
      <c r="P4" s="9"/>
      <c r="Q4" s="9"/>
      <c r="R4" s="9"/>
      <c r="S4" s="9"/>
      <c r="T4" s="9"/>
    </row>
    <row r="5" spans="1:20" ht="17.25" customHeight="1" x14ac:dyDescent="0.2">
      <c r="A5" s="160" t="s">
        <v>103</v>
      </c>
      <c r="B5" s="306">
        <f>D41</f>
        <v>0.36243105118364932</v>
      </c>
      <c r="C5" s="158"/>
      <c r="D5" s="158"/>
      <c r="E5" s="158"/>
      <c r="H5" s="159"/>
      <c r="I5" s="158"/>
      <c r="L5" s="159"/>
      <c r="M5" s="158"/>
      <c r="P5" s="9"/>
      <c r="Q5" s="9"/>
      <c r="R5" s="9"/>
      <c r="S5" s="9"/>
      <c r="T5" s="9"/>
    </row>
    <row r="6" spans="1:20" x14ac:dyDescent="0.2">
      <c r="A6" s="160" t="str">
        <f>$E$40</f>
        <v>GGZ:</v>
      </c>
      <c r="B6" s="306">
        <f>F41</f>
        <v>0.39295826778028742</v>
      </c>
      <c r="C6" s="158"/>
      <c r="D6" s="158"/>
      <c r="E6" s="158"/>
      <c r="H6" s="159"/>
      <c r="I6" s="158"/>
      <c r="L6" s="159"/>
      <c r="M6" s="158"/>
      <c r="P6" s="9"/>
      <c r="Q6" s="9"/>
      <c r="R6" s="9"/>
      <c r="S6" s="9"/>
      <c r="T6" s="9"/>
    </row>
    <row r="7" spans="1:20" x14ac:dyDescent="0.2">
      <c r="A7" s="160" t="s">
        <v>149</v>
      </c>
      <c r="B7" s="306">
        <f>H41</f>
        <v>0.20394801250369682</v>
      </c>
      <c r="C7" s="158"/>
      <c r="D7" s="158"/>
      <c r="E7" s="158"/>
      <c r="H7" s="159"/>
      <c r="I7" s="158"/>
      <c r="L7" s="159"/>
      <c r="M7" s="158"/>
      <c r="P7" s="9"/>
      <c r="Q7" s="9"/>
      <c r="R7" s="9"/>
      <c r="S7" s="9"/>
      <c r="T7" s="9"/>
    </row>
    <row r="8" spans="1:20" x14ac:dyDescent="0.2">
      <c r="A8" s="160" t="str">
        <f>$I$40</f>
        <v>SOM/LG:</v>
      </c>
      <c r="B8" s="306">
        <f>J41</f>
        <v>4.0661445392849112E-2</v>
      </c>
      <c r="C8" s="158"/>
      <c r="D8" s="158"/>
      <c r="Q8" s="9"/>
      <c r="R8" s="9"/>
      <c r="S8" s="9"/>
      <c r="T8" s="9"/>
    </row>
    <row r="9" spans="1:20" x14ac:dyDescent="0.2">
      <c r="B9" s="450">
        <f>SUM(B5:B8)</f>
        <v>0.99999877686048255</v>
      </c>
      <c r="C9" s="158"/>
      <c r="D9" s="158"/>
      <c r="Q9" s="9"/>
      <c r="R9" s="9"/>
      <c r="S9" s="9"/>
      <c r="T9" s="9"/>
    </row>
    <row r="10" spans="1:20" x14ac:dyDescent="0.2">
      <c r="B10" s="178"/>
      <c r="C10" s="178"/>
      <c r="D10" s="178"/>
    </row>
    <row r="11" spans="1:20" ht="50.25" customHeight="1" x14ac:dyDescent="0.2">
      <c r="A11" s="177" t="s">
        <v>146</v>
      </c>
      <c r="B11" t="s">
        <v>152</v>
      </c>
      <c r="C11" s="176" t="s">
        <v>145</v>
      </c>
      <c r="D11" s="143" t="s">
        <v>169</v>
      </c>
      <c r="E11" s="176" t="s">
        <v>148</v>
      </c>
      <c r="F11" s="143" t="s">
        <v>151</v>
      </c>
      <c r="G11" s="176" t="s">
        <v>144</v>
      </c>
      <c r="H11" s="143" t="s">
        <v>143</v>
      </c>
      <c r="I11" s="176" t="s">
        <v>142</v>
      </c>
      <c r="J11" s="143" t="s">
        <v>141</v>
      </c>
      <c r="K11" t="s">
        <v>140</v>
      </c>
      <c r="L11" s="9"/>
      <c r="M11" s="9"/>
      <c r="N11" s="9"/>
      <c r="O11" s="9"/>
      <c r="P11" s="9"/>
      <c r="Q11" s="9"/>
      <c r="R11" s="9"/>
      <c r="S11" s="9"/>
      <c r="T11" s="9"/>
    </row>
    <row r="12" spans="1:20" ht="50.25" customHeight="1" x14ac:dyDescent="0.2">
      <c r="A12" s="185"/>
      <c r="B12" s="186">
        <v>25694.400000000001</v>
      </c>
      <c r="C12" s="308">
        <v>1</v>
      </c>
      <c r="D12" s="309">
        <f>C12*B12</f>
        <v>25694.400000000001</v>
      </c>
      <c r="E12" s="308"/>
      <c r="F12" s="309">
        <f>E12*B12</f>
        <v>0</v>
      </c>
      <c r="G12" s="308"/>
      <c r="H12" s="309">
        <f>G12*B12</f>
        <v>0</v>
      </c>
      <c r="I12" s="308"/>
      <c r="J12" s="309">
        <f>I12*B12</f>
        <v>0</v>
      </c>
      <c r="K12" s="310"/>
      <c r="L12" s="9"/>
      <c r="M12" s="9"/>
      <c r="N12" s="9"/>
      <c r="O12" s="9"/>
      <c r="P12" s="9"/>
      <c r="Q12" s="9"/>
      <c r="R12" s="9"/>
      <c r="S12" s="9"/>
      <c r="T12" s="9"/>
    </row>
    <row r="13" spans="1:20" ht="50.25" customHeight="1" x14ac:dyDescent="0.2">
      <c r="A13" s="185"/>
      <c r="B13" s="186">
        <v>20405.100000000002</v>
      </c>
      <c r="C13" s="311"/>
      <c r="D13" s="312">
        <f>C13*B13</f>
        <v>0</v>
      </c>
      <c r="E13" s="311">
        <v>1</v>
      </c>
      <c r="F13" s="312">
        <f>E13*B13</f>
        <v>20405.100000000002</v>
      </c>
      <c r="G13" s="311"/>
      <c r="H13" s="312">
        <f>G13*B13</f>
        <v>0</v>
      </c>
      <c r="I13" s="311"/>
      <c r="J13" s="312">
        <f>I13*B13</f>
        <v>0</v>
      </c>
      <c r="K13" s="313"/>
      <c r="L13" s="9"/>
      <c r="M13" s="9"/>
      <c r="N13" s="9"/>
      <c r="O13" s="9"/>
      <c r="P13" s="9"/>
      <c r="Q13" s="9"/>
      <c r="R13" s="9"/>
      <c r="S13" s="9"/>
      <c r="T13" s="9"/>
    </row>
    <row r="14" spans="1:20" ht="50.25" customHeight="1" x14ac:dyDescent="0.2">
      <c r="A14" s="321"/>
      <c r="B14" s="186">
        <v>23500.800000000003</v>
      </c>
      <c r="C14" s="172"/>
      <c r="D14" s="171">
        <f t="shared" ref="D14:D38" si="0">C14*B14</f>
        <v>0</v>
      </c>
      <c r="E14" s="172">
        <v>0.5</v>
      </c>
      <c r="F14" s="171">
        <f t="shared" ref="F14:F38" si="1">E14*B14</f>
        <v>11750.400000000001</v>
      </c>
      <c r="G14" s="172">
        <v>0.5</v>
      </c>
      <c r="H14" s="171">
        <f t="shared" ref="H14:H38" si="2">G14*B14</f>
        <v>11750.400000000001</v>
      </c>
      <c r="I14" s="172"/>
      <c r="J14" s="171">
        <f t="shared" ref="J14:J38" si="3">I14*B14</f>
        <v>0</v>
      </c>
      <c r="K14" s="170"/>
      <c r="L14" s="9"/>
      <c r="M14" s="9"/>
      <c r="N14" s="9"/>
      <c r="O14" s="9"/>
      <c r="P14" s="9"/>
      <c r="Q14" s="9"/>
      <c r="R14" s="9"/>
      <c r="S14" s="9"/>
      <c r="T14" s="9"/>
    </row>
    <row r="15" spans="1:20" ht="50.25" customHeight="1" x14ac:dyDescent="0.2">
      <c r="A15" s="185"/>
      <c r="B15" s="186">
        <v>31819.000000000004</v>
      </c>
      <c r="C15" s="311"/>
      <c r="D15" s="312">
        <f>C15*B15</f>
        <v>0</v>
      </c>
      <c r="E15" s="311">
        <v>1</v>
      </c>
      <c r="F15" s="312">
        <f>E15*B15</f>
        <v>31819.000000000004</v>
      </c>
      <c r="G15" s="311"/>
      <c r="H15" s="312">
        <f>G15*B15</f>
        <v>0</v>
      </c>
      <c r="I15" s="311"/>
      <c r="J15" s="312">
        <f>I15*B15</f>
        <v>0</v>
      </c>
      <c r="K15" s="313"/>
      <c r="L15" s="9"/>
      <c r="M15" s="9"/>
      <c r="N15" s="9"/>
      <c r="O15" s="9"/>
      <c r="P15" s="9"/>
      <c r="Q15" s="9"/>
      <c r="R15" s="9"/>
      <c r="S15" s="9"/>
      <c r="T15" s="9"/>
    </row>
    <row r="16" spans="1:20" ht="50.25" customHeight="1" x14ac:dyDescent="0.2">
      <c r="A16" s="319"/>
      <c r="B16" s="186">
        <v>20664.400000000001</v>
      </c>
      <c r="C16" s="172"/>
      <c r="D16" s="171">
        <f t="shared" si="0"/>
        <v>0</v>
      </c>
      <c r="E16" s="172">
        <v>0.5</v>
      </c>
      <c r="F16" s="171">
        <f t="shared" si="1"/>
        <v>10332.200000000001</v>
      </c>
      <c r="G16" s="172">
        <v>0.5</v>
      </c>
      <c r="H16" s="171">
        <f t="shared" si="2"/>
        <v>10332.200000000001</v>
      </c>
      <c r="I16" s="172"/>
      <c r="J16" s="171">
        <f t="shared" si="3"/>
        <v>0</v>
      </c>
      <c r="K16" s="174"/>
      <c r="L16" s="9"/>
      <c r="M16" s="9"/>
      <c r="N16" s="9"/>
      <c r="O16" s="9"/>
      <c r="P16" s="9"/>
      <c r="Q16" s="9"/>
      <c r="R16" s="9"/>
      <c r="S16" s="9"/>
      <c r="T16" s="9"/>
    </row>
    <row r="17" spans="1:20" ht="50.25" customHeight="1" x14ac:dyDescent="0.2">
      <c r="A17" s="327"/>
      <c r="B17" s="186">
        <v>39382.199999999997</v>
      </c>
      <c r="C17" s="188"/>
      <c r="D17" s="171">
        <f t="shared" si="0"/>
        <v>0</v>
      </c>
      <c r="E17" s="172">
        <v>1</v>
      </c>
      <c r="F17" s="171">
        <f>E17*B17</f>
        <v>39382.199999999997</v>
      </c>
      <c r="G17" s="172"/>
      <c r="H17" s="171">
        <f>G17*B17</f>
        <v>0</v>
      </c>
      <c r="I17" s="172"/>
      <c r="J17" s="171">
        <f>I17*B17</f>
        <v>0</v>
      </c>
      <c r="K17" s="175"/>
      <c r="L17" s="9"/>
      <c r="M17" s="9"/>
      <c r="N17" s="9"/>
      <c r="O17" s="9"/>
      <c r="P17" s="9"/>
      <c r="Q17" s="9"/>
      <c r="R17" s="9"/>
      <c r="S17" s="9"/>
      <c r="T17" s="9"/>
    </row>
    <row r="18" spans="1:20" ht="50.25" customHeight="1" x14ac:dyDescent="0.2">
      <c r="A18" s="185"/>
      <c r="B18" s="186">
        <v>28036.800000000003</v>
      </c>
      <c r="C18" s="311"/>
      <c r="D18" s="312">
        <f>C18*B18</f>
        <v>0</v>
      </c>
      <c r="E18" s="311">
        <v>1</v>
      </c>
      <c r="F18" s="312">
        <f>E18*B18</f>
        <v>28036.800000000003</v>
      </c>
      <c r="G18" s="311"/>
      <c r="H18" s="312">
        <f>G18*B18</f>
        <v>0</v>
      </c>
      <c r="I18" s="311"/>
      <c r="J18" s="312">
        <f>I18*B18</f>
        <v>0</v>
      </c>
      <c r="K18" s="313"/>
      <c r="L18" s="9"/>
      <c r="M18" s="9"/>
      <c r="N18" s="9"/>
      <c r="O18" s="9"/>
      <c r="P18" s="9"/>
      <c r="Q18" s="9"/>
      <c r="R18" s="9"/>
      <c r="S18" s="9"/>
      <c r="T18" s="9"/>
    </row>
    <row r="19" spans="1:20" ht="50.25" customHeight="1" x14ac:dyDescent="0.2">
      <c r="A19" s="185"/>
      <c r="B19" s="186">
        <v>66687.070000000007</v>
      </c>
      <c r="C19" s="322">
        <v>0.5</v>
      </c>
      <c r="D19" s="323">
        <f>C19*B19</f>
        <v>33343.535000000003</v>
      </c>
      <c r="E19" s="322">
        <v>0.5</v>
      </c>
      <c r="F19" s="323">
        <f>E19*B19</f>
        <v>33343.535000000003</v>
      </c>
      <c r="G19" s="322"/>
      <c r="H19" s="323">
        <f>G19*B19</f>
        <v>0</v>
      </c>
      <c r="I19" s="322"/>
      <c r="J19" s="323">
        <f>I19*B19</f>
        <v>0</v>
      </c>
      <c r="K19" s="324"/>
      <c r="L19" s="9"/>
      <c r="M19" s="9"/>
      <c r="N19" s="9"/>
      <c r="O19" s="9"/>
      <c r="P19" s="9"/>
      <c r="Q19" s="9"/>
      <c r="R19" s="9"/>
      <c r="S19" s="9"/>
      <c r="T19" s="9"/>
    </row>
    <row r="20" spans="1:20" ht="50.25" customHeight="1" x14ac:dyDescent="0.2">
      <c r="A20" s="185"/>
      <c r="B20" s="186">
        <v>25701.900000000005</v>
      </c>
      <c r="C20" s="311"/>
      <c r="D20" s="312">
        <f>C20*B20</f>
        <v>0</v>
      </c>
      <c r="E20" s="311"/>
      <c r="F20" s="312">
        <f>E20*B20</f>
        <v>0</v>
      </c>
      <c r="G20" s="311">
        <v>0.5</v>
      </c>
      <c r="H20" s="312">
        <f>G20*B20</f>
        <v>12850.950000000003</v>
      </c>
      <c r="I20" s="311">
        <v>0.5</v>
      </c>
      <c r="J20" s="312">
        <f>I20*B20</f>
        <v>12850.950000000003</v>
      </c>
      <c r="K20" s="313"/>
      <c r="L20" s="9"/>
      <c r="M20" s="9"/>
      <c r="N20" s="9"/>
      <c r="O20" s="9"/>
      <c r="P20" s="9"/>
      <c r="Q20" s="9"/>
      <c r="R20" s="9"/>
      <c r="S20" s="9"/>
      <c r="T20" s="9"/>
    </row>
    <row r="21" spans="1:20" s="140" customFormat="1" ht="50.25" customHeight="1" x14ac:dyDescent="0.2">
      <c r="A21" s="327"/>
      <c r="B21" s="186">
        <v>33922.199999999997</v>
      </c>
      <c r="C21" s="180">
        <v>1</v>
      </c>
      <c r="D21" s="181">
        <f t="shared" si="0"/>
        <v>33922.199999999997</v>
      </c>
      <c r="E21" s="180"/>
      <c r="F21" s="181">
        <f t="shared" si="1"/>
        <v>0</v>
      </c>
      <c r="G21" s="180"/>
      <c r="H21" s="181">
        <f t="shared" si="2"/>
        <v>0</v>
      </c>
      <c r="I21" s="180"/>
      <c r="J21" s="181">
        <f t="shared" si="3"/>
        <v>0</v>
      </c>
      <c r="K21" s="182"/>
      <c r="L21" s="9"/>
      <c r="M21" s="9"/>
      <c r="N21" s="9"/>
      <c r="O21" s="9"/>
      <c r="P21" s="9"/>
      <c r="Q21" s="9"/>
      <c r="R21" s="9"/>
      <c r="S21" s="9"/>
      <c r="T21" s="9"/>
    </row>
    <row r="22" spans="1:20" ht="50.25" customHeight="1" x14ac:dyDescent="0.2">
      <c r="A22" s="185"/>
      <c r="B22" s="186">
        <v>105435.65000000002</v>
      </c>
      <c r="C22" s="308"/>
      <c r="D22" s="309">
        <f>C22*B22</f>
        <v>0</v>
      </c>
      <c r="E22" s="308">
        <v>1</v>
      </c>
      <c r="F22" s="309">
        <f>E22*B22</f>
        <v>105435.65000000002</v>
      </c>
      <c r="G22" s="308"/>
      <c r="H22" s="309">
        <f>G22*B22</f>
        <v>0</v>
      </c>
      <c r="I22" s="308"/>
      <c r="J22" s="309">
        <f>I22*B22</f>
        <v>0</v>
      </c>
      <c r="K22" s="310"/>
      <c r="L22" s="9"/>
      <c r="M22" s="9"/>
      <c r="N22" s="9"/>
      <c r="O22" s="9"/>
      <c r="P22" s="9"/>
      <c r="Q22" s="9"/>
      <c r="R22" s="9"/>
      <c r="S22" s="9"/>
      <c r="T22" s="9"/>
    </row>
    <row r="23" spans="1:20" ht="50.25" customHeight="1" x14ac:dyDescent="0.2">
      <c r="A23" s="327"/>
      <c r="B23" s="186">
        <v>19335.449999999997</v>
      </c>
      <c r="C23" s="172"/>
      <c r="D23" s="171">
        <f t="shared" ref="D23" si="4">C23*B23</f>
        <v>0</v>
      </c>
      <c r="E23" s="172">
        <v>0.5</v>
      </c>
      <c r="F23" s="171">
        <f t="shared" ref="F23" si="5">E23*B23</f>
        <v>9667.7249999999985</v>
      </c>
      <c r="G23" s="172">
        <v>0.5</v>
      </c>
      <c r="H23" s="171">
        <f t="shared" ref="H23" si="6">G23*B23</f>
        <v>9667.7249999999985</v>
      </c>
      <c r="I23" s="172"/>
      <c r="J23" s="171">
        <f t="shared" ref="J23" si="7">I23*B23</f>
        <v>0</v>
      </c>
      <c r="K23" s="170"/>
      <c r="L23" s="9"/>
      <c r="M23" s="9"/>
      <c r="N23" s="9"/>
      <c r="O23" s="9"/>
      <c r="P23" s="9"/>
      <c r="Q23" s="9"/>
      <c r="R23" s="9"/>
      <c r="S23" s="9"/>
      <c r="T23" s="9"/>
    </row>
    <row r="24" spans="1:20" ht="50.25" customHeight="1" x14ac:dyDescent="0.2">
      <c r="A24" s="185"/>
      <c r="B24" s="186">
        <v>57468.469999999994</v>
      </c>
      <c r="C24" s="311">
        <v>1</v>
      </c>
      <c r="D24" s="312">
        <f>C24*B24</f>
        <v>57468.469999999994</v>
      </c>
      <c r="E24" s="311"/>
      <c r="F24" s="312">
        <f>E24*B24</f>
        <v>0</v>
      </c>
      <c r="G24" s="311"/>
      <c r="H24" s="312">
        <f>G24*B24</f>
        <v>0</v>
      </c>
      <c r="I24" s="311"/>
      <c r="J24" s="312">
        <f>I24*B24</f>
        <v>0</v>
      </c>
      <c r="K24" s="316"/>
      <c r="L24" s="9"/>
      <c r="M24" s="9"/>
      <c r="N24" s="9"/>
      <c r="O24" s="9"/>
      <c r="P24" s="9"/>
      <c r="Q24" s="9"/>
      <c r="R24" s="9"/>
      <c r="S24" s="9"/>
      <c r="T24" s="9"/>
    </row>
    <row r="25" spans="1:20" ht="50.25" customHeight="1" x14ac:dyDescent="0.2">
      <c r="A25" s="327"/>
      <c r="B25" s="186">
        <v>25257.599999999995</v>
      </c>
      <c r="C25" s="172"/>
      <c r="D25" s="171">
        <f t="shared" si="0"/>
        <v>0</v>
      </c>
      <c r="E25" s="172">
        <v>1</v>
      </c>
      <c r="F25" s="171">
        <f t="shared" si="1"/>
        <v>25257.599999999995</v>
      </c>
      <c r="G25" s="172"/>
      <c r="H25" s="171">
        <f t="shared" si="2"/>
        <v>0</v>
      </c>
      <c r="I25" s="172"/>
      <c r="J25" s="171">
        <f t="shared" si="3"/>
        <v>0</v>
      </c>
      <c r="K25" s="170"/>
      <c r="L25" s="9"/>
      <c r="M25" s="9"/>
      <c r="N25" s="9"/>
      <c r="O25" s="9"/>
      <c r="P25" s="9"/>
      <c r="Q25" s="9"/>
      <c r="R25" s="9"/>
      <c r="S25" s="9"/>
      <c r="T25" s="9"/>
    </row>
    <row r="26" spans="1:20" ht="50.25" customHeight="1" x14ac:dyDescent="0.2">
      <c r="A26" s="185"/>
      <c r="B26" s="186">
        <v>41755.200000000004</v>
      </c>
      <c r="C26" s="308"/>
      <c r="D26" s="309">
        <f t="shared" ref="D26:D32" si="8">C26*B26</f>
        <v>0</v>
      </c>
      <c r="E26" s="308">
        <v>0.5</v>
      </c>
      <c r="F26" s="309">
        <f t="shared" ref="F26:F32" si="9">E26*B26</f>
        <v>20877.600000000002</v>
      </c>
      <c r="G26" s="308">
        <v>0.5</v>
      </c>
      <c r="H26" s="309">
        <f t="shared" ref="H26:H32" si="10">G26*B26</f>
        <v>20877.600000000002</v>
      </c>
      <c r="I26" s="308"/>
      <c r="J26" s="309">
        <f t="shared" ref="J26:J32" si="11">I26*B26</f>
        <v>0</v>
      </c>
      <c r="K26" s="310"/>
      <c r="L26" s="9"/>
      <c r="M26" s="9"/>
      <c r="N26" s="9"/>
      <c r="O26" s="9"/>
      <c r="P26" s="9"/>
      <c r="Q26" s="9"/>
      <c r="R26" s="9"/>
      <c r="S26" s="9"/>
      <c r="T26" s="9"/>
    </row>
    <row r="27" spans="1:20" ht="50.25" customHeight="1" x14ac:dyDescent="0.2">
      <c r="A27" s="185"/>
      <c r="B27" s="186">
        <v>24628.799999999999</v>
      </c>
      <c r="C27" s="311">
        <v>0.33329999999999999</v>
      </c>
      <c r="D27" s="312">
        <f t="shared" si="8"/>
        <v>8208.7790399999994</v>
      </c>
      <c r="E27" s="311">
        <v>0.33333000000000002</v>
      </c>
      <c r="F27" s="312">
        <f t="shared" si="9"/>
        <v>8209.5179040000003</v>
      </c>
      <c r="G27" s="311"/>
      <c r="H27" s="312">
        <f t="shared" si="10"/>
        <v>0</v>
      </c>
      <c r="I27" s="311">
        <v>0.33329999999999999</v>
      </c>
      <c r="J27" s="312">
        <f t="shared" si="11"/>
        <v>8208.7790399999994</v>
      </c>
      <c r="K27" s="316"/>
      <c r="L27" s="9"/>
      <c r="M27" s="9"/>
      <c r="N27" s="9"/>
      <c r="O27" s="9"/>
      <c r="P27" s="9"/>
      <c r="Q27" s="9"/>
      <c r="R27" s="9"/>
      <c r="S27" s="9"/>
      <c r="T27" s="9"/>
    </row>
    <row r="28" spans="1:20" ht="50.25" customHeight="1" x14ac:dyDescent="0.2">
      <c r="A28" s="185"/>
      <c r="B28" s="186">
        <v>112175.63</v>
      </c>
      <c r="C28" s="308">
        <v>0.3333333</v>
      </c>
      <c r="D28" s="309">
        <f t="shared" si="8"/>
        <v>37391.872927479002</v>
      </c>
      <c r="E28" s="308">
        <v>0.3333333</v>
      </c>
      <c r="F28" s="309">
        <f t="shared" si="9"/>
        <v>37391.872927479002</v>
      </c>
      <c r="G28" s="308">
        <v>0.3333333</v>
      </c>
      <c r="H28" s="309">
        <f t="shared" si="10"/>
        <v>37391.872927479002</v>
      </c>
      <c r="I28" s="308"/>
      <c r="J28" s="309">
        <f t="shared" si="11"/>
        <v>0</v>
      </c>
      <c r="K28" s="317"/>
      <c r="L28" s="9"/>
      <c r="M28" s="9"/>
      <c r="N28" s="9"/>
      <c r="O28" s="9"/>
      <c r="P28" s="9"/>
      <c r="Q28" s="9"/>
      <c r="R28" s="9"/>
      <c r="S28" s="9"/>
      <c r="T28" s="9"/>
    </row>
    <row r="29" spans="1:20" ht="50.25" customHeight="1" x14ac:dyDescent="0.2">
      <c r="A29" s="185"/>
      <c r="B29" s="186">
        <v>71705.600000000006</v>
      </c>
      <c r="C29" s="322"/>
      <c r="D29" s="323">
        <f t="shared" si="8"/>
        <v>0</v>
      </c>
      <c r="E29" s="322">
        <v>0.5</v>
      </c>
      <c r="F29" s="323">
        <f t="shared" si="9"/>
        <v>35852.800000000003</v>
      </c>
      <c r="G29" s="322">
        <v>0.5</v>
      </c>
      <c r="H29" s="323">
        <f t="shared" si="10"/>
        <v>35852.800000000003</v>
      </c>
      <c r="I29" s="322"/>
      <c r="J29" s="323">
        <f t="shared" si="11"/>
        <v>0</v>
      </c>
      <c r="K29" s="325"/>
      <c r="L29" s="9"/>
      <c r="M29" s="9"/>
      <c r="N29" s="9"/>
      <c r="O29" s="9"/>
      <c r="P29" s="9"/>
      <c r="Q29" s="9"/>
      <c r="R29" s="9"/>
      <c r="S29" s="9"/>
      <c r="T29" s="9"/>
    </row>
    <row r="30" spans="1:20" ht="50.25" customHeight="1" x14ac:dyDescent="0.2">
      <c r="A30" s="185"/>
      <c r="B30" s="186">
        <v>17241.599999999999</v>
      </c>
      <c r="C30" s="311"/>
      <c r="D30" s="312">
        <f t="shared" si="8"/>
        <v>0</v>
      </c>
      <c r="E30" s="311">
        <v>0.5</v>
      </c>
      <c r="F30" s="312">
        <f t="shared" si="9"/>
        <v>8620.7999999999993</v>
      </c>
      <c r="G30" s="311">
        <v>0.5</v>
      </c>
      <c r="H30" s="312">
        <f t="shared" si="10"/>
        <v>8620.7999999999993</v>
      </c>
      <c r="I30" s="311"/>
      <c r="J30" s="312">
        <f t="shared" si="11"/>
        <v>0</v>
      </c>
      <c r="K30" s="313"/>
      <c r="L30" s="9"/>
      <c r="M30" s="9"/>
      <c r="N30" s="9"/>
      <c r="O30" s="9"/>
      <c r="P30" s="9"/>
      <c r="Q30" s="9"/>
      <c r="R30" s="9"/>
      <c r="S30" s="9"/>
      <c r="T30" s="9"/>
    </row>
    <row r="31" spans="1:20" ht="50.25" customHeight="1" x14ac:dyDescent="0.2">
      <c r="A31" s="185"/>
      <c r="B31" s="186">
        <v>336884.06000000006</v>
      </c>
      <c r="C31" s="322">
        <v>1</v>
      </c>
      <c r="D31" s="323">
        <f t="shared" si="8"/>
        <v>336884.06000000006</v>
      </c>
      <c r="E31" s="322"/>
      <c r="F31" s="323">
        <f t="shared" si="9"/>
        <v>0</v>
      </c>
      <c r="G31" s="322"/>
      <c r="H31" s="323">
        <f t="shared" si="10"/>
        <v>0</v>
      </c>
      <c r="I31" s="322"/>
      <c r="J31" s="323">
        <f t="shared" si="11"/>
        <v>0</v>
      </c>
      <c r="K31" s="325"/>
      <c r="L31" s="9"/>
      <c r="M31" s="9"/>
      <c r="N31" s="9"/>
      <c r="O31" s="9"/>
      <c r="P31" s="9"/>
      <c r="Q31" s="9"/>
      <c r="R31" s="9"/>
      <c r="S31" s="9"/>
      <c r="T31" s="9"/>
    </row>
    <row r="32" spans="1:20" ht="50.25" customHeight="1" x14ac:dyDescent="0.2">
      <c r="A32" s="185"/>
      <c r="B32" s="186">
        <v>18680.100000000002</v>
      </c>
      <c r="C32" s="311"/>
      <c r="D32" s="312">
        <f t="shared" si="8"/>
        <v>0</v>
      </c>
      <c r="E32" s="311">
        <v>0.33333000000000002</v>
      </c>
      <c r="F32" s="312">
        <f t="shared" si="9"/>
        <v>6226.6377330000014</v>
      </c>
      <c r="G32" s="311">
        <v>0.33333000000000002</v>
      </c>
      <c r="H32" s="312">
        <f t="shared" si="10"/>
        <v>6226.6377330000014</v>
      </c>
      <c r="I32" s="311">
        <v>0.33333000000000002</v>
      </c>
      <c r="J32" s="312">
        <f t="shared" si="11"/>
        <v>6226.6377330000014</v>
      </c>
      <c r="K32" s="313"/>
      <c r="L32" s="9"/>
      <c r="M32" s="9"/>
      <c r="N32" s="9"/>
      <c r="O32" s="9"/>
      <c r="P32" s="9"/>
      <c r="Q32" s="9"/>
      <c r="R32" s="9"/>
      <c r="S32" s="9"/>
      <c r="T32" s="9"/>
    </row>
    <row r="33" spans="1:25" s="140" customFormat="1" ht="50.25" customHeight="1" x14ac:dyDescent="0.2">
      <c r="A33" s="327"/>
      <c r="B33" s="186">
        <v>34479.849999999991</v>
      </c>
      <c r="C33" s="172"/>
      <c r="D33" s="171">
        <f t="shared" si="0"/>
        <v>0</v>
      </c>
      <c r="E33" s="172">
        <v>0.5</v>
      </c>
      <c r="F33" s="171">
        <f t="shared" si="1"/>
        <v>17239.924999999996</v>
      </c>
      <c r="G33" s="172">
        <v>0.5</v>
      </c>
      <c r="H33" s="171">
        <f t="shared" si="2"/>
        <v>17239.924999999996</v>
      </c>
      <c r="I33" s="172"/>
      <c r="J33" s="171">
        <f t="shared" si="3"/>
        <v>0</v>
      </c>
      <c r="K33" s="170"/>
    </row>
    <row r="34" spans="1:25" s="140" customFormat="1" ht="50.25" customHeight="1" x14ac:dyDescent="0.2">
      <c r="A34" s="319"/>
      <c r="B34" s="186">
        <v>17971.200000000004</v>
      </c>
      <c r="C34" s="172"/>
      <c r="D34" s="171">
        <f t="shared" si="0"/>
        <v>0</v>
      </c>
      <c r="E34" s="172">
        <v>1</v>
      </c>
      <c r="F34" s="171">
        <f t="shared" si="1"/>
        <v>17971.200000000004</v>
      </c>
      <c r="G34" s="172"/>
      <c r="H34" s="171">
        <f t="shared" si="2"/>
        <v>0</v>
      </c>
      <c r="I34" s="172"/>
      <c r="J34" s="171">
        <f t="shared" si="3"/>
        <v>0</v>
      </c>
      <c r="K34" s="170"/>
    </row>
    <row r="35" spans="1:25" ht="50.25" customHeight="1" x14ac:dyDescent="0.2">
      <c r="A35" s="185"/>
      <c r="B35" s="186">
        <v>132188.79999999999</v>
      </c>
      <c r="C35" s="322">
        <v>0.25</v>
      </c>
      <c r="D35" s="323">
        <f>C35*B35</f>
        <v>33047.199999999997</v>
      </c>
      <c r="E35" s="322">
        <v>0.25</v>
      </c>
      <c r="F35" s="323">
        <f>E35*B35</f>
        <v>33047.199999999997</v>
      </c>
      <c r="G35" s="322">
        <v>0.25</v>
      </c>
      <c r="H35" s="323">
        <f>G35*B35</f>
        <v>33047.199999999997</v>
      </c>
      <c r="I35" s="322">
        <v>0.25</v>
      </c>
      <c r="J35" s="323">
        <f>I35*B35</f>
        <v>33047.199999999997</v>
      </c>
      <c r="K35" s="324"/>
      <c r="L35" s="9"/>
      <c r="M35" s="9"/>
      <c r="N35" s="9"/>
      <c r="O35" s="9"/>
      <c r="P35" s="9"/>
      <c r="Q35" s="9"/>
      <c r="R35" s="9"/>
      <c r="S35" s="9"/>
      <c r="T35" s="9"/>
    </row>
    <row r="36" spans="1:25" ht="50.25" customHeight="1" x14ac:dyDescent="0.2">
      <c r="A36" s="319"/>
      <c r="B36" s="186">
        <v>46156.80000000001</v>
      </c>
      <c r="C36" s="311"/>
      <c r="D36" s="312">
        <f>C36*B36</f>
        <v>0</v>
      </c>
      <c r="E36" s="311">
        <v>0.5</v>
      </c>
      <c r="F36" s="312">
        <f>E36*B36</f>
        <v>23078.400000000005</v>
      </c>
      <c r="G36" s="311">
        <v>0.5</v>
      </c>
      <c r="H36" s="312">
        <f>G36*B36</f>
        <v>23078.400000000005</v>
      </c>
      <c r="I36" s="311"/>
      <c r="J36" s="312">
        <f>I36*B36</f>
        <v>0</v>
      </c>
      <c r="K36" s="313"/>
      <c r="L36" s="9"/>
      <c r="M36" s="9"/>
      <c r="N36" s="9"/>
      <c r="O36" s="9"/>
      <c r="P36" s="9"/>
      <c r="Q36" s="9"/>
      <c r="R36" s="9"/>
      <c r="S36" s="9"/>
      <c r="T36" s="9"/>
    </row>
    <row r="37" spans="1:25" ht="50.25" customHeight="1" x14ac:dyDescent="0.2">
      <c r="A37" s="185"/>
      <c r="B37" s="186">
        <v>179969.3</v>
      </c>
      <c r="C37" s="322"/>
      <c r="D37" s="323">
        <f>C37*B37</f>
        <v>0</v>
      </c>
      <c r="E37" s="322">
        <v>0.5</v>
      </c>
      <c r="F37" s="323">
        <f>E37*B37</f>
        <v>89984.65</v>
      </c>
      <c r="G37" s="322">
        <v>0.5</v>
      </c>
      <c r="H37" s="323">
        <f>G37*B37</f>
        <v>89984.65</v>
      </c>
      <c r="I37" s="322"/>
      <c r="J37" s="323">
        <f>I37*B37</f>
        <v>0</v>
      </c>
      <c r="K37" s="324"/>
      <c r="L37" s="9"/>
      <c r="M37" s="9"/>
      <c r="N37" s="9"/>
      <c r="O37" s="9"/>
      <c r="P37" s="9"/>
      <c r="Q37" s="9"/>
      <c r="R37" s="9"/>
      <c r="S37" s="9"/>
      <c r="T37" s="9"/>
    </row>
    <row r="38" spans="1:25" ht="50.25" customHeight="1" x14ac:dyDescent="0.2">
      <c r="A38" s="319"/>
      <c r="B38" s="186">
        <v>14246.4</v>
      </c>
      <c r="C38" s="172">
        <v>0.25</v>
      </c>
      <c r="D38" s="171">
        <f t="shared" si="0"/>
        <v>3561.6</v>
      </c>
      <c r="E38" s="172">
        <v>0.25</v>
      </c>
      <c r="F38" s="171">
        <f t="shared" si="1"/>
        <v>3561.6</v>
      </c>
      <c r="G38" s="172">
        <v>0.25</v>
      </c>
      <c r="H38" s="171">
        <f t="shared" si="2"/>
        <v>3561.6</v>
      </c>
      <c r="I38" s="172">
        <v>0.25</v>
      </c>
      <c r="J38" s="171">
        <f t="shared" si="3"/>
        <v>3561.6</v>
      </c>
      <c r="K38" s="170"/>
      <c r="L38" s="9"/>
      <c r="M38" s="9"/>
      <c r="N38" s="9"/>
      <c r="O38" s="9"/>
      <c r="P38" s="9"/>
      <c r="Q38" s="9"/>
      <c r="R38" s="9"/>
      <c r="S38" s="9"/>
      <c r="T38" s="9"/>
    </row>
    <row r="39" spans="1:25" x14ac:dyDescent="0.2">
      <c r="A39" s="184"/>
      <c r="B39" s="173">
        <f>SUM(B12:B38)</f>
        <v>1571394.3800000004</v>
      </c>
      <c r="C39" s="172"/>
      <c r="D39" s="171">
        <f>SUM(D12:D38)</f>
        <v>569522.116967479</v>
      </c>
      <c r="E39" s="172"/>
      <c r="F39" s="171">
        <f>SUM(F12:F38)</f>
        <v>617492.41356447886</v>
      </c>
      <c r="G39" s="172"/>
      <c r="H39" s="171">
        <f>SUM(H12:H38)</f>
        <v>320482.76066047896</v>
      </c>
      <c r="I39" s="172"/>
      <c r="J39" s="171">
        <f>SUM(J12:J38)</f>
        <v>63895.166772999997</v>
      </c>
      <c r="K39" s="170"/>
      <c r="L39" s="9"/>
      <c r="M39" s="9"/>
      <c r="N39" s="9"/>
      <c r="O39" s="9"/>
      <c r="P39" s="9"/>
      <c r="Q39" s="9"/>
      <c r="R39" s="9"/>
      <c r="S39" s="9"/>
      <c r="T39" s="9"/>
    </row>
    <row r="40" spans="1:25" x14ac:dyDescent="0.2">
      <c r="A40" s="169"/>
      <c r="B40" s="164" t="s">
        <v>136</v>
      </c>
      <c r="C40" s="162" t="s">
        <v>137</v>
      </c>
      <c r="D40" s="167" t="s">
        <v>10</v>
      </c>
      <c r="E40" s="162" t="s">
        <v>166</v>
      </c>
      <c r="F40" s="167" t="s">
        <v>10</v>
      </c>
      <c r="G40" s="168" t="s">
        <v>170</v>
      </c>
      <c r="H40" s="167" t="s">
        <v>10</v>
      </c>
      <c r="I40" s="168" t="s">
        <v>139</v>
      </c>
      <c r="J40" s="167" t="s">
        <v>10</v>
      </c>
      <c r="K40" s="166"/>
      <c r="L40" s="9"/>
      <c r="M40" s="9"/>
      <c r="N40" s="9"/>
      <c r="O40" s="9"/>
      <c r="P40" s="9"/>
      <c r="Q40" s="9"/>
      <c r="R40" s="9"/>
      <c r="S40" s="9"/>
      <c r="T40" s="9"/>
    </row>
    <row r="41" spans="1:25" x14ac:dyDescent="0.2">
      <c r="A41" s="165"/>
      <c r="B41" s="164" t="s">
        <v>138</v>
      </c>
      <c r="C41" s="163"/>
      <c r="D41" s="162">
        <f>D39/$B$39</f>
        <v>0.36243105118364932</v>
      </c>
      <c r="E41" s="163"/>
      <c r="F41" s="162">
        <f>F39/$B$39</f>
        <v>0.39295826778028742</v>
      </c>
      <c r="G41" s="162"/>
      <c r="H41" s="162">
        <f>H39/$B$39</f>
        <v>0.20394801250369682</v>
      </c>
      <c r="I41" s="162"/>
      <c r="J41" s="162">
        <f>J39/$B$39</f>
        <v>4.0661445392849112E-2</v>
      </c>
      <c r="K41" s="161"/>
      <c r="L41" s="9"/>
      <c r="M41" s="9"/>
      <c r="N41" s="9"/>
      <c r="O41" s="9"/>
      <c r="P41" s="9"/>
      <c r="Q41" s="9"/>
      <c r="R41" s="9"/>
      <c r="S41" s="9"/>
      <c r="T41" s="9"/>
    </row>
    <row r="43" spans="1:25" x14ac:dyDescent="0.2">
      <c r="Q43" s="158"/>
      <c r="R43" s="159"/>
      <c r="U43" s="158"/>
      <c r="V43" s="159"/>
      <c r="W43" s="158"/>
      <c r="X43" s="158"/>
      <c r="Y43" s="158"/>
    </row>
    <row r="44" spans="1:25" x14ac:dyDescent="0.2">
      <c r="Q44" s="158"/>
      <c r="R44" s="159"/>
      <c r="U44" s="158"/>
      <c r="V44" s="159"/>
      <c r="W44" s="158"/>
      <c r="X44" s="158"/>
      <c r="Y44" s="158"/>
    </row>
    <row r="45" spans="1:25" x14ac:dyDescent="0.2">
      <c r="Q45" s="158"/>
      <c r="R45" s="159"/>
      <c r="U45" s="158"/>
      <c r="V45" s="159"/>
      <c r="W45" s="158"/>
      <c r="X45" s="158"/>
      <c r="Y45" s="158"/>
    </row>
    <row r="46" spans="1:25" x14ac:dyDescent="0.2">
      <c r="Q46" s="158"/>
      <c r="R46" s="159"/>
      <c r="U46" s="158"/>
      <c r="V46" s="159"/>
      <c r="W46" s="158"/>
      <c r="X46" s="158"/>
      <c r="Y46" s="158"/>
    </row>
    <row r="47" spans="1:25" x14ac:dyDescent="0.2">
      <c r="Q47" s="158"/>
      <c r="R47" s="159"/>
      <c r="U47" s="158"/>
      <c r="V47" s="159"/>
      <c r="W47" s="158"/>
      <c r="X47" s="158"/>
      <c r="Y47" s="158"/>
    </row>
    <row r="48" spans="1:25" ht="23.5" customHeight="1" x14ac:dyDescent="0.2">
      <c r="Q48" s="158"/>
      <c r="R48" s="159"/>
      <c r="U48" s="158"/>
      <c r="V48" s="159"/>
      <c r="W48" s="158"/>
      <c r="X48" s="158"/>
      <c r="Y48" s="158"/>
    </row>
    <row r="49" spans="17:25" x14ac:dyDescent="0.2">
      <c r="Q49" s="158"/>
      <c r="R49" s="159"/>
      <c r="U49" s="158"/>
      <c r="V49" s="159"/>
      <c r="W49" s="158"/>
      <c r="X49" s="158"/>
      <c r="Y49" s="158"/>
    </row>
    <row r="50" spans="17:25" x14ac:dyDescent="0.2">
      <c r="Q50" s="158"/>
      <c r="R50" s="159"/>
      <c r="U50" s="158"/>
      <c r="V50" s="159"/>
      <c r="W50" s="158"/>
      <c r="X50" s="158"/>
      <c r="Y50" s="158"/>
    </row>
    <row r="51" spans="17:25" x14ac:dyDescent="0.2">
      <c r="Q51" s="158"/>
      <c r="R51" s="159"/>
      <c r="U51" s="158"/>
      <c r="V51" s="159"/>
      <c r="W51" s="158"/>
      <c r="X51" s="158"/>
      <c r="Y51" s="158"/>
    </row>
    <row r="52" spans="17:25" x14ac:dyDescent="0.2">
      <c r="Q52" s="158"/>
      <c r="R52" s="159"/>
      <c r="U52" s="158"/>
      <c r="V52" s="159"/>
      <c r="W52" s="158"/>
      <c r="X52" s="158"/>
      <c r="Y52" s="158"/>
    </row>
  </sheetData>
  <sheetProtection algorithmName="SHA-512" hashValue="WRDln9i19ED/lb99OigIctAkSPmlZ2AL4+hAaG6FtR8gtE5rvgGCzVjl3cMV2y9rGhs6ZUujda6ctX07AsugEg==" saltValue="UJ3zbKXBtKVmk4AKZW0Ejg==" spinCount="100000" sheet="1" objects="1" scenarios="1"/>
  <pageMargins left="0.7" right="0.7" top="0.75" bottom="0.75" header="0.3" footer="0.3"/>
  <pageSetup paperSize="9" scale="67" orientation="landscape"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4" baseType="variant">
      <vt:variant>
        <vt:lpstr>Werkbladen</vt:lpstr>
      </vt:variant>
      <vt:variant>
        <vt:i4>16</vt:i4>
      </vt:variant>
      <vt:variant>
        <vt:lpstr>Benoemde bereiken</vt:lpstr>
      </vt:variant>
      <vt:variant>
        <vt:i4>4</vt:i4>
      </vt:variant>
    </vt:vector>
  </HeadingPairs>
  <TitlesOfParts>
    <vt:vector size="20" baseType="lpstr">
      <vt:lpstr>Inhoud</vt:lpstr>
      <vt:lpstr>Doorrekening over jaren</vt:lpstr>
      <vt:lpstr>Bolsward REKENMODEL</vt:lpstr>
      <vt:lpstr>Buitengebied REKENMODEL</vt:lpstr>
      <vt:lpstr>Sneek Noord REKENMODEL</vt:lpstr>
      <vt:lpstr>Sneek Zuid REKENMODEL</vt:lpstr>
      <vt:lpstr>Eenheden 2019</vt:lpstr>
      <vt:lpstr>Bolsward doelgroepen</vt:lpstr>
      <vt:lpstr>Buitengebied doelgroepen</vt:lpstr>
      <vt:lpstr>Sneek Noord doelgroepen</vt:lpstr>
      <vt:lpstr>Sneek Zuid doelgroepen</vt:lpstr>
      <vt:lpstr>producten &amp; tarieven</vt:lpstr>
      <vt:lpstr>Declarabiliteit &amp; soc lasten</vt:lpstr>
      <vt:lpstr>Salarissen</vt:lpstr>
      <vt:lpstr>T-effecten</vt:lpstr>
      <vt:lpstr>Investeringen</vt:lpstr>
      <vt:lpstr>'Bolsward REKENMODEL'!Afdrukbereik</vt:lpstr>
      <vt:lpstr>'Buitengebied REKENMODEL'!Afdrukbereik</vt:lpstr>
      <vt:lpstr>'Sneek Noord REKENMODEL'!Afdrukbereik</vt:lpstr>
      <vt:lpstr>'Sneek Zuid REKENMODEL'!Afdrukbereik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Koers</dc:creator>
  <cp:lastModifiedBy>Nico Dam</cp:lastModifiedBy>
  <cp:lastPrinted>2020-11-16T12:52:45Z</cp:lastPrinted>
  <dcterms:created xsi:type="dcterms:W3CDTF">2018-02-26T12:36:58Z</dcterms:created>
  <dcterms:modified xsi:type="dcterms:W3CDTF">2021-05-07T10:32:05Z</dcterms:modified>
</cp:coreProperties>
</file>