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Inkoopprojecten\Infra &amp; Facilitair\2021-03 Schoonmaak metrostations en tramhaltes\10. Productie aanbestedingsleidraad en bijlagen\"/>
    </mc:Choice>
  </mc:AlternateContent>
  <xr:revisionPtr revIDLastSave="0" documentId="8_{19823059-D63C-46F0-9B75-A6392CF2912C}" xr6:coauthVersionLast="45" xr6:coauthVersionMax="45" xr10:uidLastSave="{00000000-0000-0000-0000-000000000000}"/>
  <bookViews>
    <workbookView xWindow="-120" yWindow="-120" windowWidth="20730" windowHeight="11160" firstSheet="1" activeTab="1" xr2:uid="{7ED9BF35-BE5E-439A-925B-AD7796BE9A6A}"/>
  </bookViews>
  <sheets>
    <sheet name="Mutatieblad" sheetId="70" r:id="rId1"/>
    <sheet name="1-Inschrijfstaat" sheetId="38" r:id="rId2"/>
    <sheet name="2-Kosten per locatie" sheetId="39" r:id="rId3"/>
    <sheet name="3-Ruimtestaat" sheetId="2" r:id="rId4"/>
    <sheet name="4-Kengetal" sheetId="42" r:id="rId5"/>
    <sheet name="5-Aanvullend" sheetId="44" r:id="rId6"/>
    <sheet name="6-Sanitaire voorzieningen" sheetId="45" r:id="rId7"/>
    <sheet name="7-Gladheidsbestrijding" sheetId="73" r:id="rId8"/>
    <sheet name="8- Afroepprijs" sheetId="48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Fill" localSheetId="7" hidden="1">'[1]#REF'!#REF!</definedName>
    <definedName name="_Fill" localSheetId="0" hidden="1">'[1]#REF'!#REF!</definedName>
    <definedName name="_Fill" hidden="1">'[1]#REF'!#REF!</definedName>
    <definedName name="_xlnm._FilterDatabase" localSheetId="2" hidden="1">'2-Kosten per locatie'!$A$14:$R$65</definedName>
    <definedName name="_xlnm._FilterDatabase" localSheetId="3" hidden="1">'3-Ruimtestaat'!$A$11:$AS$1310</definedName>
    <definedName name="_xlnm._FilterDatabase" localSheetId="4" hidden="1">'4-Kengetal'!$A$11:$U$45</definedName>
    <definedName name="_xlnm._FilterDatabase" localSheetId="5" hidden="1">'5-Aanvullend'!$A$15:$W$42</definedName>
    <definedName name="_xlnm._FilterDatabase" localSheetId="7" hidden="1">'7-Gladheidsbestrijding'!$D$47:$D$95</definedName>
    <definedName name="_Key1" localSheetId="7" hidden="1">'[1]#REF'!#REF!</definedName>
    <definedName name="_Key1" localSheetId="0" hidden="1">'[1]#REF'!#REF!</definedName>
    <definedName name="_Key1" hidden="1">'[1]#REF'!#REF!</definedName>
    <definedName name="_Order1" hidden="1">255</definedName>
    <definedName name="_Table1_In1" localSheetId="7" hidden="1">#REF!</definedName>
    <definedName name="_Table1_In1" localSheetId="0" hidden="1">#REF!</definedName>
    <definedName name="_Table1_In1" hidden="1">#REF!</definedName>
    <definedName name="_Table1_Out" localSheetId="7" hidden="1">#REF!</definedName>
    <definedName name="_Table1_Out" localSheetId="0" hidden="1">#REF!</definedName>
    <definedName name="_Table1_Out" hidden="1">#REF!</definedName>
    <definedName name="_xlnm.Print_Area" localSheetId="1">'1-Inschrijfstaat'!$A$1:$I$74</definedName>
    <definedName name="_xlnm.Print_Area" localSheetId="3">'3-Ruimtestaat'!$B$3:$AO$1310</definedName>
    <definedName name="_xlnm.Print_Titles" localSheetId="3">'3-Ruimtestaat'!$11:$11</definedName>
    <definedName name="dffdf" localSheetId="7" hidden="1">'[1]#REF'!#REF!</definedName>
    <definedName name="dffdf" hidden="1">'[1]#REF'!#REF!</definedName>
    <definedName name="fghf" localSheetId="7" hidden="1">'[1]#REF'!#REF!</definedName>
    <definedName name="fghf" hidden="1">'[1]#REF'!#REF!</definedName>
    <definedName name="glassoort" localSheetId="0">'[2]10-Glasstaat'!$I$2:$J$14</definedName>
    <definedName name="Glassoort">#REF!</definedName>
    <definedName name="Glassoort2">#REF!</definedName>
    <definedName name="gs" localSheetId="7" hidden="1">'[1]#REF'!#REF!</definedName>
    <definedName name="gs" localSheetId="0" hidden="1">'[1]#REF'!#REF!</definedName>
    <definedName name="gs" hidden="1">'[1]#REF'!#REF!</definedName>
    <definedName name="han" localSheetId="7" hidden="1">'[1]#REF'!#REF!</definedName>
    <definedName name="han" hidden="1">'[1]#REF'!#REF!</definedName>
    <definedName name="hjkjhkj">'[3]2-Kengetal'!$A$10:$L$37</definedName>
    <definedName name="KengCode">'[4]2-Kengetal'!$A$9:$M$56</definedName>
    <definedName name="Kengetal" localSheetId="7">'[5]4-Kengetal'!$A$12:$S$66</definedName>
    <definedName name="Kengetal" localSheetId="0">'[2]4-Kengetal'!$A$12:$S$64</definedName>
    <definedName name="Kengetal">'4-Kengetal'!$A$12:$T$46</definedName>
    <definedName name="Kentalnvb">[6]Kengetal!$A$10:$H$58</definedName>
    <definedName name="kjh" hidden="1">'[1]#REF'!#REF!</definedName>
    <definedName name="Lijn">'[4]3-Basis ruimtestaat'!$C:$C</definedName>
    <definedName name="lll">'[7]3-Basis ruimtestaat'!$O:$O</definedName>
    <definedName name="mavr">'[8]3-Basis ruimtestaat'!$M:$M</definedName>
    <definedName name="naloop">'[8]3-Basis ruimtestaat'!$N:$N</definedName>
    <definedName name="uren_zazofe">'[9]4-Basis ruimtestaat'!$O:$O</definedName>
    <definedName name="uurt">[10]Uurtarieven!$F$57</definedName>
    <definedName name="VloerK">'[11]Basis ruimtestaat'!$W:$W</definedName>
    <definedName name="VloerM">'[11]Basis ruimtestaat'!$K:$V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1" i="44" l="1"/>
  <c r="M41" i="44" s="1"/>
  <c r="L40" i="44"/>
  <c r="M40" i="44" s="1"/>
  <c r="L39" i="44"/>
  <c r="M39" i="44" s="1"/>
  <c r="L38" i="44"/>
  <c r="M38" i="44" s="1"/>
  <c r="L37" i="44"/>
  <c r="M37" i="44" s="1"/>
  <c r="L36" i="44"/>
  <c r="M36" i="44" s="1"/>
  <c r="L35" i="44"/>
  <c r="M35" i="44" s="1"/>
  <c r="L34" i="44"/>
  <c r="M34" i="44" s="1"/>
  <c r="L33" i="44"/>
  <c r="M33" i="44" s="1"/>
  <c r="L32" i="44"/>
  <c r="M32" i="44" s="1"/>
  <c r="L31" i="44"/>
  <c r="M31" i="44" s="1"/>
  <c r="L30" i="44"/>
  <c r="M30" i="44" s="1"/>
  <c r="L29" i="44"/>
  <c r="M29" i="44" s="1"/>
  <c r="L28" i="44"/>
  <c r="M28" i="44" s="1"/>
  <c r="L27" i="44"/>
  <c r="M27" i="44" s="1"/>
  <c r="L26" i="44"/>
  <c r="M26" i="44" s="1"/>
  <c r="L25" i="44"/>
  <c r="M25" i="44" s="1"/>
  <c r="L24" i="44"/>
  <c r="M24" i="44" s="1"/>
  <c r="C24" i="44"/>
  <c r="C25" i="44"/>
  <c r="C26" i="44"/>
  <c r="C27" i="44"/>
  <c r="C28" i="44"/>
  <c r="C29" i="44"/>
  <c r="C30" i="44"/>
  <c r="C31" i="44"/>
  <c r="C32" i="44"/>
  <c r="C33" i="44"/>
  <c r="C34" i="44"/>
  <c r="C35" i="44"/>
  <c r="C36" i="44"/>
  <c r="C37" i="44"/>
  <c r="C38" i="44"/>
  <c r="C39" i="44"/>
  <c r="C40" i="44"/>
  <c r="C41" i="44"/>
  <c r="E20" i="38" l="1"/>
  <c r="A2" i="2" l="1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H25" i="73"/>
  <c r="H26" i="73"/>
  <c r="H27" i="73"/>
  <c r="H24" i="73"/>
  <c r="H21" i="73"/>
  <c r="H22" i="73"/>
  <c r="H23" i="73"/>
  <c r="H20" i="73"/>
  <c r="B23" i="73" l="1"/>
  <c r="B22" i="73"/>
  <c r="B21" i="73"/>
  <c r="B9" i="73" l="1"/>
  <c r="B8" i="73"/>
  <c r="B7" i="73"/>
  <c r="B6" i="73"/>
  <c r="B5" i="73"/>
  <c r="B4" i="73"/>
  <c r="B3" i="73"/>
  <c r="H15" i="73"/>
  <c r="F55" i="73"/>
  <c r="F61" i="73"/>
  <c r="F63" i="73"/>
  <c r="F83" i="73"/>
  <c r="F91" i="73"/>
  <c r="F94" i="73"/>
  <c r="E96" i="73"/>
  <c r="B20" i="73" l="1"/>
  <c r="H16" i="73"/>
  <c r="F96" i="73"/>
  <c r="A47" i="38"/>
  <c r="H17" i="73"/>
  <c r="H14" i="73"/>
  <c r="B27" i="73" l="1"/>
  <c r="B26" i="73"/>
  <c r="B25" i="73"/>
  <c r="B24" i="73"/>
  <c r="H34" i="73"/>
  <c r="H47" i="38" l="1"/>
  <c r="I44" i="42"/>
  <c r="I43" i="42"/>
  <c r="I42" i="42"/>
  <c r="I41" i="42"/>
  <c r="I40" i="42"/>
  <c r="I39" i="42"/>
  <c r="I38" i="42"/>
  <c r="I37" i="42"/>
  <c r="I36" i="42"/>
  <c r="I35" i="42"/>
  <c r="I34" i="42"/>
  <c r="I33" i="42"/>
  <c r="I32" i="42"/>
  <c r="I31" i="42"/>
  <c r="I30" i="42"/>
  <c r="I29" i="42"/>
  <c r="I28" i="42"/>
  <c r="I27" i="42"/>
  <c r="I26" i="42"/>
  <c r="I25" i="42"/>
  <c r="I24" i="42"/>
  <c r="I23" i="42"/>
  <c r="I22" i="42"/>
  <c r="I21" i="42"/>
  <c r="I20" i="42"/>
  <c r="I19" i="42"/>
  <c r="I18" i="42"/>
  <c r="I17" i="42"/>
  <c r="I16" i="42"/>
  <c r="I15" i="42"/>
  <c r="I14" i="42"/>
  <c r="I13" i="42"/>
  <c r="I12" i="42"/>
  <c r="Q1310" i="2"/>
  <c r="P1310" i="2"/>
  <c r="O1310" i="2"/>
  <c r="N1310" i="2"/>
  <c r="M1310" i="2"/>
  <c r="L1310" i="2"/>
  <c r="K1310" i="2"/>
  <c r="Q1309" i="2"/>
  <c r="P1309" i="2"/>
  <c r="O1309" i="2"/>
  <c r="N1309" i="2"/>
  <c r="M1309" i="2"/>
  <c r="L1309" i="2"/>
  <c r="K1309" i="2"/>
  <c r="Q1308" i="2"/>
  <c r="P1308" i="2"/>
  <c r="O1308" i="2"/>
  <c r="N1308" i="2"/>
  <c r="M1308" i="2"/>
  <c r="L1308" i="2"/>
  <c r="K1308" i="2"/>
  <c r="Q1307" i="2"/>
  <c r="P1307" i="2"/>
  <c r="O1307" i="2"/>
  <c r="N1307" i="2"/>
  <c r="M1307" i="2"/>
  <c r="L1307" i="2"/>
  <c r="K1307" i="2"/>
  <c r="Q1306" i="2"/>
  <c r="P1306" i="2"/>
  <c r="O1306" i="2"/>
  <c r="N1306" i="2"/>
  <c r="M1306" i="2"/>
  <c r="L1306" i="2"/>
  <c r="K1306" i="2"/>
  <c r="Q1305" i="2"/>
  <c r="P1305" i="2"/>
  <c r="O1305" i="2"/>
  <c r="N1305" i="2"/>
  <c r="M1305" i="2"/>
  <c r="L1305" i="2"/>
  <c r="K1305" i="2"/>
  <c r="Q1304" i="2"/>
  <c r="P1304" i="2"/>
  <c r="O1304" i="2"/>
  <c r="N1304" i="2"/>
  <c r="M1304" i="2"/>
  <c r="L1304" i="2"/>
  <c r="K1304" i="2"/>
  <c r="Q1303" i="2"/>
  <c r="P1303" i="2"/>
  <c r="O1303" i="2"/>
  <c r="N1303" i="2"/>
  <c r="M1303" i="2"/>
  <c r="L1303" i="2"/>
  <c r="K1303" i="2"/>
  <c r="Q1302" i="2"/>
  <c r="P1302" i="2"/>
  <c r="O1302" i="2"/>
  <c r="N1302" i="2"/>
  <c r="M1302" i="2"/>
  <c r="L1302" i="2"/>
  <c r="K1302" i="2"/>
  <c r="Q1301" i="2"/>
  <c r="P1301" i="2"/>
  <c r="O1301" i="2"/>
  <c r="N1301" i="2"/>
  <c r="M1301" i="2"/>
  <c r="L1301" i="2"/>
  <c r="K1301" i="2"/>
  <c r="Q1300" i="2"/>
  <c r="P1300" i="2"/>
  <c r="O1300" i="2"/>
  <c r="N1300" i="2"/>
  <c r="M1300" i="2"/>
  <c r="L1300" i="2"/>
  <c r="K1300" i="2"/>
  <c r="Q1299" i="2"/>
  <c r="P1299" i="2"/>
  <c r="O1299" i="2"/>
  <c r="N1299" i="2"/>
  <c r="M1299" i="2"/>
  <c r="L1299" i="2"/>
  <c r="K1299" i="2"/>
  <c r="Q1298" i="2"/>
  <c r="P1298" i="2"/>
  <c r="O1298" i="2"/>
  <c r="N1298" i="2"/>
  <c r="M1298" i="2"/>
  <c r="L1298" i="2"/>
  <c r="K1298" i="2"/>
  <c r="Q1297" i="2"/>
  <c r="P1297" i="2"/>
  <c r="O1297" i="2"/>
  <c r="N1297" i="2"/>
  <c r="M1297" i="2"/>
  <c r="L1297" i="2"/>
  <c r="K1297" i="2"/>
  <c r="Q1296" i="2"/>
  <c r="P1296" i="2"/>
  <c r="O1296" i="2"/>
  <c r="N1296" i="2"/>
  <c r="M1296" i="2"/>
  <c r="L1296" i="2"/>
  <c r="K1296" i="2"/>
  <c r="Q1295" i="2"/>
  <c r="P1295" i="2"/>
  <c r="O1295" i="2"/>
  <c r="N1295" i="2"/>
  <c r="M1295" i="2"/>
  <c r="L1295" i="2"/>
  <c r="K1295" i="2"/>
  <c r="Q1294" i="2"/>
  <c r="P1294" i="2"/>
  <c r="O1294" i="2"/>
  <c r="N1294" i="2"/>
  <c r="M1294" i="2"/>
  <c r="L1294" i="2"/>
  <c r="K1294" i="2"/>
  <c r="Q1293" i="2"/>
  <c r="P1293" i="2"/>
  <c r="O1293" i="2"/>
  <c r="N1293" i="2"/>
  <c r="M1293" i="2"/>
  <c r="L1293" i="2"/>
  <c r="K1293" i="2"/>
  <c r="Q1292" i="2"/>
  <c r="P1292" i="2"/>
  <c r="O1292" i="2"/>
  <c r="N1292" i="2"/>
  <c r="M1292" i="2"/>
  <c r="L1292" i="2"/>
  <c r="K1292" i="2"/>
  <c r="Q1291" i="2"/>
  <c r="P1291" i="2"/>
  <c r="O1291" i="2"/>
  <c r="N1291" i="2"/>
  <c r="M1291" i="2"/>
  <c r="L1291" i="2"/>
  <c r="K1291" i="2"/>
  <c r="Q1290" i="2"/>
  <c r="P1290" i="2"/>
  <c r="O1290" i="2"/>
  <c r="N1290" i="2"/>
  <c r="M1290" i="2"/>
  <c r="L1290" i="2"/>
  <c r="K1290" i="2"/>
  <c r="Q1289" i="2"/>
  <c r="P1289" i="2"/>
  <c r="O1289" i="2"/>
  <c r="N1289" i="2"/>
  <c r="M1289" i="2"/>
  <c r="L1289" i="2"/>
  <c r="K1289" i="2"/>
  <c r="Q1288" i="2"/>
  <c r="P1288" i="2"/>
  <c r="O1288" i="2"/>
  <c r="N1288" i="2"/>
  <c r="M1288" i="2"/>
  <c r="L1288" i="2"/>
  <c r="K1288" i="2"/>
  <c r="Q1287" i="2"/>
  <c r="P1287" i="2"/>
  <c r="O1287" i="2"/>
  <c r="N1287" i="2"/>
  <c r="M1287" i="2"/>
  <c r="L1287" i="2"/>
  <c r="K1287" i="2"/>
  <c r="Q1286" i="2"/>
  <c r="P1286" i="2"/>
  <c r="O1286" i="2"/>
  <c r="N1286" i="2"/>
  <c r="M1286" i="2"/>
  <c r="L1286" i="2"/>
  <c r="K1286" i="2"/>
  <c r="Q1285" i="2"/>
  <c r="P1285" i="2"/>
  <c r="O1285" i="2"/>
  <c r="N1285" i="2"/>
  <c r="M1285" i="2"/>
  <c r="L1285" i="2"/>
  <c r="K1285" i="2"/>
  <c r="Q1284" i="2"/>
  <c r="P1284" i="2"/>
  <c r="O1284" i="2"/>
  <c r="N1284" i="2"/>
  <c r="M1284" i="2"/>
  <c r="L1284" i="2"/>
  <c r="K1284" i="2"/>
  <c r="Q1283" i="2"/>
  <c r="P1283" i="2"/>
  <c r="O1283" i="2"/>
  <c r="N1283" i="2"/>
  <c r="M1283" i="2"/>
  <c r="L1283" i="2"/>
  <c r="K1283" i="2"/>
  <c r="Q1282" i="2"/>
  <c r="P1282" i="2"/>
  <c r="O1282" i="2"/>
  <c r="N1282" i="2"/>
  <c r="M1282" i="2"/>
  <c r="L1282" i="2"/>
  <c r="K1282" i="2"/>
  <c r="Q1281" i="2"/>
  <c r="P1281" i="2"/>
  <c r="O1281" i="2"/>
  <c r="N1281" i="2"/>
  <c r="M1281" i="2"/>
  <c r="L1281" i="2"/>
  <c r="K1281" i="2"/>
  <c r="Q1280" i="2"/>
  <c r="P1280" i="2"/>
  <c r="O1280" i="2"/>
  <c r="N1280" i="2"/>
  <c r="M1280" i="2"/>
  <c r="L1280" i="2"/>
  <c r="K1280" i="2"/>
  <c r="Q1279" i="2"/>
  <c r="P1279" i="2"/>
  <c r="O1279" i="2"/>
  <c r="N1279" i="2"/>
  <c r="M1279" i="2"/>
  <c r="L1279" i="2"/>
  <c r="K1279" i="2"/>
  <c r="Q1278" i="2"/>
  <c r="P1278" i="2"/>
  <c r="O1278" i="2"/>
  <c r="N1278" i="2"/>
  <c r="M1278" i="2"/>
  <c r="L1278" i="2"/>
  <c r="K1278" i="2"/>
  <c r="Q1277" i="2"/>
  <c r="P1277" i="2"/>
  <c r="O1277" i="2"/>
  <c r="N1277" i="2"/>
  <c r="M1277" i="2"/>
  <c r="L1277" i="2"/>
  <c r="K1277" i="2"/>
  <c r="Q1276" i="2"/>
  <c r="P1276" i="2"/>
  <c r="O1276" i="2"/>
  <c r="N1276" i="2"/>
  <c r="M1276" i="2"/>
  <c r="L1276" i="2"/>
  <c r="K1276" i="2"/>
  <c r="Q1275" i="2"/>
  <c r="P1275" i="2"/>
  <c r="O1275" i="2"/>
  <c r="N1275" i="2"/>
  <c r="M1275" i="2"/>
  <c r="L1275" i="2"/>
  <c r="K1275" i="2"/>
  <c r="Q1274" i="2"/>
  <c r="P1274" i="2"/>
  <c r="O1274" i="2"/>
  <c r="N1274" i="2"/>
  <c r="M1274" i="2"/>
  <c r="L1274" i="2"/>
  <c r="K1274" i="2"/>
  <c r="Q1273" i="2"/>
  <c r="P1273" i="2"/>
  <c r="O1273" i="2"/>
  <c r="N1273" i="2"/>
  <c r="M1273" i="2"/>
  <c r="L1273" i="2"/>
  <c r="K1273" i="2"/>
  <c r="Q1272" i="2"/>
  <c r="P1272" i="2"/>
  <c r="O1272" i="2"/>
  <c r="N1272" i="2"/>
  <c r="M1272" i="2"/>
  <c r="L1272" i="2"/>
  <c r="K1272" i="2"/>
  <c r="Q1271" i="2"/>
  <c r="P1271" i="2"/>
  <c r="O1271" i="2"/>
  <c r="N1271" i="2"/>
  <c r="M1271" i="2"/>
  <c r="L1271" i="2"/>
  <c r="K1271" i="2"/>
  <c r="Q1270" i="2"/>
  <c r="P1270" i="2"/>
  <c r="O1270" i="2"/>
  <c r="N1270" i="2"/>
  <c r="M1270" i="2"/>
  <c r="L1270" i="2"/>
  <c r="K1270" i="2"/>
  <c r="Q1269" i="2"/>
  <c r="P1269" i="2"/>
  <c r="O1269" i="2"/>
  <c r="N1269" i="2"/>
  <c r="M1269" i="2"/>
  <c r="L1269" i="2"/>
  <c r="K1269" i="2"/>
  <c r="Q1268" i="2"/>
  <c r="P1268" i="2"/>
  <c r="O1268" i="2"/>
  <c r="N1268" i="2"/>
  <c r="M1268" i="2"/>
  <c r="L1268" i="2"/>
  <c r="K1268" i="2"/>
  <c r="Q1267" i="2"/>
  <c r="P1267" i="2"/>
  <c r="O1267" i="2"/>
  <c r="N1267" i="2"/>
  <c r="M1267" i="2"/>
  <c r="L1267" i="2"/>
  <c r="K1267" i="2"/>
  <c r="Q1266" i="2"/>
  <c r="P1266" i="2"/>
  <c r="O1266" i="2"/>
  <c r="N1266" i="2"/>
  <c r="M1266" i="2"/>
  <c r="L1266" i="2"/>
  <c r="K1266" i="2"/>
  <c r="Q1265" i="2"/>
  <c r="P1265" i="2"/>
  <c r="O1265" i="2"/>
  <c r="N1265" i="2"/>
  <c r="M1265" i="2"/>
  <c r="L1265" i="2"/>
  <c r="K1265" i="2"/>
  <c r="Q1264" i="2"/>
  <c r="P1264" i="2"/>
  <c r="O1264" i="2"/>
  <c r="N1264" i="2"/>
  <c r="M1264" i="2"/>
  <c r="L1264" i="2"/>
  <c r="K1264" i="2"/>
  <c r="Q1263" i="2"/>
  <c r="P1263" i="2"/>
  <c r="O1263" i="2"/>
  <c r="N1263" i="2"/>
  <c r="M1263" i="2"/>
  <c r="L1263" i="2"/>
  <c r="K1263" i="2"/>
  <c r="Q1262" i="2"/>
  <c r="P1262" i="2"/>
  <c r="O1262" i="2"/>
  <c r="N1262" i="2"/>
  <c r="M1262" i="2"/>
  <c r="L1262" i="2"/>
  <c r="K1262" i="2"/>
  <c r="Q1261" i="2"/>
  <c r="P1261" i="2"/>
  <c r="O1261" i="2"/>
  <c r="N1261" i="2"/>
  <c r="M1261" i="2"/>
  <c r="L1261" i="2"/>
  <c r="K1261" i="2"/>
  <c r="Q1260" i="2"/>
  <c r="P1260" i="2"/>
  <c r="O1260" i="2"/>
  <c r="N1260" i="2"/>
  <c r="M1260" i="2"/>
  <c r="L1260" i="2"/>
  <c r="K1260" i="2"/>
  <c r="Q1259" i="2"/>
  <c r="P1259" i="2"/>
  <c r="O1259" i="2"/>
  <c r="N1259" i="2"/>
  <c r="M1259" i="2"/>
  <c r="L1259" i="2"/>
  <c r="K1259" i="2"/>
  <c r="Q1258" i="2"/>
  <c r="P1258" i="2"/>
  <c r="O1258" i="2"/>
  <c r="N1258" i="2"/>
  <c r="M1258" i="2"/>
  <c r="L1258" i="2"/>
  <c r="K1258" i="2"/>
  <c r="Q1257" i="2"/>
  <c r="P1257" i="2"/>
  <c r="O1257" i="2"/>
  <c r="N1257" i="2"/>
  <c r="M1257" i="2"/>
  <c r="L1257" i="2"/>
  <c r="K1257" i="2"/>
  <c r="Q1256" i="2"/>
  <c r="P1256" i="2"/>
  <c r="O1256" i="2"/>
  <c r="N1256" i="2"/>
  <c r="M1256" i="2"/>
  <c r="L1256" i="2"/>
  <c r="K1256" i="2"/>
  <c r="Q1255" i="2"/>
  <c r="P1255" i="2"/>
  <c r="O1255" i="2"/>
  <c r="N1255" i="2"/>
  <c r="M1255" i="2"/>
  <c r="L1255" i="2"/>
  <c r="K1255" i="2"/>
  <c r="Q1254" i="2"/>
  <c r="P1254" i="2"/>
  <c r="O1254" i="2"/>
  <c r="N1254" i="2"/>
  <c r="M1254" i="2"/>
  <c r="L1254" i="2"/>
  <c r="K1254" i="2"/>
  <c r="Q1253" i="2"/>
  <c r="P1253" i="2"/>
  <c r="O1253" i="2"/>
  <c r="N1253" i="2"/>
  <c r="M1253" i="2"/>
  <c r="L1253" i="2"/>
  <c r="K1253" i="2"/>
  <c r="Q1252" i="2"/>
  <c r="P1252" i="2"/>
  <c r="O1252" i="2"/>
  <c r="N1252" i="2"/>
  <c r="M1252" i="2"/>
  <c r="L1252" i="2"/>
  <c r="K1252" i="2"/>
  <c r="Q1251" i="2"/>
  <c r="P1251" i="2"/>
  <c r="O1251" i="2"/>
  <c r="N1251" i="2"/>
  <c r="M1251" i="2"/>
  <c r="L1251" i="2"/>
  <c r="K1251" i="2"/>
  <c r="Q1250" i="2"/>
  <c r="P1250" i="2"/>
  <c r="O1250" i="2"/>
  <c r="N1250" i="2"/>
  <c r="M1250" i="2"/>
  <c r="L1250" i="2"/>
  <c r="K1250" i="2"/>
  <c r="Q1249" i="2"/>
  <c r="P1249" i="2"/>
  <c r="O1249" i="2"/>
  <c r="N1249" i="2"/>
  <c r="M1249" i="2"/>
  <c r="L1249" i="2"/>
  <c r="K1249" i="2"/>
  <c r="Q1248" i="2"/>
  <c r="P1248" i="2"/>
  <c r="O1248" i="2"/>
  <c r="N1248" i="2"/>
  <c r="M1248" i="2"/>
  <c r="L1248" i="2"/>
  <c r="K1248" i="2"/>
  <c r="Q1247" i="2"/>
  <c r="P1247" i="2"/>
  <c r="O1247" i="2"/>
  <c r="N1247" i="2"/>
  <c r="M1247" i="2"/>
  <c r="L1247" i="2"/>
  <c r="K1247" i="2"/>
  <c r="Q1246" i="2"/>
  <c r="P1246" i="2"/>
  <c r="O1246" i="2"/>
  <c r="N1246" i="2"/>
  <c r="M1246" i="2"/>
  <c r="L1246" i="2"/>
  <c r="K1246" i="2"/>
  <c r="Q1245" i="2"/>
  <c r="P1245" i="2"/>
  <c r="O1245" i="2"/>
  <c r="N1245" i="2"/>
  <c r="M1245" i="2"/>
  <c r="L1245" i="2"/>
  <c r="K1245" i="2"/>
  <c r="Q1244" i="2"/>
  <c r="P1244" i="2"/>
  <c r="O1244" i="2"/>
  <c r="N1244" i="2"/>
  <c r="M1244" i="2"/>
  <c r="L1244" i="2"/>
  <c r="K1244" i="2"/>
  <c r="Q1243" i="2"/>
  <c r="P1243" i="2"/>
  <c r="O1243" i="2"/>
  <c r="N1243" i="2"/>
  <c r="M1243" i="2"/>
  <c r="L1243" i="2"/>
  <c r="K1243" i="2"/>
  <c r="Q1242" i="2"/>
  <c r="P1242" i="2"/>
  <c r="O1242" i="2"/>
  <c r="N1242" i="2"/>
  <c r="M1242" i="2"/>
  <c r="L1242" i="2"/>
  <c r="K1242" i="2"/>
  <c r="Q1241" i="2"/>
  <c r="P1241" i="2"/>
  <c r="O1241" i="2"/>
  <c r="N1241" i="2"/>
  <c r="M1241" i="2"/>
  <c r="L1241" i="2"/>
  <c r="K1241" i="2"/>
  <c r="Q1240" i="2"/>
  <c r="P1240" i="2"/>
  <c r="O1240" i="2"/>
  <c r="N1240" i="2"/>
  <c r="M1240" i="2"/>
  <c r="L1240" i="2"/>
  <c r="K1240" i="2"/>
  <c r="Q1239" i="2"/>
  <c r="P1239" i="2"/>
  <c r="O1239" i="2"/>
  <c r="N1239" i="2"/>
  <c r="M1239" i="2"/>
  <c r="L1239" i="2"/>
  <c r="K1239" i="2"/>
  <c r="Q1238" i="2"/>
  <c r="P1238" i="2"/>
  <c r="O1238" i="2"/>
  <c r="N1238" i="2"/>
  <c r="M1238" i="2"/>
  <c r="L1238" i="2"/>
  <c r="K1238" i="2"/>
  <c r="Q1237" i="2"/>
  <c r="P1237" i="2"/>
  <c r="O1237" i="2"/>
  <c r="N1237" i="2"/>
  <c r="M1237" i="2"/>
  <c r="L1237" i="2"/>
  <c r="K1237" i="2"/>
  <c r="Q1236" i="2"/>
  <c r="P1236" i="2"/>
  <c r="O1236" i="2"/>
  <c r="N1236" i="2"/>
  <c r="M1236" i="2"/>
  <c r="L1236" i="2"/>
  <c r="K1236" i="2"/>
  <c r="Q1235" i="2"/>
  <c r="P1235" i="2"/>
  <c r="O1235" i="2"/>
  <c r="N1235" i="2"/>
  <c r="M1235" i="2"/>
  <c r="L1235" i="2"/>
  <c r="K1235" i="2"/>
  <c r="Q1234" i="2"/>
  <c r="P1234" i="2"/>
  <c r="O1234" i="2"/>
  <c r="N1234" i="2"/>
  <c r="M1234" i="2"/>
  <c r="L1234" i="2"/>
  <c r="K1234" i="2"/>
  <c r="Q1233" i="2"/>
  <c r="P1233" i="2"/>
  <c r="O1233" i="2"/>
  <c r="N1233" i="2"/>
  <c r="M1233" i="2"/>
  <c r="L1233" i="2"/>
  <c r="K1233" i="2"/>
  <c r="Q1232" i="2"/>
  <c r="P1232" i="2"/>
  <c r="O1232" i="2"/>
  <c r="N1232" i="2"/>
  <c r="M1232" i="2"/>
  <c r="L1232" i="2"/>
  <c r="K1232" i="2"/>
  <c r="Q1231" i="2"/>
  <c r="P1231" i="2"/>
  <c r="O1231" i="2"/>
  <c r="N1231" i="2"/>
  <c r="M1231" i="2"/>
  <c r="L1231" i="2"/>
  <c r="K1231" i="2"/>
  <c r="Q1230" i="2"/>
  <c r="P1230" i="2"/>
  <c r="O1230" i="2"/>
  <c r="N1230" i="2"/>
  <c r="M1230" i="2"/>
  <c r="L1230" i="2"/>
  <c r="K1230" i="2"/>
  <c r="Q1229" i="2"/>
  <c r="P1229" i="2"/>
  <c r="O1229" i="2"/>
  <c r="N1229" i="2"/>
  <c r="M1229" i="2"/>
  <c r="L1229" i="2"/>
  <c r="K1229" i="2"/>
  <c r="Q1228" i="2"/>
  <c r="P1228" i="2"/>
  <c r="O1228" i="2"/>
  <c r="N1228" i="2"/>
  <c r="M1228" i="2"/>
  <c r="L1228" i="2"/>
  <c r="K1228" i="2"/>
  <c r="Q1227" i="2"/>
  <c r="P1227" i="2"/>
  <c r="O1227" i="2"/>
  <c r="N1227" i="2"/>
  <c r="M1227" i="2"/>
  <c r="L1227" i="2"/>
  <c r="K1227" i="2"/>
  <c r="Q1226" i="2"/>
  <c r="P1226" i="2"/>
  <c r="O1226" i="2"/>
  <c r="N1226" i="2"/>
  <c r="M1226" i="2"/>
  <c r="L1226" i="2"/>
  <c r="K1226" i="2"/>
  <c r="Q1225" i="2"/>
  <c r="P1225" i="2"/>
  <c r="O1225" i="2"/>
  <c r="N1225" i="2"/>
  <c r="M1225" i="2"/>
  <c r="L1225" i="2"/>
  <c r="K1225" i="2"/>
  <c r="Q1224" i="2"/>
  <c r="P1224" i="2"/>
  <c r="O1224" i="2"/>
  <c r="N1224" i="2"/>
  <c r="M1224" i="2"/>
  <c r="L1224" i="2"/>
  <c r="K1224" i="2"/>
  <c r="Q1223" i="2"/>
  <c r="P1223" i="2"/>
  <c r="O1223" i="2"/>
  <c r="N1223" i="2"/>
  <c r="M1223" i="2"/>
  <c r="L1223" i="2"/>
  <c r="K1223" i="2"/>
  <c r="Q1222" i="2"/>
  <c r="P1222" i="2"/>
  <c r="O1222" i="2"/>
  <c r="N1222" i="2"/>
  <c r="M1222" i="2"/>
  <c r="L1222" i="2"/>
  <c r="K1222" i="2"/>
  <c r="Q1221" i="2"/>
  <c r="P1221" i="2"/>
  <c r="O1221" i="2"/>
  <c r="N1221" i="2"/>
  <c r="M1221" i="2"/>
  <c r="L1221" i="2"/>
  <c r="K1221" i="2"/>
  <c r="Q1220" i="2"/>
  <c r="P1220" i="2"/>
  <c r="O1220" i="2"/>
  <c r="N1220" i="2"/>
  <c r="M1220" i="2"/>
  <c r="L1220" i="2"/>
  <c r="K1220" i="2"/>
  <c r="Q1219" i="2"/>
  <c r="P1219" i="2"/>
  <c r="O1219" i="2"/>
  <c r="N1219" i="2"/>
  <c r="M1219" i="2"/>
  <c r="L1219" i="2"/>
  <c r="K1219" i="2"/>
  <c r="Q1218" i="2"/>
  <c r="P1218" i="2"/>
  <c r="O1218" i="2"/>
  <c r="N1218" i="2"/>
  <c r="M1218" i="2"/>
  <c r="L1218" i="2"/>
  <c r="K1218" i="2"/>
  <c r="Q1217" i="2"/>
  <c r="P1217" i="2"/>
  <c r="O1217" i="2"/>
  <c r="N1217" i="2"/>
  <c r="M1217" i="2"/>
  <c r="L1217" i="2"/>
  <c r="K1217" i="2"/>
  <c r="Q1216" i="2"/>
  <c r="P1216" i="2"/>
  <c r="O1216" i="2"/>
  <c r="N1216" i="2"/>
  <c r="M1216" i="2"/>
  <c r="L1216" i="2"/>
  <c r="K1216" i="2"/>
  <c r="Q1215" i="2"/>
  <c r="P1215" i="2"/>
  <c r="O1215" i="2"/>
  <c r="N1215" i="2"/>
  <c r="M1215" i="2"/>
  <c r="L1215" i="2"/>
  <c r="K1215" i="2"/>
  <c r="Q1214" i="2"/>
  <c r="P1214" i="2"/>
  <c r="O1214" i="2"/>
  <c r="N1214" i="2"/>
  <c r="M1214" i="2"/>
  <c r="L1214" i="2"/>
  <c r="K1214" i="2"/>
  <c r="Q1213" i="2"/>
  <c r="P1213" i="2"/>
  <c r="O1213" i="2"/>
  <c r="N1213" i="2"/>
  <c r="M1213" i="2"/>
  <c r="L1213" i="2"/>
  <c r="K1213" i="2"/>
  <c r="Q1212" i="2"/>
  <c r="P1212" i="2"/>
  <c r="O1212" i="2"/>
  <c r="N1212" i="2"/>
  <c r="M1212" i="2"/>
  <c r="L1212" i="2"/>
  <c r="K1212" i="2"/>
  <c r="Q1211" i="2"/>
  <c r="P1211" i="2"/>
  <c r="O1211" i="2"/>
  <c r="N1211" i="2"/>
  <c r="M1211" i="2"/>
  <c r="L1211" i="2"/>
  <c r="K1211" i="2"/>
  <c r="Q1210" i="2"/>
  <c r="P1210" i="2"/>
  <c r="O1210" i="2"/>
  <c r="N1210" i="2"/>
  <c r="M1210" i="2"/>
  <c r="L1210" i="2"/>
  <c r="K1210" i="2"/>
  <c r="Q1209" i="2"/>
  <c r="P1209" i="2"/>
  <c r="O1209" i="2"/>
  <c r="N1209" i="2"/>
  <c r="M1209" i="2"/>
  <c r="L1209" i="2"/>
  <c r="K1209" i="2"/>
  <c r="Q1208" i="2"/>
  <c r="P1208" i="2"/>
  <c r="O1208" i="2"/>
  <c r="N1208" i="2"/>
  <c r="M1208" i="2"/>
  <c r="L1208" i="2"/>
  <c r="K1208" i="2"/>
  <c r="Q1207" i="2"/>
  <c r="P1207" i="2"/>
  <c r="O1207" i="2"/>
  <c r="N1207" i="2"/>
  <c r="M1207" i="2"/>
  <c r="L1207" i="2"/>
  <c r="K1207" i="2"/>
  <c r="Q1206" i="2"/>
  <c r="P1206" i="2"/>
  <c r="O1206" i="2"/>
  <c r="N1206" i="2"/>
  <c r="M1206" i="2"/>
  <c r="L1206" i="2"/>
  <c r="K1206" i="2"/>
  <c r="Q1205" i="2"/>
  <c r="P1205" i="2"/>
  <c r="O1205" i="2"/>
  <c r="N1205" i="2"/>
  <c r="M1205" i="2"/>
  <c r="L1205" i="2"/>
  <c r="K1205" i="2"/>
  <c r="Q1204" i="2"/>
  <c r="P1204" i="2"/>
  <c r="O1204" i="2"/>
  <c r="N1204" i="2"/>
  <c r="M1204" i="2"/>
  <c r="L1204" i="2"/>
  <c r="K1204" i="2"/>
  <c r="Q1203" i="2"/>
  <c r="P1203" i="2"/>
  <c r="O1203" i="2"/>
  <c r="N1203" i="2"/>
  <c r="M1203" i="2"/>
  <c r="L1203" i="2"/>
  <c r="K1203" i="2"/>
  <c r="Q1202" i="2"/>
  <c r="P1202" i="2"/>
  <c r="O1202" i="2"/>
  <c r="N1202" i="2"/>
  <c r="M1202" i="2"/>
  <c r="L1202" i="2"/>
  <c r="K1202" i="2"/>
  <c r="Q1201" i="2"/>
  <c r="P1201" i="2"/>
  <c r="O1201" i="2"/>
  <c r="N1201" i="2"/>
  <c r="M1201" i="2"/>
  <c r="L1201" i="2"/>
  <c r="K1201" i="2"/>
  <c r="Q1200" i="2"/>
  <c r="P1200" i="2"/>
  <c r="O1200" i="2"/>
  <c r="N1200" i="2"/>
  <c r="M1200" i="2"/>
  <c r="L1200" i="2"/>
  <c r="K1200" i="2"/>
  <c r="Q1199" i="2"/>
  <c r="P1199" i="2"/>
  <c r="O1199" i="2"/>
  <c r="N1199" i="2"/>
  <c r="M1199" i="2"/>
  <c r="L1199" i="2"/>
  <c r="K1199" i="2"/>
  <c r="Q1198" i="2"/>
  <c r="P1198" i="2"/>
  <c r="O1198" i="2"/>
  <c r="N1198" i="2"/>
  <c r="M1198" i="2"/>
  <c r="L1198" i="2"/>
  <c r="K1198" i="2"/>
  <c r="Q1197" i="2"/>
  <c r="P1197" i="2"/>
  <c r="O1197" i="2"/>
  <c r="N1197" i="2"/>
  <c r="M1197" i="2"/>
  <c r="L1197" i="2"/>
  <c r="K1197" i="2"/>
  <c r="Q1196" i="2"/>
  <c r="P1196" i="2"/>
  <c r="O1196" i="2"/>
  <c r="N1196" i="2"/>
  <c r="M1196" i="2"/>
  <c r="L1196" i="2"/>
  <c r="K1196" i="2"/>
  <c r="Q1195" i="2"/>
  <c r="P1195" i="2"/>
  <c r="O1195" i="2"/>
  <c r="N1195" i="2"/>
  <c r="M1195" i="2"/>
  <c r="L1195" i="2"/>
  <c r="K1195" i="2"/>
  <c r="Q1194" i="2"/>
  <c r="P1194" i="2"/>
  <c r="O1194" i="2"/>
  <c r="N1194" i="2"/>
  <c r="M1194" i="2"/>
  <c r="L1194" i="2"/>
  <c r="K1194" i="2"/>
  <c r="Q1193" i="2"/>
  <c r="P1193" i="2"/>
  <c r="O1193" i="2"/>
  <c r="N1193" i="2"/>
  <c r="M1193" i="2"/>
  <c r="L1193" i="2"/>
  <c r="K1193" i="2"/>
  <c r="Q1192" i="2"/>
  <c r="P1192" i="2"/>
  <c r="O1192" i="2"/>
  <c r="N1192" i="2"/>
  <c r="M1192" i="2"/>
  <c r="L1192" i="2"/>
  <c r="K1192" i="2"/>
  <c r="Q1191" i="2"/>
  <c r="P1191" i="2"/>
  <c r="O1191" i="2"/>
  <c r="N1191" i="2"/>
  <c r="M1191" i="2"/>
  <c r="L1191" i="2"/>
  <c r="K1191" i="2"/>
  <c r="Q1190" i="2"/>
  <c r="P1190" i="2"/>
  <c r="O1190" i="2"/>
  <c r="N1190" i="2"/>
  <c r="M1190" i="2"/>
  <c r="L1190" i="2"/>
  <c r="K1190" i="2"/>
  <c r="Q1189" i="2"/>
  <c r="P1189" i="2"/>
  <c r="O1189" i="2"/>
  <c r="N1189" i="2"/>
  <c r="M1189" i="2"/>
  <c r="L1189" i="2"/>
  <c r="K1189" i="2"/>
  <c r="Q1188" i="2"/>
  <c r="P1188" i="2"/>
  <c r="O1188" i="2"/>
  <c r="N1188" i="2"/>
  <c r="M1188" i="2"/>
  <c r="L1188" i="2"/>
  <c r="K1188" i="2"/>
  <c r="Q1187" i="2"/>
  <c r="P1187" i="2"/>
  <c r="O1187" i="2"/>
  <c r="N1187" i="2"/>
  <c r="M1187" i="2"/>
  <c r="L1187" i="2"/>
  <c r="K1187" i="2"/>
  <c r="Q1186" i="2"/>
  <c r="P1186" i="2"/>
  <c r="O1186" i="2"/>
  <c r="N1186" i="2"/>
  <c r="M1186" i="2"/>
  <c r="L1186" i="2"/>
  <c r="K1186" i="2"/>
  <c r="Q1185" i="2"/>
  <c r="P1185" i="2"/>
  <c r="O1185" i="2"/>
  <c r="N1185" i="2"/>
  <c r="M1185" i="2"/>
  <c r="L1185" i="2"/>
  <c r="K1185" i="2"/>
  <c r="Q1184" i="2"/>
  <c r="P1184" i="2"/>
  <c r="O1184" i="2"/>
  <c r="N1184" i="2"/>
  <c r="M1184" i="2"/>
  <c r="L1184" i="2"/>
  <c r="K1184" i="2"/>
  <c r="Q1183" i="2"/>
  <c r="P1183" i="2"/>
  <c r="O1183" i="2"/>
  <c r="N1183" i="2"/>
  <c r="M1183" i="2"/>
  <c r="L1183" i="2"/>
  <c r="K1183" i="2"/>
  <c r="Q1182" i="2"/>
  <c r="P1182" i="2"/>
  <c r="O1182" i="2"/>
  <c r="N1182" i="2"/>
  <c r="M1182" i="2"/>
  <c r="L1182" i="2"/>
  <c r="K1182" i="2"/>
  <c r="Q1181" i="2"/>
  <c r="P1181" i="2"/>
  <c r="O1181" i="2"/>
  <c r="N1181" i="2"/>
  <c r="M1181" i="2"/>
  <c r="L1181" i="2"/>
  <c r="K1181" i="2"/>
  <c r="Q1180" i="2"/>
  <c r="P1180" i="2"/>
  <c r="O1180" i="2"/>
  <c r="N1180" i="2"/>
  <c r="M1180" i="2"/>
  <c r="L1180" i="2"/>
  <c r="K1180" i="2"/>
  <c r="Q1179" i="2"/>
  <c r="P1179" i="2"/>
  <c r="O1179" i="2"/>
  <c r="N1179" i="2"/>
  <c r="M1179" i="2"/>
  <c r="L1179" i="2"/>
  <c r="K1179" i="2"/>
  <c r="Q1178" i="2"/>
  <c r="P1178" i="2"/>
  <c r="O1178" i="2"/>
  <c r="N1178" i="2"/>
  <c r="M1178" i="2"/>
  <c r="L1178" i="2"/>
  <c r="K1178" i="2"/>
  <c r="Q1177" i="2"/>
  <c r="P1177" i="2"/>
  <c r="O1177" i="2"/>
  <c r="N1177" i="2"/>
  <c r="M1177" i="2"/>
  <c r="L1177" i="2"/>
  <c r="K1177" i="2"/>
  <c r="Q1176" i="2"/>
  <c r="P1176" i="2"/>
  <c r="O1176" i="2"/>
  <c r="N1176" i="2"/>
  <c r="M1176" i="2"/>
  <c r="L1176" i="2"/>
  <c r="K1176" i="2"/>
  <c r="Q1175" i="2"/>
  <c r="P1175" i="2"/>
  <c r="O1175" i="2"/>
  <c r="N1175" i="2"/>
  <c r="M1175" i="2"/>
  <c r="L1175" i="2"/>
  <c r="K1175" i="2"/>
  <c r="Q1174" i="2"/>
  <c r="P1174" i="2"/>
  <c r="O1174" i="2"/>
  <c r="N1174" i="2"/>
  <c r="M1174" i="2"/>
  <c r="L1174" i="2"/>
  <c r="K1174" i="2"/>
  <c r="Q1173" i="2"/>
  <c r="P1173" i="2"/>
  <c r="O1173" i="2"/>
  <c r="N1173" i="2"/>
  <c r="M1173" i="2"/>
  <c r="L1173" i="2"/>
  <c r="K1173" i="2"/>
  <c r="Q1172" i="2"/>
  <c r="P1172" i="2"/>
  <c r="O1172" i="2"/>
  <c r="N1172" i="2"/>
  <c r="M1172" i="2"/>
  <c r="L1172" i="2"/>
  <c r="K1172" i="2"/>
  <c r="Q1171" i="2"/>
  <c r="P1171" i="2"/>
  <c r="O1171" i="2"/>
  <c r="N1171" i="2"/>
  <c r="M1171" i="2"/>
  <c r="L1171" i="2"/>
  <c r="K1171" i="2"/>
  <c r="Q1170" i="2"/>
  <c r="P1170" i="2"/>
  <c r="O1170" i="2"/>
  <c r="N1170" i="2"/>
  <c r="M1170" i="2"/>
  <c r="L1170" i="2"/>
  <c r="K1170" i="2"/>
  <c r="Q1169" i="2"/>
  <c r="P1169" i="2"/>
  <c r="O1169" i="2"/>
  <c r="N1169" i="2"/>
  <c r="M1169" i="2"/>
  <c r="L1169" i="2"/>
  <c r="K1169" i="2"/>
  <c r="Q1168" i="2"/>
  <c r="P1168" i="2"/>
  <c r="O1168" i="2"/>
  <c r="N1168" i="2"/>
  <c r="M1168" i="2"/>
  <c r="L1168" i="2"/>
  <c r="K1168" i="2"/>
  <c r="Q1167" i="2"/>
  <c r="P1167" i="2"/>
  <c r="O1167" i="2"/>
  <c r="N1167" i="2"/>
  <c r="M1167" i="2"/>
  <c r="L1167" i="2"/>
  <c r="K1167" i="2"/>
  <c r="Q1166" i="2"/>
  <c r="P1166" i="2"/>
  <c r="O1166" i="2"/>
  <c r="N1166" i="2"/>
  <c r="M1166" i="2"/>
  <c r="L1166" i="2"/>
  <c r="K1166" i="2"/>
  <c r="Q1165" i="2"/>
  <c r="P1165" i="2"/>
  <c r="O1165" i="2"/>
  <c r="N1165" i="2"/>
  <c r="M1165" i="2"/>
  <c r="L1165" i="2"/>
  <c r="K1165" i="2"/>
  <c r="Q1164" i="2"/>
  <c r="P1164" i="2"/>
  <c r="O1164" i="2"/>
  <c r="N1164" i="2"/>
  <c r="M1164" i="2"/>
  <c r="L1164" i="2"/>
  <c r="K1164" i="2"/>
  <c r="Q1163" i="2"/>
  <c r="P1163" i="2"/>
  <c r="O1163" i="2"/>
  <c r="N1163" i="2"/>
  <c r="M1163" i="2"/>
  <c r="L1163" i="2"/>
  <c r="K1163" i="2"/>
  <c r="Q1162" i="2"/>
  <c r="P1162" i="2"/>
  <c r="O1162" i="2"/>
  <c r="N1162" i="2"/>
  <c r="M1162" i="2"/>
  <c r="L1162" i="2"/>
  <c r="K1162" i="2"/>
  <c r="Q1161" i="2"/>
  <c r="P1161" i="2"/>
  <c r="O1161" i="2"/>
  <c r="N1161" i="2"/>
  <c r="M1161" i="2"/>
  <c r="L1161" i="2"/>
  <c r="K1161" i="2"/>
  <c r="Q1160" i="2"/>
  <c r="P1160" i="2"/>
  <c r="O1160" i="2"/>
  <c r="N1160" i="2"/>
  <c r="M1160" i="2"/>
  <c r="L1160" i="2"/>
  <c r="K1160" i="2"/>
  <c r="Q1159" i="2"/>
  <c r="P1159" i="2"/>
  <c r="O1159" i="2"/>
  <c r="N1159" i="2"/>
  <c r="M1159" i="2"/>
  <c r="L1159" i="2"/>
  <c r="K1159" i="2"/>
  <c r="Q1158" i="2"/>
  <c r="P1158" i="2"/>
  <c r="O1158" i="2"/>
  <c r="N1158" i="2"/>
  <c r="M1158" i="2"/>
  <c r="L1158" i="2"/>
  <c r="K1158" i="2"/>
  <c r="Q1157" i="2"/>
  <c r="P1157" i="2"/>
  <c r="O1157" i="2"/>
  <c r="N1157" i="2"/>
  <c r="M1157" i="2"/>
  <c r="L1157" i="2"/>
  <c r="K1157" i="2"/>
  <c r="Q1156" i="2"/>
  <c r="P1156" i="2"/>
  <c r="O1156" i="2"/>
  <c r="N1156" i="2"/>
  <c r="M1156" i="2"/>
  <c r="L1156" i="2"/>
  <c r="K1156" i="2"/>
  <c r="Q1155" i="2"/>
  <c r="P1155" i="2"/>
  <c r="O1155" i="2"/>
  <c r="N1155" i="2"/>
  <c r="M1155" i="2"/>
  <c r="L1155" i="2"/>
  <c r="K1155" i="2"/>
  <c r="Q1154" i="2"/>
  <c r="P1154" i="2"/>
  <c r="O1154" i="2"/>
  <c r="N1154" i="2"/>
  <c r="M1154" i="2"/>
  <c r="L1154" i="2"/>
  <c r="K1154" i="2"/>
  <c r="Q1153" i="2"/>
  <c r="P1153" i="2"/>
  <c r="O1153" i="2"/>
  <c r="N1153" i="2"/>
  <c r="M1153" i="2"/>
  <c r="L1153" i="2"/>
  <c r="K1153" i="2"/>
  <c r="Q1152" i="2"/>
  <c r="P1152" i="2"/>
  <c r="O1152" i="2"/>
  <c r="N1152" i="2"/>
  <c r="M1152" i="2"/>
  <c r="L1152" i="2"/>
  <c r="K1152" i="2"/>
  <c r="Q1151" i="2"/>
  <c r="P1151" i="2"/>
  <c r="O1151" i="2"/>
  <c r="N1151" i="2"/>
  <c r="M1151" i="2"/>
  <c r="L1151" i="2"/>
  <c r="K1151" i="2"/>
  <c r="Q1150" i="2"/>
  <c r="P1150" i="2"/>
  <c r="O1150" i="2"/>
  <c r="N1150" i="2"/>
  <c r="M1150" i="2"/>
  <c r="L1150" i="2"/>
  <c r="K1150" i="2"/>
  <c r="Q1149" i="2"/>
  <c r="P1149" i="2"/>
  <c r="O1149" i="2"/>
  <c r="N1149" i="2"/>
  <c r="M1149" i="2"/>
  <c r="L1149" i="2"/>
  <c r="K1149" i="2"/>
  <c r="Q1148" i="2"/>
  <c r="P1148" i="2"/>
  <c r="O1148" i="2"/>
  <c r="N1148" i="2"/>
  <c r="M1148" i="2"/>
  <c r="L1148" i="2"/>
  <c r="K1148" i="2"/>
  <c r="Q1147" i="2"/>
  <c r="P1147" i="2"/>
  <c r="O1147" i="2"/>
  <c r="N1147" i="2"/>
  <c r="M1147" i="2"/>
  <c r="L1147" i="2"/>
  <c r="K1147" i="2"/>
  <c r="Q1146" i="2"/>
  <c r="P1146" i="2"/>
  <c r="O1146" i="2"/>
  <c r="N1146" i="2"/>
  <c r="M1146" i="2"/>
  <c r="L1146" i="2"/>
  <c r="K1146" i="2"/>
  <c r="Q1145" i="2"/>
  <c r="P1145" i="2"/>
  <c r="O1145" i="2"/>
  <c r="N1145" i="2"/>
  <c r="M1145" i="2"/>
  <c r="L1145" i="2"/>
  <c r="K1145" i="2"/>
  <c r="Q1144" i="2"/>
  <c r="P1144" i="2"/>
  <c r="O1144" i="2"/>
  <c r="N1144" i="2"/>
  <c r="M1144" i="2"/>
  <c r="L1144" i="2"/>
  <c r="K1144" i="2"/>
  <c r="Q1143" i="2"/>
  <c r="P1143" i="2"/>
  <c r="O1143" i="2"/>
  <c r="N1143" i="2"/>
  <c r="M1143" i="2"/>
  <c r="L1143" i="2"/>
  <c r="K1143" i="2"/>
  <c r="Q1142" i="2"/>
  <c r="P1142" i="2"/>
  <c r="O1142" i="2"/>
  <c r="N1142" i="2"/>
  <c r="M1142" i="2"/>
  <c r="L1142" i="2"/>
  <c r="K1142" i="2"/>
  <c r="Q1141" i="2"/>
  <c r="P1141" i="2"/>
  <c r="O1141" i="2"/>
  <c r="N1141" i="2"/>
  <c r="M1141" i="2"/>
  <c r="L1141" i="2"/>
  <c r="K1141" i="2"/>
  <c r="Q1140" i="2"/>
  <c r="P1140" i="2"/>
  <c r="O1140" i="2"/>
  <c r="N1140" i="2"/>
  <c r="M1140" i="2"/>
  <c r="L1140" i="2"/>
  <c r="K1140" i="2"/>
  <c r="Q1139" i="2"/>
  <c r="P1139" i="2"/>
  <c r="O1139" i="2"/>
  <c r="N1139" i="2"/>
  <c r="M1139" i="2"/>
  <c r="L1139" i="2"/>
  <c r="K1139" i="2"/>
  <c r="Q1138" i="2"/>
  <c r="P1138" i="2"/>
  <c r="O1138" i="2"/>
  <c r="N1138" i="2"/>
  <c r="M1138" i="2"/>
  <c r="L1138" i="2"/>
  <c r="K1138" i="2"/>
  <c r="Q1137" i="2"/>
  <c r="P1137" i="2"/>
  <c r="O1137" i="2"/>
  <c r="N1137" i="2"/>
  <c r="M1137" i="2"/>
  <c r="L1137" i="2"/>
  <c r="K1137" i="2"/>
  <c r="Q1136" i="2"/>
  <c r="P1136" i="2"/>
  <c r="O1136" i="2"/>
  <c r="N1136" i="2"/>
  <c r="M1136" i="2"/>
  <c r="L1136" i="2"/>
  <c r="K1136" i="2"/>
  <c r="Q1135" i="2"/>
  <c r="P1135" i="2"/>
  <c r="O1135" i="2"/>
  <c r="N1135" i="2"/>
  <c r="M1135" i="2"/>
  <c r="L1135" i="2"/>
  <c r="K1135" i="2"/>
  <c r="Q1134" i="2"/>
  <c r="P1134" i="2"/>
  <c r="O1134" i="2"/>
  <c r="N1134" i="2"/>
  <c r="M1134" i="2"/>
  <c r="L1134" i="2"/>
  <c r="K1134" i="2"/>
  <c r="Q1133" i="2"/>
  <c r="P1133" i="2"/>
  <c r="O1133" i="2"/>
  <c r="N1133" i="2"/>
  <c r="M1133" i="2"/>
  <c r="L1133" i="2"/>
  <c r="K1133" i="2"/>
  <c r="Q1132" i="2"/>
  <c r="P1132" i="2"/>
  <c r="O1132" i="2"/>
  <c r="N1132" i="2"/>
  <c r="M1132" i="2"/>
  <c r="L1132" i="2"/>
  <c r="K1132" i="2"/>
  <c r="Q1131" i="2"/>
  <c r="P1131" i="2"/>
  <c r="O1131" i="2"/>
  <c r="N1131" i="2"/>
  <c r="M1131" i="2"/>
  <c r="L1131" i="2"/>
  <c r="K1131" i="2"/>
  <c r="Q1130" i="2"/>
  <c r="P1130" i="2"/>
  <c r="O1130" i="2"/>
  <c r="N1130" i="2"/>
  <c r="M1130" i="2"/>
  <c r="L1130" i="2"/>
  <c r="K1130" i="2"/>
  <c r="Q1129" i="2"/>
  <c r="P1129" i="2"/>
  <c r="O1129" i="2"/>
  <c r="N1129" i="2"/>
  <c r="M1129" i="2"/>
  <c r="L1129" i="2"/>
  <c r="K1129" i="2"/>
  <c r="Q1128" i="2"/>
  <c r="P1128" i="2"/>
  <c r="O1128" i="2"/>
  <c r="N1128" i="2"/>
  <c r="M1128" i="2"/>
  <c r="L1128" i="2"/>
  <c r="K1128" i="2"/>
  <c r="Q1127" i="2"/>
  <c r="P1127" i="2"/>
  <c r="O1127" i="2"/>
  <c r="N1127" i="2"/>
  <c r="M1127" i="2"/>
  <c r="L1127" i="2"/>
  <c r="K1127" i="2"/>
  <c r="Q1126" i="2"/>
  <c r="P1126" i="2"/>
  <c r="O1126" i="2"/>
  <c r="N1126" i="2"/>
  <c r="M1126" i="2"/>
  <c r="L1126" i="2"/>
  <c r="K1126" i="2"/>
  <c r="Q1125" i="2"/>
  <c r="P1125" i="2"/>
  <c r="O1125" i="2"/>
  <c r="N1125" i="2"/>
  <c r="M1125" i="2"/>
  <c r="L1125" i="2"/>
  <c r="K1125" i="2"/>
  <c r="Q1124" i="2"/>
  <c r="P1124" i="2"/>
  <c r="O1124" i="2"/>
  <c r="N1124" i="2"/>
  <c r="M1124" i="2"/>
  <c r="L1124" i="2"/>
  <c r="K1124" i="2"/>
  <c r="Q1123" i="2"/>
  <c r="P1123" i="2"/>
  <c r="O1123" i="2"/>
  <c r="N1123" i="2"/>
  <c r="M1123" i="2"/>
  <c r="L1123" i="2"/>
  <c r="K1123" i="2"/>
  <c r="Q1122" i="2"/>
  <c r="P1122" i="2"/>
  <c r="O1122" i="2"/>
  <c r="N1122" i="2"/>
  <c r="M1122" i="2"/>
  <c r="L1122" i="2"/>
  <c r="K1122" i="2"/>
  <c r="Q1121" i="2"/>
  <c r="P1121" i="2"/>
  <c r="O1121" i="2"/>
  <c r="N1121" i="2"/>
  <c r="M1121" i="2"/>
  <c r="L1121" i="2"/>
  <c r="K1121" i="2"/>
  <c r="Q1120" i="2"/>
  <c r="P1120" i="2"/>
  <c r="O1120" i="2"/>
  <c r="N1120" i="2"/>
  <c r="M1120" i="2"/>
  <c r="L1120" i="2"/>
  <c r="K1120" i="2"/>
  <c r="Q1119" i="2"/>
  <c r="P1119" i="2"/>
  <c r="O1119" i="2"/>
  <c r="N1119" i="2"/>
  <c r="M1119" i="2"/>
  <c r="L1119" i="2"/>
  <c r="K1119" i="2"/>
  <c r="Q1118" i="2"/>
  <c r="P1118" i="2"/>
  <c r="O1118" i="2"/>
  <c r="N1118" i="2"/>
  <c r="M1118" i="2"/>
  <c r="L1118" i="2"/>
  <c r="K1118" i="2"/>
  <c r="Q1117" i="2"/>
  <c r="P1117" i="2"/>
  <c r="O1117" i="2"/>
  <c r="N1117" i="2"/>
  <c r="M1117" i="2"/>
  <c r="L1117" i="2"/>
  <c r="K1117" i="2"/>
  <c r="Q1116" i="2"/>
  <c r="P1116" i="2"/>
  <c r="O1116" i="2"/>
  <c r="N1116" i="2"/>
  <c r="M1116" i="2"/>
  <c r="L1116" i="2"/>
  <c r="K1116" i="2"/>
  <c r="Q1115" i="2"/>
  <c r="P1115" i="2"/>
  <c r="O1115" i="2"/>
  <c r="N1115" i="2"/>
  <c r="M1115" i="2"/>
  <c r="L1115" i="2"/>
  <c r="K1115" i="2"/>
  <c r="Q1114" i="2"/>
  <c r="P1114" i="2"/>
  <c r="O1114" i="2"/>
  <c r="N1114" i="2"/>
  <c r="M1114" i="2"/>
  <c r="L1114" i="2"/>
  <c r="K1114" i="2"/>
  <c r="Q1113" i="2"/>
  <c r="P1113" i="2"/>
  <c r="O1113" i="2"/>
  <c r="N1113" i="2"/>
  <c r="M1113" i="2"/>
  <c r="L1113" i="2"/>
  <c r="K1113" i="2"/>
  <c r="Q1112" i="2"/>
  <c r="P1112" i="2"/>
  <c r="O1112" i="2"/>
  <c r="N1112" i="2"/>
  <c r="M1112" i="2"/>
  <c r="L1112" i="2"/>
  <c r="K1112" i="2"/>
  <c r="Q1111" i="2"/>
  <c r="P1111" i="2"/>
  <c r="O1111" i="2"/>
  <c r="N1111" i="2"/>
  <c r="M1111" i="2"/>
  <c r="L1111" i="2"/>
  <c r="K1111" i="2"/>
  <c r="Q1110" i="2"/>
  <c r="P1110" i="2"/>
  <c r="O1110" i="2"/>
  <c r="N1110" i="2"/>
  <c r="M1110" i="2"/>
  <c r="L1110" i="2"/>
  <c r="K1110" i="2"/>
  <c r="Q1109" i="2"/>
  <c r="P1109" i="2"/>
  <c r="O1109" i="2"/>
  <c r="N1109" i="2"/>
  <c r="M1109" i="2"/>
  <c r="L1109" i="2"/>
  <c r="K1109" i="2"/>
  <c r="Q1108" i="2"/>
  <c r="P1108" i="2"/>
  <c r="O1108" i="2"/>
  <c r="N1108" i="2"/>
  <c r="M1108" i="2"/>
  <c r="L1108" i="2"/>
  <c r="K1108" i="2"/>
  <c r="Q1107" i="2"/>
  <c r="P1107" i="2"/>
  <c r="O1107" i="2"/>
  <c r="N1107" i="2"/>
  <c r="M1107" i="2"/>
  <c r="L1107" i="2"/>
  <c r="K1107" i="2"/>
  <c r="Q1106" i="2"/>
  <c r="P1106" i="2"/>
  <c r="O1106" i="2"/>
  <c r="N1106" i="2"/>
  <c r="M1106" i="2"/>
  <c r="L1106" i="2"/>
  <c r="K1106" i="2"/>
  <c r="Q1105" i="2"/>
  <c r="P1105" i="2"/>
  <c r="O1105" i="2"/>
  <c r="N1105" i="2"/>
  <c r="M1105" i="2"/>
  <c r="L1105" i="2"/>
  <c r="K1105" i="2"/>
  <c r="Q1104" i="2"/>
  <c r="P1104" i="2"/>
  <c r="O1104" i="2"/>
  <c r="N1104" i="2"/>
  <c r="M1104" i="2"/>
  <c r="L1104" i="2"/>
  <c r="K1104" i="2"/>
  <c r="Q1103" i="2"/>
  <c r="P1103" i="2"/>
  <c r="O1103" i="2"/>
  <c r="N1103" i="2"/>
  <c r="M1103" i="2"/>
  <c r="L1103" i="2"/>
  <c r="K1103" i="2"/>
  <c r="Q1102" i="2"/>
  <c r="P1102" i="2"/>
  <c r="O1102" i="2"/>
  <c r="N1102" i="2"/>
  <c r="M1102" i="2"/>
  <c r="L1102" i="2"/>
  <c r="K1102" i="2"/>
  <c r="Q1101" i="2"/>
  <c r="P1101" i="2"/>
  <c r="O1101" i="2"/>
  <c r="N1101" i="2"/>
  <c r="M1101" i="2"/>
  <c r="L1101" i="2"/>
  <c r="K1101" i="2"/>
  <c r="Q1100" i="2"/>
  <c r="P1100" i="2"/>
  <c r="O1100" i="2"/>
  <c r="N1100" i="2"/>
  <c r="M1100" i="2"/>
  <c r="L1100" i="2"/>
  <c r="K1100" i="2"/>
  <c r="Q1099" i="2"/>
  <c r="P1099" i="2"/>
  <c r="O1099" i="2"/>
  <c r="N1099" i="2"/>
  <c r="M1099" i="2"/>
  <c r="L1099" i="2"/>
  <c r="K1099" i="2"/>
  <c r="Q1098" i="2"/>
  <c r="P1098" i="2"/>
  <c r="O1098" i="2"/>
  <c r="N1098" i="2"/>
  <c r="M1098" i="2"/>
  <c r="L1098" i="2"/>
  <c r="K1098" i="2"/>
  <c r="Q1097" i="2"/>
  <c r="P1097" i="2"/>
  <c r="O1097" i="2"/>
  <c r="N1097" i="2"/>
  <c r="M1097" i="2"/>
  <c r="L1097" i="2"/>
  <c r="K1097" i="2"/>
  <c r="Q1096" i="2"/>
  <c r="P1096" i="2"/>
  <c r="O1096" i="2"/>
  <c r="N1096" i="2"/>
  <c r="M1096" i="2"/>
  <c r="L1096" i="2"/>
  <c r="K1096" i="2"/>
  <c r="Q1095" i="2"/>
  <c r="P1095" i="2"/>
  <c r="O1095" i="2"/>
  <c r="N1095" i="2"/>
  <c r="M1095" i="2"/>
  <c r="L1095" i="2"/>
  <c r="K1095" i="2"/>
  <c r="Q1094" i="2"/>
  <c r="P1094" i="2"/>
  <c r="O1094" i="2"/>
  <c r="N1094" i="2"/>
  <c r="M1094" i="2"/>
  <c r="L1094" i="2"/>
  <c r="K1094" i="2"/>
  <c r="Q1093" i="2"/>
  <c r="P1093" i="2"/>
  <c r="O1093" i="2"/>
  <c r="N1093" i="2"/>
  <c r="M1093" i="2"/>
  <c r="L1093" i="2"/>
  <c r="K1093" i="2"/>
  <c r="Q1092" i="2"/>
  <c r="P1092" i="2"/>
  <c r="O1092" i="2"/>
  <c r="N1092" i="2"/>
  <c r="M1092" i="2"/>
  <c r="L1092" i="2"/>
  <c r="K1092" i="2"/>
  <c r="Q1091" i="2"/>
  <c r="P1091" i="2"/>
  <c r="O1091" i="2"/>
  <c r="N1091" i="2"/>
  <c r="M1091" i="2"/>
  <c r="L1091" i="2"/>
  <c r="K1091" i="2"/>
  <c r="Q1090" i="2"/>
  <c r="P1090" i="2"/>
  <c r="O1090" i="2"/>
  <c r="N1090" i="2"/>
  <c r="M1090" i="2"/>
  <c r="L1090" i="2"/>
  <c r="K1090" i="2"/>
  <c r="Q1089" i="2"/>
  <c r="P1089" i="2"/>
  <c r="O1089" i="2"/>
  <c r="N1089" i="2"/>
  <c r="M1089" i="2"/>
  <c r="L1089" i="2"/>
  <c r="K1089" i="2"/>
  <c r="Q1088" i="2"/>
  <c r="P1088" i="2"/>
  <c r="O1088" i="2"/>
  <c r="N1088" i="2"/>
  <c r="M1088" i="2"/>
  <c r="L1088" i="2"/>
  <c r="K1088" i="2"/>
  <c r="Q1087" i="2"/>
  <c r="P1087" i="2"/>
  <c r="O1087" i="2"/>
  <c r="N1087" i="2"/>
  <c r="M1087" i="2"/>
  <c r="L1087" i="2"/>
  <c r="K1087" i="2"/>
  <c r="Q1086" i="2"/>
  <c r="P1086" i="2"/>
  <c r="O1086" i="2"/>
  <c r="N1086" i="2"/>
  <c r="M1086" i="2"/>
  <c r="L1086" i="2"/>
  <c r="K1086" i="2"/>
  <c r="Q1085" i="2"/>
  <c r="P1085" i="2"/>
  <c r="O1085" i="2"/>
  <c r="N1085" i="2"/>
  <c r="M1085" i="2"/>
  <c r="L1085" i="2"/>
  <c r="K1085" i="2"/>
  <c r="Q1084" i="2"/>
  <c r="P1084" i="2"/>
  <c r="O1084" i="2"/>
  <c r="N1084" i="2"/>
  <c r="M1084" i="2"/>
  <c r="L1084" i="2"/>
  <c r="K1084" i="2"/>
  <c r="Q1083" i="2"/>
  <c r="P1083" i="2"/>
  <c r="O1083" i="2"/>
  <c r="N1083" i="2"/>
  <c r="M1083" i="2"/>
  <c r="L1083" i="2"/>
  <c r="K1083" i="2"/>
  <c r="Q1082" i="2"/>
  <c r="P1082" i="2"/>
  <c r="O1082" i="2"/>
  <c r="N1082" i="2"/>
  <c r="M1082" i="2"/>
  <c r="L1082" i="2"/>
  <c r="K1082" i="2"/>
  <c r="Q1081" i="2"/>
  <c r="P1081" i="2"/>
  <c r="O1081" i="2"/>
  <c r="N1081" i="2"/>
  <c r="M1081" i="2"/>
  <c r="L1081" i="2"/>
  <c r="K1081" i="2"/>
  <c r="Q1080" i="2"/>
  <c r="P1080" i="2"/>
  <c r="O1080" i="2"/>
  <c r="N1080" i="2"/>
  <c r="M1080" i="2"/>
  <c r="L1080" i="2"/>
  <c r="K1080" i="2"/>
  <c r="Q1079" i="2"/>
  <c r="P1079" i="2"/>
  <c r="O1079" i="2"/>
  <c r="N1079" i="2"/>
  <c r="M1079" i="2"/>
  <c r="L1079" i="2"/>
  <c r="K1079" i="2"/>
  <c r="Q1078" i="2"/>
  <c r="P1078" i="2"/>
  <c r="O1078" i="2"/>
  <c r="N1078" i="2"/>
  <c r="M1078" i="2"/>
  <c r="L1078" i="2"/>
  <c r="K1078" i="2"/>
  <c r="Q1077" i="2"/>
  <c r="P1077" i="2"/>
  <c r="O1077" i="2"/>
  <c r="N1077" i="2"/>
  <c r="M1077" i="2"/>
  <c r="L1077" i="2"/>
  <c r="K1077" i="2"/>
  <c r="Q1076" i="2"/>
  <c r="P1076" i="2"/>
  <c r="O1076" i="2"/>
  <c r="N1076" i="2"/>
  <c r="M1076" i="2"/>
  <c r="L1076" i="2"/>
  <c r="K1076" i="2"/>
  <c r="Q1075" i="2"/>
  <c r="P1075" i="2"/>
  <c r="O1075" i="2"/>
  <c r="N1075" i="2"/>
  <c r="M1075" i="2"/>
  <c r="L1075" i="2"/>
  <c r="K1075" i="2"/>
  <c r="Q1074" i="2"/>
  <c r="P1074" i="2"/>
  <c r="O1074" i="2"/>
  <c r="N1074" i="2"/>
  <c r="M1074" i="2"/>
  <c r="L1074" i="2"/>
  <c r="K1074" i="2"/>
  <c r="Q1073" i="2"/>
  <c r="P1073" i="2"/>
  <c r="O1073" i="2"/>
  <c r="N1073" i="2"/>
  <c r="M1073" i="2"/>
  <c r="L1073" i="2"/>
  <c r="K1073" i="2"/>
  <c r="Q1072" i="2"/>
  <c r="P1072" i="2"/>
  <c r="O1072" i="2"/>
  <c r="N1072" i="2"/>
  <c r="M1072" i="2"/>
  <c r="L1072" i="2"/>
  <c r="K1072" i="2"/>
  <c r="Q1071" i="2"/>
  <c r="P1071" i="2"/>
  <c r="O1071" i="2"/>
  <c r="N1071" i="2"/>
  <c r="M1071" i="2"/>
  <c r="L1071" i="2"/>
  <c r="K1071" i="2"/>
  <c r="Q1070" i="2"/>
  <c r="P1070" i="2"/>
  <c r="O1070" i="2"/>
  <c r="N1070" i="2"/>
  <c r="M1070" i="2"/>
  <c r="L1070" i="2"/>
  <c r="K1070" i="2"/>
  <c r="Q1069" i="2"/>
  <c r="P1069" i="2"/>
  <c r="O1069" i="2"/>
  <c r="N1069" i="2"/>
  <c r="M1069" i="2"/>
  <c r="L1069" i="2"/>
  <c r="K1069" i="2"/>
  <c r="Q1068" i="2"/>
  <c r="P1068" i="2"/>
  <c r="O1068" i="2"/>
  <c r="N1068" i="2"/>
  <c r="M1068" i="2"/>
  <c r="L1068" i="2"/>
  <c r="K1068" i="2"/>
  <c r="Q1067" i="2"/>
  <c r="P1067" i="2"/>
  <c r="O1067" i="2"/>
  <c r="N1067" i="2"/>
  <c r="M1067" i="2"/>
  <c r="L1067" i="2"/>
  <c r="K1067" i="2"/>
  <c r="Q1066" i="2"/>
  <c r="P1066" i="2"/>
  <c r="O1066" i="2"/>
  <c r="N1066" i="2"/>
  <c r="M1066" i="2"/>
  <c r="L1066" i="2"/>
  <c r="K1066" i="2"/>
  <c r="Q1065" i="2"/>
  <c r="P1065" i="2"/>
  <c r="O1065" i="2"/>
  <c r="N1065" i="2"/>
  <c r="M1065" i="2"/>
  <c r="L1065" i="2"/>
  <c r="K1065" i="2"/>
  <c r="Q1064" i="2"/>
  <c r="P1064" i="2"/>
  <c r="O1064" i="2"/>
  <c r="N1064" i="2"/>
  <c r="M1064" i="2"/>
  <c r="L1064" i="2"/>
  <c r="K1064" i="2"/>
  <c r="Q1063" i="2"/>
  <c r="P1063" i="2"/>
  <c r="O1063" i="2"/>
  <c r="N1063" i="2"/>
  <c r="M1063" i="2"/>
  <c r="L1063" i="2"/>
  <c r="K1063" i="2"/>
  <c r="Q1062" i="2"/>
  <c r="P1062" i="2"/>
  <c r="O1062" i="2"/>
  <c r="N1062" i="2"/>
  <c r="M1062" i="2"/>
  <c r="L1062" i="2"/>
  <c r="K1062" i="2"/>
  <c r="Q1061" i="2"/>
  <c r="P1061" i="2"/>
  <c r="O1061" i="2"/>
  <c r="N1061" i="2"/>
  <c r="M1061" i="2"/>
  <c r="L1061" i="2"/>
  <c r="K1061" i="2"/>
  <c r="Q1060" i="2"/>
  <c r="P1060" i="2"/>
  <c r="O1060" i="2"/>
  <c r="N1060" i="2"/>
  <c r="M1060" i="2"/>
  <c r="L1060" i="2"/>
  <c r="K1060" i="2"/>
  <c r="Q1059" i="2"/>
  <c r="P1059" i="2"/>
  <c r="O1059" i="2"/>
  <c r="N1059" i="2"/>
  <c r="M1059" i="2"/>
  <c r="L1059" i="2"/>
  <c r="K1059" i="2"/>
  <c r="Q1058" i="2"/>
  <c r="P1058" i="2"/>
  <c r="O1058" i="2"/>
  <c r="N1058" i="2"/>
  <c r="M1058" i="2"/>
  <c r="L1058" i="2"/>
  <c r="K1058" i="2"/>
  <c r="Q1057" i="2"/>
  <c r="P1057" i="2"/>
  <c r="O1057" i="2"/>
  <c r="N1057" i="2"/>
  <c r="M1057" i="2"/>
  <c r="L1057" i="2"/>
  <c r="K1057" i="2"/>
  <c r="Q1056" i="2"/>
  <c r="P1056" i="2"/>
  <c r="O1056" i="2"/>
  <c r="N1056" i="2"/>
  <c r="M1056" i="2"/>
  <c r="L1056" i="2"/>
  <c r="K1056" i="2"/>
  <c r="Q1055" i="2"/>
  <c r="P1055" i="2"/>
  <c r="O1055" i="2"/>
  <c r="N1055" i="2"/>
  <c r="M1055" i="2"/>
  <c r="L1055" i="2"/>
  <c r="K1055" i="2"/>
  <c r="Q1054" i="2"/>
  <c r="P1054" i="2"/>
  <c r="O1054" i="2"/>
  <c r="N1054" i="2"/>
  <c r="M1054" i="2"/>
  <c r="L1054" i="2"/>
  <c r="K1054" i="2"/>
  <c r="Q1053" i="2"/>
  <c r="P1053" i="2"/>
  <c r="O1053" i="2"/>
  <c r="N1053" i="2"/>
  <c r="M1053" i="2"/>
  <c r="L1053" i="2"/>
  <c r="K1053" i="2"/>
  <c r="Q1052" i="2"/>
  <c r="P1052" i="2"/>
  <c r="O1052" i="2"/>
  <c r="N1052" i="2"/>
  <c r="M1052" i="2"/>
  <c r="L1052" i="2"/>
  <c r="K1052" i="2"/>
  <c r="Q1051" i="2"/>
  <c r="P1051" i="2"/>
  <c r="O1051" i="2"/>
  <c r="N1051" i="2"/>
  <c r="M1051" i="2"/>
  <c r="L1051" i="2"/>
  <c r="K1051" i="2"/>
  <c r="Q1050" i="2"/>
  <c r="P1050" i="2"/>
  <c r="O1050" i="2"/>
  <c r="N1050" i="2"/>
  <c r="M1050" i="2"/>
  <c r="L1050" i="2"/>
  <c r="K1050" i="2"/>
  <c r="Q1049" i="2"/>
  <c r="P1049" i="2"/>
  <c r="O1049" i="2"/>
  <c r="N1049" i="2"/>
  <c r="M1049" i="2"/>
  <c r="L1049" i="2"/>
  <c r="K1049" i="2"/>
  <c r="Q1048" i="2"/>
  <c r="P1048" i="2"/>
  <c r="O1048" i="2"/>
  <c r="N1048" i="2"/>
  <c r="M1048" i="2"/>
  <c r="L1048" i="2"/>
  <c r="K1048" i="2"/>
  <c r="Q1047" i="2"/>
  <c r="P1047" i="2"/>
  <c r="O1047" i="2"/>
  <c r="N1047" i="2"/>
  <c r="M1047" i="2"/>
  <c r="L1047" i="2"/>
  <c r="K1047" i="2"/>
  <c r="Q1046" i="2"/>
  <c r="P1046" i="2"/>
  <c r="O1046" i="2"/>
  <c r="N1046" i="2"/>
  <c r="M1046" i="2"/>
  <c r="L1046" i="2"/>
  <c r="K1046" i="2"/>
  <c r="Q1045" i="2"/>
  <c r="P1045" i="2"/>
  <c r="O1045" i="2"/>
  <c r="N1045" i="2"/>
  <c r="M1045" i="2"/>
  <c r="L1045" i="2"/>
  <c r="K1045" i="2"/>
  <c r="Q1044" i="2"/>
  <c r="P1044" i="2"/>
  <c r="O1044" i="2"/>
  <c r="N1044" i="2"/>
  <c r="M1044" i="2"/>
  <c r="L1044" i="2"/>
  <c r="K1044" i="2"/>
  <c r="Q1043" i="2"/>
  <c r="P1043" i="2"/>
  <c r="O1043" i="2"/>
  <c r="N1043" i="2"/>
  <c r="M1043" i="2"/>
  <c r="L1043" i="2"/>
  <c r="K1043" i="2"/>
  <c r="Q1042" i="2"/>
  <c r="P1042" i="2"/>
  <c r="O1042" i="2"/>
  <c r="N1042" i="2"/>
  <c r="M1042" i="2"/>
  <c r="L1042" i="2"/>
  <c r="K1042" i="2"/>
  <c r="Q1041" i="2"/>
  <c r="P1041" i="2"/>
  <c r="O1041" i="2"/>
  <c r="N1041" i="2"/>
  <c r="M1041" i="2"/>
  <c r="L1041" i="2"/>
  <c r="K1041" i="2"/>
  <c r="Q1040" i="2"/>
  <c r="P1040" i="2"/>
  <c r="O1040" i="2"/>
  <c r="N1040" i="2"/>
  <c r="M1040" i="2"/>
  <c r="L1040" i="2"/>
  <c r="K1040" i="2"/>
  <c r="Q1039" i="2"/>
  <c r="P1039" i="2"/>
  <c r="O1039" i="2"/>
  <c r="N1039" i="2"/>
  <c r="M1039" i="2"/>
  <c r="L1039" i="2"/>
  <c r="K1039" i="2"/>
  <c r="Q1038" i="2"/>
  <c r="P1038" i="2"/>
  <c r="O1038" i="2"/>
  <c r="N1038" i="2"/>
  <c r="M1038" i="2"/>
  <c r="L1038" i="2"/>
  <c r="K1038" i="2"/>
  <c r="Q1037" i="2"/>
  <c r="P1037" i="2"/>
  <c r="O1037" i="2"/>
  <c r="N1037" i="2"/>
  <c r="M1037" i="2"/>
  <c r="L1037" i="2"/>
  <c r="K1037" i="2"/>
  <c r="Q1036" i="2"/>
  <c r="P1036" i="2"/>
  <c r="O1036" i="2"/>
  <c r="N1036" i="2"/>
  <c r="M1036" i="2"/>
  <c r="L1036" i="2"/>
  <c r="K1036" i="2"/>
  <c r="Q1035" i="2"/>
  <c r="P1035" i="2"/>
  <c r="O1035" i="2"/>
  <c r="N1035" i="2"/>
  <c r="M1035" i="2"/>
  <c r="L1035" i="2"/>
  <c r="K1035" i="2"/>
  <c r="Q1034" i="2"/>
  <c r="P1034" i="2"/>
  <c r="O1034" i="2"/>
  <c r="N1034" i="2"/>
  <c r="M1034" i="2"/>
  <c r="L1034" i="2"/>
  <c r="K1034" i="2"/>
  <c r="Q1033" i="2"/>
  <c r="P1033" i="2"/>
  <c r="O1033" i="2"/>
  <c r="N1033" i="2"/>
  <c r="M1033" i="2"/>
  <c r="L1033" i="2"/>
  <c r="K1033" i="2"/>
  <c r="Q1032" i="2"/>
  <c r="P1032" i="2"/>
  <c r="O1032" i="2"/>
  <c r="N1032" i="2"/>
  <c r="M1032" i="2"/>
  <c r="L1032" i="2"/>
  <c r="K1032" i="2"/>
  <c r="Q1031" i="2"/>
  <c r="P1031" i="2"/>
  <c r="O1031" i="2"/>
  <c r="N1031" i="2"/>
  <c r="M1031" i="2"/>
  <c r="L1031" i="2"/>
  <c r="K1031" i="2"/>
  <c r="Q1030" i="2"/>
  <c r="P1030" i="2"/>
  <c r="O1030" i="2"/>
  <c r="N1030" i="2"/>
  <c r="M1030" i="2"/>
  <c r="L1030" i="2"/>
  <c r="K1030" i="2"/>
  <c r="Q1029" i="2"/>
  <c r="P1029" i="2"/>
  <c r="O1029" i="2"/>
  <c r="N1029" i="2"/>
  <c r="M1029" i="2"/>
  <c r="L1029" i="2"/>
  <c r="K1029" i="2"/>
  <c r="Q1028" i="2"/>
  <c r="P1028" i="2"/>
  <c r="O1028" i="2"/>
  <c r="N1028" i="2"/>
  <c r="M1028" i="2"/>
  <c r="L1028" i="2"/>
  <c r="K1028" i="2"/>
  <c r="Q1027" i="2"/>
  <c r="P1027" i="2"/>
  <c r="O1027" i="2"/>
  <c r="N1027" i="2"/>
  <c r="M1027" i="2"/>
  <c r="L1027" i="2"/>
  <c r="K1027" i="2"/>
  <c r="Q1026" i="2"/>
  <c r="P1026" i="2"/>
  <c r="O1026" i="2"/>
  <c r="N1026" i="2"/>
  <c r="M1026" i="2"/>
  <c r="L1026" i="2"/>
  <c r="K1026" i="2"/>
  <c r="Q1025" i="2"/>
  <c r="P1025" i="2"/>
  <c r="O1025" i="2"/>
  <c r="N1025" i="2"/>
  <c r="M1025" i="2"/>
  <c r="L1025" i="2"/>
  <c r="K1025" i="2"/>
  <c r="Q1024" i="2"/>
  <c r="P1024" i="2"/>
  <c r="O1024" i="2"/>
  <c r="N1024" i="2"/>
  <c r="M1024" i="2"/>
  <c r="L1024" i="2"/>
  <c r="K1024" i="2"/>
  <c r="Q1023" i="2"/>
  <c r="P1023" i="2"/>
  <c r="O1023" i="2"/>
  <c r="N1023" i="2"/>
  <c r="M1023" i="2"/>
  <c r="L1023" i="2"/>
  <c r="K1023" i="2"/>
  <c r="Q1022" i="2"/>
  <c r="P1022" i="2"/>
  <c r="O1022" i="2"/>
  <c r="N1022" i="2"/>
  <c r="M1022" i="2"/>
  <c r="L1022" i="2"/>
  <c r="K1022" i="2"/>
  <c r="Q1021" i="2"/>
  <c r="P1021" i="2"/>
  <c r="O1021" i="2"/>
  <c r="N1021" i="2"/>
  <c r="M1021" i="2"/>
  <c r="L1021" i="2"/>
  <c r="K1021" i="2"/>
  <c r="Q1020" i="2"/>
  <c r="P1020" i="2"/>
  <c r="O1020" i="2"/>
  <c r="N1020" i="2"/>
  <c r="M1020" i="2"/>
  <c r="L1020" i="2"/>
  <c r="K1020" i="2"/>
  <c r="Q1019" i="2"/>
  <c r="P1019" i="2"/>
  <c r="O1019" i="2"/>
  <c r="N1019" i="2"/>
  <c r="M1019" i="2"/>
  <c r="L1019" i="2"/>
  <c r="K1019" i="2"/>
  <c r="Q1018" i="2"/>
  <c r="P1018" i="2"/>
  <c r="O1018" i="2"/>
  <c r="N1018" i="2"/>
  <c r="M1018" i="2"/>
  <c r="L1018" i="2"/>
  <c r="K1018" i="2"/>
  <c r="Q1017" i="2"/>
  <c r="P1017" i="2"/>
  <c r="O1017" i="2"/>
  <c r="N1017" i="2"/>
  <c r="M1017" i="2"/>
  <c r="L1017" i="2"/>
  <c r="K1017" i="2"/>
  <c r="Q1016" i="2"/>
  <c r="P1016" i="2"/>
  <c r="O1016" i="2"/>
  <c r="N1016" i="2"/>
  <c r="M1016" i="2"/>
  <c r="L1016" i="2"/>
  <c r="K1016" i="2"/>
  <c r="Q1015" i="2"/>
  <c r="P1015" i="2"/>
  <c r="O1015" i="2"/>
  <c r="N1015" i="2"/>
  <c r="M1015" i="2"/>
  <c r="L1015" i="2"/>
  <c r="K1015" i="2"/>
  <c r="Q1014" i="2"/>
  <c r="P1014" i="2"/>
  <c r="O1014" i="2"/>
  <c r="N1014" i="2"/>
  <c r="M1014" i="2"/>
  <c r="L1014" i="2"/>
  <c r="K1014" i="2"/>
  <c r="Q1013" i="2"/>
  <c r="P1013" i="2"/>
  <c r="O1013" i="2"/>
  <c r="N1013" i="2"/>
  <c r="M1013" i="2"/>
  <c r="L1013" i="2"/>
  <c r="K1013" i="2"/>
  <c r="Q1012" i="2"/>
  <c r="P1012" i="2"/>
  <c r="O1012" i="2"/>
  <c r="N1012" i="2"/>
  <c r="M1012" i="2"/>
  <c r="L1012" i="2"/>
  <c r="K1012" i="2"/>
  <c r="Q1011" i="2"/>
  <c r="P1011" i="2"/>
  <c r="O1011" i="2"/>
  <c r="N1011" i="2"/>
  <c r="M1011" i="2"/>
  <c r="L1011" i="2"/>
  <c r="K1011" i="2"/>
  <c r="Q1010" i="2"/>
  <c r="P1010" i="2"/>
  <c r="O1010" i="2"/>
  <c r="N1010" i="2"/>
  <c r="M1010" i="2"/>
  <c r="L1010" i="2"/>
  <c r="K1010" i="2"/>
  <c r="Q1009" i="2"/>
  <c r="P1009" i="2"/>
  <c r="O1009" i="2"/>
  <c r="N1009" i="2"/>
  <c r="M1009" i="2"/>
  <c r="L1009" i="2"/>
  <c r="K1009" i="2"/>
  <c r="Q1008" i="2"/>
  <c r="P1008" i="2"/>
  <c r="O1008" i="2"/>
  <c r="N1008" i="2"/>
  <c r="M1008" i="2"/>
  <c r="L1008" i="2"/>
  <c r="K1008" i="2"/>
  <c r="Q1007" i="2"/>
  <c r="P1007" i="2"/>
  <c r="O1007" i="2"/>
  <c r="N1007" i="2"/>
  <c r="M1007" i="2"/>
  <c r="L1007" i="2"/>
  <c r="K1007" i="2"/>
  <c r="Q1006" i="2"/>
  <c r="P1006" i="2"/>
  <c r="O1006" i="2"/>
  <c r="N1006" i="2"/>
  <c r="M1006" i="2"/>
  <c r="L1006" i="2"/>
  <c r="K1006" i="2"/>
  <c r="Q1005" i="2"/>
  <c r="P1005" i="2"/>
  <c r="O1005" i="2"/>
  <c r="N1005" i="2"/>
  <c r="M1005" i="2"/>
  <c r="L1005" i="2"/>
  <c r="K1005" i="2"/>
  <c r="Q1004" i="2"/>
  <c r="P1004" i="2"/>
  <c r="O1004" i="2"/>
  <c r="N1004" i="2"/>
  <c r="M1004" i="2"/>
  <c r="L1004" i="2"/>
  <c r="K1004" i="2"/>
  <c r="Q1003" i="2"/>
  <c r="P1003" i="2"/>
  <c r="O1003" i="2"/>
  <c r="N1003" i="2"/>
  <c r="M1003" i="2"/>
  <c r="L1003" i="2"/>
  <c r="K1003" i="2"/>
  <c r="Q1002" i="2"/>
  <c r="P1002" i="2"/>
  <c r="O1002" i="2"/>
  <c r="N1002" i="2"/>
  <c r="M1002" i="2"/>
  <c r="L1002" i="2"/>
  <c r="K1002" i="2"/>
  <c r="Q1001" i="2"/>
  <c r="P1001" i="2"/>
  <c r="O1001" i="2"/>
  <c r="N1001" i="2"/>
  <c r="M1001" i="2"/>
  <c r="L1001" i="2"/>
  <c r="K1001" i="2"/>
  <c r="Q1000" i="2"/>
  <c r="P1000" i="2"/>
  <c r="O1000" i="2"/>
  <c r="N1000" i="2"/>
  <c r="M1000" i="2"/>
  <c r="L1000" i="2"/>
  <c r="K1000" i="2"/>
  <c r="Q999" i="2"/>
  <c r="P999" i="2"/>
  <c r="O999" i="2"/>
  <c r="N999" i="2"/>
  <c r="M999" i="2"/>
  <c r="L999" i="2"/>
  <c r="K999" i="2"/>
  <c r="Q998" i="2"/>
  <c r="P998" i="2"/>
  <c r="O998" i="2"/>
  <c r="N998" i="2"/>
  <c r="M998" i="2"/>
  <c r="L998" i="2"/>
  <c r="K998" i="2"/>
  <c r="Q997" i="2"/>
  <c r="P997" i="2"/>
  <c r="O997" i="2"/>
  <c r="N997" i="2"/>
  <c r="M997" i="2"/>
  <c r="L997" i="2"/>
  <c r="K997" i="2"/>
  <c r="Q996" i="2"/>
  <c r="P996" i="2"/>
  <c r="O996" i="2"/>
  <c r="N996" i="2"/>
  <c r="M996" i="2"/>
  <c r="L996" i="2"/>
  <c r="K996" i="2"/>
  <c r="Q995" i="2"/>
  <c r="P995" i="2"/>
  <c r="O995" i="2"/>
  <c r="N995" i="2"/>
  <c r="M995" i="2"/>
  <c r="L995" i="2"/>
  <c r="K995" i="2"/>
  <c r="Q994" i="2"/>
  <c r="P994" i="2"/>
  <c r="O994" i="2"/>
  <c r="N994" i="2"/>
  <c r="M994" i="2"/>
  <c r="L994" i="2"/>
  <c r="K994" i="2"/>
  <c r="Q993" i="2"/>
  <c r="P993" i="2"/>
  <c r="O993" i="2"/>
  <c r="N993" i="2"/>
  <c r="M993" i="2"/>
  <c r="L993" i="2"/>
  <c r="K993" i="2"/>
  <c r="Q992" i="2"/>
  <c r="P992" i="2"/>
  <c r="O992" i="2"/>
  <c r="N992" i="2"/>
  <c r="M992" i="2"/>
  <c r="L992" i="2"/>
  <c r="K992" i="2"/>
  <c r="Q991" i="2"/>
  <c r="P991" i="2"/>
  <c r="O991" i="2"/>
  <c r="N991" i="2"/>
  <c r="M991" i="2"/>
  <c r="L991" i="2"/>
  <c r="K991" i="2"/>
  <c r="Q990" i="2"/>
  <c r="P990" i="2"/>
  <c r="O990" i="2"/>
  <c r="N990" i="2"/>
  <c r="M990" i="2"/>
  <c r="L990" i="2"/>
  <c r="K990" i="2"/>
  <c r="Q989" i="2"/>
  <c r="P989" i="2"/>
  <c r="O989" i="2"/>
  <c r="N989" i="2"/>
  <c r="M989" i="2"/>
  <c r="L989" i="2"/>
  <c r="K989" i="2"/>
  <c r="Q988" i="2"/>
  <c r="P988" i="2"/>
  <c r="O988" i="2"/>
  <c r="N988" i="2"/>
  <c r="M988" i="2"/>
  <c r="L988" i="2"/>
  <c r="K988" i="2"/>
  <c r="Q987" i="2"/>
  <c r="P987" i="2"/>
  <c r="O987" i="2"/>
  <c r="N987" i="2"/>
  <c r="M987" i="2"/>
  <c r="L987" i="2"/>
  <c r="K987" i="2"/>
  <c r="Q986" i="2"/>
  <c r="P986" i="2"/>
  <c r="O986" i="2"/>
  <c r="N986" i="2"/>
  <c r="M986" i="2"/>
  <c r="L986" i="2"/>
  <c r="K986" i="2"/>
  <c r="Q985" i="2"/>
  <c r="P985" i="2"/>
  <c r="O985" i="2"/>
  <c r="N985" i="2"/>
  <c r="M985" i="2"/>
  <c r="L985" i="2"/>
  <c r="K985" i="2"/>
  <c r="Q984" i="2"/>
  <c r="P984" i="2"/>
  <c r="O984" i="2"/>
  <c r="N984" i="2"/>
  <c r="M984" i="2"/>
  <c r="L984" i="2"/>
  <c r="K984" i="2"/>
  <c r="Q983" i="2"/>
  <c r="P983" i="2"/>
  <c r="O983" i="2"/>
  <c r="N983" i="2"/>
  <c r="M983" i="2"/>
  <c r="L983" i="2"/>
  <c r="K983" i="2"/>
  <c r="Q982" i="2"/>
  <c r="P982" i="2"/>
  <c r="O982" i="2"/>
  <c r="N982" i="2"/>
  <c r="M982" i="2"/>
  <c r="L982" i="2"/>
  <c r="K982" i="2"/>
  <c r="Q981" i="2"/>
  <c r="P981" i="2"/>
  <c r="O981" i="2"/>
  <c r="N981" i="2"/>
  <c r="M981" i="2"/>
  <c r="L981" i="2"/>
  <c r="K981" i="2"/>
  <c r="Q980" i="2"/>
  <c r="P980" i="2"/>
  <c r="O980" i="2"/>
  <c r="N980" i="2"/>
  <c r="M980" i="2"/>
  <c r="L980" i="2"/>
  <c r="K980" i="2"/>
  <c r="Q979" i="2"/>
  <c r="P979" i="2"/>
  <c r="O979" i="2"/>
  <c r="N979" i="2"/>
  <c r="M979" i="2"/>
  <c r="L979" i="2"/>
  <c r="K979" i="2"/>
  <c r="Q978" i="2"/>
  <c r="P978" i="2"/>
  <c r="O978" i="2"/>
  <c r="N978" i="2"/>
  <c r="M978" i="2"/>
  <c r="L978" i="2"/>
  <c r="K978" i="2"/>
  <c r="Q977" i="2"/>
  <c r="P977" i="2"/>
  <c r="O977" i="2"/>
  <c r="N977" i="2"/>
  <c r="M977" i="2"/>
  <c r="L977" i="2"/>
  <c r="K977" i="2"/>
  <c r="Q976" i="2"/>
  <c r="P976" i="2"/>
  <c r="O976" i="2"/>
  <c r="N976" i="2"/>
  <c r="M976" i="2"/>
  <c r="L976" i="2"/>
  <c r="K976" i="2"/>
  <c r="Q975" i="2"/>
  <c r="P975" i="2"/>
  <c r="O975" i="2"/>
  <c r="N975" i="2"/>
  <c r="M975" i="2"/>
  <c r="L975" i="2"/>
  <c r="K975" i="2"/>
  <c r="Q974" i="2"/>
  <c r="P974" i="2"/>
  <c r="O974" i="2"/>
  <c r="N974" i="2"/>
  <c r="M974" i="2"/>
  <c r="L974" i="2"/>
  <c r="K974" i="2"/>
  <c r="Q973" i="2"/>
  <c r="P973" i="2"/>
  <c r="O973" i="2"/>
  <c r="N973" i="2"/>
  <c r="M973" i="2"/>
  <c r="L973" i="2"/>
  <c r="K973" i="2"/>
  <c r="Q972" i="2"/>
  <c r="P972" i="2"/>
  <c r="O972" i="2"/>
  <c r="N972" i="2"/>
  <c r="M972" i="2"/>
  <c r="L972" i="2"/>
  <c r="K972" i="2"/>
  <c r="Q971" i="2"/>
  <c r="P971" i="2"/>
  <c r="O971" i="2"/>
  <c r="N971" i="2"/>
  <c r="M971" i="2"/>
  <c r="L971" i="2"/>
  <c r="K971" i="2"/>
  <c r="Q970" i="2"/>
  <c r="P970" i="2"/>
  <c r="O970" i="2"/>
  <c r="N970" i="2"/>
  <c r="M970" i="2"/>
  <c r="L970" i="2"/>
  <c r="K970" i="2"/>
  <c r="Q969" i="2"/>
  <c r="P969" i="2"/>
  <c r="O969" i="2"/>
  <c r="N969" i="2"/>
  <c r="M969" i="2"/>
  <c r="L969" i="2"/>
  <c r="K969" i="2"/>
  <c r="Q968" i="2"/>
  <c r="P968" i="2"/>
  <c r="O968" i="2"/>
  <c r="N968" i="2"/>
  <c r="M968" i="2"/>
  <c r="L968" i="2"/>
  <c r="K968" i="2"/>
  <c r="Q967" i="2"/>
  <c r="P967" i="2"/>
  <c r="O967" i="2"/>
  <c r="N967" i="2"/>
  <c r="M967" i="2"/>
  <c r="L967" i="2"/>
  <c r="K967" i="2"/>
  <c r="Q966" i="2"/>
  <c r="P966" i="2"/>
  <c r="O966" i="2"/>
  <c r="N966" i="2"/>
  <c r="M966" i="2"/>
  <c r="L966" i="2"/>
  <c r="K966" i="2"/>
  <c r="Q965" i="2"/>
  <c r="P965" i="2"/>
  <c r="O965" i="2"/>
  <c r="N965" i="2"/>
  <c r="M965" i="2"/>
  <c r="L965" i="2"/>
  <c r="K965" i="2"/>
  <c r="Q964" i="2"/>
  <c r="P964" i="2"/>
  <c r="O964" i="2"/>
  <c r="N964" i="2"/>
  <c r="M964" i="2"/>
  <c r="L964" i="2"/>
  <c r="K964" i="2"/>
  <c r="Q963" i="2"/>
  <c r="P963" i="2"/>
  <c r="O963" i="2"/>
  <c r="N963" i="2"/>
  <c r="M963" i="2"/>
  <c r="L963" i="2"/>
  <c r="K963" i="2"/>
  <c r="Q962" i="2"/>
  <c r="P962" i="2"/>
  <c r="O962" i="2"/>
  <c r="N962" i="2"/>
  <c r="M962" i="2"/>
  <c r="L962" i="2"/>
  <c r="K962" i="2"/>
  <c r="Q961" i="2"/>
  <c r="P961" i="2"/>
  <c r="O961" i="2"/>
  <c r="N961" i="2"/>
  <c r="M961" i="2"/>
  <c r="L961" i="2"/>
  <c r="K961" i="2"/>
  <c r="Q960" i="2"/>
  <c r="P960" i="2"/>
  <c r="O960" i="2"/>
  <c r="N960" i="2"/>
  <c r="M960" i="2"/>
  <c r="L960" i="2"/>
  <c r="K960" i="2"/>
  <c r="Q959" i="2"/>
  <c r="P959" i="2"/>
  <c r="O959" i="2"/>
  <c r="N959" i="2"/>
  <c r="M959" i="2"/>
  <c r="L959" i="2"/>
  <c r="K959" i="2"/>
  <c r="Q958" i="2"/>
  <c r="P958" i="2"/>
  <c r="O958" i="2"/>
  <c r="N958" i="2"/>
  <c r="M958" i="2"/>
  <c r="L958" i="2"/>
  <c r="K958" i="2"/>
  <c r="Q957" i="2"/>
  <c r="P957" i="2"/>
  <c r="O957" i="2"/>
  <c r="N957" i="2"/>
  <c r="M957" i="2"/>
  <c r="L957" i="2"/>
  <c r="K957" i="2"/>
  <c r="Q956" i="2"/>
  <c r="P956" i="2"/>
  <c r="O956" i="2"/>
  <c r="N956" i="2"/>
  <c r="M956" i="2"/>
  <c r="L956" i="2"/>
  <c r="K956" i="2"/>
  <c r="Q955" i="2"/>
  <c r="P955" i="2"/>
  <c r="O955" i="2"/>
  <c r="N955" i="2"/>
  <c r="M955" i="2"/>
  <c r="L955" i="2"/>
  <c r="K955" i="2"/>
  <c r="Q954" i="2"/>
  <c r="P954" i="2"/>
  <c r="O954" i="2"/>
  <c r="N954" i="2"/>
  <c r="M954" i="2"/>
  <c r="L954" i="2"/>
  <c r="K954" i="2"/>
  <c r="Q953" i="2"/>
  <c r="P953" i="2"/>
  <c r="O953" i="2"/>
  <c r="N953" i="2"/>
  <c r="M953" i="2"/>
  <c r="L953" i="2"/>
  <c r="K953" i="2"/>
  <c r="Q952" i="2"/>
  <c r="P952" i="2"/>
  <c r="O952" i="2"/>
  <c r="N952" i="2"/>
  <c r="M952" i="2"/>
  <c r="L952" i="2"/>
  <c r="K952" i="2"/>
  <c r="Q951" i="2"/>
  <c r="P951" i="2"/>
  <c r="O951" i="2"/>
  <c r="N951" i="2"/>
  <c r="M951" i="2"/>
  <c r="L951" i="2"/>
  <c r="K951" i="2"/>
  <c r="Q950" i="2"/>
  <c r="P950" i="2"/>
  <c r="O950" i="2"/>
  <c r="N950" i="2"/>
  <c r="M950" i="2"/>
  <c r="L950" i="2"/>
  <c r="K950" i="2"/>
  <c r="Q949" i="2"/>
  <c r="P949" i="2"/>
  <c r="O949" i="2"/>
  <c r="N949" i="2"/>
  <c r="M949" i="2"/>
  <c r="L949" i="2"/>
  <c r="K949" i="2"/>
  <c r="Q948" i="2"/>
  <c r="P948" i="2"/>
  <c r="O948" i="2"/>
  <c r="N948" i="2"/>
  <c r="M948" i="2"/>
  <c r="L948" i="2"/>
  <c r="K948" i="2"/>
  <c r="Q947" i="2"/>
  <c r="P947" i="2"/>
  <c r="O947" i="2"/>
  <c r="N947" i="2"/>
  <c r="M947" i="2"/>
  <c r="L947" i="2"/>
  <c r="K947" i="2"/>
  <c r="Q946" i="2"/>
  <c r="P946" i="2"/>
  <c r="O946" i="2"/>
  <c r="N946" i="2"/>
  <c r="M946" i="2"/>
  <c r="L946" i="2"/>
  <c r="K946" i="2"/>
  <c r="Q945" i="2"/>
  <c r="P945" i="2"/>
  <c r="O945" i="2"/>
  <c r="N945" i="2"/>
  <c r="M945" i="2"/>
  <c r="L945" i="2"/>
  <c r="K945" i="2"/>
  <c r="Q944" i="2"/>
  <c r="P944" i="2"/>
  <c r="O944" i="2"/>
  <c r="N944" i="2"/>
  <c r="M944" i="2"/>
  <c r="L944" i="2"/>
  <c r="K944" i="2"/>
  <c r="Q943" i="2"/>
  <c r="P943" i="2"/>
  <c r="O943" i="2"/>
  <c r="N943" i="2"/>
  <c r="M943" i="2"/>
  <c r="L943" i="2"/>
  <c r="K943" i="2"/>
  <c r="Q942" i="2"/>
  <c r="P942" i="2"/>
  <c r="O942" i="2"/>
  <c r="N942" i="2"/>
  <c r="M942" i="2"/>
  <c r="L942" i="2"/>
  <c r="K942" i="2"/>
  <c r="Q941" i="2"/>
  <c r="P941" i="2"/>
  <c r="O941" i="2"/>
  <c r="N941" i="2"/>
  <c r="M941" i="2"/>
  <c r="L941" i="2"/>
  <c r="K941" i="2"/>
  <c r="Q940" i="2"/>
  <c r="P940" i="2"/>
  <c r="O940" i="2"/>
  <c r="N940" i="2"/>
  <c r="M940" i="2"/>
  <c r="L940" i="2"/>
  <c r="K940" i="2"/>
  <c r="Q939" i="2"/>
  <c r="P939" i="2"/>
  <c r="O939" i="2"/>
  <c r="N939" i="2"/>
  <c r="M939" i="2"/>
  <c r="L939" i="2"/>
  <c r="K939" i="2"/>
  <c r="Q938" i="2"/>
  <c r="P938" i="2"/>
  <c r="O938" i="2"/>
  <c r="N938" i="2"/>
  <c r="M938" i="2"/>
  <c r="L938" i="2"/>
  <c r="K938" i="2"/>
  <c r="Q937" i="2"/>
  <c r="P937" i="2"/>
  <c r="O937" i="2"/>
  <c r="N937" i="2"/>
  <c r="M937" i="2"/>
  <c r="L937" i="2"/>
  <c r="K937" i="2"/>
  <c r="Q936" i="2"/>
  <c r="P936" i="2"/>
  <c r="O936" i="2"/>
  <c r="N936" i="2"/>
  <c r="M936" i="2"/>
  <c r="L936" i="2"/>
  <c r="K936" i="2"/>
  <c r="Q935" i="2"/>
  <c r="P935" i="2"/>
  <c r="O935" i="2"/>
  <c r="N935" i="2"/>
  <c r="M935" i="2"/>
  <c r="L935" i="2"/>
  <c r="K935" i="2"/>
  <c r="Q934" i="2"/>
  <c r="P934" i="2"/>
  <c r="O934" i="2"/>
  <c r="N934" i="2"/>
  <c r="M934" i="2"/>
  <c r="L934" i="2"/>
  <c r="K934" i="2"/>
  <c r="Q933" i="2"/>
  <c r="P933" i="2"/>
  <c r="O933" i="2"/>
  <c r="N933" i="2"/>
  <c r="M933" i="2"/>
  <c r="L933" i="2"/>
  <c r="K933" i="2"/>
  <c r="Q932" i="2"/>
  <c r="P932" i="2"/>
  <c r="O932" i="2"/>
  <c r="N932" i="2"/>
  <c r="M932" i="2"/>
  <c r="L932" i="2"/>
  <c r="K932" i="2"/>
  <c r="Q931" i="2"/>
  <c r="P931" i="2"/>
  <c r="O931" i="2"/>
  <c r="N931" i="2"/>
  <c r="M931" i="2"/>
  <c r="L931" i="2"/>
  <c r="K931" i="2"/>
  <c r="Q930" i="2"/>
  <c r="P930" i="2"/>
  <c r="O930" i="2"/>
  <c r="N930" i="2"/>
  <c r="M930" i="2"/>
  <c r="L930" i="2"/>
  <c r="K930" i="2"/>
  <c r="Q929" i="2"/>
  <c r="P929" i="2"/>
  <c r="O929" i="2"/>
  <c r="N929" i="2"/>
  <c r="M929" i="2"/>
  <c r="L929" i="2"/>
  <c r="K929" i="2"/>
  <c r="Q928" i="2"/>
  <c r="P928" i="2"/>
  <c r="O928" i="2"/>
  <c r="N928" i="2"/>
  <c r="M928" i="2"/>
  <c r="L928" i="2"/>
  <c r="K928" i="2"/>
  <c r="Q927" i="2"/>
  <c r="P927" i="2"/>
  <c r="O927" i="2"/>
  <c r="N927" i="2"/>
  <c r="M927" i="2"/>
  <c r="L927" i="2"/>
  <c r="K927" i="2"/>
  <c r="Q926" i="2"/>
  <c r="P926" i="2"/>
  <c r="O926" i="2"/>
  <c r="N926" i="2"/>
  <c r="M926" i="2"/>
  <c r="L926" i="2"/>
  <c r="K926" i="2"/>
  <c r="Q925" i="2"/>
  <c r="P925" i="2"/>
  <c r="O925" i="2"/>
  <c r="N925" i="2"/>
  <c r="M925" i="2"/>
  <c r="L925" i="2"/>
  <c r="K925" i="2"/>
  <c r="Q924" i="2"/>
  <c r="P924" i="2"/>
  <c r="O924" i="2"/>
  <c r="N924" i="2"/>
  <c r="M924" i="2"/>
  <c r="L924" i="2"/>
  <c r="K924" i="2"/>
  <c r="Q923" i="2"/>
  <c r="P923" i="2"/>
  <c r="O923" i="2"/>
  <c r="N923" i="2"/>
  <c r="M923" i="2"/>
  <c r="L923" i="2"/>
  <c r="K923" i="2"/>
  <c r="Q922" i="2"/>
  <c r="P922" i="2"/>
  <c r="O922" i="2"/>
  <c r="N922" i="2"/>
  <c r="M922" i="2"/>
  <c r="L922" i="2"/>
  <c r="K922" i="2"/>
  <c r="Q921" i="2"/>
  <c r="P921" i="2"/>
  <c r="O921" i="2"/>
  <c r="N921" i="2"/>
  <c r="M921" i="2"/>
  <c r="L921" i="2"/>
  <c r="K921" i="2"/>
  <c r="Q920" i="2"/>
  <c r="P920" i="2"/>
  <c r="O920" i="2"/>
  <c r="N920" i="2"/>
  <c r="M920" i="2"/>
  <c r="L920" i="2"/>
  <c r="K920" i="2"/>
  <c r="Q919" i="2"/>
  <c r="P919" i="2"/>
  <c r="O919" i="2"/>
  <c r="N919" i="2"/>
  <c r="M919" i="2"/>
  <c r="L919" i="2"/>
  <c r="K919" i="2"/>
  <c r="Q918" i="2"/>
  <c r="P918" i="2"/>
  <c r="O918" i="2"/>
  <c r="N918" i="2"/>
  <c r="M918" i="2"/>
  <c r="L918" i="2"/>
  <c r="K918" i="2"/>
  <c r="Q917" i="2"/>
  <c r="P917" i="2"/>
  <c r="O917" i="2"/>
  <c r="N917" i="2"/>
  <c r="M917" i="2"/>
  <c r="L917" i="2"/>
  <c r="K917" i="2"/>
  <c r="Q916" i="2"/>
  <c r="P916" i="2"/>
  <c r="O916" i="2"/>
  <c r="N916" i="2"/>
  <c r="M916" i="2"/>
  <c r="L916" i="2"/>
  <c r="K916" i="2"/>
  <c r="Q915" i="2"/>
  <c r="P915" i="2"/>
  <c r="O915" i="2"/>
  <c r="N915" i="2"/>
  <c r="M915" i="2"/>
  <c r="L915" i="2"/>
  <c r="K915" i="2"/>
  <c r="Q914" i="2"/>
  <c r="P914" i="2"/>
  <c r="O914" i="2"/>
  <c r="N914" i="2"/>
  <c r="M914" i="2"/>
  <c r="L914" i="2"/>
  <c r="K914" i="2"/>
  <c r="Q913" i="2"/>
  <c r="P913" i="2"/>
  <c r="O913" i="2"/>
  <c r="N913" i="2"/>
  <c r="M913" i="2"/>
  <c r="L913" i="2"/>
  <c r="K913" i="2"/>
  <c r="Q912" i="2"/>
  <c r="P912" i="2"/>
  <c r="O912" i="2"/>
  <c r="N912" i="2"/>
  <c r="M912" i="2"/>
  <c r="L912" i="2"/>
  <c r="K912" i="2"/>
  <c r="Q911" i="2"/>
  <c r="P911" i="2"/>
  <c r="O911" i="2"/>
  <c r="N911" i="2"/>
  <c r="M911" i="2"/>
  <c r="L911" i="2"/>
  <c r="K911" i="2"/>
  <c r="Q910" i="2"/>
  <c r="P910" i="2"/>
  <c r="O910" i="2"/>
  <c r="N910" i="2"/>
  <c r="M910" i="2"/>
  <c r="L910" i="2"/>
  <c r="K910" i="2"/>
  <c r="Q909" i="2"/>
  <c r="P909" i="2"/>
  <c r="O909" i="2"/>
  <c r="N909" i="2"/>
  <c r="M909" i="2"/>
  <c r="L909" i="2"/>
  <c r="K909" i="2"/>
  <c r="Q908" i="2"/>
  <c r="P908" i="2"/>
  <c r="O908" i="2"/>
  <c r="N908" i="2"/>
  <c r="M908" i="2"/>
  <c r="L908" i="2"/>
  <c r="K908" i="2"/>
  <c r="Q907" i="2"/>
  <c r="P907" i="2"/>
  <c r="O907" i="2"/>
  <c r="N907" i="2"/>
  <c r="M907" i="2"/>
  <c r="L907" i="2"/>
  <c r="K907" i="2"/>
  <c r="Q906" i="2"/>
  <c r="P906" i="2"/>
  <c r="O906" i="2"/>
  <c r="N906" i="2"/>
  <c r="M906" i="2"/>
  <c r="L906" i="2"/>
  <c r="K906" i="2"/>
  <c r="Q905" i="2"/>
  <c r="P905" i="2"/>
  <c r="O905" i="2"/>
  <c r="N905" i="2"/>
  <c r="M905" i="2"/>
  <c r="L905" i="2"/>
  <c r="K905" i="2"/>
  <c r="Q904" i="2"/>
  <c r="P904" i="2"/>
  <c r="O904" i="2"/>
  <c r="N904" i="2"/>
  <c r="M904" i="2"/>
  <c r="L904" i="2"/>
  <c r="K904" i="2"/>
  <c r="Q903" i="2"/>
  <c r="P903" i="2"/>
  <c r="O903" i="2"/>
  <c r="N903" i="2"/>
  <c r="M903" i="2"/>
  <c r="L903" i="2"/>
  <c r="K903" i="2"/>
  <c r="Q902" i="2"/>
  <c r="P902" i="2"/>
  <c r="O902" i="2"/>
  <c r="N902" i="2"/>
  <c r="M902" i="2"/>
  <c r="L902" i="2"/>
  <c r="K902" i="2"/>
  <c r="Q901" i="2"/>
  <c r="P901" i="2"/>
  <c r="O901" i="2"/>
  <c r="N901" i="2"/>
  <c r="M901" i="2"/>
  <c r="L901" i="2"/>
  <c r="K901" i="2"/>
  <c r="Q900" i="2"/>
  <c r="P900" i="2"/>
  <c r="O900" i="2"/>
  <c r="N900" i="2"/>
  <c r="M900" i="2"/>
  <c r="L900" i="2"/>
  <c r="K900" i="2"/>
  <c r="Q899" i="2"/>
  <c r="P899" i="2"/>
  <c r="O899" i="2"/>
  <c r="N899" i="2"/>
  <c r="M899" i="2"/>
  <c r="L899" i="2"/>
  <c r="K899" i="2"/>
  <c r="Q898" i="2"/>
  <c r="P898" i="2"/>
  <c r="O898" i="2"/>
  <c r="N898" i="2"/>
  <c r="M898" i="2"/>
  <c r="L898" i="2"/>
  <c r="K898" i="2"/>
  <c r="Q897" i="2"/>
  <c r="P897" i="2"/>
  <c r="O897" i="2"/>
  <c r="N897" i="2"/>
  <c r="M897" i="2"/>
  <c r="L897" i="2"/>
  <c r="K897" i="2"/>
  <c r="Q896" i="2"/>
  <c r="P896" i="2"/>
  <c r="O896" i="2"/>
  <c r="N896" i="2"/>
  <c r="M896" i="2"/>
  <c r="L896" i="2"/>
  <c r="K896" i="2"/>
  <c r="Q895" i="2"/>
  <c r="P895" i="2"/>
  <c r="O895" i="2"/>
  <c r="N895" i="2"/>
  <c r="M895" i="2"/>
  <c r="L895" i="2"/>
  <c r="K895" i="2"/>
  <c r="Q894" i="2"/>
  <c r="P894" i="2"/>
  <c r="O894" i="2"/>
  <c r="N894" i="2"/>
  <c r="M894" i="2"/>
  <c r="L894" i="2"/>
  <c r="K894" i="2"/>
  <c r="Q893" i="2"/>
  <c r="P893" i="2"/>
  <c r="O893" i="2"/>
  <c r="N893" i="2"/>
  <c r="M893" i="2"/>
  <c r="L893" i="2"/>
  <c r="K893" i="2"/>
  <c r="Q892" i="2"/>
  <c r="P892" i="2"/>
  <c r="O892" i="2"/>
  <c r="N892" i="2"/>
  <c r="M892" i="2"/>
  <c r="L892" i="2"/>
  <c r="K892" i="2"/>
  <c r="Q891" i="2"/>
  <c r="P891" i="2"/>
  <c r="O891" i="2"/>
  <c r="N891" i="2"/>
  <c r="M891" i="2"/>
  <c r="L891" i="2"/>
  <c r="K891" i="2"/>
  <c r="Q890" i="2"/>
  <c r="P890" i="2"/>
  <c r="O890" i="2"/>
  <c r="N890" i="2"/>
  <c r="M890" i="2"/>
  <c r="L890" i="2"/>
  <c r="K890" i="2"/>
  <c r="Q889" i="2"/>
  <c r="P889" i="2"/>
  <c r="O889" i="2"/>
  <c r="N889" i="2"/>
  <c r="M889" i="2"/>
  <c r="L889" i="2"/>
  <c r="K889" i="2"/>
  <c r="Q888" i="2"/>
  <c r="P888" i="2"/>
  <c r="O888" i="2"/>
  <c r="N888" i="2"/>
  <c r="M888" i="2"/>
  <c r="L888" i="2"/>
  <c r="K888" i="2"/>
  <c r="Q887" i="2"/>
  <c r="P887" i="2"/>
  <c r="O887" i="2"/>
  <c r="N887" i="2"/>
  <c r="M887" i="2"/>
  <c r="L887" i="2"/>
  <c r="K887" i="2"/>
  <c r="Q886" i="2"/>
  <c r="P886" i="2"/>
  <c r="O886" i="2"/>
  <c r="N886" i="2"/>
  <c r="M886" i="2"/>
  <c r="L886" i="2"/>
  <c r="K886" i="2"/>
  <c r="Q885" i="2"/>
  <c r="P885" i="2"/>
  <c r="O885" i="2"/>
  <c r="N885" i="2"/>
  <c r="M885" i="2"/>
  <c r="L885" i="2"/>
  <c r="K885" i="2"/>
  <c r="Q884" i="2"/>
  <c r="P884" i="2"/>
  <c r="O884" i="2"/>
  <c r="N884" i="2"/>
  <c r="M884" i="2"/>
  <c r="L884" i="2"/>
  <c r="K884" i="2"/>
  <c r="Q883" i="2"/>
  <c r="P883" i="2"/>
  <c r="O883" i="2"/>
  <c r="N883" i="2"/>
  <c r="M883" i="2"/>
  <c r="L883" i="2"/>
  <c r="K883" i="2"/>
  <c r="Q882" i="2"/>
  <c r="P882" i="2"/>
  <c r="O882" i="2"/>
  <c r="N882" i="2"/>
  <c r="M882" i="2"/>
  <c r="L882" i="2"/>
  <c r="K882" i="2"/>
  <c r="Q881" i="2"/>
  <c r="P881" i="2"/>
  <c r="O881" i="2"/>
  <c r="N881" i="2"/>
  <c r="M881" i="2"/>
  <c r="L881" i="2"/>
  <c r="K881" i="2"/>
  <c r="Q880" i="2"/>
  <c r="P880" i="2"/>
  <c r="O880" i="2"/>
  <c r="N880" i="2"/>
  <c r="M880" i="2"/>
  <c r="L880" i="2"/>
  <c r="K880" i="2"/>
  <c r="Q879" i="2"/>
  <c r="P879" i="2"/>
  <c r="O879" i="2"/>
  <c r="N879" i="2"/>
  <c r="M879" i="2"/>
  <c r="L879" i="2"/>
  <c r="K879" i="2"/>
  <c r="Q878" i="2"/>
  <c r="P878" i="2"/>
  <c r="O878" i="2"/>
  <c r="N878" i="2"/>
  <c r="M878" i="2"/>
  <c r="L878" i="2"/>
  <c r="K878" i="2"/>
  <c r="Q877" i="2"/>
  <c r="P877" i="2"/>
  <c r="O877" i="2"/>
  <c r="N877" i="2"/>
  <c r="M877" i="2"/>
  <c r="L877" i="2"/>
  <c r="K877" i="2"/>
  <c r="Q876" i="2"/>
  <c r="P876" i="2"/>
  <c r="O876" i="2"/>
  <c r="N876" i="2"/>
  <c r="M876" i="2"/>
  <c r="L876" i="2"/>
  <c r="K876" i="2"/>
  <c r="Q875" i="2"/>
  <c r="P875" i="2"/>
  <c r="O875" i="2"/>
  <c r="N875" i="2"/>
  <c r="M875" i="2"/>
  <c r="L875" i="2"/>
  <c r="K875" i="2"/>
  <c r="Q874" i="2"/>
  <c r="P874" i="2"/>
  <c r="O874" i="2"/>
  <c r="N874" i="2"/>
  <c r="M874" i="2"/>
  <c r="L874" i="2"/>
  <c r="K874" i="2"/>
  <c r="Q873" i="2"/>
  <c r="P873" i="2"/>
  <c r="O873" i="2"/>
  <c r="N873" i="2"/>
  <c r="M873" i="2"/>
  <c r="L873" i="2"/>
  <c r="K873" i="2"/>
  <c r="Q872" i="2"/>
  <c r="P872" i="2"/>
  <c r="O872" i="2"/>
  <c r="N872" i="2"/>
  <c r="M872" i="2"/>
  <c r="L872" i="2"/>
  <c r="K872" i="2"/>
  <c r="Q871" i="2"/>
  <c r="P871" i="2"/>
  <c r="O871" i="2"/>
  <c r="N871" i="2"/>
  <c r="M871" i="2"/>
  <c r="L871" i="2"/>
  <c r="K871" i="2"/>
  <c r="Q870" i="2"/>
  <c r="P870" i="2"/>
  <c r="O870" i="2"/>
  <c r="N870" i="2"/>
  <c r="M870" i="2"/>
  <c r="L870" i="2"/>
  <c r="K870" i="2"/>
  <c r="Q869" i="2"/>
  <c r="P869" i="2"/>
  <c r="O869" i="2"/>
  <c r="N869" i="2"/>
  <c r="M869" i="2"/>
  <c r="L869" i="2"/>
  <c r="K869" i="2"/>
  <c r="Q868" i="2"/>
  <c r="P868" i="2"/>
  <c r="O868" i="2"/>
  <c r="N868" i="2"/>
  <c r="M868" i="2"/>
  <c r="L868" i="2"/>
  <c r="K868" i="2"/>
  <c r="Q867" i="2"/>
  <c r="P867" i="2"/>
  <c r="O867" i="2"/>
  <c r="N867" i="2"/>
  <c r="M867" i="2"/>
  <c r="L867" i="2"/>
  <c r="K867" i="2"/>
  <c r="Q866" i="2"/>
  <c r="P866" i="2"/>
  <c r="O866" i="2"/>
  <c r="N866" i="2"/>
  <c r="M866" i="2"/>
  <c r="L866" i="2"/>
  <c r="K866" i="2"/>
  <c r="Q865" i="2"/>
  <c r="P865" i="2"/>
  <c r="O865" i="2"/>
  <c r="N865" i="2"/>
  <c r="M865" i="2"/>
  <c r="L865" i="2"/>
  <c r="K865" i="2"/>
  <c r="Q864" i="2"/>
  <c r="P864" i="2"/>
  <c r="O864" i="2"/>
  <c r="N864" i="2"/>
  <c r="M864" i="2"/>
  <c r="L864" i="2"/>
  <c r="K864" i="2"/>
  <c r="Q863" i="2"/>
  <c r="P863" i="2"/>
  <c r="O863" i="2"/>
  <c r="N863" i="2"/>
  <c r="M863" i="2"/>
  <c r="L863" i="2"/>
  <c r="K863" i="2"/>
  <c r="Q862" i="2"/>
  <c r="P862" i="2"/>
  <c r="O862" i="2"/>
  <c r="N862" i="2"/>
  <c r="M862" i="2"/>
  <c r="L862" i="2"/>
  <c r="K862" i="2"/>
  <c r="Q861" i="2"/>
  <c r="P861" i="2"/>
  <c r="O861" i="2"/>
  <c r="N861" i="2"/>
  <c r="M861" i="2"/>
  <c r="L861" i="2"/>
  <c r="K861" i="2"/>
  <c r="Q860" i="2"/>
  <c r="P860" i="2"/>
  <c r="O860" i="2"/>
  <c r="N860" i="2"/>
  <c r="M860" i="2"/>
  <c r="L860" i="2"/>
  <c r="K860" i="2"/>
  <c r="Q859" i="2"/>
  <c r="P859" i="2"/>
  <c r="O859" i="2"/>
  <c r="N859" i="2"/>
  <c r="M859" i="2"/>
  <c r="L859" i="2"/>
  <c r="K859" i="2"/>
  <c r="Q858" i="2"/>
  <c r="P858" i="2"/>
  <c r="O858" i="2"/>
  <c r="N858" i="2"/>
  <c r="M858" i="2"/>
  <c r="L858" i="2"/>
  <c r="K858" i="2"/>
  <c r="Q857" i="2"/>
  <c r="P857" i="2"/>
  <c r="O857" i="2"/>
  <c r="N857" i="2"/>
  <c r="M857" i="2"/>
  <c r="L857" i="2"/>
  <c r="K857" i="2"/>
  <c r="Q856" i="2"/>
  <c r="P856" i="2"/>
  <c r="O856" i="2"/>
  <c r="N856" i="2"/>
  <c r="M856" i="2"/>
  <c r="L856" i="2"/>
  <c r="K856" i="2"/>
  <c r="Q855" i="2"/>
  <c r="P855" i="2"/>
  <c r="O855" i="2"/>
  <c r="N855" i="2"/>
  <c r="M855" i="2"/>
  <c r="L855" i="2"/>
  <c r="K855" i="2"/>
  <c r="Q854" i="2"/>
  <c r="P854" i="2"/>
  <c r="O854" i="2"/>
  <c r="N854" i="2"/>
  <c r="M854" i="2"/>
  <c r="L854" i="2"/>
  <c r="K854" i="2"/>
  <c r="Q853" i="2"/>
  <c r="P853" i="2"/>
  <c r="O853" i="2"/>
  <c r="N853" i="2"/>
  <c r="M853" i="2"/>
  <c r="L853" i="2"/>
  <c r="K853" i="2"/>
  <c r="Q852" i="2"/>
  <c r="P852" i="2"/>
  <c r="O852" i="2"/>
  <c r="N852" i="2"/>
  <c r="M852" i="2"/>
  <c r="L852" i="2"/>
  <c r="K852" i="2"/>
  <c r="Q851" i="2"/>
  <c r="P851" i="2"/>
  <c r="O851" i="2"/>
  <c r="N851" i="2"/>
  <c r="M851" i="2"/>
  <c r="L851" i="2"/>
  <c r="K851" i="2"/>
  <c r="Q850" i="2"/>
  <c r="P850" i="2"/>
  <c r="O850" i="2"/>
  <c r="N850" i="2"/>
  <c r="M850" i="2"/>
  <c r="L850" i="2"/>
  <c r="K850" i="2"/>
  <c r="Q849" i="2"/>
  <c r="P849" i="2"/>
  <c r="O849" i="2"/>
  <c r="N849" i="2"/>
  <c r="M849" i="2"/>
  <c r="L849" i="2"/>
  <c r="K849" i="2"/>
  <c r="Q848" i="2"/>
  <c r="P848" i="2"/>
  <c r="O848" i="2"/>
  <c r="N848" i="2"/>
  <c r="M848" i="2"/>
  <c r="L848" i="2"/>
  <c r="K848" i="2"/>
  <c r="Q847" i="2"/>
  <c r="P847" i="2"/>
  <c r="O847" i="2"/>
  <c r="N847" i="2"/>
  <c r="M847" i="2"/>
  <c r="L847" i="2"/>
  <c r="K847" i="2"/>
  <c r="Q846" i="2"/>
  <c r="P846" i="2"/>
  <c r="O846" i="2"/>
  <c r="N846" i="2"/>
  <c r="M846" i="2"/>
  <c r="L846" i="2"/>
  <c r="K846" i="2"/>
  <c r="Q845" i="2"/>
  <c r="P845" i="2"/>
  <c r="O845" i="2"/>
  <c r="N845" i="2"/>
  <c r="M845" i="2"/>
  <c r="L845" i="2"/>
  <c r="K845" i="2"/>
  <c r="Q844" i="2"/>
  <c r="P844" i="2"/>
  <c r="O844" i="2"/>
  <c r="N844" i="2"/>
  <c r="M844" i="2"/>
  <c r="L844" i="2"/>
  <c r="K844" i="2"/>
  <c r="Q843" i="2"/>
  <c r="P843" i="2"/>
  <c r="O843" i="2"/>
  <c r="N843" i="2"/>
  <c r="M843" i="2"/>
  <c r="L843" i="2"/>
  <c r="K843" i="2"/>
  <c r="Q842" i="2"/>
  <c r="P842" i="2"/>
  <c r="O842" i="2"/>
  <c r="N842" i="2"/>
  <c r="M842" i="2"/>
  <c r="L842" i="2"/>
  <c r="K842" i="2"/>
  <c r="Q841" i="2"/>
  <c r="P841" i="2"/>
  <c r="O841" i="2"/>
  <c r="N841" i="2"/>
  <c r="M841" i="2"/>
  <c r="L841" i="2"/>
  <c r="K841" i="2"/>
  <c r="Q840" i="2"/>
  <c r="P840" i="2"/>
  <c r="O840" i="2"/>
  <c r="N840" i="2"/>
  <c r="M840" i="2"/>
  <c r="L840" i="2"/>
  <c r="K840" i="2"/>
  <c r="Q839" i="2"/>
  <c r="P839" i="2"/>
  <c r="O839" i="2"/>
  <c r="N839" i="2"/>
  <c r="M839" i="2"/>
  <c r="L839" i="2"/>
  <c r="K839" i="2"/>
  <c r="Q838" i="2"/>
  <c r="P838" i="2"/>
  <c r="O838" i="2"/>
  <c r="N838" i="2"/>
  <c r="M838" i="2"/>
  <c r="L838" i="2"/>
  <c r="K838" i="2"/>
  <c r="Q837" i="2"/>
  <c r="P837" i="2"/>
  <c r="O837" i="2"/>
  <c r="N837" i="2"/>
  <c r="M837" i="2"/>
  <c r="L837" i="2"/>
  <c r="K837" i="2"/>
  <c r="Q836" i="2"/>
  <c r="P836" i="2"/>
  <c r="O836" i="2"/>
  <c r="N836" i="2"/>
  <c r="M836" i="2"/>
  <c r="L836" i="2"/>
  <c r="K836" i="2"/>
  <c r="Q835" i="2"/>
  <c r="P835" i="2"/>
  <c r="O835" i="2"/>
  <c r="N835" i="2"/>
  <c r="M835" i="2"/>
  <c r="L835" i="2"/>
  <c r="K835" i="2"/>
  <c r="Q834" i="2"/>
  <c r="P834" i="2"/>
  <c r="O834" i="2"/>
  <c r="N834" i="2"/>
  <c r="M834" i="2"/>
  <c r="L834" i="2"/>
  <c r="K834" i="2"/>
  <c r="Q833" i="2"/>
  <c r="P833" i="2"/>
  <c r="O833" i="2"/>
  <c r="N833" i="2"/>
  <c r="M833" i="2"/>
  <c r="L833" i="2"/>
  <c r="K833" i="2"/>
  <c r="Q832" i="2"/>
  <c r="P832" i="2"/>
  <c r="O832" i="2"/>
  <c r="N832" i="2"/>
  <c r="M832" i="2"/>
  <c r="L832" i="2"/>
  <c r="K832" i="2"/>
  <c r="Q831" i="2"/>
  <c r="P831" i="2"/>
  <c r="O831" i="2"/>
  <c r="N831" i="2"/>
  <c r="M831" i="2"/>
  <c r="L831" i="2"/>
  <c r="K831" i="2"/>
  <c r="Q830" i="2"/>
  <c r="P830" i="2"/>
  <c r="O830" i="2"/>
  <c r="N830" i="2"/>
  <c r="M830" i="2"/>
  <c r="L830" i="2"/>
  <c r="K830" i="2"/>
  <c r="Q829" i="2"/>
  <c r="P829" i="2"/>
  <c r="O829" i="2"/>
  <c r="N829" i="2"/>
  <c r="M829" i="2"/>
  <c r="L829" i="2"/>
  <c r="K829" i="2"/>
  <c r="Q828" i="2"/>
  <c r="P828" i="2"/>
  <c r="O828" i="2"/>
  <c r="N828" i="2"/>
  <c r="M828" i="2"/>
  <c r="L828" i="2"/>
  <c r="K828" i="2"/>
  <c r="Q827" i="2"/>
  <c r="P827" i="2"/>
  <c r="O827" i="2"/>
  <c r="N827" i="2"/>
  <c r="M827" i="2"/>
  <c r="L827" i="2"/>
  <c r="K827" i="2"/>
  <c r="Q826" i="2"/>
  <c r="P826" i="2"/>
  <c r="O826" i="2"/>
  <c r="N826" i="2"/>
  <c r="M826" i="2"/>
  <c r="L826" i="2"/>
  <c r="K826" i="2"/>
  <c r="Q825" i="2"/>
  <c r="P825" i="2"/>
  <c r="O825" i="2"/>
  <c r="N825" i="2"/>
  <c r="M825" i="2"/>
  <c r="L825" i="2"/>
  <c r="K825" i="2"/>
  <c r="Q824" i="2"/>
  <c r="P824" i="2"/>
  <c r="O824" i="2"/>
  <c r="N824" i="2"/>
  <c r="M824" i="2"/>
  <c r="L824" i="2"/>
  <c r="K824" i="2"/>
  <c r="Q823" i="2"/>
  <c r="P823" i="2"/>
  <c r="O823" i="2"/>
  <c r="N823" i="2"/>
  <c r="M823" i="2"/>
  <c r="L823" i="2"/>
  <c r="K823" i="2"/>
  <c r="Q822" i="2"/>
  <c r="P822" i="2"/>
  <c r="O822" i="2"/>
  <c r="N822" i="2"/>
  <c r="M822" i="2"/>
  <c r="L822" i="2"/>
  <c r="K822" i="2"/>
  <c r="Q821" i="2"/>
  <c r="P821" i="2"/>
  <c r="O821" i="2"/>
  <c r="N821" i="2"/>
  <c r="M821" i="2"/>
  <c r="L821" i="2"/>
  <c r="K821" i="2"/>
  <c r="Q820" i="2"/>
  <c r="P820" i="2"/>
  <c r="O820" i="2"/>
  <c r="N820" i="2"/>
  <c r="M820" i="2"/>
  <c r="L820" i="2"/>
  <c r="K820" i="2"/>
  <c r="Q819" i="2"/>
  <c r="P819" i="2"/>
  <c r="O819" i="2"/>
  <c r="N819" i="2"/>
  <c r="M819" i="2"/>
  <c r="L819" i="2"/>
  <c r="K819" i="2"/>
  <c r="Q818" i="2"/>
  <c r="P818" i="2"/>
  <c r="O818" i="2"/>
  <c r="N818" i="2"/>
  <c r="M818" i="2"/>
  <c r="L818" i="2"/>
  <c r="K818" i="2"/>
  <c r="Q817" i="2"/>
  <c r="P817" i="2"/>
  <c r="O817" i="2"/>
  <c r="N817" i="2"/>
  <c r="M817" i="2"/>
  <c r="L817" i="2"/>
  <c r="K817" i="2"/>
  <c r="Q816" i="2"/>
  <c r="P816" i="2"/>
  <c r="O816" i="2"/>
  <c r="N816" i="2"/>
  <c r="M816" i="2"/>
  <c r="L816" i="2"/>
  <c r="K816" i="2"/>
  <c r="Q815" i="2"/>
  <c r="P815" i="2"/>
  <c r="O815" i="2"/>
  <c r="N815" i="2"/>
  <c r="M815" i="2"/>
  <c r="L815" i="2"/>
  <c r="K815" i="2"/>
  <c r="Q814" i="2"/>
  <c r="P814" i="2"/>
  <c r="O814" i="2"/>
  <c r="N814" i="2"/>
  <c r="M814" i="2"/>
  <c r="L814" i="2"/>
  <c r="K814" i="2"/>
  <c r="Q813" i="2"/>
  <c r="P813" i="2"/>
  <c r="O813" i="2"/>
  <c r="N813" i="2"/>
  <c r="M813" i="2"/>
  <c r="L813" i="2"/>
  <c r="K813" i="2"/>
  <c r="Q812" i="2"/>
  <c r="P812" i="2"/>
  <c r="O812" i="2"/>
  <c r="N812" i="2"/>
  <c r="M812" i="2"/>
  <c r="L812" i="2"/>
  <c r="K812" i="2"/>
  <c r="Q811" i="2"/>
  <c r="P811" i="2"/>
  <c r="O811" i="2"/>
  <c r="N811" i="2"/>
  <c r="M811" i="2"/>
  <c r="L811" i="2"/>
  <c r="K811" i="2"/>
  <c r="Q810" i="2"/>
  <c r="P810" i="2"/>
  <c r="O810" i="2"/>
  <c r="N810" i="2"/>
  <c r="M810" i="2"/>
  <c r="L810" i="2"/>
  <c r="K810" i="2"/>
  <c r="Q809" i="2"/>
  <c r="P809" i="2"/>
  <c r="O809" i="2"/>
  <c r="N809" i="2"/>
  <c r="M809" i="2"/>
  <c r="L809" i="2"/>
  <c r="K809" i="2"/>
  <c r="Q808" i="2"/>
  <c r="P808" i="2"/>
  <c r="O808" i="2"/>
  <c r="N808" i="2"/>
  <c r="M808" i="2"/>
  <c r="L808" i="2"/>
  <c r="K808" i="2"/>
  <c r="Q807" i="2"/>
  <c r="P807" i="2"/>
  <c r="O807" i="2"/>
  <c r="N807" i="2"/>
  <c r="M807" i="2"/>
  <c r="L807" i="2"/>
  <c r="K807" i="2"/>
  <c r="Q806" i="2"/>
  <c r="P806" i="2"/>
  <c r="O806" i="2"/>
  <c r="N806" i="2"/>
  <c r="M806" i="2"/>
  <c r="L806" i="2"/>
  <c r="K806" i="2"/>
  <c r="Q805" i="2"/>
  <c r="P805" i="2"/>
  <c r="O805" i="2"/>
  <c r="N805" i="2"/>
  <c r="M805" i="2"/>
  <c r="L805" i="2"/>
  <c r="K805" i="2"/>
  <c r="Q804" i="2"/>
  <c r="P804" i="2"/>
  <c r="O804" i="2"/>
  <c r="N804" i="2"/>
  <c r="M804" i="2"/>
  <c r="L804" i="2"/>
  <c r="K804" i="2"/>
  <c r="Q803" i="2"/>
  <c r="P803" i="2"/>
  <c r="O803" i="2"/>
  <c r="N803" i="2"/>
  <c r="M803" i="2"/>
  <c r="L803" i="2"/>
  <c r="K803" i="2"/>
  <c r="Q802" i="2"/>
  <c r="P802" i="2"/>
  <c r="O802" i="2"/>
  <c r="N802" i="2"/>
  <c r="M802" i="2"/>
  <c r="L802" i="2"/>
  <c r="K802" i="2"/>
  <c r="Q801" i="2"/>
  <c r="P801" i="2"/>
  <c r="O801" i="2"/>
  <c r="N801" i="2"/>
  <c r="M801" i="2"/>
  <c r="L801" i="2"/>
  <c r="K801" i="2"/>
  <c r="Q800" i="2"/>
  <c r="P800" i="2"/>
  <c r="O800" i="2"/>
  <c r="N800" i="2"/>
  <c r="M800" i="2"/>
  <c r="L800" i="2"/>
  <c r="K800" i="2"/>
  <c r="Q799" i="2"/>
  <c r="P799" i="2"/>
  <c r="O799" i="2"/>
  <c r="N799" i="2"/>
  <c r="M799" i="2"/>
  <c r="L799" i="2"/>
  <c r="K799" i="2"/>
  <c r="Q798" i="2"/>
  <c r="P798" i="2"/>
  <c r="O798" i="2"/>
  <c r="N798" i="2"/>
  <c r="M798" i="2"/>
  <c r="L798" i="2"/>
  <c r="K798" i="2"/>
  <c r="Q797" i="2"/>
  <c r="P797" i="2"/>
  <c r="O797" i="2"/>
  <c r="N797" i="2"/>
  <c r="M797" i="2"/>
  <c r="L797" i="2"/>
  <c r="K797" i="2"/>
  <c r="Q796" i="2"/>
  <c r="P796" i="2"/>
  <c r="O796" i="2"/>
  <c r="N796" i="2"/>
  <c r="M796" i="2"/>
  <c r="L796" i="2"/>
  <c r="K796" i="2"/>
  <c r="Q795" i="2"/>
  <c r="P795" i="2"/>
  <c r="O795" i="2"/>
  <c r="N795" i="2"/>
  <c r="M795" i="2"/>
  <c r="L795" i="2"/>
  <c r="K795" i="2"/>
  <c r="Q794" i="2"/>
  <c r="P794" i="2"/>
  <c r="O794" i="2"/>
  <c r="N794" i="2"/>
  <c r="M794" i="2"/>
  <c r="L794" i="2"/>
  <c r="K794" i="2"/>
  <c r="Q793" i="2"/>
  <c r="P793" i="2"/>
  <c r="O793" i="2"/>
  <c r="N793" i="2"/>
  <c r="M793" i="2"/>
  <c r="L793" i="2"/>
  <c r="K793" i="2"/>
  <c r="Q792" i="2"/>
  <c r="P792" i="2"/>
  <c r="O792" i="2"/>
  <c r="N792" i="2"/>
  <c r="M792" i="2"/>
  <c r="L792" i="2"/>
  <c r="K792" i="2"/>
  <c r="Q791" i="2"/>
  <c r="P791" i="2"/>
  <c r="O791" i="2"/>
  <c r="N791" i="2"/>
  <c r="M791" i="2"/>
  <c r="L791" i="2"/>
  <c r="K791" i="2"/>
  <c r="Q790" i="2"/>
  <c r="P790" i="2"/>
  <c r="O790" i="2"/>
  <c r="N790" i="2"/>
  <c r="M790" i="2"/>
  <c r="L790" i="2"/>
  <c r="K790" i="2"/>
  <c r="Q789" i="2"/>
  <c r="P789" i="2"/>
  <c r="O789" i="2"/>
  <c r="N789" i="2"/>
  <c r="M789" i="2"/>
  <c r="L789" i="2"/>
  <c r="K789" i="2"/>
  <c r="Q788" i="2"/>
  <c r="P788" i="2"/>
  <c r="O788" i="2"/>
  <c r="N788" i="2"/>
  <c r="M788" i="2"/>
  <c r="L788" i="2"/>
  <c r="K788" i="2"/>
  <c r="Q787" i="2"/>
  <c r="P787" i="2"/>
  <c r="O787" i="2"/>
  <c r="N787" i="2"/>
  <c r="M787" i="2"/>
  <c r="L787" i="2"/>
  <c r="K787" i="2"/>
  <c r="Q786" i="2"/>
  <c r="P786" i="2"/>
  <c r="O786" i="2"/>
  <c r="N786" i="2"/>
  <c r="M786" i="2"/>
  <c r="L786" i="2"/>
  <c r="K786" i="2"/>
  <c r="Q785" i="2"/>
  <c r="P785" i="2"/>
  <c r="O785" i="2"/>
  <c r="N785" i="2"/>
  <c r="M785" i="2"/>
  <c r="L785" i="2"/>
  <c r="K785" i="2"/>
  <c r="Q784" i="2"/>
  <c r="P784" i="2"/>
  <c r="O784" i="2"/>
  <c r="N784" i="2"/>
  <c r="M784" i="2"/>
  <c r="L784" i="2"/>
  <c r="K784" i="2"/>
  <c r="Q783" i="2"/>
  <c r="P783" i="2"/>
  <c r="O783" i="2"/>
  <c r="N783" i="2"/>
  <c r="M783" i="2"/>
  <c r="L783" i="2"/>
  <c r="K783" i="2"/>
  <c r="Q782" i="2"/>
  <c r="P782" i="2"/>
  <c r="O782" i="2"/>
  <c r="N782" i="2"/>
  <c r="M782" i="2"/>
  <c r="L782" i="2"/>
  <c r="K782" i="2"/>
  <c r="Q781" i="2"/>
  <c r="P781" i="2"/>
  <c r="O781" i="2"/>
  <c r="N781" i="2"/>
  <c r="M781" i="2"/>
  <c r="L781" i="2"/>
  <c r="K781" i="2"/>
  <c r="Q780" i="2"/>
  <c r="P780" i="2"/>
  <c r="O780" i="2"/>
  <c r="N780" i="2"/>
  <c r="M780" i="2"/>
  <c r="L780" i="2"/>
  <c r="K780" i="2"/>
  <c r="Q779" i="2"/>
  <c r="P779" i="2"/>
  <c r="O779" i="2"/>
  <c r="N779" i="2"/>
  <c r="M779" i="2"/>
  <c r="L779" i="2"/>
  <c r="K779" i="2"/>
  <c r="Q778" i="2"/>
  <c r="P778" i="2"/>
  <c r="O778" i="2"/>
  <c r="N778" i="2"/>
  <c r="M778" i="2"/>
  <c r="L778" i="2"/>
  <c r="K778" i="2"/>
  <c r="Q777" i="2"/>
  <c r="P777" i="2"/>
  <c r="O777" i="2"/>
  <c r="N777" i="2"/>
  <c r="M777" i="2"/>
  <c r="L777" i="2"/>
  <c r="K777" i="2"/>
  <c r="Q776" i="2"/>
  <c r="P776" i="2"/>
  <c r="O776" i="2"/>
  <c r="N776" i="2"/>
  <c r="M776" i="2"/>
  <c r="L776" i="2"/>
  <c r="K776" i="2"/>
  <c r="Q775" i="2"/>
  <c r="P775" i="2"/>
  <c r="O775" i="2"/>
  <c r="N775" i="2"/>
  <c r="M775" i="2"/>
  <c r="L775" i="2"/>
  <c r="K775" i="2"/>
  <c r="Q774" i="2"/>
  <c r="P774" i="2"/>
  <c r="O774" i="2"/>
  <c r="N774" i="2"/>
  <c r="M774" i="2"/>
  <c r="L774" i="2"/>
  <c r="K774" i="2"/>
  <c r="Q773" i="2"/>
  <c r="P773" i="2"/>
  <c r="O773" i="2"/>
  <c r="N773" i="2"/>
  <c r="M773" i="2"/>
  <c r="L773" i="2"/>
  <c r="K773" i="2"/>
  <c r="Q772" i="2"/>
  <c r="P772" i="2"/>
  <c r="O772" i="2"/>
  <c r="N772" i="2"/>
  <c r="M772" i="2"/>
  <c r="L772" i="2"/>
  <c r="K772" i="2"/>
  <c r="Q771" i="2"/>
  <c r="P771" i="2"/>
  <c r="O771" i="2"/>
  <c r="N771" i="2"/>
  <c r="M771" i="2"/>
  <c r="L771" i="2"/>
  <c r="K771" i="2"/>
  <c r="Q770" i="2"/>
  <c r="P770" i="2"/>
  <c r="O770" i="2"/>
  <c r="N770" i="2"/>
  <c r="M770" i="2"/>
  <c r="L770" i="2"/>
  <c r="K770" i="2"/>
  <c r="Q769" i="2"/>
  <c r="P769" i="2"/>
  <c r="O769" i="2"/>
  <c r="N769" i="2"/>
  <c r="M769" i="2"/>
  <c r="L769" i="2"/>
  <c r="K769" i="2"/>
  <c r="Q768" i="2"/>
  <c r="P768" i="2"/>
  <c r="O768" i="2"/>
  <c r="N768" i="2"/>
  <c r="M768" i="2"/>
  <c r="L768" i="2"/>
  <c r="K768" i="2"/>
  <c r="Q767" i="2"/>
  <c r="P767" i="2"/>
  <c r="O767" i="2"/>
  <c r="N767" i="2"/>
  <c r="M767" i="2"/>
  <c r="L767" i="2"/>
  <c r="K767" i="2"/>
  <c r="Q766" i="2"/>
  <c r="P766" i="2"/>
  <c r="O766" i="2"/>
  <c r="N766" i="2"/>
  <c r="M766" i="2"/>
  <c r="L766" i="2"/>
  <c r="K766" i="2"/>
  <c r="Q765" i="2"/>
  <c r="P765" i="2"/>
  <c r="O765" i="2"/>
  <c r="N765" i="2"/>
  <c r="M765" i="2"/>
  <c r="L765" i="2"/>
  <c r="K765" i="2"/>
  <c r="Q764" i="2"/>
  <c r="P764" i="2"/>
  <c r="O764" i="2"/>
  <c r="N764" i="2"/>
  <c r="M764" i="2"/>
  <c r="L764" i="2"/>
  <c r="K764" i="2"/>
  <c r="Q763" i="2"/>
  <c r="P763" i="2"/>
  <c r="O763" i="2"/>
  <c r="N763" i="2"/>
  <c r="M763" i="2"/>
  <c r="L763" i="2"/>
  <c r="K763" i="2"/>
  <c r="Q762" i="2"/>
  <c r="P762" i="2"/>
  <c r="O762" i="2"/>
  <c r="N762" i="2"/>
  <c r="M762" i="2"/>
  <c r="L762" i="2"/>
  <c r="K762" i="2"/>
  <c r="Q761" i="2"/>
  <c r="P761" i="2"/>
  <c r="O761" i="2"/>
  <c r="N761" i="2"/>
  <c r="M761" i="2"/>
  <c r="L761" i="2"/>
  <c r="K761" i="2"/>
  <c r="Q760" i="2"/>
  <c r="P760" i="2"/>
  <c r="O760" i="2"/>
  <c r="N760" i="2"/>
  <c r="M760" i="2"/>
  <c r="L760" i="2"/>
  <c r="K760" i="2"/>
  <c r="Q759" i="2"/>
  <c r="P759" i="2"/>
  <c r="O759" i="2"/>
  <c r="N759" i="2"/>
  <c r="M759" i="2"/>
  <c r="L759" i="2"/>
  <c r="K759" i="2"/>
  <c r="Q758" i="2"/>
  <c r="P758" i="2"/>
  <c r="O758" i="2"/>
  <c r="N758" i="2"/>
  <c r="M758" i="2"/>
  <c r="L758" i="2"/>
  <c r="K758" i="2"/>
  <c r="Q757" i="2"/>
  <c r="P757" i="2"/>
  <c r="O757" i="2"/>
  <c r="N757" i="2"/>
  <c r="M757" i="2"/>
  <c r="L757" i="2"/>
  <c r="K757" i="2"/>
  <c r="Q756" i="2"/>
  <c r="P756" i="2"/>
  <c r="O756" i="2"/>
  <c r="N756" i="2"/>
  <c r="M756" i="2"/>
  <c r="L756" i="2"/>
  <c r="K756" i="2"/>
  <c r="Q755" i="2"/>
  <c r="P755" i="2"/>
  <c r="O755" i="2"/>
  <c r="N755" i="2"/>
  <c r="M755" i="2"/>
  <c r="L755" i="2"/>
  <c r="K755" i="2"/>
  <c r="Q754" i="2"/>
  <c r="P754" i="2"/>
  <c r="O754" i="2"/>
  <c r="N754" i="2"/>
  <c r="M754" i="2"/>
  <c r="L754" i="2"/>
  <c r="K754" i="2"/>
  <c r="Q753" i="2"/>
  <c r="P753" i="2"/>
  <c r="O753" i="2"/>
  <c r="N753" i="2"/>
  <c r="M753" i="2"/>
  <c r="L753" i="2"/>
  <c r="K753" i="2"/>
  <c r="Q752" i="2"/>
  <c r="P752" i="2"/>
  <c r="O752" i="2"/>
  <c r="N752" i="2"/>
  <c r="M752" i="2"/>
  <c r="L752" i="2"/>
  <c r="K752" i="2"/>
  <c r="Q751" i="2"/>
  <c r="P751" i="2"/>
  <c r="O751" i="2"/>
  <c r="N751" i="2"/>
  <c r="M751" i="2"/>
  <c r="L751" i="2"/>
  <c r="K751" i="2"/>
  <c r="Q750" i="2"/>
  <c r="P750" i="2"/>
  <c r="O750" i="2"/>
  <c r="N750" i="2"/>
  <c r="M750" i="2"/>
  <c r="L750" i="2"/>
  <c r="K750" i="2"/>
  <c r="Q749" i="2"/>
  <c r="P749" i="2"/>
  <c r="O749" i="2"/>
  <c r="N749" i="2"/>
  <c r="M749" i="2"/>
  <c r="L749" i="2"/>
  <c r="K749" i="2"/>
  <c r="Q748" i="2"/>
  <c r="P748" i="2"/>
  <c r="O748" i="2"/>
  <c r="N748" i="2"/>
  <c r="M748" i="2"/>
  <c r="L748" i="2"/>
  <c r="K748" i="2"/>
  <c r="Q747" i="2"/>
  <c r="P747" i="2"/>
  <c r="O747" i="2"/>
  <c r="N747" i="2"/>
  <c r="M747" i="2"/>
  <c r="L747" i="2"/>
  <c r="K747" i="2"/>
  <c r="Q746" i="2"/>
  <c r="P746" i="2"/>
  <c r="O746" i="2"/>
  <c r="N746" i="2"/>
  <c r="M746" i="2"/>
  <c r="L746" i="2"/>
  <c r="K746" i="2"/>
  <c r="Q745" i="2"/>
  <c r="P745" i="2"/>
  <c r="O745" i="2"/>
  <c r="N745" i="2"/>
  <c r="M745" i="2"/>
  <c r="L745" i="2"/>
  <c r="K745" i="2"/>
  <c r="Q744" i="2"/>
  <c r="P744" i="2"/>
  <c r="O744" i="2"/>
  <c r="N744" i="2"/>
  <c r="M744" i="2"/>
  <c r="L744" i="2"/>
  <c r="K744" i="2"/>
  <c r="Q743" i="2"/>
  <c r="P743" i="2"/>
  <c r="O743" i="2"/>
  <c r="N743" i="2"/>
  <c r="M743" i="2"/>
  <c r="L743" i="2"/>
  <c r="K743" i="2"/>
  <c r="Q742" i="2"/>
  <c r="P742" i="2"/>
  <c r="O742" i="2"/>
  <c r="N742" i="2"/>
  <c r="M742" i="2"/>
  <c r="L742" i="2"/>
  <c r="K742" i="2"/>
  <c r="Q741" i="2"/>
  <c r="P741" i="2"/>
  <c r="O741" i="2"/>
  <c r="N741" i="2"/>
  <c r="M741" i="2"/>
  <c r="L741" i="2"/>
  <c r="K741" i="2"/>
  <c r="Q740" i="2"/>
  <c r="P740" i="2"/>
  <c r="O740" i="2"/>
  <c r="N740" i="2"/>
  <c r="M740" i="2"/>
  <c r="L740" i="2"/>
  <c r="K740" i="2"/>
  <c r="Q739" i="2"/>
  <c r="P739" i="2"/>
  <c r="O739" i="2"/>
  <c r="N739" i="2"/>
  <c r="M739" i="2"/>
  <c r="L739" i="2"/>
  <c r="K739" i="2"/>
  <c r="Q738" i="2"/>
  <c r="P738" i="2"/>
  <c r="O738" i="2"/>
  <c r="N738" i="2"/>
  <c r="M738" i="2"/>
  <c r="L738" i="2"/>
  <c r="K738" i="2"/>
  <c r="Q737" i="2"/>
  <c r="P737" i="2"/>
  <c r="O737" i="2"/>
  <c r="N737" i="2"/>
  <c r="M737" i="2"/>
  <c r="L737" i="2"/>
  <c r="K737" i="2"/>
  <c r="Q736" i="2"/>
  <c r="P736" i="2"/>
  <c r="O736" i="2"/>
  <c r="N736" i="2"/>
  <c r="M736" i="2"/>
  <c r="L736" i="2"/>
  <c r="K736" i="2"/>
  <c r="Q735" i="2"/>
  <c r="P735" i="2"/>
  <c r="O735" i="2"/>
  <c r="N735" i="2"/>
  <c r="M735" i="2"/>
  <c r="L735" i="2"/>
  <c r="K735" i="2"/>
  <c r="Q734" i="2"/>
  <c r="P734" i="2"/>
  <c r="O734" i="2"/>
  <c r="N734" i="2"/>
  <c r="M734" i="2"/>
  <c r="L734" i="2"/>
  <c r="K734" i="2"/>
  <c r="Q733" i="2"/>
  <c r="P733" i="2"/>
  <c r="O733" i="2"/>
  <c r="N733" i="2"/>
  <c r="M733" i="2"/>
  <c r="L733" i="2"/>
  <c r="K733" i="2"/>
  <c r="Q732" i="2"/>
  <c r="P732" i="2"/>
  <c r="O732" i="2"/>
  <c r="N732" i="2"/>
  <c r="M732" i="2"/>
  <c r="L732" i="2"/>
  <c r="K732" i="2"/>
  <c r="Q731" i="2"/>
  <c r="P731" i="2"/>
  <c r="O731" i="2"/>
  <c r="N731" i="2"/>
  <c r="M731" i="2"/>
  <c r="L731" i="2"/>
  <c r="K731" i="2"/>
  <c r="Q730" i="2"/>
  <c r="P730" i="2"/>
  <c r="O730" i="2"/>
  <c r="N730" i="2"/>
  <c r="M730" i="2"/>
  <c r="L730" i="2"/>
  <c r="K730" i="2"/>
  <c r="Q729" i="2"/>
  <c r="P729" i="2"/>
  <c r="O729" i="2"/>
  <c r="N729" i="2"/>
  <c r="M729" i="2"/>
  <c r="L729" i="2"/>
  <c r="K729" i="2"/>
  <c r="Q728" i="2"/>
  <c r="P728" i="2"/>
  <c r="O728" i="2"/>
  <c r="N728" i="2"/>
  <c r="M728" i="2"/>
  <c r="L728" i="2"/>
  <c r="K728" i="2"/>
  <c r="Q727" i="2"/>
  <c r="P727" i="2"/>
  <c r="O727" i="2"/>
  <c r="N727" i="2"/>
  <c r="M727" i="2"/>
  <c r="L727" i="2"/>
  <c r="K727" i="2"/>
  <c r="Q726" i="2"/>
  <c r="P726" i="2"/>
  <c r="O726" i="2"/>
  <c r="N726" i="2"/>
  <c r="M726" i="2"/>
  <c r="L726" i="2"/>
  <c r="K726" i="2"/>
  <c r="Q725" i="2"/>
  <c r="P725" i="2"/>
  <c r="O725" i="2"/>
  <c r="N725" i="2"/>
  <c r="M725" i="2"/>
  <c r="L725" i="2"/>
  <c r="K725" i="2"/>
  <c r="Q724" i="2"/>
  <c r="P724" i="2"/>
  <c r="O724" i="2"/>
  <c r="N724" i="2"/>
  <c r="M724" i="2"/>
  <c r="L724" i="2"/>
  <c r="K724" i="2"/>
  <c r="Q723" i="2"/>
  <c r="P723" i="2"/>
  <c r="O723" i="2"/>
  <c r="N723" i="2"/>
  <c r="M723" i="2"/>
  <c r="L723" i="2"/>
  <c r="K723" i="2"/>
  <c r="Q722" i="2"/>
  <c r="P722" i="2"/>
  <c r="O722" i="2"/>
  <c r="N722" i="2"/>
  <c r="M722" i="2"/>
  <c r="L722" i="2"/>
  <c r="K722" i="2"/>
  <c r="Q721" i="2"/>
  <c r="P721" i="2"/>
  <c r="O721" i="2"/>
  <c r="N721" i="2"/>
  <c r="M721" i="2"/>
  <c r="L721" i="2"/>
  <c r="K721" i="2"/>
  <c r="Q720" i="2"/>
  <c r="P720" i="2"/>
  <c r="O720" i="2"/>
  <c r="N720" i="2"/>
  <c r="M720" i="2"/>
  <c r="L720" i="2"/>
  <c r="K720" i="2"/>
  <c r="Q719" i="2"/>
  <c r="P719" i="2"/>
  <c r="O719" i="2"/>
  <c r="N719" i="2"/>
  <c r="M719" i="2"/>
  <c r="L719" i="2"/>
  <c r="K719" i="2"/>
  <c r="Q718" i="2"/>
  <c r="P718" i="2"/>
  <c r="O718" i="2"/>
  <c r="N718" i="2"/>
  <c r="M718" i="2"/>
  <c r="L718" i="2"/>
  <c r="K718" i="2"/>
  <c r="Q717" i="2"/>
  <c r="P717" i="2"/>
  <c r="O717" i="2"/>
  <c r="N717" i="2"/>
  <c r="M717" i="2"/>
  <c r="L717" i="2"/>
  <c r="K717" i="2"/>
  <c r="Q716" i="2"/>
  <c r="P716" i="2"/>
  <c r="O716" i="2"/>
  <c r="N716" i="2"/>
  <c r="M716" i="2"/>
  <c r="L716" i="2"/>
  <c r="K716" i="2"/>
  <c r="Q715" i="2"/>
  <c r="P715" i="2"/>
  <c r="O715" i="2"/>
  <c r="N715" i="2"/>
  <c r="M715" i="2"/>
  <c r="L715" i="2"/>
  <c r="K715" i="2"/>
  <c r="Q714" i="2"/>
  <c r="P714" i="2"/>
  <c r="O714" i="2"/>
  <c r="N714" i="2"/>
  <c r="M714" i="2"/>
  <c r="L714" i="2"/>
  <c r="K714" i="2"/>
  <c r="Q713" i="2"/>
  <c r="P713" i="2"/>
  <c r="O713" i="2"/>
  <c r="N713" i="2"/>
  <c r="M713" i="2"/>
  <c r="L713" i="2"/>
  <c r="K713" i="2"/>
  <c r="Q712" i="2"/>
  <c r="P712" i="2"/>
  <c r="O712" i="2"/>
  <c r="N712" i="2"/>
  <c r="M712" i="2"/>
  <c r="L712" i="2"/>
  <c r="K712" i="2"/>
  <c r="Q711" i="2"/>
  <c r="P711" i="2"/>
  <c r="O711" i="2"/>
  <c r="N711" i="2"/>
  <c r="M711" i="2"/>
  <c r="L711" i="2"/>
  <c r="K711" i="2"/>
  <c r="Q710" i="2"/>
  <c r="P710" i="2"/>
  <c r="O710" i="2"/>
  <c r="N710" i="2"/>
  <c r="M710" i="2"/>
  <c r="L710" i="2"/>
  <c r="K710" i="2"/>
  <c r="Q709" i="2"/>
  <c r="P709" i="2"/>
  <c r="O709" i="2"/>
  <c r="N709" i="2"/>
  <c r="M709" i="2"/>
  <c r="L709" i="2"/>
  <c r="K709" i="2"/>
  <c r="Q708" i="2"/>
  <c r="P708" i="2"/>
  <c r="O708" i="2"/>
  <c r="N708" i="2"/>
  <c r="M708" i="2"/>
  <c r="L708" i="2"/>
  <c r="K708" i="2"/>
  <c r="Q707" i="2"/>
  <c r="P707" i="2"/>
  <c r="O707" i="2"/>
  <c r="N707" i="2"/>
  <c r="M707" i="2"/>
  <c r="L707" i="2"/>
  <c r="K707" i="2"/>
  <c r="Q706" i="2"/>
  <c r="P706" i="2"/>
  <c r="O706" i="2"/>
  <c r="N706" i="2"/>
  <c r="M706" i="2"/>
  <c r="L706" i="2"/>
  <c r="K706" i="2"/>
  <c r="Q705" i="2"/>
  <c r="P705" i="2"/>
  <c r="O705" i="2"/>
  <c r="N705" i="2"/>
  <c r="M705" i="2"/>
  <c r="L705" i="2"/>
  <c r="K705" i="2"/>
  <c r="Q704" i="2"/>
  <c r="P704" i="2"/>
  <c r="O704" i="2"/>
  <c r="N704" i="2"/>
  <c r="M704" i="2"/>
  <c r="L704" i="2"/>
  <c r="K704" i="2"/>
  <c r="Q703" i="2"/>
  <c r="P703" i="2"/>
  <c r="O703" i="2"/>
  <c r="N703" i="2"/>
  <c r="M703" i="2"/>
  <c r="L703" i="2"/>
  <c r="K703" i="2"/>
  <c r="Q702" i="2"/>
  <c r="P702" i="2"/>
  <c r="O702" i="2"/>
  <c r="N702" i="2"/>
  <c r="M702" i="2"/>
  <c r="L702" i="2"/>
  <c r="K702" i="2"/>
  <c r="Q701" i="2"/>
  <c r="P701" i="2"/>
  <c r="O701" i="2"/>
  <c r="N701" i="2"/>
  <c r="M701" i="2"/>
  <c r="L701" i="2"/>
  <c r="K701" i="2"/>
  <c r="Q700" i="2"/>
  <c r="P700" i="2"/>
  <c r="O700" i="2"/>
  <c r="N700" i="2"/>
  <c r="M700" i="2"/>
  <c r="L700" i="2"/>
  <c r="K700" i="2"/>
  <c r="Q699" i="2"/>
  <c r="P699" i="2"/>
  <c r="O699" i="2"/>
  <c r="N699" i="2"/>
  <c r="M699" i="2"/>
  <c r="L699" i="2"/>
  <c r="K699" i="2"/>
  <c r="Q698" i="2"/>
  <c r="P698" i="2"/>
  <c r="O698" i="2"/>
  <c r="N698" i="2"/>
  <c r="M698" i="2"/>
  <c r="L698" i="2"/>
  <c r="K698" i="2"/>
  <c r="Q697" i="2"/>
  <c r="P697" i="2"/>
  <c r="O697" i="2"/>
  <c r="N697" i="2"/>
  <c r="M697" i="2"/>
  <c r="L697" i="2"/>
  <c r="K697" i="2"/>
  <c r="Q696" i="2"/>
  <c r="P696" i="2"/>
  <c r="O696" i="2"/>
  <c r="N696" i="2"/>
  <c r="M696" i="2"/>
  <c r="L696" i="2"/>
  <c r="K696" i="2"/>
  <c r="Q695" i="2"/>
  <c r="P695" i="2"/>
  <c r="O695" i="2"/>
  <c r="N695" i="2"/>
  <c r="M695" i="2"/>
  <c r="L695" i="2"/>
  <c r="K695" i="2"/>
  <c r="Q694" i="2"/>
  <c r="P694" i="2"/>
  <c r="O694" i="2"/>
  <c r="N694" i="2"/>
  <c r="M694" i="2"/>
  <c r="L694" i="2"/>
  <c r="K694" i="2"/>
  <c r="Q693" i="2"/>
  <c r="P693" i="2"/>
  <c r="O693" i="2"/>
  <c r="N693" i="2"/>
  <c r="M693" i="2"/>
  <c r="L693" i="2"/>
  <c r="K693" i="2"/>
  <c r="Q692" i="2"/>
  <c r="P692" i="2"/>
  <c r="O692" i="2"/>
  <c r="N692" i="2"/>
  <c r="M692" i="2"/>
  <c r="L692" i="2"/>
  <c r="K692" i="2"/>
  <c r="Q691" i="2"/>
  <c r="P691" i="2"/>
  <c r="O691" i="2"/>
  <c r="N691" i="2"/>
  <c r="M691" i="2"/>
  <c r="L691" i="2"/>
  <c r="K691" i="2"/>
  <c r="Q690" i="2"/>
  <c r="P690" i="2"/>
  <c r="O690" i="2"/>
  <c r="N690" i="2"/>
  <c r="M690" i="2"/>
  <c r="L690" i="2"/>
  <c r="K690" i="2"/>
  <c r="Q689" i="2"/>
  <c r="P689" i="2"/>
  <c r="O689" i="2"/>
  <c r="N689" i="2"/>
  <c r="M689" i="2"/>
  <c r="L689" i="2"/>
  <c r="K689" i="2"/>
  <c r="Q688" i="2"/>
  <c r="P688" i="2"/>
  <c r="O688" i="2"/>
  <c r="N688" i="2"/>
  <c r="M688" i="2"/>
  <c r="L688" i="2"/>
  <c r="K688" i="2"/>
  <c r="Q687" i="2"/>
  <c r="P687" i="2"/>
  <c r="O687" i="2"/>
  <c r="N687" i="2"/>
  <c r="M687" i="2"/>
  <c r="L687" i="2"/>
  <c r="K687" i="2"/>
  <c r="Q686" i="2"/>
  <c r="P686" i="2"/>
  <c r="O686" i="2"/>
  <c r="N686" i="2"/>
  <c r="M686" i="2"/>
  <c r="L686" i="2"/>
  <c r="K686" i="2"/>
  <c r="Q685" i="2"/>
  <c r="P685" i="2"/>
  <c r="O685" i="2"/>
  <c r="N685" i="2"/>
  <c r="M685" i="2"/>
  <c r="L685" i="2"/>
  <c r="K685" i="2"/>
  <c r="Q684" i="2"/>
  <c r="P684" i="2"/>
  <c r="O684" i="2"/>
  <c r="N684" i="2"/>
  <c r="M684" i="2"/>
  <c r="L684" i="2"/>
  <c r="K684" i="2"/>
  <c r="Q683" i="2"/>
  <c r="P683" i="2"/>
  <c r="O683" i="2"/>
  <c r="N683" i="2"/>
  <c r="M683" i="2"/>
  <c r="L683" i="2"/>
  <c r="K683" i="2"/>
  <c r="Q682" i="2"/>
  <c r="P682" i="2"/>
  <c r="O682" i="2"/>
  <c r="N682" i="2"/>
  <c r="M682" i="2"/>
  <c r="L682" i="2"/>
  <c r="K682" i="2"/>
  <c r="Q681" i="2"/>
  <c r="P681" i="2"/>
  <c r="O681" i="2"/>
  <c r="N681" i="2"/>
  <c r="M681" i="2"/>
  <c r="L681" i="2"/>
  <c r="K681" i="2"/>
  <c r="Q680" i="2"/>
  <c r="P680" i="2"/>
  <c r="O680" i="2"/>
  <c r="N680" i="2"/>
  <c r="M680" i="2"/>
  <c r="L680" i="2"/>
  <c r="K680" i="2"/>
  <c r="Q679" i="2"/>
  <c r="P679" i="2"/>
  <c r="O679" i="2"/>
  <c r="N679" i="2"/>
  <c r="M679" i="2"/>
  <c r="L679" i="2"/>
  <c r="K679" i="2"/>
  <c r="Q678" i="2"/>
  <c r="P678" i="2"/>
  <c r="O678" i="2"/>
  <c r="N678" i="2"/>
  <c r="M678" i="2"/>
  <c r="L678" i="2"/>
  <c r="K678" i="2"/>
  <c r="Q677" i="2"/>
  <c r="P677" i="2"/>
  <c r="O677" i="2"/>
  <c r="N677" i="2"/>
  <c r="M677" i="2"/>
  <c r="L677" i="2"/>
  <c r="K677" i="2"/>
  <c r="Q676" i="2"/>
  <c r="P676" i="2"/>
  <c r="O676" i="2"/>
  <c r="N676" i="2"/>
  <c r="M676" i="2"/>
  <c r="L676" i="2"/>
  <c r="K676" i="2"/>
  <c r="Q675" i="2"/>
  <c r="P675" i="2"/>
  <c r="O675" i="2"/>
  <c r="N675" i="2"/>
  <c r="M675" i="2"/>
  <c r="L675" i="2"/>
  <c r="K675" i="2"/>
  <c r="Q674" i="2"/>
  <c r="P674" i="2"/>
  <c r="O674" i="2"/>
  <c r="N674" i="2"/>
  <c r="M674" i="2"/>
  <c r="L674" i="2"/>
  <c r="K674" i="2"/>
  <c r="Q673" i="2"/>
  <c r="P673" i="2"/>
  <c r="O673" i="2"/>
  <c r="N673" i="2"/>
  <c r="M673" i="2"/>
  <c r="L673" i="2"/>
  <c r="K673" i="2"/>
  <c r="Q672" i="2"/>
  <c r="P672" i="2"/>
  <c r="O672" i="2"/>
  <c r="N672" i="2"/>
  <c r="M672" i="2"/>
  <c r="L672" i="2"/>
  <c r="K672" i="2"/>
  <c r="Q671" i="2"/>
  <c r="P671" i="2"/>
  <c r="O671" i="2"/>
  <c r="N671" i="2"/>
  <c r="M671" i="2"/>
  <c r="L671" i="2"/>
  <c r="K671" i="2"/>
  <c r="Q670" i="2"/>
  <c r="P670" i="2"/>
  <c r="O670" i="2"/>
  <c r="N670" i="2"/>
  <c r="M670" i="2"/>
  <c r="L670" i="2"/>
  <c r="K670" i="2"/>
  <c r="Q669" i="2"/>
  <c r="P669" i="2"/>
  <c r="O669" i="2"/>
  <c r="N669" i="2"/>
  <c r="M669" i="2"/>
  <c r="L669" i="2"/>
  <c r="K669" i="2"/>
  <c r="Q668" i="2"/>
  <c r="P668" i="2"/>
  <c r="O668" i="2"/>
  <c r="N668" i="2"/>
  <c r="M668" i="2"/>
  <c r="L668" i="2"/>
  <c r="K668" i="2"/>
  <c r="Q667" i="2"/>
  <c r="P667" i="2"/>
  <c r="O667" i="2"/>
  <c r="N667" i="2"/>
  <c r="M667" i="2"/>
  <c r="L667" i="2"/>
  <c r="K667" i="2"/>
  <c r="Q666" i="2"/>
  <c r="P666" i="2"/>
  <c r="O666" i="2"/>
  <c r="N666" i="2"/>
  <c r="M666" i="2"/>
  <c r="L666" i="2"/>
  <c r="K666" i="2"/>
  <c r="Q665" i="2"/>
  <c r="P665" i="2"/>
  <c r="O665" i="2"/>
  <c r="N665" i="2"/>
  <c r="M665" i="2"/>
  <c r="L665" i="2"/>
  <c r="K665" i="2"/>
  <c r="Q664" i="2"/>
  <c r="P664" i="2"/>
  <c r="O664" i="2"/>
  <c r="N664" i="2"/>
  <c r="M664" i="2"/>
  <c r="L664" i="2"/>
  <c r="K664" i="2"/>
  <c r="Q663" i="2"/>
  <c r="P663" i="2"/>
  <c r="O663" i="2"/>
  <c r="N663" i="2"/>
  <c r="M663" i="2"/>
  <c r="L663" i="2"/>
  <c r="K663" i="2"/>
  <c r="Q662" i="2"/>
  <c r="P662" i="2"/>
  <c r="O662" i="2"/>
  <c r="N662" i="2"/>
  <c r="M662" i="2"/>
  <c r="L662" i="2"/>
  <c r="K662" i="2"/>
  <c r="Q661" i="2"/>
  <c r="P661" i="2"/>
  <c r="O661" i="2"/>
  <c r="N661" i="2"/>
  <c r="M661" i="2"/>
  <c r="L661" i="2"/>
  <c r="K661" i="2"/>
  <c r="Q660" i="2"/>
  <c r="P660" i="2"/>
  <c r="O660" i="2"/>
  <c r="N660" i="2"/>
  <c r="M660" i="2"/>
  <c r="L660" i="2"/>
  <c r="K660" i="2"/>
  <c r="Q659" i="2"/>
  <c r="P659" i="2"/>
  <c r="O659" i="2"/>
  <c r="N659" i="2"/>
  <c r="M659" i="2"/>
  <c r="L659" i="2"/>
  <c r="K659" i="2"/>
  <c r="Q658" i="2"/>
  <c r="P658" i="2"/>
  <c r="O658" i="2"/>
  <c r="N658" i="2"/>
  <c r="M658" i="2"/>
  <c r="L658" i="2"/>
  <c r="K658" i="2"/>
  <c r="Q657" i="2"/>
  <c r="P657" i="2"/>
  <c r="O657" i="2"/>
  <c r="N657" i="2"/>
  <c r="M657" i="2"/>
  <c r="L657" i="2"/>
  <c r="K657" i="2"/>
  <c r="Q656" i="2"/>
  <c r="P656" i="2"/>
  <c r="O656" i="2"/>
  <c r="N656" i="2"/>
  <c r="M656" i="2"/>
  <c r="L656" i="2"/>
  <c r="K656" i="2"/>
  <c r="Q655" i="2"/>
  <c r="P655" i="2"/>
  <c r="O655" i="2"/>
  <c r="N655" i="2"/>
  <c r="M655" i="2"/>
  <c r="L655" i="2"/>
  <c r="K655" i="2"/>
  <c r="Q654" i="2"/>
  <c r="P654" i="2"/>
  <c r="O654" i="2"/>
  <c r="N654" i="2"/>
  <c r="M654" i="2"/>
  <c r="L654" i="2"/>
  <c r="K654" i="2"/>
  <c r="Q653" i="2"/>
  <c r="P653" i="2"/>
  <c r="O653" i="2"/>
  <c r="N653" i="2"/>
  <c r="M653" i="2"/>
  <c r="L653" i="2"/>
  <c r="K653" i="2"/>
  <c r="Q652" i="2"/>
  <c r="P652" i="2"/>
  <c r="O652" i="2"/>
  <c r="N652" i="2"/>
  <c r="M652" i="2"/>
  <c r="L652" i="2"/>
  <c r="K652" i="2"/>
  <c r="Q651" i="2"/>
  <c r="P651" i="2"/>
  <c r="O651" i="2"/>
  <c r="N651" i="2"/>
  <c r="M651" i="2"/>
  <c r="L651" i="2"/>
  <c r="K651" i="2"/>
  <c r="Q650" i="2"/>
  <c r="P650" i="2"/>
  <c r="O650" i="2"/>
  <c r="N650" i="2"/>
  <c r="M650" i="2"/>
  <c r="L650" i="2"/>
  <c r="K650" i="2"/>
  <c r="Q649" i="2"/>
  <c r="P649" i="2"/>
  <c r="O649" i="2"/>
  <c r="N649" i="2"/>
  <c r="M649" i="2"/>
  <c r="L649" i="2"/>
  <c r="K649" i="2"/>
  <c r="Q648" i="2"/>
  <c r="P648" i="2"/>
  <c r="O648" i="2"/>
  <c r="N648" i="2"/>
  <c r="M648" i="2"/>
  <c r="L648" i="2"/>
  <c r="K648" i="2"/>
  <c r="Q647" i="2"/>
  <c r="P647" i="2"/>
  <c r="O647" i="2"/>
  <c r="N647" i="2"/>
  <c r="M647" i="2"/>
  <c r="L647" i="2"/>
  <c r="K647" i="2"/>
  <c r="Q646" i="2"/>
  <c r="P646" i="2"/>
  <c r="O646" i="2"/>
  <c r="N646" i="2"/>
  <c r="M646" i="2"/>
  <c r="L646" i="2"/>
  <c r="K646" i="2"/>
  <c r="Q645" i="2"/>
  <c r="P645" i="2"/>
  <c r="O645" i="2"/>
  <c r="N645" i="2"/>
  <c r="M645" i="2"/>
  <c r="L645" i="2"/>
  <c r="K645" i="2"/>
  <c r="Q644" i="2"/>
  <c r="P644" i="2"/>
  <c r="O644" i="2"/>
  <c r="N644" i="2"/>
  <c r="M644" i="2"/>
  <c r="L644" i="2"/>
  <c r="K644" i="2"/>
  <c r="Q643" i="2"/>
  <c r="P643" i="2"/>
  <c r="O643" i="2"/>
  <c r="N643" i="2"/>
  <c r="M643" i="2"/>
  <c r="L643" i="2"/>
  <c r="K643" i="2"/>
  <c r="Q642" i="2"/>
  <c r="P642" i="2"/>
  <c r="O642" i="2"/>
  <c r="N642" i="2"/>
  <c r="M642" i="2"/>
  <c r="L642" i="2"/>
  <c r="K642" i="2"/>
  <c r="Q641" i="2"/>
  <c r="P641" i="2"/>
  <c r="O641" i="2"/>
  <c r="N641" i="2"/>
  <c r="M641" i="2"/>
  <c r="L641" i="2"/>
  <c r="K641" i="2"/>
  <c r="Q640" i="2"/>
  <c r="P640" i="2"/>
  <c r="O640" i="2"/>
  <c r="N640" i="2"/>
  <c r="M640" i="2"/>
  <c r="L640" i="2"/>
  <c r="K640" i="2"/>
  <c r="Q639" i="2"/>
  <c r="P639" i="2"/>
  <c r="O639" i="2"/>
  <c r="N639" i="2"/>
  <c r="M639" i="2"/>
  <c r="L639" i="2"/>
  <c r="K639" i="2"/>
  <c r="Q638" i="2"/>
  <c r="P638" i="2"/>
  <c r="O638" i="2"/>
  <c r="N638" i="2"/>
  <c r="M638" i="2"/>
  <c r="L638" i="2"/>
  <c r="K638" i="2"/>
  <c r="Q637" i="2"/>
  <c r="P637" i="2"/>
  <c r="O637" i="2"/>
  <c r="N637" i="2"/>
  <c r="M637" i="2"/>
  <c r="L637" i="2"/>
  <c r="K637" i="2"/>
  <c r="Q636" i="2"/>
  <c r="P636" i="2"/>
  <c r="O636" i="2"/>
  <c r="N636" i="2"/>
  <c r="M636" i="2"/>
  <c r="L636" i="2"/>
  <c r="K636" i="2"/>
  <c r="Q635" i="2"/>
  <c r="P635" i="2"/>
  <c r="O635" i="2"/>
  <c r="N635" i="2"/>
  <c r="M635" i="2"/>
  <c r="L635" i="2"/>
  <c r="K635" i="2"/>
  <c r="Q634" i="2"/>
  <c r="P634" i="2"/>
  <c r="O634" i="2"/>
  <c r="N634" i="2"/>
  <c r="M634" i="2"/>
  <c r="L634" i="2"/>
  <c r="K634" i="2"/>
  <c r="Q633" i="2"/>
  <c r="P633" i="2"/>
  <c r="O633" i="2"/>
  <c r="N633" i="2"/>
  <c r="M633" i="2"/>
  <c r="L633" i="2"/>
  <c r="K633" i="2"/>
  <c r="Q632" i="2"/>
  <c r="P632" i="2"/>
  <c r="O632" i="2"/>
  <c r="N632" i="2"/>
  <c r="M632" i="2"/>
  <c r="L632" i="2"/>
  <c r="K632" i="2"/>
  <c r="Q631" i="2"/>
  <c r="P631" i="2"/>
  <c r="O631" i="2"/>
  <c r="N631" i="2"/>
  <c r="M631" i="2"/>
  <c r="L631" i="2"/>
  <c r="K631" i="2"/>
  <c r="Q630" i="2"/>
  <c r="P630" i="2"/>
  <c r="O630" i="2"/>
  <c r="N630" i="2"/>
  <c r="M630" i="2"/>
  <c r="L630" i="2"/>
  <c r="K630" i="2"/>
  <c r="Q629" i="2"/>
  <c r="P629" i="2"/>
  <c r="O629" i="2"/>
  <c r="N629" i="2"/>
  <c r="M629" i="2"/>
  <c r="L629" i="2"/>
  <c r="K629" i="2"/>
  <c r="Q628" i="2"/>
  <c r="P628" i="2"/>
  <c r="O628" i="2"/>
  <c r="N628" i="2"/>
  <c r="M628" i="2"/>
  <c r="L628" i="2"/>
  <c r="K628" i="2"/>
  <c r="Q627" i="2"/>
  <c r="P627" i="2"/>
  <c r="O627" i="2"/>
  <c r="N627" i="2"/>
  <c r="M627" i="2"/>
  <c r="L627" i="2"/>
  <c r="K627" i="2"/>
  <c r="Q626" i="2"/>
  <c r="P626" i="2"/>
  <c r="O626" i="2"/>
  <c r="N626" i="2"/>
  <c r="M626" i="2"/>
  <c r="L626" i="2"/>
  <c r="K626" i="2"/>
  <c r="Q625" i="2"/>
  <c r="P625" i="2"/>
  <c r="O625" i="2"/>
  <c r="N625" i="2"/>
  <c r="M625" i="2"/>
  <c r="L625" i="2"/>
  <c r="K625" i="2"/>
  <c r="Q624" i="2"/>
  <c r="P624" i="2"/>
  <c r="O624" i="2"/>
  <c r="N624" i="2"/>
  <c r="M624" i="2"/>
  <c r="L624" i="2"/>
  <c r="K624" i="2"/>
  <c r="Q623" i="2"/>
  <c r="P623" i="2"/>
  <c r="O623" i="2"/>
  <c r="N623" i="2"/>
  <c r="M623" i="2"/>
  <c r="L623" i="2"/>
  <c r="K623" i="2"/>
  <c r="Q622" i="2"/>
  <c r="P622" i="2"/>
  <c r="O622" i="2"/>
  <c r="N622" i="2"/>
  <c r="M622" i="2"/>
  <c r="L622" i="2"/>
  <c r="K622" i="2"/>
  <c r="Q621" i="2"/>
  <c r="P621" i="2"/>
  <c r="O621" i="2"/>
  <c r="N621" i="2"/>
  <c r="M621" i="2"/>
  <c r="L621" i="2"/>
  <c r="K621" i="2"/>
  <c r="Q620" i="2"/>
  <c r="P620" i="2"/>
  <c r="O620" i="2"/>
  <c r="N620" i="2"/>
  <c r="M620" i="2"/>
  <c r="L620" i="2"/>
  <c r="K620" i="2"/>
  <c r="Q619" i="2"/>
  <c r="P619" i="2"/>
  <c r="O619" i="2"/>
  <c r="N619" i="2"/>
  <c r="M619" i="2"/>
  <c r="L619" i="2"/>
  <c r="K619" i="2"/>
  <c r="Q618" i="2"/>
  <c r="P618" i="2"/>
  <c r="O618" i="2"/>
  <c r="N618" i="2"/>
  <c r="M618" i="2"/>
  <c r="L618" i="2"/>
  <c r="K618" i="2"/>
  <c r="Q617" i="2"/>
  <c r="P617" i="2"/>
  <c r="O617" i="2"/>
  <c r="N617" i="2"/>
  <c r="M617" i="2"/>
  <c r="L617" i="2"/>
  <c r="K617" i="2"/>
  <c r="Q616" i="2"/>
  <c r="P616" i="2"/>
  <c r="O616" i="2"/>
  <c r="N616" i="2"/>
  <c r="M616" i="2"/>
  <c r="L616" i="2"/>
  <c r="K616" i="2"/>
  <c r="Q615" i="2"/>
  <c r="P615" i="2"/>
  <c r="O615" i="2"/>
  <c r="N615" i="2"/>
  <c r="M615" i="2"/>
  <c r="L615" i="2"/>
  <c r="K615" i="2"/>
  <c r="Q614" i="2"/>
  <c r="P614" i="2"/>
  <c r="O614" i="2"/>
  <c r="N614" i="2"/>
  <c r="M614" i="2"/>
  <c r="L614" i="2"/>
  <c r="K614" i="2"/>
  <c r="Q613" i="2"/>
  <c r="P613" i="2"/>
  <c r="O613" i="2"/>
  <c r="N613" i="2"/>
  <c r="M613" i="2"/>
  <c r="L613" i="2"/>
  <c r="K613" i="2"/>
  <c r="Q612" i="2"/>
  <c r="P612" i="2"/>
  <c r="O612" i="2"/>
  <c r="N612" i="2"/>
  <c r="M612" i="2"/>
  <c r="L612" i="2"/>
  <c r="K612" i="2"/>
  <c r="Q611" i="2"/>
  <c r="P611" i="2"/>
  <c r="O611" i="2"/>
  <c r="N611" i="2"/>
  <c r="M611" i="2"/>
  <c r="L611" i="2"/>
  <c r="K611" i="2"/>
  <c r="Q610" i="2"/>
  <c r="P610" i="2"/>
  <c r="O610" i="2"/>
  <c r="N610" i="2"/>
  <c r="M610" i="2"/>
  <c r="L610" i="2"/>
  <c r="K610" i="2"/>
  <c r="Q609" i="2"/>
  <c r="P609" i="2"/>
  <c r="O609" i="2"/>
  <c r="N609" i="2"/>
  <c r="M609" i="2"/>
  <c r="L609" i="2"/>
  <c r="K609" i="2"/>
  <c r="Q608" i="2"/>
  <c r="P608" i="2"/>
  <c r="O608" i="2"/>
  <c r="N608" i="2"/>
  <c r="M608" i="2"/>
  <c r="L608" i="2"/>
  <c r="K608" i="2"/>
  <c r="Q607" i="2"/>
  <c r="P607" i="2"/>
  <c r="O607" i="2"/>
  <c r="N607" i="2"/>
  <c r="M607" i="2"/>
  <c r="L607" i="2"/>
  <c r="K607" i="2"/>
  <c r="Q606" i="2"/>
  <c r="P606" i="2"/>
  <c r="O606" i="2"/>
  <c r="N606" i="2"/>
  <c r="M606" i="2"/>
  <c r="L606" i="2"/>
  <c r="K606" i="2"/>
  <c r="Q605" i="2"/>
  <c r="P605" i="2"/>
  <c r="O605" i="2"/>
  <c r="N605" i="2"/>
  <c r="M605" i="2"/>
  <c r="L605" i="2"/>
  <c r="K605" i="2"/>
  <c r="Q604" i="2"/>
  <c r="P604" i="2"/>
  <c r="O604" i="2"/>
  <c r="N604" i="2"/>
  <c r="M604" i="2"/>
  <c r="L604" i="2"/>
  <c r="K604" i="2"/>
  <c r="Q603" i="2"/>
  <c r="P603" i="2"/>
  <c r="O603" i="2"/>
  <c r="N603" i="2"/>
  <c r="M603" i="2"/>
  <c r="L603" i="2"/>
  <c r="K603" i="2"/>
  <c r="Q602" i="2"/>
  <c r="P602" i="2"/>
  <c r="O602" i="2"/>
  <c r="N602" i="2"/>
  <c r="M602" i="2"/>
  <c r="L602" i="2"/>
  <c r="K602" i="2"/>
  <c r="Q601" i="2"/>
  <c r="P601" i="2"/>
  <c r="O601" i="2"/>
  <c r="N601" i="2"/>
  <c r="M601" i="2"/>
  <c r="L601" i="2"/>
  <c r="K601" i="2"/>
  <c r="Q600" i="2"/>
  <c r="P600" i="2"/>
  <c r="O600" i="2"/>
  <c r="N600" i="2"/>
  <c r="M600" i="2"/>
  <c r="L600" i="2"/>
  <c r="K600" i="2"/>
  <c r="Q599" i="2"/>
  <c r="P599" i="2"/>
  <c r="O599" i="2"/>
  <c r="N599" i="2"/>
  <c r="M599" i="2"/>
  <c r="L599" i="2"/>
  <c r="K599" i="2"/>
  <c r="Q598" i="2"/>
  <c r="P598" i="2"/>
  <c r="O598" i="2"/>
  <c r="N598" i="2"/>
  <c r="M598" i="2"/>
  <c r="L598" i="2"/>
  <c r="K598" i="2"/>
  <c r="Q597" i="2"/>
  <c r="P597" i="2"/>
  <c r="O597" i="2"/>
  <c r="N597" i="2"/>
  <c r="M597" i="2"/>
  <c r="L597" i="2"/>
  <c r="K597" i="2"/>
  <c r="Q596" i="2"/>
  <c r="P596" i="2"/>
  <c r="O596" i="2"/>
  <c r="N596" i="2"/>
  <c r="M596" i="2"/>
  <c r="L596" i="2"/>
  <c r="K596" i="2"/>
  <c r="Q595" i="2"/>
  <c r="P595" i="2"/>
  <c r="O595" i="2"/>
  <c r="N595" i="2"/>
  <c r="M595" i="2"/>
  <c r="L595" i="2"/>
  <c r="K595" i="2"/>
  <c r="Q594" i="2"/>
  <c r="P594" i="2"/>
  <c r="O594" i="2"/>
  <c r="N594" i="2"/>
  <c r="M594" i="2"/>
  <c r="L594" i="2"/>
  <c r="K594" i="2"/>
  <c r="Q593" i="2"/>
  <c r="P593" i="2"/>
  <c r="O593" i="2"/>
  <c r="N593" i="2"/>
  <c r="M593" i="2"/>
  <c r="L593" i="2"/>
  <c r="K593" i="2"/>
  <c r="Q592" i="2"/>
  <c r="P592" i="2"/>
  <c r="O592" i="2"/>
  <c r="N592" i="2"/>
  <c r="M592" i="2"/>
  <c r="L592" i="2"/>
  <c r="K592" i="2"/>
  <c r="Q591" i="2"/>
  <c r="P591" i="2"/>
  <c r="O591" i="2"/>
  <c r="N591" i="2"/>
  <c r="M591" i="2"/>
  <c r="L591" i="2"/>
  <c r="K591" i="2"/>
  <c r="Q590" i="2"/>
  <c r="P590" i="2"/>
  <c r="O590" i="2"/>
  <c r="N590" i="2"/>
  <c r="M590" i="2"/>
  <c r="L590" i="2"/>
  <c r="K590" i="2"/>
  <c r="Q589" i="2"/>
  <c r="P589" i="2"/>
  <c r="O589" i="2"/>
  <c r="N589" i="2"/>
  <c r="M589" i="2"/>
  <c r="L589" i="2"/>
  <c r="K589" i="2"/>
  <c r="Q588" i="2"/>
  <c r="P588" i="2"/>
  <c r="O588" i="2"/>
  <c r="N588" i="2"/>
  <c r="M588" i="2"/>
  <c r="L588" i="2"/>
  <c r="K588" i="2"/>
  <c r="Q587" i="2"/>
  <c r="P587" i="2"/>
  <c r="O587" i="2"/>
  <c r="N587" i="2"/>
  <c r="M587" i="2"/>
  <c r="L587" i="2"/>
  <c r="K587" i="2"/>
  <c r="Q586" i="2"/>
  <c r="P586" i="2"/>
  <c r="O586" i="2"/>
  <c r="N586" i="2"/>
  <c r="M586" i="2"/>
  <c r="L586" i="2"/>
  <c r="K586" i="2"/>
  <c r="Q585" i="2"/>
  <c r="P585" i="2"/>
  <c r="O585" i="2"/>
  <c r="N585" i="2"/>
  <c r="M585" i="2"/>
  <c r="L585" i="2"/>
  <c r="K585" i="2"/>
  <c r="Q584" i="2"/>
  <c r="P584" i="2"/>
  <c r="O584" i="2"/>
  <c r="N584" i="2"/>
  <c r="M584" i="2"/>
  <c r="L584" i="2"/>
  <c r="K584" i="2"/>
  <c r="Q583" i="2"/>
  <c r="P583" i="2"/>
  <c r="O583" i="2"/>
  <c r="N583" i="2"/>
  <c r="M583" i="2"/>
  <c r="L583" i="2"/>
  <c r="K583" i="2"/>
  <c r="Q582" i="2"/>
  <c r="P582" i="2"/>
  <c r="O582" i="2"/>
  <c r="N582" i="2"/>
  <c r="M582" i="2"/>
  <c r="L582" i="2"/>
  <c r="K582" i="2"/>
  <c r="Q581" i="2"/>
  <c r="P581" i="2"/>
  <c r="O581" i="2"/>
  <c r="N581" i="2"/>
  <c r="M581" i="2"/>
  <c r="L581" i="2"/>
  <c r="K581" i="2"/>
  <c r="Q580" i="2"/>
  <c r="P580" i="2"/>
  <c r="O580" i="2"/>
  <c r="N580" i="2"/>
  <c r="M580" i="2"/>
  <c r="L580" i="2"/>
  <c r="K580" i="2"/>
  <c r="Q579" i="2"/>
  <c r="P579" i="2"/>
  <c r="O579" i="2"/>
  <c r="N579" i="2"/>
  <c r="M579" i="2"/>
  <c r="L579" i="2"/>
  <c r="K579" i="2"/>
  <c r="Q578" i="2"/>
  <c r="P578" i="2"/>
  <c r="O578" i="2"/>
  <c r="N578" i="2"/>
  <c r="M578" i="2"/>
  <c r="L578" i="2"/>
  <c r="K578" i="2"/>
  <c r="Q577" i="2"/>
  <c r="P577" i="2"/>
  <c r="O577" i="2"/>
  <c r="N577" i="2"/>
  <c r="M577" i="2"/>
  <c r="L577" i="2"/>
  <c r="K577" i="2"/>
  <c r="Q576" i="2"/>
  <c r="P576" i="2"/>
  <c r="O576" i="2"/>
  <c r="N576" i="2"/>
  <c r="M576" i="2"/>
  <c r="L576" i="2"/>
  <c r="K576" i="2"/>
  <c r="Q575" i="2"/>
  <c r="P575" i="2"/>
  <c r="O575" i="2"/>
  <c r="N575" i="2"/>
  <c r="M575" i="2"/>
  <c r="L575" i="2"/>
  <c r="K575" i="2"/>
  <c r="Q574" i="2"/>
  <c r="P574" i="2"/>
  <c r="O574" i="2"/>
  <c r="N574" i="2"/>
  <c r="M574" i="2"/>
  <c r="L574" i="2"/>
  <c r="K574" i="2"/>
  <c r="Q573" i="2"/>
  <c r="P573" i="2"/>
  <c r="O573" i="2"/>
  <c r="N573" i="2"/>
  <c r="M573" i="2"/>
  <c r="L573" i="2"/>
  <c r="K573" i="2"/>
  <c r="Q572" i="2"/>
  <c r="P572" i="2"/>
  <c r="O572" i="2"/>
  <c r="N572" i="2"/>
  <c r="M572" i="2"/>
  <c r="L572" i="2"/>
  <c r="K572" i="2"/>
  <c r="Q571" i="2"/>
  <c r="P571" i="2"/>
  <c r="O571" i="2"/>
  <c r="N571" i="2"/>
  <c r="M571" i="2"/>
  <c r="L571" i="2"/>
  <c r="K571" i="2"/>
  <c r="Q570" i="2"/>
  <c r="P570" i="2"/>
  <c r="O570" i="2"/>
  <c r="N570" i="2"/>
  <c r="M570" i="2"/>
  <c r="L570" i="2"/>
  <c r="K570" i="2"/>
  <c r="Q569" i="2"/>
  <c r="P569" i="2"/>
  <c r="O569" i="2"/>
  <c r="N569" i="2"/>
  <c r="M569" i="2"/>
  <c r="L569" i="2"/>
  <c r="K569" i="2"/>
  <c r="Q568" i="2"/>
  <c r="P568" i="2"/>
  <c r="O568" i="2"/>
  <c r="N568" i="2"/>
  <c r="M568" i="2"/>
  <c r="L568" i="2"/>
  <c r="K568" i="2"/>
  <c r="Q567" i="2"/>
  <c r="P567" i="2"/>
  <c r="O567" i="2"/>
  <c r="N567" i="2"/>
  <c r="M567" i="2"/>
  <c r="L567" i="2"/>
  <c r="K567" i="2"/>
  <c r="Q566" i="2"/>
  <c r="P566" i="2"/>
  <c r="O566" i="2"/>
  <c r="N566" i="2"/>
  <c r="M566" i="2"/>
  <c r="L566" i="2"/>
  <c r="K566" i="2"/>
  <c r="Q565" i="2"/>
  <c r="P565" i="2"/>
  <c r="O565" i="2"/>
  <c r="N565" i="2"/>
  <c r="M565" i="2"/>
  <c r="L565" i="2"/>
  <c r="K565" i="2"/>
  <c r="Q564" i="2"/>
  <c r="P564" i="2"/>
  <c r="O564" i="2"/>
  <c r="N564" i="2"/>
  <c r="M564" i="2"/>
  <c r="L564" i="2"/>
  <c r="K564" i="2"/>
  <c r="Q563" i="2"/>
  <c r="P563" i="2"/>
  <c r="O563" i="2"/>
  <c r="N563" i="2"/>
  <c r="M563" i="2"/>
  <c r="L563" i="2"/>
  <c r="K563" i="2"/>
  <c r="Q562" i="2"/>
  <c r="P562" i="2"/>
  <c r="O562" i="2"/>
  <c r="N562" i="2"/>
  <c r="M562" i="2"/>
  <c r="L562" i="2"/>
  <c r="K562" i="2"/>
  <c r="Q561" i="2"/>
  <c r="P561" i="2"/>
  <c r="O561" i="2"/>
  <c r="N561" i="2"/>
  <c r="M561" i="2"/>
  <c r="L561" i="2"/>
  <c r="K561" i="2"/>
  <c r="Q560" i="2"/>
  <c r="P560" i="2"/>
  <c r="O560" i="2"/>
  <c r="N560" i="2"/>
  <c r="M560" i="2"/>
  <c r="L560" i="2"/>
  <c r="K560" i="2"/>
  <c r="Q559" i="2"/>
  <c r="P559" i="2"/>
  <c r="O559" i="2"/>
  <c r="N559" i="2"/>
  <c r="M559" i="2"/>
  <c r="L559" i="2"/>
  <c r="K559" i="2"/>
  <c r="Q558" i="2"/>
  <c r="P558" i="2"/>
  <c r="O558" i="2"/>
  <c r="N558" i="2"/>
  <c r="M558" i="2"/>
  <c r="L558" i="2"/>
  <c r="K558" i="2"/>
  <c r="Q557" i="2"/>
  <c r="P557" i="2"/>
  <c r="O557" i="2"/>
  <c r="N557" i="2"/>
  <c r="M557" i="2"/>
  <c r="L557" i="2"/>
  <c r="K557" i="2"/>
  <c r="Q556" i="2"/>
  <c r="P556" i="2"/>
  <c r="O556" i="2"/>
  <c r="N556" i="2"/>
  <c r="M556" i="2"/>
  <c r="L556" i="2"/>
  <c r="K556" i="2"/>
  <c r="Q555" i="2"/>
  <c r="P555" i="2"/>
  <c r="O555" i="2"/>
  <c r="N555" i="2"/>
  <c r="M555" i="2"/>
  <c r="L555" i="2"/>
  <c r="K555" i="2"/>
  <c r="Q554" i="2"/>
  <c r="P554" i="2"/>
  <c r="O554" i="2"/>
  <c r="N554" i="2"/>
  <c r="M554" i="2"/>
  <c r="L554" i="2"/>
  <c r="K554" i="2"/>
  <c r="Q553" i="2"/>
  <c r="P553" i="2"/>
  <c r="O553" i="2"/>
  <c r="N553" i="2"/>
  <c r="M553" i="2"/>
  <c r="L553" i="2"/>
  <c r="K553" i="2"/>
  <c r="Q552" i="2"/>
  <c r="P552" i="2"/>
  <c r="O552" i="2"/>
  <c r="N552" i="2"/>
  <c r="M552" i="2"/>
  <c r="L552" i="2"/>
  <c r="K552" i="2"/>
  <c r="Q551" i="2"/>
  <c r="P551" i="2"/>
  <c r="O551" i="2"/>
  <c r="N551" i="2"/>
  <c r="M551" i="2"/>
  <c r="L551" i="2"/>
  <c r="K551" i="2"/>
  <c r="Q550" i="2"/>
  <c r="P550" i="2"/>
  <c r="O550" i="2"/>
  <c r="N550" i="2"/>
  <c r="M550" i="2"/>
  <c r="L550" i="2"/>
  <c r="K550" i="2"/>
  <c r="Q549" i="2"/>
  <c r="P549" i="2"/>
  <c r="O549" i="2"/>
  <c r="N549" i="2"/>
  <c r="M549" i="2"/>
  <c r="L549" i="2"/>
  <c r="K549" i="2"/>
  <c r="Q548" i="2"/>
  <c r="P548" i="2"/>
  <c r="O548" i="2"/>
  <c r="N548" i="2"/>
  <c r="M548" i="2"/>
  <c r="L548" i="2"/>
  <c r="K548" i="2"/>
  <c r="Q547" i="2"/>
  <c r="P547" i="2"/>
  <c r="O547" i="2"/>
  <c r="N547" i="2"/>
  <c r="M547" i="2"/>
  <c r="L547" i="2"/>
  <c r="K547" i="2"/>
  <c r="Q546" i="2"/>
  <c r="P546" i="2"/>
  <c r="O546" i="2"/>
  <c r="N546" i="2"/>
  <c r="M546" i="2"/>
  <c r="L546" i="2"/>
  <c r="K546" i="2"/>
  <c r="Q545" i="2"/>
  <c r="P545" i="2"/>
  <c r="O545" i="2"/>
  <c r="N545" i="2"/>
  <c r="M545" i="2"/>
  <c r="L545" i="2"/>
  <c r="K545" i="2"/>
  <c r="Q544" i="2"/>
  <c r="P544" i="2"/>
  <c r="O544" i="2"/>
  <c r="N544" i="2"/>
  <c r="M544" i="2"/>
  <c r="L544" i="2"/>
  <c r="K544" i="2"/>
  <c r="Q543" i="2"/>
  <c r="P543" i="2"/>
  <c r="O543" i="2"/>
  <c r="N543" i="2"/>
  <c r="M543" i="2"/>
  <c r="L543" i="2"/>
  <c r="K543" i="2"/>
  <c r="Q542" i="2"/>
  <c r="P542" i="2"/>
  <c r="O542" i="2"/>
  <c r="N542" i="2"/>
  <c r="M542" i="2"/>
  <c r="L542" i="2"/>
  <c r="K542" i="2"/>
  <c r="Q541" i="2"/>
  <c r="P541" i="2"/>
  <c r="O541" i="2"/>
  <c r="N541" i="2"/>
  <c r="M541" i="2"/>
  <c r="L541" i="2"/>
  <c r="K541" i="2"/>
  <c r="Q540" i="2"/>
  <c r="P540" i="2"/>
  <c r="O540" i="2"/>
  <c r="N540" i="2"/>
  <c r="M540" i="2"/>
  <c r="L540" i="2"/>
  <c r="K540" i="2"/>
  <c r="Q539" i="2"/>
  <c r="P539" i="2"/>
  <c r="O539" i="2"/>
  <c r="N539" i="2"/>
  <c r="M539" i="2"/>
  <c r="L539" i="2"/>
  <c r="K539" i="2"/>
  <c r="Q538" i="2"/>
  <c r="P538" i="2"/>
  <c r="O538" i="2"/>
  <c r="N538" i="2"/>
  <c r="M538" i="2"/>
  <c r="L538" i="2"/>
  <c r="K538" i="2"/>
  <c r="Q537" i="2"/>
  <c r="P537" i="2"/>
  <c r="O537" i="2"/>
  <c r="N537" i="2"/>
  <c r="M537" i="2"/>
  <c r="L537" i="2"/>
  <c r="K537" i="2"/>
  <c r="Q536" i="2"/>
  <c r="P536" i="2"/>
  <c r="O536" i="2"/>
  <c r="N536" i="2"/>
  <c r="M536" i="2"/>
  <c r="L536" i="2"/>
  <c r="K536" i="2"/>
  <c r="Q535" i="2"/>
  <c r="P535" i="2"/>
  <c r="O535" i="2"/>
  <c r="N535" i="2"/>
  <c r="M535" i="2"/>
  <c r="L535" i="2"/>
  <c r="K535" i="2"/>
  <c r="Q534" i="2"/>
  <c r="P534" i="2"/>
  <c r="O534" i="2"/>
  <c r="N534" i="2"/>
  <c r="M534" i="2"/>
  <c r="L534" i="2"/>
  <c r="K534" i="2"/>
  <c r="Q533" i="2"/>
  <c r="P533" i="2"/>
  <c r="O533" i="2"/>
  <c r="N533" i="2"/>
  <c r="M533" i="2"/>
  <c r="L533" i="2"/>
  <c r="K533" i="2"/>
  <c r="Q532" i="2"/>
  <c r="P532" i="2"/>
  <c r="O532" i="2"/>
  <c r="N532" i="2"/>
  <c r="M532" i="2"/>
  <c r="L532" i="2"/>
  <c r="K532" i="2"/>
  <c r="Q531" i="2"/>
  <c r="P531" i="2"/>
  <c r="O531" i="2"/>
  <c r="N531" i="2"/>
  <c r="M531" i="2"/>
  <c r="L531" i="2"/>
  <c r="K531" i="2"/>
  <c r="Q530" i="2"/>
  <c r="P530" i="2"/>
  <c r="O530" i="2"/>
  <c r="N530" i="2"/>
  <c r="M530" i="2"/>
  <c r="L530" i="2"/>
  <c r="K530" i="2"/>
  <c r="Q529" i="2"/>
  <c r="P529" i="2"/>
  <c r="O529" i="2"/>
  <c r="N529" i="2"/>
  <c r="M529" i="2"/>
  <c r="L529" i="2"/>
  <c r="K529" i="2"/>
  <c r="Q528" i="2"/>
  <c r="P528" i="2"/>
  <c r="O528" i="2"/>
  <c r="N528" i="2"/>
  <c r="M528" i="2"/>
  <c r="L528" i="2"/>
  <c r="K528" i="2"/>
  <c r="Q527" i="2"/>
  <c r="P527" i="2"/>
  <c r="O527" i="2"/>
  <c r="N527" i="2"/>
  <c r="M527" i="2"/>
  <c r="L527" i="2"/>
  <c r="K527" i="2"/>
  <c r="Q526" i="2"/>
  <c r="P526" i="2"/>
  <c r="O526" i="2"/>
  <c r="N526" i="2"/>
  <c r="M526" i="2"/>
  <c r="L526" i="2"/>
  <c r="K526" i="2"/>
  <c r="Q525" i="2"/>
  <c r="P525" i="2"/>
  <c r="O525" i="2"/>
  <c r="N525" i="2"/>
  <c r="M525" i="2"/>
  <c r="L525" i="2"/>
  <c r="K525" i="2"/>
  <c r="Q524" i="2"/>
  <c r="P524" i="2"/>
  <c r="O524" i="2"/>
  <c r="N524" i="2"/>
  <c r="M524" i="2"/>
  <c r="L524" i="2"/>
  <c r="K524" i="2"/>
  <c r="Q523" i="2"/>
  <c r="P523" i="2"/>
  <c r="O523" i="2"/>
  <c r="N523" i="2"/>
  <c r="M523" i="2"/>
  <c r="L523" i="2"/>
  <c r="K523" i="2"/>
  <c r="Q522" i="2"/>
  <c r="P522" i="2"/>
  <c r="O522" i="2"/>
  <c r="N522" i="2"/>
  <c r="M522" i="2"/>
  <c r="L522" i="2"/>
  <c r="K522" i="2"/>
  <c r="Q521" i="2"/>
  <c r="P521" i="2"/>
  <c r="O521" i="2"/>
  <c r="N521" i="2"/>
  <c r="M521" i="2"/>
  <c r="L521" i="2"/>
  <c r="K521" i="2"/>
  <c r="Q520" i="2"/>
  <c r="P520" i="2"/>
  <c r="O520" i="2"/>
  <c r="N520" i="2"/>
  <c r="M520" i="2"/>
  <c r="L520" i="2"/>
  <c r="K520" i="2"/>
  <c r="Q519" i="2"/>
  <c r="P519" i="2"/>
  <c r="O519" i="2"/>
  <c r="N519" i="2"/>
  <c r="M519" i="2"/>
  <c r="L519" i="2"/>
  <c r="K519" i="2"/>
  <c r="Q518" i="2"/>
  <c r="P518" i="2"/>
  <c r="O518" i="2"/>
  <c r="N518" i="2"/>
  <c r="M518" i="2"/>
  <c r="L518" i="2"/>
  <c r="K518" i="2"/>
  <c r="Q517" i="2"/>
  <c r="P517" i="2"/>
  <c r="O517" i="2"/>
  <c r="N517" i="2"/>
  <c r="M517" i="2"/>
  <c r="L517" i="2"/>
  <c r="K517" i="2"/>
  <c r="Q516" i="2"/>
  <c r="P516" i="2"/>
  <c r="O516" i="2"/>
  <c r="N516" i="2"/>
  <c r="M516" i="2"/>
  <c r="L516" i="2"/>
  <c r="K516" i="2"/>
  <c r="Q515" i="2"/>
  <c r="P515" i="2"/>
  <c r="O515" i="2"/>
  <c r="N515" i="2"/>
  <c r="M515" i="2"/>
  <c r="L515" i="2"/>
  <c r="K515" i="2"/>
  <c r="Q514" i="2"/>
  <c r="P514" i="2"/>
  <c r="O514" i="2"/>
  <c r="N514" i="2"/>
  <c r="M514" i="2"/>
  <c r="L514" i="2"/>
  <c r="K514" i="2"/>
  <c r="Q513" i="2"/>
  <c r="P513" i="2"/>
  <c r="O513" i="2"/>
  <c r="N513" i="2"/>
  <c r="M513" i="2"/>
  <c r="L513" i="2"/>
  <c r="K513" i="2"/>
  <c r="Q512" i="2"/>
  <c r="P512" i="2"/>
  <c r="O512" i="2"/>
  <c r="N512" i="2"/>
  <c r="M512" i="2"/>
  <c r="L512" i="2"/>
  <c r="K512" i="2"/>
  <c r="Q511" i="2"/>
  <c r="P511" i="2"/>
  <c r="O511" i="2"/>
  <c r="N511" i="2"/>
  <c r="M511" i="2"/>
  <c r="L511" i="2"/>
  <c r="K511" i="2"/>
  <c r="Q510" i="2"/>
  <c r="P510" i="2"/>
  <c r="O510" i="2"/>
  <c r="N510" i="2"/>
  <c r="M510" i="2"/>
  <c r="L510" i="2"/>
  <c r="K510" i="2"/>
  <c r="Q509" i="2"/>
  <c r="P509" i="2"/>
  <c r="O509" i="2"/>
  <c r="N509" i="2"/>
  <c r="M509" i="2"/>
  <c r="L509" i="2"/>
  <c r="K509" i="2"/>
  <c r="Q508" i="2"/>
  <c r="P508" i="2"/>
  <c r="O508" i="2"/>
  <c r="N508" i="2"/>
  <c r="M508" i="2"/>
  <c r="L508" i="2"/>
  <c r="K508" i="2"/>
  <c r="Q507" i="2"/>
  <c r="P507" i="2"/>
  <c r="O507" i="2"/>
  <c r="N507" i="2"/>
  <c r="M507" i="2"/>
  <c r="L507" i="2"/>
  <c r="K507" i="2"/>
  <c r="Q506" i="2"/>
  <c r="P506" i="2"/>
  <c r="O506" i="2"/>
  <c r="N506" i="2"/>
  <c r="M506" i="2"/>
  <c r="L506" i="2"/>
  <c r="K506" i="2"/>
  <c r="Q505" i="2"/>
  <c r="P505" i="2"/>
  <c r="O505" i="2"/>
  <c r="N505" i="2"/>
  <c r="M505" i="2"/>
  <c r="L505" i="2"/>
  <c r="K505" i="2"/>
  <c r="Q504" i="2"/>
  <c r="P504" i="2"/>
  <c r="O504" i="2"/>
  <c r="N504" i="2"/>
  <c r="M504" i="2"/>
  <c r="L504" i="2"/>
  <c r="K504" i="2"/>
  <c r="Q503" i="2"/>
  <c r="P503" i="2"/>
  <c r="O503" i="2"/>
  <c r="N503" i="2"/>
  <c r="M503" i="2"/>
  <c r="L503" i="2"/>
  <c r="K503" i="2"/>
  <c r="Q502" i="2"/>
  <c r="P502" i="2"/>
  <c r="O502" i="2"/>
  <c r="N502" i="2"/>
  <c r="M502" i="2"/>
  <c r="L502" i="2"/>
  <c r="K502" i="2"/>
  <c r="Q501" i="2"/>
  <c r="P501" i="2"/>
  <c r="O501" i="2"/>
  <c r="N501" i="2"/>
  <c r="M501" i="2"/>
  <c r="L501" i="2"/>
  <c r="K501" i="2"/>
  <c r="Q500" i="2"/>
  <c r="P500" i="2"/>
  <c r="O500" i="2"/>
  <c r="N500" i="2"/>
  <c r="M500" i="2"/>
  <c r="L500" i="2"/>
  <c r="K500" i="2"/>
  <c r="Q499" i="2"/>
  <c r="P499" i="2"/>
  <c r="O499" i="2"/>
  <c r="N499" i="2"/>
  <c r="M499" i="2"/>
  <c r="L499" i="2"/>
  <c r="K499" i="2"/>
  <c r="Q498" i="2"/>
  <c r="P498" i="2"/>
  <c r="O498" i="2"/>
  <c r="N498" i="2"/>
  <c r="M498" i="2"/>
  <c r="L498" i="2"/>
  <c r="K498" i="2"/>
  <c r="Q497" i="2"/>
  <c r="P497" i="2"/>
  <c r="O497" i="2"/>
  <c r="N497" i="2"/>
  <c r="M497" i="2"/>
  <c r="L497" i="2"/>
  <c r="K497" i="2"/>
  <c r="Q496" i="2"/>
  <c r="P496" i="2"/>
  <c r="O496" i="2"/>
  <c r="N496" i="2"/>
  <c r="M496" i="2"/>
  <c r="L496" i="2"/>
  <c r="K496" i="2"/>
  <c r="Q495" i="2"/>
  <c r="P495" i="2"/>
  <c r="O495" i="2"/>
  <c r="N495" i="2"/>
  <c r="M495" i="2"/>
  <c r="L495" i="2"/>
  <c r="K495" i="2"/>
  <c r="Q494" i="2"/>
  <c r="P494" i="2"/>
  <c r="O494" i="2"/>
  <c r="N494" i="2"/>
  <c r="M494" i="2"/>
  <c r="L494" i="2"/>
  <c r="K494" i="2"/>
  <c r="Q493" i="2"/>
  <c r="P493" i="2"/>
  <c r="O493" i="2"/>
  <c r="N493" i="2"/>
  <c r="M493" i="2"/>
  <c r="L493" i="2"/>
  <c r="K493" i="2"/>
  <c r="Q492" i="2"/>
  <c r="P492" i="2"/>
  <c r="O492" i="2"/>
  <c r="N492" i="2"/>
  <c r="M492" i="2"/>
  <c r="L492" i="2"/>
  <c r="K492" i="2"/>
  <c r="Q491" i="2"/>
  <c r="P491" i="2"/>
  <c r="O491" i="2"/>
  <c r="N491" i="2"/>
  <c r="M491" i="2"/>
  <c r="L491" i="2"/>
  <c r="K491" i="2"/>
  <c r="Q490" i="2"/>
  <c r="P490" i="2"/>
  <c r="O490" i="2"/>
  <c r="N490" i="2"/>
  <c r="M490" i="2"/>
  <c r="L490" i="2"/>
  <c r="K490" i="2"/>
  <c r="Q489" i="2"/>
  <c r="P489" i="2"/>
  <c r="O489" i="2"/>
  <c r="N489" i="2"/>
  <c r="M489" i="2"/>
  <c r="L489" i="2"/>
  <c r="K489" i="2"/>
  <c r="Q488" i="2"/>
  <c r="P488" i="2"/>
  <c r="O488" i="2"/>
  <c r="N488" i="2"/>
  <c r="M488" i="2"/>
  <c r="L488" i="2"/>
  <c r="K488" i="2"/>
  <c r="Q487" i="2"/>
  <c r="P487" i="2"/>
  <c r="O487" i="2"/>
  <c r="N487" i="2"/>
  <c r="M487" i="2"/>
  <c r="L487" i="2"/>
  <c r="K487" i="2"/>
  <c r="Q486" i="2"/>
  <c r="P486" i="2"/>
  <c r="O486" i="2"/>
  <c r="N486" i="2"/>
  <c r="M486" i="2"/>
  <c r="L486" i="2"/>
  <c r="K486" i="2"/>
  <c r="Q485" i="2"/>
  <c r="P485" i="2"/>
  <c r="O485" i="2"/>
  <c r="N485" i="2"/>
  <c r="M485" i="2"/>
  <c r="L485" i="2"/>
  <c r="K485" i="2"/>
  <c r="Q484" i="2"/>
  <c r="P484" i="2"/>
  <c r="O484" i="2"/>
  <c r="N484" i="2"/>
  <c r="M484" i="2"/>
  <c r="L484" i="2"/>
  <c r="K484" i="2"/>
  <c r="Q483" i="2"/>
  <c r="P483" i="2"/>
  <c r="O483" i="2"/>
  <c r="N483" i="2"/>
  <c r="M483" i="2"/>
  <c r="L483" i="2"/>
  <c r="K483" i="2"/>
  <c r="Q482" i="2"/>
  <c r="P482" i="2"/>
  <c r="O482" i="2"/>
  <c r="N482" i="2"/>
  <c r="M482" i="2"/>
  <c r="L482" i="2"/>
  <c r="K482" i="2"/>
  <c r="Q481" i="2"/>
  <c r="P481" i="2"/>
  <c r="O481" i="2"/>
  <c r="N481" i="2"/>
  <c r="M481" i="2"/>
  <c r="L481" i="2"/>
  <c r="K481" i="2"/>
  <c r="Q480" i="2"/>
  <c r="P480" i="2"/>
  <c r="O480" i="2"/>
  <c r="N480" i="2"/>
  <c r="M480" i="2"/>
  <c r="L480" i="2"/>
  <c r="K480" i="2"/>
  <c r="Q479" i="2"/>
  <c r="P479" i="2"/>
  <c r="O479" i="2"/>
  <c r="N479" i="2"/>
  <c r="M479" i="2"/>
  <c r="L479" i="2"/>
  <c r="K479" i="2"/>
  <c r="Q478" i="2"/>
  <c r="P478" i="2"/>
  <c r="O478" i="2"/>
  <c r="N478" i="2"/>
  <c r="M478" i="2"/>
  <c r="L478" i="2"/>
  <c r="K478" i="2"/>
  <c r="Q477" i="2"/>
  <c r="P477" i="2"/>
  <c r="O477" i="2"/>
  <c r="N477" i="2"/>
  <c r="M477" i="2"/>
  <c r="L477" i="2"/>
  <c r="K477" i="2"/>
  <c r="Q476" i="2"/>
  <c r="P476" i="2"/>
  <c r="O476" i="2"/>
  <c r="N476" i="2"/>
  <c r="M476" i="2"/>
  <c r="L476" i="2"/>
  <c r="K476" i="2"/>
  <c r="Q475" i="2"/>
  <c r="P475" i="2"/>
  <c r="O475" i="2"/>
  <c r="N475" i="2"/>
  <c r="M475" i="2"/>
  <c r="L475" i="2"/>
  <c r="K475" i="2"/>
  <c r="Q474" i="2"/>
  <c r="P474" i="2"/>
  <c r="O474" i="2"/>
  <c r="N474" i="2"/>
  <c r="M474" i="2"/>
  <c r="L474" i="2"/>
  <c r="K474" i="2"/>
  <c r="Q473" i="2"/>
  <c r="P473" i="2"/>
  <c r="O473" i="2"/>
  <c r="N473" i="2"/>
  <c r="M473" i="2"/>
  <c r="L473" i="2"/>
  <c r="K473" i="2"/>
  <c r="Q472" i="2"/>
  <c r="P472" i="2"/>
  <c r="O472" i="2"/>
  <c r="N472" i="2"/>
  <c r="M472" i="2"/>
  <c r="L472" i="2"/>
  <c r="K472" i="2"/>
  <c r="Q471" i="2"/>
  <c r="P471" i="2"/>
  <c r="O471" i="2"/>
  <c r="N471" i="2"/>
  <c r="M471" i="2"/>
  <c r="L471" i="2"/>
  <c r="K471" i="2"/>
  <c r="Q470" i="2"/>
  <c r="P470" i="2"/>
  <c r="O470" i="2"/>
  <c r="N470" i="2"/>
  <c r="M470" i="2"/>
  <c r="L470" i="2"/>
  <c r="K470" i="2"/>
  <c r="Q469" i="2"/>
  <c r="P469" i="2"/>
  <c r="O469" i="2"/>
  <c r="N469" i="2"/>
  <c r="M469" i="2"/>
  <c r="L469" i="2"/>
  <c r="K469" i="2"/>
  <c r="Q468" i="2"/>
  <c r="P468" i="2"/>
  <c r="O468" i="2"/>
  <c r="N468" i="2"/>
  <c r="M468" i="2"/>
  <c r="L468" i="2"/>
  <c r="K468" i="2"/>
  <c r="Q467" i="2"/>
  <c r="P467" i="2"/>
  <c r="O467" i="2"/>
  <c r="N467" i="2"/>
  <c r="M467" i="2"/>
  <c r="L467" i="2"/>
  <c r="K467" i="2"/>
  <c r="Q466" i="2"/>
  <c r="P466" i="2"/>
  <c r="O466" i="2"/>
  <c r="N466" i="2"/>
  <c r="M466" i="2"/>
  <c r="L466" i="2"/>
  <c r="K466" i="2"/>
  <c r="Q465" i="2"/>
  <c r="P465" i="2"/>
  <c r="O465" i="2"/>
  <c r="N465" i="2"/>
  <c r="M465" i="2"/>
  <c r="L465" i="2"/>
  <c r="K465" i="2"/>
  <c r="Q464" i="2"/>
  <c r="P464" i="2"/>
  <c r="O464" i="2"/>
  <c r="N464" i="2"/>
  <c r="M464" i="2"/>
  <c r="L464" i="2"/>
  <c r="K464" i="2"/>
  <c r="Q463" i="2"/>
  <c r="P463" i="2"/>
  <c r="O463" i="2"/>
  <c r="N463" i="2"/>
  <c r="M463" i="2"/>
  <c r="L463" i="2"/>
  <c r="K463" i="2"/>
  <c r="Q462" i="2"/>
  <c r="P462" i="2"/>
  <c r="O462" i="2"/>
  <c r="N462" i="2"/>
  <c r="M462" i="2"/>
  <c r="L462" i="2"/>
  <c r="K462" i="2"/>
  <c r="Q461" i="2"/>
  <c r="P461" i="2"/>
  <c r="O461" i="2"/>
  <c r="N461" i="2"/>
  <c r="M461" i="2"/>
  <c r="L461" i="2"/>
  <c r="K461" i="2"/>
  <c r="Q460" i="2"/>
  <c r="P460" i="2"/>
  <c r="O460" i="2"/>
  <c r="N460" i="2"/>
  <c r="M460" i="2"/>
  <c r="L460" i="2"/>
  <c r="K460" i="2"/>
  <c r="Q459" i="2"/>
  <c r="P459" i="2"/>
  <c r="O459" i="2"/>
  <c r="N459" i="2"/>
  <c r="M459" i="2"/>
  <c r="L459" i="2"/>
  <c r="K459" i="2"/>
  <c r="Q458" i="2"/>
  <c r="P458" i="2"/>
  <c r="O458" i="2"/>
  <c r="N458" i="2"/>
  <c r="M458" i="2"/>
  <c r="L458" i="2"/>
  <c r="K458" i="2"/>
  <c r="Q457" i="2"/>
  <c r="P457" i="2"/>
  <c r="O457" i="2"/>
  <c r="N457" i="2"/>
  <c r="M457" i="2"/>
  <c r="L457" i="2"/>
  <c r="K457" i="2"/>
  <c r="Q456" i="2"/>
  <c r="P456" i="2"/>
  <c r="O456" i="2"/>
  <c r="N456" i="2"/>
  <c r="M456" i="2"/>
  <c r="L456" i="2"/>
  <c r="K456" i="2"/>
  <c r="Q455" i="2"/>
  <c r="P455" i="2"/>
  <c r="O455" i="2"/>
  <c r="N455" i="2"/>
  <c r="M455" i="2"/>
  <c r="L455" i="2"/>
  <c r="K455" i="2"/>
  <c r="Q454" i="2"/>
  <c r="P454" i="2"/>
  <c r="O454" i="2"/>
  <c r="N454" i="2"/>
  <c r="M454" i="2"/>
  <c r="L454" i="2"/>
  <c r="K454" i="2"/>
  <c r="Q453" i="2"/>
  <c r="P453" i="2"/>
  <c r="O453" i="2"/>
  <c r="N453" i="2"/>
  <c r="M453" i="2"/>
  <c r="L453" i="2"/>
  <c r="K453" i="2"/>
  <c r="Q452" i="2"/>
  <c r="P452" i="2"/>
  <c r="O452" i="2"/>
  <c r="N452" i="2"/>
  <c r="M452" i="2"/>
  <c r="L452" i="2"/>
  <c r="K452" i="2"/>
  <c r="Q451" i="2"/>
  <c r="P451" i="2"/>
  <c r="O451" i="2"/>
  <c r="N451" i="2"/>
  <c r="M451" i="2"/>
  <c r="L451" i="2"/>
  <c r="K451" i="2"/>
  <c r="Q450" i="2"/>
  <c r="P450" i="2"/>
  <c r="O450" i="2"/>
  <c r="N450" i="2"/>
  <c r="M450" i="2"/>
  <c r="L450" i="2"/>
  <c r="K450" i="2"/>
  <c r="Q449" i="2"/>
  <c r="P449" i="2"/>
  <c r="O449" i="2"/>
  <c r="N449" i="2"/>
  <c r="M449" i="2"/>
  <c r="L449" i="2"/>
  <c r="K449" i="2"/>
  <c r="Q448" i="2"/>
  <c r="P448" i="2"/>
  <c r="O448" i="2"/>
  <c r="N448" i="2"/>
  <c r="M448" i="2"/>
  <c r="L448" i="2"/>
  <c r="K448" i="2"/>
  <c r="Q447" i="2"/>
  <c r="P447" i="2"/>
  <c r="O447" i="2"/>
  <c r="N447" i="2"/>
  <c r="M447" i="2"/>
  <c r="L447" i="2"/>
  <c r="K447" i="2"/>
  <c r="Q446" i="2"/>
  <c r="P446" i="2"/>
  <c r="O446" i="2"/>
  <c r="N446" i="2"/>
  <c r="M446" i="2"/>
  <c r="L446" i="2"/>
  <c r="K446" i="2"/>
  <c r="Q445" i="2"/>
  <c r="P445" i="2"/>
  <c r="O445" i="2"/>
  <c r="N445" i="2"/>
  <c r="M445" i="2"/>
  <c r="L445" i="2"/>
  <c r="K445" i="2"/>
  <c r="Q444" i="2"/>
  <c r="P444" i="2"/>
  <c r="O444" i="2"/>
  <c r="N444" i="2"/>
  <c r="M444" i="2"/>
  <c r="L444" i="2"/>
  <c r="K444" i="2"/>
  <c r="Q443" i="2"/>
  <c r="P443" i="2"/>
  <c r="O443" i="2"/>
  <c r="N443" i="2"/>
  <c r="M443" i="2"/>
  <c r="L443" i="2"/>
  <c r="K443" i="2"/>
  <c r="Q442" i="2"/>
  <c r="P442" i="2"/>
  <c r="O442" i="2"/>
  <c r="N442" i="2"/>
  <c r="M442" i="2"/>
  <c r="L442" i="2"/>
  <c r="K442" i="2"/>
  <c r="Q441" i="2"/>
  <c r="P441" i="2"/>
  <c r="O441" i="2"/>
  <c r="N441" i="2"/>
  <c r="M441" i="2"/>
  <c r="L441" i="2"/>
  <c r="K441" i="2"/>
  <c r="Q440" i="2"/>
  <c r="P440" i="2"/>
  <c r="O440" i="2"/>
  <c r="N440" i="2"/>
  <c r="M440" i="2"/>
  <c r="L440" i="2"/>
  <c r="K440" i="2"/>
  <c r="Q439" i="2"/>
  <c r="P439" i="2"/>
  <c r="O439" i="2"/>
  <c r="N439" i="2"/>
  <c r="M439" i="2"/>
  <c r="L439" i="2"/>
  <c r="K439" i="2"/>
  <c r="Q438" i="2"/>
  <c r="P438" i="2"/>
  <c r="O438" i="2"/>
  <c r="N438" i="2"/>
  <c r="M438" i="2"/>
  <c r="L438" i="2"/>
  <c r="K438" i="2"/>
  <c r="Q437" i="2"/>
  <c r="P437" i="2"/>
  <c r="O437" i="2"/>
  <c r="N437" i="2"/>
  <c r="M437" i="2"/>
  <c r="L437" i="2"/>
  <c r="K437" i="2"/>
  <c r="Q436" i="2"/>
  <c r="P436" i="2"/>
  <c r="O436" i="2"/>
  <c r="N436" i="2"/>
  <c r="M436" i="2"/>
  <c r="L436" i="2"/>
  <c r="K436" i="2"/>
  <c r="Q435" i="2"/>
  <c r="P435" i="2"/>
  <c r="O435" i="2"/>
  <c r="N435" i="2"/>
  <c r="M435" i="2"/>
  <c r="L435" i="2"/>
  <c r="K435" i="2"/>
  <c r="Q434" i="2"/>
  <c r="P434" i="2"/>
  <c r="O434" i="2"/>
  <c r="N434" i="2"/>
  <c r="M434" i="2"/>
  <c r="L434" i="2"/>
  <c r="K434" i="2"/>
  <c r="Q433" i="2"/>
  <c r="P433" i="2"/>
  <c r="O433" i="2"/>
  <c r="N433" i="2"/>
  <c r="M433" i="2"/>
  <c r="L433" i="2"/>
  <c r="K433" i="2"/>
  <c r="Q432" i="2"/>
  <c r="P432" i="2"/>
  <c r="O432" i="2"/>
  <c r="N432" i="2"/>
  <c r="M432" i="2"/>
  <c r="L432" i="2"/>
  <c r="K432" i="2"/>
  <c r="Q431" i="2"/>
  <c r="P431" i="2"/>
  <c r="O431" i="2"/>
  <c r="N431" i="2"/>
  <c r="M431" i="2"/>
  <c r="L431" i="2"/>
  <c r="K431" i="2"/>
  <c r="Q430" i="2"/>
  <c r="P430" i="2"/>
  <c r="O430" i="2"/>
  <c r="N430" i="2"/>
  <c r="M430" i="2"/>
  <c r="L430" i="2"/>
  <c r="K430" i="2"/>
  <c r="Q429" i="2"/>
  <c r="P429" i="2"/>
  <c r="O429" i="2"/>
  <c r="N429" i="2"/>
  <c r="M429" i="2"/>
  <c r="L429" i="2"/>
  <c r="K429" i="2"/>
  <c r="Q428" i="2"/>
  <c r="P428" i="2"/>
  <c r="O428" i="2"/>
  <c r="N428" i="2"/>
  <c r="M428" i="2"/>
  <c r="L428" i="2"/>
  <c r="K428" i="2"/>
  <c r="Q427" i="2"/>
  <c r="P427" i="2"/>
  <c r="O427" i="2"/>
  <c r="N427" i="2"/>
  <c r="M427" i="2"/>
  <c r="L427" i="2"/>
  <c r="K427" i="2"/>
  <c r="Q426" i="2"/>
  <c r="P426" i="2"/>
  <c r="O426" i="2"/>
  <c r="N426" i="2"/>
  <c r="M426" i="2"/>
  <c r="L426" i="2"/>
  <c r="K426" i="2"/>
  <c r="Q425" i="2"/>
  <c r="P425" i="2"/>
  <c r="O425" i="2"/>
  <c r="N425" i="2"/>
  <c r="M425" i="2"/>
  <c r="L425" i="2"/>
  <c r="K425" i="2"/>
  <c r="Q424" i="2"/>
  <c r="P424" i="2"/>
  <c r="O424" i="2"/>
  <c r="N424" i="2"/>
  <c r="M424" i="2"/>
  <c r="L424" i="2"/>
  <c r="K424" i="2"/>
  <c r="Q423" i="2"/>
  <c r="P423" i="2"/>
  <c r="O423" i="2"/>
  <c r="N423" i="2"/>
  <c r="M423" i="2"/>
  <c r="L423" i="2"/>
  <c r="K423" i="2"/>
  <c r="Q422" i="2"/>
  <c r="P422" i="2"/>
  <c r="O422" i="2"/>
  <c r="N422" i="2"/>
  <c r="M422" i="2"/>
  <c r="L422" i="2"/>
  <c r="K422" i="2"/>
  <c r="Q421" i="2"/>
  <c r="P421" i="2"/>
  <c r="O421" i="2"/>
  <c r="N421" i="2"/>
  <c r="M421" i="2"/>
  <c r="L421" i="2"/>
  <c r="K421" i="2"/>
  <c r="Q420" i="2"/>
  <c r="P420" i="2"/>
  <c r="O420" i="2"/>
  <c r="N420" i="2"/>
  <c r="M420" i="2"/>
  <c r="L420" i="2"/>
  <c r="K420" i="2"/>
  <c r="Q419" i="2"/>
  <c r="P419" i="2"/>
  <c r="O419" i="2"/>
  <c r="N419" i="2"/>
  <c r="M419" i="2"/>
  <c r="L419" i="2"/>
  <c r="K419" i="2"/>
  <c r="Q418" i="2"/>
  <c r="P418" i="2"/>
  <c r="O418" i="2"/>
  <c r="N418" i="2"/>
  <c r="M418" i="2"/>
  <c r="L418" i="2"/>
  <c r="K418" i="2"/>
  <c r="Q417" i="2"/>
  <c r="P417" i="2"/>
  <c r="O417" i="2"/>
  <c r="N417" i="2"/>
  <c r="M417" i="2"/>
  <c r="L417" i="2"/>
  <c r="K417" i="2"/>
  <c r="Q416" i="2"/>
  <c r="P416" i="2"/>
  <c r="O416" i="2"/>
  <c r="N416" i="2"/>
  <c r="M416" i="2"/>
  <c r="L416" i="2"/>
  <c r="K416" i="2"/>
  <c r="Q415" i="2"/>
  <c r="P415" i="2"/>
  <c r="O415" i="2"/>
  <c r="N415" i="2"/>
  <c r="M415" i="2"/>
  <c r="L415" i="2"/>
  <c r="K415" i="2"/>
  <c r="Q414" i="2"/>
  <c r="P414" i="2"/>
  <c r="O414" i="2"/>
  <c r="N414" i="2"/>
  <c r="M414" i="2"/>
  <c r="L414" i="2"/>
  <c r="K414" i="2"/>
  <c r="Q413" i="2"/>
  <c r="P413" i="2"/>
  <c r="O413" i="2"/>
  <c r="N413" i="2"/>
  <c r="M413" i="2"/>
  <c r="L413" i="2"/>
  <c r="K413" i="2"/>
  <c r="Q412" i="2"/>
  <c r="P412" i="2"/>
  <c r="O412" i="2"/>
  <c r="N412" i="2"/>
  <c r="M412" i="2"/>
  <c r="L412" i="2"/>
  <c r="K412" i="2"/>
  <c r="Q411" i="2"/>
  <c r="P411" i="2"/>
  <c r="O411" i="2"/>
  <c r="N411" i="2"/>
  <c r="M411" i="2"/>
  <c r="L411" i="2"/>
  <c r="K411" i="2"/>
  <c r="Q410" i="2"/>
  <c r="P410" i="2"/>
  <c r="O410" i="2"/>
  <c r="N410" i="2"/>
  <c r="M410" i="2"/>
  <c r="L410" i="2"/>
  <c r="K410" i="2"/>
  <c r="Q409" i="2"/>
  <c r="P409" i="2"/>
  <c r="O409" i="2"/>
  <c r="N409" i="2"/>
  <c r="M409" i="2"/>
  <c r="L409" i="2"/>
  <c r="K409" i="2"/>
  <c r="Q408" i="2"/>
  <c r="P408" i="2"/>
  <c r="O408" i="2"/>
  <c r="N408" i="2"/>
  <c r="M408" i="2"/>
  <c r="L408" i="2"/>
  <c r="K408" i="2"/>
  <c r="Q407" i="2"/>
  <c r="P407" i="2"/>
  <c r="O407" i="2"/>
  <c r="N407" i="2"/>
  <c r="M407" i="2"/>
  <c r="L407" i="2"/>
  <c r="K407" i="2"/>
  <c r="Q406" i="2"/>
  <c r="P406" i="2"/>
  <c r="O406" i="2"/>
  <c r="N406" i="2"/>
  <c r="M406" i="2"/>
  <c r="L406" i="2"/>
  <c r="K406" i="2"/>
  <c r="Q405" i="2"/>
  <c r="P405" i="2"/>
  <c r="O405" i="2"/>
  <c r="N405" i="2"/>
  <c r="M405" i="2"/>
  <c r="L405" i="2"/>
  <c r="K405" i="2"/>
  <c r="Q404" i="2"/>
  <c r="P404" i="2"/>
  <c r="O404" i="2"/>
  <c r="N404" i="2"/>
  <c r="M404" i="2"/>
  <c r="L404" i="2"/>
  <c r="K404" i="2"/>
  <c r="Q403" i="2"/>
  <c r="P403" i="2"/>
  <c r="O403" i="2"/>
  <c r="N403" i="2"/>
  <c r="M403" i="2"/>
  <c r="L403" i="2"/>
  <c r="K403" i="2"/>
  <c r="Q402" i="2"/>
  <c r="P402" i="2"/>
  <c r="O402" i="2"/>
  <c r="N402" i="2"/>
  <c r="M402" i="2"/>
  <c r="L402" i="2"/>
  <c r="K402" i="2"/>
  <c r="Q401" i="2"/>
  <c r="P401" i="2"/>
  <c r="O401" i="2"/>
  <c r="N401" i="2"/>
  <c r="M401" i="2"/>
  <c r="L401" i="2"/>
  <c r="K401" i="2"/>
  <c r="Q400" i="2"/>
  <c r="P400" i="2"/>
  <c r="O400" i="2"/>
  <c r="N400" i="2"/>
  <c r="M400" i="2"/>
  <c r="L400" i="2"/>
  <c r="K400" i="2"/>
  <c r="Q399" i="2"/>
  <c r="P399" i="2"/>
  <c r="O399" i="2"/>
  <c r="N399" i="2"/>
  <c r="M399" i="2"/>
  <c r="L399" i="2"/>
  <c r="K399" i="2"/>
  <c r="Q398" i="2"/>
  <c r="P398" i="2"/>
  <c r="O398" i="2"/>
  <c r="N398" i="2"/>
  <c r="M398" i="2"/>
  <c r="L398" i="2"/>
  <c r="K398" i="2"/>
  <c r="Q397" i="2"/>
  <c r="P397" i="2"/>
  <c r="O397" i="2"/>
  <c r="N397" i="2"/>
  <c r="M397" i="2"/>
  <c r="L397" i="2"/>
  <c r="K397" i="2"/>
  <c r="Q396" i="2"/>
  <c r="P396" i="2"/>
  <c r="O396" i="2"/>
  <c r="N396" i="2"/>
  <c r="M396" i="2"/>
  <c r="L396" i="2"/>
  <c r="K396" i="2"/>
  <c r="Q395" i="2"/>
  <c r="P395" i="2"/>
  <c r="O395" i="2"/>
  <c r="N395" i="2"/>
  <c r="M395" i="2"/>
  <c r="L395" i="2"/>
  <c r="K395" i="2"/>
  <c r="Q394" i="2"/>
  <c r="P394" i="2"/>
  <c r="O394" i="2"/>
  <c r="N394" i="2"/>
  <c r="M394" i="2"/>
  <c r="L394" i="2"/>
  <c r="K394" i="2"/>
  <c r="Q393" i="2"/>
  <c r="P393" i="2"/>
  <c r="O393" i="2"/>
  <c r="N393" i="2"/>
  <c r="M393" i="2"/>
  <c r="L393" i="2"/>
  <c r="K393" i="2"/>
  <c r="Q392" i="2"/>
  <c r="P392" i="2"/>
  <c r="O392" i="2"/>
  <c r="N392" i="2"/>
  <c r="M392" i="2"/>
  <c r="L392" i="2"/>
  <c r="K392" i="2"/>
  <c r="Q391" i="2"/>
  <c r="P391" i="2"/>
  <c r="O391" i="2"/>
  <c r="N391" i="2"/>
  <c r="M391" i="2"/>
  <c r="L391" i="2"/>
  <c r="K391" i="2"/>
  <c r="Q390" i="2"/>
  <c r="P390" i="2"/>
  <c r="O390" i="2"/>
  <c r="N390" i="2"/>
  <c r="M390" i="2"/>
  <c r="L390" i="2"/>
  <c r="K390" i="2"/>
  <c r="Q389" i="2"/>
  <c r="P389" i="2"/>
  <c r="O389" i="2"/>
  <c r="N389" i="2"/>
  <c r="M389" i="2"/>
  <c r="L389" i="2"/>
  <c r="K389" i="2"/>
  <c r="Q388" i="2"/>
  <c r="P388" i="2"/>
  <c r="O388" i="2"/>
  <c r="N388" i="2"/>
  <c r="M388" i="2"/>
  <c r="L388" i="2"/>
  <c r="K388" i="2"/>
  <c r="Q387" i="2"/>
  <c r="P387" i="2"/>
  <c r="O387" i="2"/>
  <c r="N387" i="2"/>
  <c r="M387" i="2"/>
  <c r="L387" i="2"/>
  <c r="K387" i="2"/>
  <c r="Q386" i="2"/>
  <c r="P386" i="2"/>
  <c r="O386" i="2"/>
  <c r="N386" i="2"/>
  <c r="M386" i="2"/>
  <c r="L386" i="2"/>
  <c r="K386" i="2"/>
  <c r="Q385" i="2"/>
  <c r="P385" i="2"/>
  <c r="O385" i="2"/>
  <c r="N385" i="2"/>
  <c r="M385" i="2"/>
  <c r="L385" i="2"/>
  <c r="K385" i="2"/>
  <c r="Q384" i="2"/>
  <c r="P384" i="2"/>
  <c r="O384" i="2"/>
  <c r="N384" i="2"/>
  <c r="M384" i="2"/>
  <c r="L384" i="2"/>
  <c r="K384" i="2"/>
  <c r="Q383" i="2"/>
  <c r="P383" i="2"/>
  <c r="O383" i="2"/>
  <c r="N383" i="2"/>
  <c r="M383" i="2"/>
  <c r="L383" i="2"/>
  <c r="K383" i="2"/>
  <c r="Q382" i="2"/>
  <c r="P382" i="2"/>
  <c r="O382" i="2"/>
  <c r="N382" i="2"/>
  <c r="M382" i="2"/>
  <c r="L382" i="2"/>
  <c r="K382" i="2"/>
  <c r="Q381" i="2"/>
  <c r="P381" i="2"/>
  <c r="O381" i="2"/>
  <c r="N381" i="2"/>
  <c r="M381" i="2"/>
  <c r="L381" i="2"/>
  <c r="K381" i="2"/>
  <c r="Q380" i="2"/>
  <c r="P380" i="2"/>
  <c r="O380" i="2"/>
  <c r="N380" i="2"/>
  <c r="M380" i="2"/>
  <c r="L380" i="2"/>
  <c r="K380" i="2"/>
  <c r="Q379" i="2"/>
  <c r="P379" i="2"/>
  <c r="O379" i="2"/>
  <c r="N379" i="2"/>
  <c r="M379" i="2"/>
  <c r="L379" i="2"/>
  <c r="K379" i="2"/>
  <c r="Q378" i="2"/>
  <c r="P378" i="2"/>
  <c r="O378" i="2"/>
  <c r="N378" i="2"/>
  <c r="M378" i="2"/>
  <c r="L378" i="2"/>
  <c r="K378" i="2"/>
  <c r="Q377" i="2"/>
  <c r="P377" i="2"/>
  <c r="O377" i="2"/>
  <c r="N377" i="2"/>
  <c r="M377" i="2"/>
  <c r="L377" i="2"/>
  <c r="K377" i="2"/>
  <c r="Q376" i="2"/>
  <c r="P376" i="2"/>
  <c r="O376" i="2"/>
  <c r="N376" i="2"/>
  <c r="M376" i="2"/>
  <c r="L376" i="2"/>
  <c r="K376" i="2"/>
  <c r="Q375" i="2"/>
  <c r="P375" i="2"/>
  <c r="O375" i="2"/>
  <c r="N375" i="2"/>
  <c r="M375" i="2"/>
  <c r="L375" i="2"/>
  <c r="K375" i="2"/>
  <c r="Q374" i="2"/>
  <c r="P374" i="2"/>
  <c r="O374" i="2"/>
  <c r="N374" i="2"/>
  <c r="M374" i="2"/>
  <c r="L374" i="2"/>
  <c r="K374" i="2"/>
  <c r="Q373" i="2"/>
  <c r="P373" i="2"/>
  <c r="O373" i="2"/>
  <c r="N373" i="2"/>
  <c r="M373" i="2"/>
  <c r="L373" i="2"/>
  <c r="K373" i="2"/>
  <c r="Q372" i="2"/>
  <c r="P372" i="2"/>
  <c r="O372" i="2"/>
  <c r="N372" i="2"/>
  <c r="M372" i="2"/>
  <c r="L372" i="2"/>
  <c r="K372" i="2"/>
  <c r="Q371" i="2"/>
  <c r="P371" i="2"/>
  <c r="O371" i="2"/>
  <c r="N371" i="2"/>
  <c r="M371" i="2"/>
  <c r="L371" i="2"/>
  <c r="K371" i="2"/>
  <c r="Q370" i="2"/>
  <c r="P370" i="2"/>
  <c r="O370" i="2"/>
  <c r="N370" i="2"/>
  <c r="M370" i="2"/>
  <c r="L370" i="2"/>
  <c r="K370" i="2"/>
  <c r="Q369" i="2"/>
  <c r="P369" i="2"/>
  <c r="O369" i="2"/>
  <c r="N369" i="2"/>
  <c r="M369" i="2"/>
  <c r="L369" i="2"/>
  <c r="K369" i="2"/>
  <c r="Q368" i="2"/>
  <c r="P368" i="2"/>
  <c r="O368" i="2"/>
  <c r="N368" i="2"/>
  <c r="M368" i="2"/>
  <c r="L368" i="2"/>
  <c r="K368" i="2"/>
  <c r="Q367" i="2"/>
  <c r="P367" i="2"/>
  <c r="O367" i="2"/>
  <c r="N367" i="2"/>
  <c r="M367" i="2"/>
  <c r="L367" i="2"/>
  <c r="K367" i="2"/>
  <c r="Q366" i="2"/>
  <c r="P366" i="2"/>
  <c r="O366" i="2"/>
  <c r="N366" i="2"/>
  <c r="M366" i="2"/>
  <c r="L366" i="2"/>
  <c r="K366" i="2"/>
  <c r="Q365" i="2"/>
  <c r="P365" i="2"/>
  <c r="O365" i="2"/>
  <c r="N365" i="2"/>
  <c r="M365" i="2"/>
  <c r="L365" i="2"/>
  <c r="K365" i="2"/>
  <c r="Q364" i="2"/>
  <c r="P364" i="2"/>
  <c r="O364" i="2"/>
  <c r="N364" i="2"/>
  <c r="M364" i="2"/>
  <c r="L364" i="2"/>
  <c r="K364" i="2"/>
  <c r="Q363" i="2"/>
  <c r="P363" i="2"/>
  <c r="O363" i="2"/>
  <c r="N363" i="2"/>
  <c r="M363" i="2"/>
  <c r="L363" i="2"/>
  <c r="K363" i="2"/>
  <c r="Q362" i="2"/>
  <c r="P362" i="2"/>
  <c r="O362" i="2"/>
  <c r="N362" i="2"/>
  <c r="M362" i="2"/>
  <c r="L362" i="2"/>
  <c r="K362" i="2"/>
  <c r="Q361" i="2"/>
  <c r="P361" i="2"/>
  <c r="O361" i="2"/>
  <c r="N361" i="2"/>
  <c r="M361" i="2"/>
  <c r="L361" i="2"/>
  <c r="K361" i="2"/>
  <c r="Q360" i="2"/>
  <c r="P360" i="2"/>
  <c r="O360" i="2"/>
  <c r="N360" i="2"/>
  <c r="M360" i="2"/>
  <c r="L360" i="2"/>
  <c r="K360" i="2"/>
  <c r="Q359" i="2"/>
  <c r="P359" i="2"/>
  <c r="O359" i="2"/>
  <c r="N359" i="2"/>
  <c r="M359" i="2"/>
  <c r="L359" i="2"/>
  <c r="K359" i="2"/>
  <c r="Q358" i="2"/>
  <c r="P358" i="2"/>
  <c r="O358" i="2"/>
  <c r="N358" i="2"/>
  <c r="M358" i="2"/>
  <c r="L358" i="2"/>
  <c r="K358" i="2"/>
  <c r="Q357" i="2"/>
  <c r="P357" i="2"/>
  <c r="O357" i="2"/>
  <c r="N357" i="2"/>
  <c r="M357" i="2"/>
  <c r="L357" i="2"/>
  <c r="K357" i="2"/>
  <c r="Q356" i="2"/>
  <c r="P356" i="2"/>
  <c r="O356" i="2"/>
  <c r="N356" i="2"/>
  <c r="M356" i="2"/>
  <c r="L356" i="2"/>
  <c r="K356" i="2"/>
  <c r="Q355" i="2"/>
  <c r="P355" i="2"/>
  <c r="O355" i="2"/>
  <c r="N355" i="2"/>
  <c r="M355" i="2"/>
  <c r="L355" i="2"/>
  <c r="K355" i="2"/>
  <c r="Q354" i="2"/>
  <c r="P354" i="2"/>
  <c r="O354" i="2"/>
  <c r="N354" i="2"/>
  <c r="M354" i="2"/>
  <c r="L354" i="2"/>
  <c r="K354" i="2"/>
  <c r="Q353" i="2"/>
  <c r="P353" i="2"/>
  <c r="O353" i="2"/>
  <c r="N353" i="2"/>
  <c r="M353" i="2"/>
  <c r="L353" i="2"/>
  <c r="K353" i="2"/>
  <c r="Q352" i="2"/>
  <c r="P352" i="2"/>
  <c r="O352" i="2"/>
  <c r="N352" i="2"/>
  <c r="M352" i="2"/>
  <c r="L352" i="2"/>
  <c r="K352" i="2"/>
  <c r="Q351" i="2"/>
  <c r="P351" i="2"/>
  <c r="O351" i="2"/>
  <c r="N351" i="2"/>
  <c r="M351" i="2"/>
  <c r="L351" i="2"/>
  <c r="K351" i="2"/>
  <c r="Q350" i="2"/>
  <c r="P350" i="2"/>
  <c r="O350" i="2"/>
  <c r="N350" i="2"/>
  <c r="M350" i="2"/>
  <c r="L350" i="2"/>
  <c r="K350" i="2"/>
  <c r="Q349" i="2"/>
  <c r="P349" i="2"/>
  <c r="O349" i="2"/>
  <c r="N349" i="2"/>
  <c r="M349" i="2"/>
  <c r="L349" i="2"/>
  <c r="K349" i="2"/>
  <c r="Q348" i="2"/>
  <c r="P348" i="2"/>
  <c r="O348" i="2"/>
  <c r="N348" i="2"/>
  <c r="M348" i="2"/>
  <c r="L348" i="2"/>
  <c r="K348" i="2"/>
  <c r="Q347" i="2"/>
  <c r="P347" i="2"/>
  <c r="O347" i="2"/>
  <c r="N347" i="2"/>
  <c r="M347" i="2"/>
  <c r="L347" i="2"/>
  <c r="K347" i="2"/>
  <c r="Q346" i="2"/>
  <c r="P346" i="2"/>
  <c r="O346" i="2"/>
  <c r="N346" i="2"/>
  <c r="M346" i="2"/>
  <c r="L346" i="2"/>
  <c r="K346" i="2"/>
  <c r="Q345" i="2"/>
  <c r="P345" i="2"/>
  <c r="O345" i="2"/>
  <c r="N345" i="2"/>
  <c r="M345" i="2"/>
  <c r="L345" i="2"/>
  <c r="K345" i="2"/>
  <c r="Q344" i="2"/>
  <c r="P344" i="2"/>
  <c r="O344" i="2"/>
  <c r="N344" i="2"/>
  <c r="M344" i="2"/>
  <c r="L344" i="2"/>
  <c r="K344" i="2"/>
  <c r="Q343" i="2"/>
  <c r="P343" i="2"/>
  <c r="O343" i="2"/>
  <c r="N343" i="2"/>
  <c r="M343" i="2"/>
  <c r="L343" i="2"/>
  <c r="K343" i="2"/>
  <c r="Q342" i="2"/>
  <c r="P342" i="2"/>
  <c r="O342" i="2"/>
  <c r="N342" i="2"/>
  <c r="M342" i="2"/>
  <c r="L342" i="2"/>
  <c r="K342" i="2"/>
  <c r="Q341" i="2"/>
  <c r="P341" i="2"/>
  <c r="O341" i="2"/>
  <c r="N341" i="2"/>
  <c r="M341" i="2"/>
  <c r="L341" i="2"/>
  <c r="K341" i="2"/>
  <c r="Q340" i="2"/>
  <c r="P340" i="2"/>
  <c r="O340" i="2"/>
  <c r="N340" i="2"/>
  <c r="M340" i="2"/>
  <c r="L340" i="2"/>
  <c r="K340" i="2"/>
  <c r="Q339" i="2"/>
  <c r="P339" i="2"/>
  <c r="O339" i="2"/>
  <c r="N339" i="2"/>
  <c r="M339" i="2"/>
  <c r="L339" i="2"/>
  <c r="K339" i="2"/>
  <c r="Q338" i="2"/>
  <c r="P338" i="2"/>
  <c r="O338" i="2"/>
  <c r="N338" i="2"/>
  <c r="M338" i="2"/>
  <c r="L338" i="2"/>
  <c r="K338" i="2"/>
  <c r="Q337" i="2"/>
  <c r="P337" i="2"/>
  <c r="O337" i="2"/>
  <c r="N337" i="2"/>
  <c r="M337" i="2"/>
  <c r="L337" i="2"/>
  <c r="K337" i="2"/>
  <c r="Q336" i="2"/>
  <c r="P336" i="2"/>
  <c r="O336" i="2"/>
  <c r="N336" i="2"/>
  <c r="M336" i="2"/>
  <c r="L336" i="2"/>
  <c r="K336" i="2"/>
  <c r="Q335" i="2"/>
  <c r="P335" i="2"/>
  <c r="O335" i="2"/>
  <c r="N335" i="2"/>
  <c r="M335" i="2"/>
  <c r="L335" i="2"/>
  <c r="K335" i="2"/>
  <c r="Q334" i="2"/>
  <c r="P334" i="2"/>
  <c r="O334" i="2"/>
  <c r="N334" i="2"/>
  <c r="M334" i="2"/>
  <c r="L334" i="2"/>
  <c r="K334" i="2"/>
  <c r="Q333" i="2"/>
  <c r="P333" i="2"/>
  <c r="O333" i="2"/>
  <c r="N333" i="2"/>
  <c r="M333" i="2"/>
  <c r="L333" i="2"/>
  <c r="K333" i="2"/>
  <c r="Q332" i="2"/>
  <c r="P332" i="2"/>
  <c r="O332" i="2"/>
  <c r="N332" i="2"/>
  <c r="M332" i="2"/>
  <c r="L332" i="2"/>
  <c r="K332" i="2"/>
  <c r="Q331" i="2"/>
  <c r="P331" i="2"/>
  <c r="O331" i="2"/>
  <c r="N331" i="2"/>
  <c r="M331" i="2"/>
  <c r="L331" i="2"/>
  <c r="K331" i="2"/>
  <c r="Q330" i="2"/>
  <c r="P330" i="2"/>
  <c r="O330" i="2"/>
  <c r="N330" i="2"/>
  <c r="M330" i="2"/>
  <c r="L330" i="2"/>
  <c r="K330" i="2"/>
  <c r="Q329" i="2"/>
  <c r="P329" i="2"/>
  <c r="O329" i="2"/>
  <c r="N329" i="2"/>
  <c r="M329" i="2"/>
  <c r="L329" i="2"/>
  <c r="K329" i="2"/>
  <c r="Q328" i="2"/>
  <c r="P328" i="2"/>
  <c r="O328" i="2"/>
  <c r="N328" i="2"/>
  <c r="M328" i="2"/>
  <c r="L328" i="2"/>
  <c r="K328" i="2"/>
  <c r="Q327" i="2"/>
  <c r="P327" i="2"/>
  <c r="O327" i="2"/>
  <c r="N327" i="2"/>
  <c r="M327" i="2"/>
  <c r="L327" i="2"/>
  <c r="K327" i="2"/>
  <c r="Q326" i="2"/>
  <c r="P326" i="2"/>
  <c r="O326" i="2"/>
  <c r="N326" i="2"/>
  <c r="M326" i="2"/>
  <c r="L326" i="2"/>
  <c r="K326" i="2"/>
  <c r="Q325" i="2"/>
  <c r="P325" i="2"/>
  <c r="O325" i="2"/>
  <c r="N325" i="2"/>
  <c r="M325" i="2"/>
  <c r="L325" i="2"/>
  <c r="K325" i="2"/>
  <c r="Q324" i="2"/>
  <c r="P324" i="2"/>
  <c r="O324" i="2"/>
  <c r="N324" i="2"/>
  <c r="M324" i="2"/>
  <c r="L324" i="2"/>
  <c r="K324" i="2"/>
  <c r="Q323" i="2"/>
  <c r="P323" i="2"/>
  <c r="O323" i="2"/>
  <c r="N323" i="2"/>
  <c r="M323" i="2"/>
  <c r="L323" i="2"/>
  <c r="K323" i="2"/>
  <c r="Q322" i="2"/>
  <c r="P322" i="2"/>
  <c r="O322" i="2"/>
  <c r="N322" i="2"/>
  <c r="M322" i="2"/>
  <c r="L322" i="2"/>
  <c r="K322" i="2"/>
  <c r="Q321" i="2"/>
  <c r="P321" i="2"/>
  <c r="O321" i="2"/>
  <c r="N321" i="2"/>
  <c r="M321" i="2"/>
  <c r="L321" i="2"/>
  <c r="K321" i="2"/>
  <c r="Q320" i="2"/>
  <c r="P320" i="2"/>
  <c r="O320" i="2"/>
  <c r="N320" i="2"/>
  <c r="M320" i="2"/>
  <c r="L320" i="2"/>
  <c r="K320" i="2"/>
  <c r="Q319" i="2"/>
  <c r="P319" i="2"/>
  <c r="O319" i="2"/>
  <c r="N319" i="2"/>
  <c r="M319" i="2"/>
  <c r="L319" i="2"/>
  <c r="K319" i="2"/>
  <c r="Q318" i="2"/>
  <c r="P318" i="2"/>
  <c r="O318" i="2"/>
  <c r="N318" i="2"/>
  <c r="M318" i="2"/>
  <c r="L318" i="2"/>
  <c r="K318" i="2"/>
  <c r="Q317" i="2"/>
  <c r="P317" i="2"/>
  <c r="O317" i="2"/>
  <c r="N317" i="2"/>
  <c r="M317" i="2"/>
  <c r="L317" i="2"/>
  <c r="K317" i="2"/>
  <c r="Q316" i="2"/>
  <c r="P316" i="2"/>
  <c r="O316" i="2"/>
  <c r="N316" i="2"/>
  <c r="M316" i="2"/>
  <c r="L316" i="2"/>
  <c r="K316" i="2"/>
  <c r="Q315" i="2"/>
  <c r="P315" i="2"/>
  <c r="O315" i="2"/>
  <c r="N315" i="2"/>
  <c r="M315" i="2"/>
  <c r="L315" i="2"/>
  <c r="K315" i="2"/>
  <c r="Q314" i="2"/>
  <c r="P314" i="2"/>
  <c r="O314" i="2"/>
  <c r="N314" i="2"/>
  <c r="M314" i="2"/>
  <c r="L314" i="2"/>
  <c r="K314" i="2"/>
  <c r="Q313" i="2"/>
  <c r="P313" i="2"/>
  <c r="O313" i="2"/>
  <c r="N313" i="2"/>
  <c r="M313" i="2"/>
  <c r="L313" i="2"/>
  <c r="K313" i="2"/>
  <c r="Q312" i="2"/>
  <c r="P312" i="2"/>
  <c r="O312" i="2"/>
  <c r="N312" i="2"/>
  <c r="M312" i="2"/>
  <c r="L312" i="2"/>
  <c r="K312" i="2"/>
  <c r="Q311" i="2"/>
  <c r="P311" i="2"/>
  <c r="O311" i="2"/>
  <c r="N311" i="2"/>
  <c r="M311" i="2"/>
  <c r="L311" i="2"/>
  <c r="K311" i="2"/>
  <c r="Q310" i="2"/>
  <c r="P310" i="2"/>
  <c r="O310" i="2"/>
  <c r="N310" i="2"/>
  <c r="M310" i="2"/>
  <c r="L310" i="2"/>
  <c r="K310" i="2"/>
  <c r="Q309" i="2"/>
  <c r="P309" i="2"/>
  <c r="O309" i="2"/>
  <c r="N309" i="2"/>
  <c r="M309" i="2"/>
  <c r="L309" i="2"/>
  <c r="K309" i="2"/>
  <c r="Q308" i="2"/>
  <c r="P308" i="2"/>
  <c r="O308" i="2"/>
  <c r="N308" i="2"/>
  <c r="M308" i="2"/>
  <c r="L308" i="2"/>
  <c r="K308" i="2"/>
  <c r="Q307" i="2"/>
  <c r="P307" i="2"/>
  <c r="O307" i="2"/>
  <c r="N307" i="2"/>
  <c r="M307" i="2"/>
  <c r="L307" i="2"/>
  <c r="K307" i="2"/>
  <c r="Q306" i="2"/>
  <c r="P306" i="2"/>
  <c r="O306" i="2"/>
  <c r="N306" i="2"/>
  <c r="M306" i="2"/>
  <c r="L306" i="2"/>
  <c r="K306" i="2"/>
  <c r="Q305" i="2"/>
  <c r="P305" i="2"/>
  <c r="O305" i="2"/>
  <c r="N305" i="2"/>
  <c r="M305" i="2"/>
  <c r="L305" i="2"/>
  <c r="K305" i="2"/>
  <c r="Q304" i="2"/>
  <c r="P304" i="2"/>
  <c r="O304" i="2"/>
  <c r="N304" i="2"/>
  <c r="M304" i="2"/>
  <c r="L304" i="2"/>
  <c r="K304" i="2"/>
  <c r="Q303" i="2"/>
  <c r="P303" i="2"/>
  <c r="O303" i="2"/>
  <c r="N303" i="2"/>
  <c r="M303" i="2"/>
  <c r="L303" i="2"/>
  <c r="K303" i="2"/>
  <c r="Q302" i="2"/>
  <c r="P302" i="2"/>
  <c r="O302" i="2"/>
  <c r="N302" i="2"/>
  <c r="M302" i="2"/>
  <c r="L302" i="2"/>
  <c r="K302" i="2"/>
  <c r="Q301" i="2"/>
  <c r="P301" i="2"/>
  <c r="O301" i="2"/>
  <c r="N301" i="2"/>
  <c r="M301" i="2"/>
  <c r="L301" i="2"/>
  <c r="K301" i="2"/>
  <c r="Q300" i="2"/>
  <c r="P300" i="2"/>
  <c r="O300" i="2"/>
  <c r="N300" i="2"/>
  <c r="M300" i="2"/>
  <c r="L300" i="2"/>
  <c r="K300" i="2"/>
  <c r="Q299" i="2"/>
  <c r="P299" i="2"/>
  <c r="O299" i="2"/>
  <c r="N299" i="2"/>
  <c r="M299" i="2"/>
  <c r="L299" i="2"/>
  <c r="K299" i="2"/>
  <c r="Q298" i="2"/>
  <c r="P298" i="2"/>
  <c r="O298" i="2"/>
  <c r="N298" i="2"/>
  <c r="M298" i="2"/>
  <c r="L298" i="2"/>
  <c r="K298" i="2"/>
  <c r="Q297" i="2"/>
  <c r="P297" i="2"/>
  <c r="O297" i="2"/>
  <c r="N297" i="2"/>
  <c r="M297" i="2"/>
  <c r="L297" i="2"/>
  <c r="K297" i="2"/>
  <c r="Q296" i="2"/>
  <c r="P296" i="2"/>
  <c r="O296" i="2"/>
  <c r="N296" i="2"/>
  <c r="M296" i="2"/>
  <c r="L296" i="2"/>
  <c r="K296" i="2"/>
  <c r="Q295" i="2"/>
  <c r="P295" i="2"/>
  <c r="O295" i="2"/>
  <c r="N295" i="2"/>
  <c r="M295" i="2"/>
  <c r="L295" i="2"/>
  <c r="K295" i="2"/>
  <c r="Q294" i="2"/>
  <c r="P294" i="2"/>
  <c r="O294" i="2"/>
  <c r="N294" i="2"/>
  <c r="M294" i="2"/>
  <c r="L294" i="2"/>
  <c r="K294" i="2"/>
  <c r="Q293" i="2"/>
  <c r="P293" i="2"/>
  <c r="O293" i="2"/>
  <c r="N293" i="2"/>
  <c r="M293" i="2"/>
  <c r="L293" i="2"/>
  <c r="K293" i="2"/>
  <c r="Q292" i="2"/>
  <c r="P292" i="2"/>
  <c r="O292" i="2"/>
  <c r="N292" i="2"/>
  <c r="M292" i="2"/>
  <c r="L292" i="2"/>
  <c r="K292" i="2"/>
  <c r="Q291" i="2"/>
  <c r="P291" i="2"/>
  <c r="O291" i="2"/>
  <c r="N291" i="2"/>
  <c r="M291" i="2"/>
  <c r="L291" i="2"/>
  <c r="K291" i="2"/>
  <c r="Q290" i="2"/>
  <c r="P290" i="2"/>
  <c r="O290" i="2"/>
  <c r="N290" i="2"/>
  <c r="M290" i="2"/>
  <c r="L290" i="2"/>
  <c r="K290" i="2"/>
  <c r="Q289" i="2"/>
  <c r="P289" i="2"/>
  <c r="O289" i="2"/>
  <c r="N289" i="2"/>
  <c r="M289" i="2"/>
  <c r="L289" i="2"/>
  <c r="K289" i="2"/>
  <c r="Q288" i="2"/>
  <c r="P288" i="2"/>
  <c r="O288" i="2"/>
  <c r="N288" i="2"/>
  <c r="M288" i="2"/>
  <c r="L288" i="2"/>
  <c r="K288" i="2"/>
  <c r="Q287" i="2"/>
  <c r="P287" i="2"/>
  <c r="O287" i="2"/>
  <c r="N287" i="2"/>
  <c r="M287" i="2"/>
  <c r="L287" i="2"/>
  <c r="K287" i="2"/>
  <c r="Q286" i="2"/>
  <c r="P286" i="2"/>
  <c r="O286" i="2"/>
  <c r="N286" i="2"/>
  <c r="M286" i="2"/>
  <c r="L286" i="2"/>
  <c r="K286" i="2"/>
  <c r="Q285" i="2"/>
  <c r="P285" i="2"/>
  <c r="O285" i="2"/>
  <c r="N285" i="2"/>
  <c r="M285" i="2"/>
  <c r="L285" i="2"/>
  <c r="K285" i="2"/>
  <c r="Q284" i="2"/>
  <c r="P284" i="2"/>
  <c r="O284" i="2"/>
  <c r="N284" i="2"/>
  <c r="M284" i="2"/>
  <c r="L284" i="2"/>
  <c r="K284" i="2"/>
  <c r="Q283" i="2"/>
  <c r="P283" i="2"/>
  <c r="O283" i="2"/>
  <c r="N283" i="2"/>
  <c r="M283" i="2"/>
  <c r="L283" i="2"/>
  <c r="K283" i="2"/>
  <c r="Q282" i="2"/>
  <c r="P282" i="2"/>
  <c r="O282" i="2"/>
  <c r="N282" i="2"/>
  <c r="M282" i="2"/>
  <c r="L282" i="2"/>
  <c r="K282" i="2"/>
  <c r="Q281" i="2"/>
  <c r="P281" i="2"/>
  <c r="O281" i="2"/>
  <c r="N281" i="2"/>
  <c r="M281" i="2"/>
  <c r="L281" i="2"/>
  <c r="K281" i="2"/>
  <c r="Q280" i="2"/>
  <c r="P280" i="2"/>
  <c r="O280" i="2"/>
  <c r="N280" i="2"/>
  <c r="M280" i="2"/>
  <c r="L280" i="2"/>
  <c r="K280" i="2"/>
  <c r="Q279" i="2"/>
  <c r="P279" i="2"/>
  <c r="O279" i="2"/>
  <c r="N279" i="2"/>
  <c r="M279" i="2"/>
  <c r="L279" i="2"/>
  <c r="K279" i="2"/>
  <c r="Q278" i="2"/>
  <c r="P278" i="2"/>
  <c r="O278" i="2"/>
  <c r="N278" i="2"/>
  <c r="M278" i="2"/>
  <c r="L278" i="2"/>
  <c r="K278" i="2"/>
  <c r="Q277" i="2"/>
  <c r="P277" i="2"/>
  <c r="O277" i="2"/>
  <c r="N277" i="2"/>
  <c r="M277" i="2"/>
  <c r="L277" i="2"/>
  <c r="K277" i="2"/>
  <c r="Q276" i="2"/>
  <c r="P276" i="2"/>
  <c r="O276" i="2"/>
  <c r="N276" i="2"/>
  <c r="M276" i="2"/>
  <c r="L276" i="2"/>
  <c r="K276" i="2"/>
  <c r="Q275" i="2"/>
  <c r="P275" i="2"/>
  <c r="O275" i="2"/>
  <c r="N275" i="2"/>
  <c r="M275" i="2"/>
  <c r="L275" i="2"/>
  <c r="K275" i="2"/>
  <c r="Q274" i="2"/>
  <c r="P274" i="2"/>
  <c r="O274" i="2"/>
  <c r="N274" i="2"/>
  <c r="M274" i="2"/>
  <c r="L274" i="2"/>
  <c r="K274" i="2"/>
  <c r="Q273" i="2"/>
  <c r="P273" i="2"/>
  <c r="O273" i="2"/>
  <c r="N273" i="2"/>
  <c r="M273" i="2"/>
  <c r="L273" i="2"/>
  <c r="K273" i="2"/>
  <c r="Q272" i="2"/>
  <c r="P272" i="2"/>
  <c r="O272" i="2"/>
  <c r="N272" i="2"/>
  <c r="M272" i="2"/>
  <c r="L272" i="2"/>
  <c r="K272" i="2"/>
  <c r="Q271" i="2"/>
  <c r="P271" i="2"/>
  <c r="O271" i="2"/>
  <c r="N271" i="2"/>
  <c r="M271" i="2"/>
  <c r="L271" i="2"/>
  <c r="K271" i="2"/>
  <c r="Q270" i="2"/>
  <c r="P270" i="2"/>
  <c r="O270" i="2"/>
  <c r="N270" i="2"/>
  <c r="M270" i="2"/>
  <c r="L270" i="2"/>
  <c r="K270" i="2"/>
  <c r="Q269" i="2"/>
  <c r="P269" i="2"/>
  <c r="O269" i="2"/>
  <c r="N269" i="2"/>
  <c r="M269" i="2"/>
  <c r="L269" i="2"/>
  <c r="K269" i="2"/>
  <c r="Q268" i="2"/>
  <c r="P268" i="2"/>
  <c r="O268" i="2"/>
  <c r="N268" i="2"/>
  <c r="M268" i="2"/>
  <c r="L268" i="2"/>
  <c r="K268" i="2"/>
  <c r="Q267" i="2"/>
  <c r="P267" i="2"/>
  <c r="O267" i="2"/>
  <c r="N267" i="2"/>
  <c r="M267" i="2"/>
  <c r="L267" i="2"/>
  <c r="K267" i="2"/>
  <c r="Q266" i="2"/>
  <c r="P266" i="2"/>
  <c r="O266" i="2"/>
  <c r="N266" i="2"/>
  <c r="M266" i="2"/>
  <c r="L266" i="2"/>
  <c r="K266" i="2"/>
  <c r="Q265" i="2"/>
  <c r="P265" i="2"/>
  <c r="O265" i="2"/>
  <c r="N265" i="2"/>
  <c r="M265" i="2"/>
  <c r="L265" i="2"/>
  <c r="K265" i="2"/>
  <c r="Q264" i="2"/>
  <c r="P264" i="2"/>
  <c r="O264" i="2"/>
  <c r="N264" i="2"/>
  <c r="M264" i="2"/>
  <c r="L264" i="2"/>
  <c r="K264" i="2"/>
  <c r="Q263" i="2"/>
  <c r="P263" i="2"/>
  <c r="O263" i="2"/>
  <c r="N263" i="2"/>
  <c r="M263" i="2"/>
  <c r="L263" i="2"/>
  <c r="K263" i="2"/>
  <c r="Q262" i="2"/>
  <c r="P262" i="2"/>
  <c r="O262" i="2"/>
  <c r="N262" i="2"/>
  <c r="M262" i="2"/>
  <c r="L262" i="2"/>
  <c r="K262" i="2"/>
  <c r="Q261" i="2"/>
  <c r="P261" i="2"/>
  <c r="O261" i="2"/>
  <c r="N261" i="2"/>
  <c r="M261" i="2"/>
  <c r="L261" i="2"/>
  <c r="K261" i="2"/>
  <c r="Q260" i="2"/>
  <c r="P260" i="2"/>
  <c r="O260" i="2"/>
  <c r="N260" i="2"/>
  <c r="M260" i="2"/>
  <c r="L260" i="2"/>
  <c r="K260" i="2"/>
  <c r="Q259" i="2"/>
  <c r="P259" i="2"/>
  <c r="O259" i="2"/>
  <c r="N259" i="2"/>
  <c r="M259" i="2"/>
  <c r="L259" i="2"/>
  <c r="K259" i="2"/>
  <c r="Q258" i="2"/>
  <c r="P258" i="2"/>
  <c r="O258" i="2"/>
  <c r="N258" i="2"/>
  <c r="M258" i="2"/>
  <c r="L258" i="2"/>
  <c r="K258" i="2"/>
  <c r="Q257" i="2"/>
  <c r="P257" i="2"/>
  <c r="O257" i="2"/>
  <c r="N257" i="2"/>
  <c r="M257" i="2"/>
  <c r="L257" i="2"/>
  <c r="K257" i="2"/>
  <c r="Q256" i="2"/>
  <c r="P256" i="2"/>
  <c r="O256" i="2"/>
  <c r="N256" i="2"/>
  <c r="M256" i="2"/>
  <c r="L256" i="2"/>
  <c r="K256" i="2"/>
  <c r="Q255" i="2"/>
  <c r="P255" i="2"/>
  <c r="O255" i="2"/>
  <c r="N255" i="2"/>
  <c r="M255" i="2"/>
  <c r="L255" i="2"/>
  <c r="K255" i="2"/>
  <c r="Q254" i="2"/>
  <c r="P254" i="2"/>
  <c r="O254" i="2"/>
  <c r="N254" i="2"/>
  <c r="M254" i="2"/>
  <c r="L254" i="2"/>
  <c r="K254" i="2"/>
  <c r="Q253" i="2"/>
  <c r="P253" i="2"/>
  <c r="O253" i="2"/>
  <c r="N253" i="2"/>
  <c r="M253" i="2"/>
  <c r="L253" i="2"/>
  <c r="K253" i="2"/>
  <c r="Q252" i="2"/>
  <c r="P252" i="2"/>
  <c r="O252" i="2"/>
  <c r="N252" i="2"/>
  <c r="M252" i="2"/>
  <c r="L252" i="2"/>
  <c r="K252" i="2"/>
  <c r="Q251" i="2"/>
  <c r="P251" i="2"/>
  <c r="O251" i="2"/>
  <c r="N251" i="2"/>
  <c r="M251" i="2"/>
  <c r="L251" i="2"/>
  <c r="K251" i="2"/>
  <c r="Q250" i="2"/>
  <c r="P250" i="2"/>
  <c r="O250" i="2"/>
  <c r="N250" i="2"/>
  <c r="M250" i="2"/>
  <c r="L250" i="2"/>
  <c r="K250" i="2"/>
  <c r="Q249" i="2"/>
  <c r="P249" i="2"/>
  <c r="O249" i="2"/>
  <c r="N249" i="2"/>
  <c r="M249" i="2"/>
  <c r="L249" i="2"/>
  <c r="K249" i="2"/>
  <c r="Q248" i="2"/>
  <c r="P248" i="2"/>
  <c r="O248" i="2"/>
  <c r="N248" i="2"/>
  <c r="M248" i="2"/>
  <c r="L248" i="2"/>
  <c r="K248" i="2"/>
  <c r="Q247" i="2"/>
  <c r="P247" i="2"/>
  <c r="O247" i="2"/>
  <c r="N247" i="2"/>
  <c r="M247" i="2"/>
  <c r="L247" i="2"/>
  <c r="K247" i="2"/>
  <c r="Q246" i="2"/>
  <c r="P246" i="2"/>
  <c r="O246" i="2"/>
  <c r="N246" i="2"/>
  <c r="M246" i="2"/>
  <c r="L246" i="2"/>
  <c r="K246" i="2"/>
  <c r="Q245" i="2"/>
  <c r="P245" i="2"/>
  <c r="O245" i="2"/>
  <c r="N245" i="2"/>
  <c r="M245" i="2"/>
  <c r="L245" i="2"/>
  <c r="K245" i="2"/>
  <c r="Q244" i="2"/>
  <c r="P244" i="2"/>
  <c r="O244" i="2"/>
  <c r="N244" i="2"/>
  <c r="M244" i="2"/>
  <c r="L244" i="2"/>
  <c r="K244" i="2"/>
  <c r="Q243" i="2"/>
  <c r="P243" i="2"/>
  <c r="O243" i="2"/>
  <c r="N243" i="2"/>
  <c r="M243" i="2"/>
  <c r="L243" i="2"/>
  <c r="K243" i="2"/>
  <c r="Q242" i="2"/>
  <c r="P242" i="2"/>
  <c r="O242" i="2"/>
  <c r="N242" i="2"/>
  <c r="M242" i="2"/>
  <c r="L242" i="2"/>
  <c r="K242" i="2"/>
  <c r="Q241" i="2"/>
  <c r="P241" i="2"/>
  <c r="O241" i="2"/>
  <c r="N241" i="2"/>
  <c r="M241" i="2"/>
  <c r="L241" i="2"/>
  <c r="K241" i="2"/>
  <c r="Q240" i="2"/>
  <c r="P240" i="2"/>
  <c r="O240" i="2"/>
  <c r="N240" i="2"/>
  <c r="M240" i="2"/>
  <c r="L240" i="2"/>
  <c r="K240" i="2"/>
  <c r="Q239" i="2"/>
  <c r="P239" i="2"/>
  <c r="O239" i="2"/>
  <c r="N239" i="2"/>
  <c r="M239" i="2"/>
  <c r="L239" i="2"/>
  <c r="K239" i="2"/>
  <c r="Q238" i="2"/>
  <c r="P238" i="2"/>
  <c r="O238" i="2"/>
  <c r="N238" i="2"/>
  <c r="M238" i="2"/>
  <c r="L238" i="2"/>
  <c r="K238" i="2"/>
  <c r="Q237" i="2"/>
  <c r="P237" i="2"/>
  <c r="O237" i="2"/>
  <c r="N237" i="2"/>
  <c r="M237" i="2"/>
  <c r="L237" i="2"/>
  <c r="K237" i="2"/>
  <c r="Q236" i="2"/>
  <c r="P236" i="2"/>
  <c r="O236" i="2"/>
  <c r="N236" i="2"/>
  <c r="M236" i="2"/>
  <c r="L236" i="2"/>
  <c r="K236" i="2"/>
  <c r="Q235" i="2"/>
  <c r="P235" i="2"/>
  <c r="O235" i="2"/>
  <c r="N235" i="2"/>
  <c r="M235" i="2"/>
  <c r="L235" i="2"/>
  <c r="K235" i="2"/>
  <c r="Q234" i="2"/>
  <c r="P234" i="2"/>
  <c r="O234" i="2"/>
  <c r="N234" i="2"/>
  <c r="M234" i="2"/>
  <c r="L234" i="2"/>
  <c r="K234" i="2"/>
  <c r="Q233" i="2"/>
  <c r="P233" i="2"/>
  <c r="O233" i="2"/>
  <c r="N233" i="2"/>
  <c r="M233" i="2"/>
  <c r="L233" i="2"/>
  <c r="K233" i="2"/>
  <c r="Q232" i="2"/>
  <c r="P232" i="2"/>
  <c r="O232" i="2"/>
  <c r="N232" i="2"/>
  <c r="M232" i="2"/>
  <c r="L232" i="2"/>
  <c r="K232" i="2"/>
  <c r="Q231" i="2"/>
  <c r="P231" i="2"/>
  <c r="O231" i="2"/>
  <c r="N231" i="2"/>
  <c r="M231" i="2"/>
  <c r="L231" i="2"/>
  <c r="K231" i="2"/>
  <c r="Q230" i="2"/>
  <c r="P230" i="2"/>
  <c r="O230" i="2"/>
  <c r="N230" i="2"/>
  <c r="M230" i="2"/>
  <c r="L230" i="2"/>
  <c r="K230" i="2"/>
  <c r="Q229" i="2"/>
  <c r="P229" i="2"/>
  <c r="O229" i="2"/>
  <c r="N229" i="2"/>
  <c r="M229" i="2"/>
  <c r="L229" i="2"/>
  <c r="K229" i="2"/>
  <c r="Q228" i="2"/>
  <c r="P228" i="2"/>
  <c r="O228" i="2"/>
  <c r="N228" i="2"/>
  <c r="M228" i="2"/>
  <c r="L228" i="2"/>
  <c r="K228" i="2"/>
  <c r="Q227" i="2"/>
  <c r="P227" i="2"/>
  <c r="O227" i="2"/>
  <c r="N227" i="2"/>
  <c r="M227" i="2"/>
  <c r="L227" i="2"/>
  <c r="K227" i="2"/>
  <c r="Q226" i="2"/>
  <c r="P226" i="2"/>
  <c r="O226" i="2"/>
  <c r="N226" i="2"/>
  <c r="M226" i="2"/>
  <c r="L226" i="2"/>
  <c r="K226" i="2"/>
  <c r="Q225" i="2"/>
  <c r="P225" i="2"/>
  <c r="O225" i="2"/>
  <c r="N225" i="2"/>
  <c r="M225" i="2"/>
  <c r="L225" i="2"/>
  <c r="K225" i="2"/>
  <c r="Q224" i="2"/>
  <c r="P224" i="2"/>
  <c r="O224" i="2"/>
  <c r="N224" i="2"/>
  <c r="M224" i="2"/>
  <c r="L224" i="2"/>
  <c r="K224" i="2"/>
  <c r="Q223" i="2"/>
  <c r="P223" i="2"/>
  <c r="O223" i="2"/>
  <c r="N223" i="2"/>
  <c r="M223" i="2"/>
  <c r="L223" i="2"/>
  <c r="K223" i="2"/>
  <c r="Q222" i="2"/>
  <c r="P222" i="2"/>
  <c r="O222" i="2"/>
  <c r="N222" i="2"/>
  <c r="M222" i="2"/>
  <c r="L222" i="2"/>
  <c r="K222" i="2"/>
  <c r="Q221" i="2"/>
  <c r="P221" i="2"/>
  <c r="O221" i="2"/>
  <c r="N221" i="2"/>
  <c r="M221" i="2"/>
  <c r="L221" i="2"/>
  <c r="K221" i="2"/>
  <c r="Q220" i="2"/>
  <c r="P220" i="2"/>
  <c r="O220" i="2"/>
  <c r="N220" i="2"/>
  <c r="M220" i="2"/>
  <c r="L220" i="2"/>
  <c r="K220" i="2"/>
  <c r="Q219" i="2"/>
  <c r="P219" i="2"/>
  <c r="O219" i="2"/>
  <c r="N219" i="2"/>
  <c r="M219" i="2"/>
  <c r="L219" i="2"/>
  <c r="K219" i="2"/>
  <c r="Q218" i="2"/>
  <c r="P218" i="2"/>
  <c r="O218" i="2"/>
  <c r="N218" i="2"/>
  <c r="M218" i="2"/>
  <c r="L218" i="2"/>
  <c r="K218" i="2"/>
  <c r="Q217" i="2"/>
  <c r="P217" i="2"/>
  <c r="O217" i="2"/>
  <c r="N217" i="2"/>
  <c r="M217" i="2"/>
  <c r="L217" i="2"/>
  <c r="K217" i="2"/>
  <c r="Q216" i="2"/>
  <c r="P216" i="2"/>
  <c r="O216" i="2"/>
  <c r="N216" i="2"/>
  <c r="M216" i="2"/>
  <c r="L216" i="2"/>
  <c r="K216" i="2"/>
  <c r="Q215" i="2"/>
  <c r="P215" i="2"/>
  <c r="O215" i="2"/>
  <c r="N215" i="2"/>
  <c r="M215" i="2"/>
  <c r="L215" i="2"/>
  <c r="K215" i="2"/>
  <c r="Q214" i="2"/>
  <c r="P214" i="2"/>
  <c r="O214" i="2"/>
  <c r="N214" i="2"/>
  <c r="M214" i="2"/>
  <c r="L214" i="2"/>
  <c r="K214" i="2"/>
  <c r="Q213" i="2"/>
  <c r="P213" i="2"/>
  <c r="O213" i="2"/>
  <c r="N213" i="2"/>
  <c r="M213" i="2"/>
  <c r="L213" i="2"/>
  <c r="K213" i="2"/>
  <c r="Q212" i="2"/>
  <c r="P212" i="2"/>
  <c r="O212" i="2"/>
  <c r="N212" i="2"/>
  <c r="M212" i="2"/>
  <c r="L212" i="2"/>
  <c r="K212" i="2"/>
  <c r="Q211" i="2"/>
  <c r="P211" i="2"/>
  <c r="O211" i="2"/>
  <c r="N211" i="2"/>
  <c r="M211" i="2"/>
  <c r="L211" i="2"/>
  <c r="K211" i="2"/>
  <c r="Q210" i="2"/>
  <c r="P210" i="2"/>
  <c r="O210" i="2"/>
  <c r="N210" i="2"/>
  <c r="M210" i="2"/>
  <c r="L210" i="2"/>
  <c r="K210" i="2"/>
  <c r="Q209" i="2"/>
  <c r="P209" i="2"/>
  <c r="O209" i="2"/>
  <c r="N209" i="2"/>
  <c r="M209" i="2"/>
  <c r="L209" i="2"/>
  <c r="K209" i="2"/>
  <c r="Q208" i="2"/>
  <c r="P208" i="2"/>
  <c r="O208" i="2"/>
  <c r="N208" i="2"/>
  <c r="M208" i="2"/>
  <c r="L208" i="2"/>
  <c r="K208" i="2"/>
  <c r="Q207" i="2"/>
  <c r="P207" i="2"/>
  <c r="O207" i="2"/>
  <c r="N207" i="2"/>
  <c r="M207" i="2"/>
  <c r="L207" i="2"/>
  <c r="K207" i="2"/>
  <c r="Q206" i="2"/>
  <c r="P206" i="2"/>
  <c r="O206" i="2"/>
  <c r="N206" i="2"/>
  <c r="M206" i="2"/>
  <c r="L206" i="2"/>
  <c r="K206" i="2"/>
  <c r="Q205" i="2"/>
  <c r="P205" i="2"/>
  <c r="O205" i="2"/>
  <c r="N205" i="2"/>
  <c r="M205" i="2"/>
  <c r="L205" i="2"/>
  <c r="K205" i="2"/>
  <c r="Q204" i="2"/>
  <c r="P204" i="2"/>
  <c r="O204" i="2"/>
  <c r="N204" i="2"/>
  <c r="M204" i="2"/>
  <c r="L204" i="2"/>
  <c r="K204" i="2"/>
  <c r="Q203" i="2"/>
  <c r="P203" i="2"/>
  <c r="O203" i="2"/>
  <c r="N203" i="2"/>
  <c r="M203" i="2"/>
  <c r="L203" i="2"/>
  <c r="K203" i="2"/>
  <c r="Q202" i="2"/>
  <c r="P202" i="2"/>
  <c r="O202" i="2"/>
  <c r="N202" i="2"/>
  <c r="M202" i="2"/>
  <c r="L202" i="2"/>
  <c r="K202" i="2"/>
  <c r="Q201" i="2"/>
  <c r="P201" i="2"/>
  <c r="O201" i="2"/>
  <c r="N201" i="2"/>
  <c r="M201" i="2"/>
  <c r="L201" i="2"/>
  <c r="K201" i="2"/>
  <c r="Q200" i="2"/>
  <c r="P200" i="2"/>
  <c r="O200" i="2"/>
  <c r="N200" i="2"/>
  <c r="M200" i="2"/>
  <c r="L200" i="2"/>
  <c r="K200" i="2"/>
  <c r="Q199" i="2"/>
  <c r="P199" i="2"/>
  <c r="O199" i="2"/>
  <c r="N199" i="2"/>
  <c r="M199" i="2"/>
  <c r="L199" i="2"/>
  <c r="K199" i="2"/>
  <c r="Q198" i="2"/>
  <c r="P198" i="2"/>
  <c r="O198" i="2"/>
  <c r="N198" i="2"/>
  <c r="M198" i="2"/>
  <c r="L198" i="2"/>
  <c r="K198" i="2"/>
  <c r="Q197" i="2"/>
  <c r="P197" i="2"/>
  <c r="O197" i="2"/>
  <c r="N197" i="2"/>
  <c r="M197" i="2"/>
  <c r="L197" i="2"/>
  <c r="K197" i="2"/>
  <c r="Q196" i="2"/>
  <c r="P196" i="2"/>
  <c r="O196" i="2"/>
  <c r="N196" i="2"/>
  <c r="M196" i="2"/>
  <c r="L196" i="2"/>
  <c r="K196" i="2"/>
  <c r="Q195" i="2"/>
  <c r="P195" i="2"/>
  <c r="O195" i="2"/>
  <c r="N195" i="2"/>
  <c r="M195" i="2"/>
  <c r="L195" i="2"/>
  <c r="K195" i="2"/>
  <c r="Q194" i="2"/>
  <c r="P194" i="2"/>
  <c r="O194" i="2"/>
  <c r="N194" i="2"/>
  <c r="M194" i="2"/>
  <c r="L194" i="2"/>
  <c r="K194" i="2"/>
  <c r="Q193" i="2"/>
  <c r="P193" i="2"/>
  <c r="O193" i="2"/>
  <c r="N193" i="2"/>
  <c r="M193" i="2"/>
  <c r="L193" i="2"/>
  <c r="K193" i="2"/>
  <c r="Q192" i="2"/>
  <c r="P192" i="2"/>
  <c r="O192" i="2"/>
  <c r="N192" i="2"/>
  <c r="M192" i="2"/>
  <c r="L192" i="2"/>
  <c r="K192" i="2"/>
  <c r="Q191" i="2"/>
  <c r="P191" i="2"/>
  <c r="O191" i="2"/>
  <c r="N191" i="2"/>
  <c r="M191" i="2"/>
  <c r="L191" i="2"/>
  <c r="K191" i="2"/>
  <c r="Q190" i="2"/>
  <c r="P190" i="2"/>
  <c r="O190" i="2"/>
  <c r="N190" i="2"/>
  <c r="M190" i="2"/>
  <c r="L190" i="2"/>
  <c r="K190" i="2"/>
  <c r="Q189" i="2"/>
  <c r="P189" i="2"/>
  <c r="O189" i="2"/>
  <c r="N189" i="2"/>
  <c r="M189" i="2"/>
  <c r="L189" i="2"/>
  <c r="K189" i="2"/>
  <c r="Q188" i="2"/>
  <c r="P188" i="2"/>
  <c r="O188" i="2"/>
  <c r="N188" i="2"/>
  <c r="M188" i="2"/>
  <c r="L188" i="2"/>
  <c r="K188" i="2"/>
  <c r="Q187" i="2"/>
  <c r="P187" i="2"/>
  <c r="O187" i="2"/>
  <c r="N187" i="2"/>
  <c r="M187" i="2"/>
  <c r="L187" i="2"/>
  <c r="K187" i="2"/>
  <c r="Q186" i="2"/>
  <c r="P186" i="2"/>
  <c r="O186" i="2"/>
  <c r="N186" i="2"/>
  <c r="M186" i="2"/>
  <c r="L186" i="2"/>
  <c r="K186" i="2"/>
  <c r="Q185" i="2"/>
  <c r="P185" i="2"/>
  <c r="O185" i="2"/>
  <c r="N185" i="2"/>
  <c r="M185" i="2"/>
  <c r="L185" i="2"/>
  <c r="K185" i="2"/>
  <c r="Q184" i="2"/>
  <c r="P184" i="2"/>
  <c r="O184" i="2"/>
  <c r="N184" i="2"/>
  <c r="M184" i="2"/>
  <c r="L184" i="2"/>
  <c r="K184" i="2"/>
  <c r="Q183" i="2"/>
  <c r="P183" i="2"/>
  <c r="O183" i="2"/>
  <c r="N183" i="2"/>
  <c r="M183" i="2"/>
  <c r="L183" i="2"/>
  <c r="K183" i="2"/>
  <c r="Q182" i="2"/>
  <c r="P182" i="2"/>
  <c r="O182" i="2"/>
  <c r="N182" i="2"/>
  <c r="M182" i="2"/>
  <c r="L182" i="2"/>
  <c r="K182" i="2"/>
  <c r="Q181" i="2"/>
  <c r="P181" i="2"/>
  <c r="O181" i="2"/>
  <c r="N181" i="2"/>
  <c r="M181" i="2"/>
  <c r="L181" i="2"/>
  <c r="K181" i="2"/>
  <c r="Q180" i="2"/>
  <c r="P180" i="2"/>
  <c r="O180" i="2"/>
  <c r="N180" i="2"/>
  <c r="M180" i="2"/>
  <c r="L180" i="2"/>
  <c r="K180" i="2"/>
  <c r="Q179" i="2"/>
  <c r="P179" i="2"/>
  <c r="O179" i="2"/>
  <c r="N179" i="2"/>
  <c r="M179" i="2"/>
  <c r="L179" i="2"/>
  <c r="K179" i="2"/>
  <c r="Q178" i="2"/>
  <c r="P178" i="2"/>
  <c r="O178" i="2"/>
  <c r="N178" i="2"/>
  <c r="M178" i="2"/>
  <c r="L178" i="2"/>
  <c r="K178" i="2"/>
  <c r="Q177" i="2"/>
  <c r="P177" i="2"/>
  <c r="O177" i="2"/>
  <c r="N177" i="2"/>
  <c r="M177" i="2"/>
  <c r="L177" i="2"/>
  <c r="K177" i="2"/>
  <c r="Q176" i="2"/>
  <c r="P176" i="2"/>
  <c r="O176" i="2"/>
  <c r="N176" i="2"/>
  <c r="M176" i="2"/>
  <c r="L176" i="2"/>
  <c r="K176" i="2"/>
  <c r="Q175" i="2"/>
  <c r="P175" i="2"/>
  <c r="O175" i="2"/>
  <c r="N175" i="2"/>
  <c r="M175" i="2"/>
  <c r="L175" i="2"/>
  <c r="K175" i="2"/>
  <c r="Q174" i="2"/>
  <c r="P174" i="2"/>
  <c r="O174" i="2"/>
  <c r="N174" i="2"/>
  <c r="M174" i="2"/>
  <c r="L174" i="2"/>
  <c r="K174" i="2"/>
  <c r="Q173" i="2"/>
  <c r="P173" i="2"/>
  <c r="O173" i="2"/>
  <c r="N173" i="2"/>
  <c r="M173" i="2"/>
  <c r="L173" i="2"/>
  <c r="K173" i="2"/>
  <c r="Q172" i="2"/>
  <c r="P172" i="2"/>
  <c r="O172" i="2"/>
  <c r="N172" i="2"/>
  <c r="M172" i="2"/>
  <c r="L172" i="2"/>
  <c r="K172" i="2"/>
  <c r="Q171" i="2"/>
  <c r="P171" i="2"/>
  <c r="O171" i="2"/>
  <c r="N171" i="2"/>
  <c r="M171" i="2"/>
  <c r="L171" i="2"/>
  <c r="K171" i="2"/>
  <c r="Q170" i="2"/>
  <c r="P170" i="2"/>
  <c r="O170" i="2"/>
  <c r="N170" i="2"/>
  <c r="M170" i="2"/>
  <c r="L170" i="2"/>
  <c r="K170" i="2"/>
  <c r="Q169" i="2"/>
  <c r="P169" i="2"/>
  <c r="O169" i="2"/>
  <c r="N169" i="2"/>
  <c r="M169" i="2"/>
  <c r="L169" i="2"/>
  <c r="K169" i="2"/>
  <c r="Q168" i="2"/>
  <c r="P168" i="2"/>
  <c r="O168" i="2"/>
  <c r="N168" i="2"/>
  <c r="M168" i="2"/>
  <c r="L168" i="2"/>
  <c r="K168" i="2"/>
  <c r="Q167" i="2"/>
  <c r="P167" i="2"/>
  <c r="O167" i="2"/>
  <c r="N167" i="2"/>
  <c r="M167" i="2"/>
  <c r="L167" i="2"/>
  <c r="K167" i="2"/>
  <c r="Q166" i="2"/>
  <c r="P166" i="2"/>
  <c r="O166" i="2"/>
  <c r="N166" i="2"/>
  <c r="M166" i="2"/>
  <c r="L166" i="2"/>
  <c r="K166" i="2"/>
  <c r="Q165" i="2"/>
  <c r="P165" i="2"/>
  <c r="O165" i="2"/>
  <c r="N165" i="2"/>
  <c r="M165" i="2"/>
  <c r="L165" i="2"/>
  <c r="K165" i="2"/>
  <c r="Q164" i="2"/>
  <c r="P164" i="2"/>
  <c r="O164" i="2"/>
  <c r="N164" i="2"/>
  <c r="M164" i="2"/>
  <c r="L164" i="2"/>
  <c r="K164" i="2"/>
  <c r="Q163" i="2"/>
  <c r="P163" i="2"/>
  <c r="O163" i="2"/>
  <c r="N163" i="2"/>
  <c r="M163" i="2"/>
  <c r="L163" i="2"/>
  <c r="K163" i="2"/>
  <c r="Q162" i="2"/>
  <c r="P162" i="2"/>
  <c r="O162" i="2"/>
  <c r="N162" i="2"/>
  <c r="M162" i="2"/>
  <c r="L162" i="2"/>
  <c r="K162" i="2"/>
  <c r="Q161" i="2"/>
  <c r="P161" i="2"/>
  <c r="O161" i="2"/>
  <c r="N161" i="2"/>
  <c r="M161" i="2"/>
  <c r="L161" i="2"/>
  <c r="K161" i="2"/>
  <c r="Q160" i="2"/>
  <c r="P160" i="2"/>
  <c r="O160" i="2"/>
  <c r="N160" i="2"/>
  <c r="M160" i="2"/>
  <c r="L160" i="2"/>
  <c r="K160" i="2"/>
  <c r="Q159" i="2"/>
  <c r="P159" i="2"/>
  <c r="O159" i="2"/>
  <c r="N159" i="2"/>
  <c r="M159" i="2"/>
  <c r="L159" i="2"/>
  <c r="K159" i="2"/>
  <c r="Q158" i="2"/>
  <c r="P158" i="2"/>
  <c r="O158" i="2"/>
  <c r="N158" i="2"/>
  <c r="M158" i="2"/>
  <c r="L158" i="2"/>
  <c r="K158" i="2"/>
  <c r="Q157" i="2"/>
  <c r="P157" i="2"/>
  <c r="O157" i="2"/>
  <c r="N157" i="2"/>
  <c r="M157" i="2"/>
  <c r="L157" i="2"/>
  <c r="K157" i="2"/>
  <c r="Q156" i="2"/>
  <c r="P156" i="2"/>
  <c r="O156" i="2"/>
  <c r="N156" i="2"/>
  <c r="M156" i="2"/>
  <c r="L156" i="2"/>
  <c r="K156" i="2"/>
  <c r="Q155" i="2"/>
  <c r="P155" i="2"/>
  <c r="O155" i="2"/>
  <c r="N155" i="2"/>
  <c r="M155" i="2"/>
  <c r="L155" i="2"/>
  <c r="K155" i="2"/>
  <c r="Q154" i="2"/>
  <c r="P154" i="2"/>
  <c r="O154" i="2"/>
  <c r="N154" i="2"/>
  <c r="M154" i="2"/>
  <c r="L154" i="2"/>
  <c r="K154" i="2"/>
  <c r="Q153" i="2"/>
  <c r="P153" i="2"/>
  <c r="O153" i="2"/>
  <c r="N153" i="2"/>
  <c r="M153" i="2"/>
  <c r="L153" i="2"/>
  <c r="K153" i="2"/>
  <c r="Q152" i="2"/>
  <c r="P152" i="2"/>
  <c r="O152" i="2"/>
  <c r="N152" i="2"/>
  <c r="M152" i="2"/>
  <c r="L152" i="2"/>
  <c r="K152" i="2"/>
  <c r="Q151" i="2"/>
  <c r="P151" i="2"/>
  <c r="O151" i="2"/>
  <c r="N151" i="2"/>
  <c r="M151" i="2"/>
  <c r="L151" i="2"/>
  <c r="K151" i="2"/>
  <c r="Q150" i="2"/>
  <c r="P150" i="2"/>
  <c r="O150" i="2"/>
  <c r="N150" i="2"/>
  <c r="M150" i="2"/>
  <c r="L150" i="2"/>
  <c r="K150" i="2"/>
  <c r="Q149" i="2"/>
  <c r="P149" i="2"/>
  <c r="O149" i="2"/>
  <c r="N149" i="2"/>
  <c r="M149" i="2"/>
  <c r="L149" i="2"/>
  <c r="K149" i="2"/>
  <c r="Q148" i="2"/>
  <c r="P148" i="2"/>
  <c r="O148" i="2"/>
  <c r="N148" i="2"/>
  <c r="M148" i="2"/>
  <c r="L148" i="2"/>
  <c r="K148" i="2"/>
  <c r="Q147" i="2"/>
  <c r="P147" i="2"/>
  <c r="O147" i="2"/>
  <c r="N147" i="2"/>
  <c r="M147" i="2"/>
  <c r="L147" i="2"/>
  <c r="K147" i="2"/>
  <c r="Q146" i="2"/>
  <c r="P146" i="2"/>
  <c r="O146" i="2"/>
  <c r="N146" i="2"/>
  <c r="M146" i="2"/>
  <c r="L146" i="2"/>
  <c r="K146" i="2"/>
  <c r="Q145" i="2"/>
  <c r="P145" i="2"/>
  <c r="O145" i="2"/>
  <c r="N145" i="2"/>
  <c r="M145" i="2"/>
  <c r="L145" i="2"/>
  <c r="K145" i="2"/>
  <c r="Q144" i="2"/>
  <c r="P144" i="2"/>
  <c r="O144" i="2"/>
  <c r="N144" i="2"/>
  <c r="M144" i="2"/>
  <c r="L144" i="2"/>
  <c r="K144" i="2"/>
  <c r="Q143" i="2"/>
  <c r="P143" i="2"/>
  <c r="O143" i="2"/>
  <c r="N143" i="2"/>
  <c r="M143" i="2"/>
  <c r="L143" i="2"/>
  <c r="K143" i="2"/>
  <c r="Q142" i="2"/>
  <c r="P142" i="2"/>
  <c r="O142" i="2"/>
  <c r="N142" i="2"/>
  <c r="M142" i="2"/>
  <c r="L142" i="2"/>
  <c r="K142" i="2"/>
  <c r="Q141" i="2"/>
  <c r="P141" i="2"/>
  <c r="O141" i="2"/>
  <c r="N141" i="2"/>
  <c r="M141" i="2"/>
  <c r="L141" i="2"/>
  <c r="K141" i="2"/>
  <c r="Q140" i="2"/>
  <c r="P140" i="2"/>
  <c r="O140" i="2"/>
  <c r="N140" i="2"/>
  <c r="M140" i="2"/>
  <c r="L140" i="2"/>
  <c r="K140" i="2"/>
  <c r="Q139" i="2"/>
  <c r="P139" i="2"/>
  <c r="O139" i="2"/>
  <c r="N139" i="2"/>
  <c r="M139" i="2"/>
  <c r="L139" i="2"/>
  <c r="K139" i="2"/>
  <c r="Q138" i="2"/>
  <c r="P138" i="2"/>
  <c r="O138" i="2"/>
  <c r="N138" i="2"/>
  <c r="M138" i="2"/>
  <c r="L138" i="2"/>
  <c r="K138" i="2"/>
  <c r="Q137" i="2"/>
  <c r="P137" i="2"/>
  <c r="O137" i="2"/>
  <c r="N137" i="2"/>
  <c r="M137" i="2"/>
  <c r="L137" i="2"/>
  <c r="K137" i="2"/>
  <c r="Q136" i="2"/>
  <c r="P136" i="2"/>
  <c r="O136" i="2"/>
  <c r="N136" i="2"/>
  <c r="M136" i="2"/>
  <c r="L136" i="2"/>
  <c r="K136" i="2"/>
  <c r="Q135" i="2"/>
  <c r="P135" i="2"/>
  <c r="O135" i="2"/>
  <c r="N135" i="2"/>
  <c r="M135" i="2"/>
  <c r="L135" i="2"/>
  <c r="K135" i="2"/>
  <c r="Q134" i="2"/>
  <c r="P134" i="2"/>
  <c r="O134" i="2"/>
  <c r="N134" i="2"/>
  <c r="M134" i="2"/>
  <c r="L134" i="2"/>
  <c r="K134" i="2"/>
  <c r="Q133" i="2"/>
  <c r="P133" i="2"/>
  <c r="O133" i="2"/>
  <c r="N133" i="2"/>
  <c r="M133" i="2"/>
  <c r="L133" i="2"/>
  <c r="K133" i="2"/>
  <c r="Q132" i="2"/>
  <c r="P132" i="2"/>
  <c r="O132" i="2"/>
  <c r="N132" i="2"/>
  <c r="M132" i="2"/>
  <c r="L132" i="2"/>
  <c r="K132" i="2"/>
  <c r="Q131" i="2"/>
  <c r="P131" i="2"/>
  <c r="O131" i="2"/>
  <c r="N131" i="2"/>
  <c r="M131" i="2"/>
  <c r="L131" i="2"/>
  <c r="K131" i="2"/>
  <c r="Q130" i="2"/>
  <c r="P130" i="2"/>
  <c r="O130" i="2"/>
  <c r="N130" i="2"/>
  <c r="M130" i="2"/>
  <c r="L130" i="2"/>
  <c r="K130" i="2"/>
  <c r="Q129" i="2"/>
  <c r="P129" i="2"/>
  <c r="O129" i="2"/>
  <c r="N129" i="2"/>
  <c r="M129" i="2"/>
  <c r="L129" i="2"/>
  <c r="K129" i="2"/>
  <c r="Q128" i="2"/>
  <c r="P128" i="2"/>
  <c r="O128" i="2"/>
  <c r="N128" i="2"/>
  <c r="M128" i="2"/>
  <c r="L128" i="2"/>
  <c r="K128" i="2"/>
  <c r="Q127" i="2"/>
  <c r="P127" i="2"/>
  <c r="O127" i="2"/>
  <c r="N127" i="2"/>
  <c r="M127" i="2"/>
  <c r="L127" i="2"/>
  <c r="K127" i="2"/>
  <c r="Q126" i="2"/>
  <c r="P126" i="2"/>
  <c r="O126" i="2"/>
  <c r="N126" i="2"/>
  <c r="M126" i="2"/>
  <c r="L126" i="2"/>
  <c r="K126" i="2"/>
  <c r="Q125" i="2"/>
  <c r="P125" i="2"/>
  <c r="O125" i="2"/>
  <c r="N125" i="2"/>
  <c r="M125" i="2"/>
  <c r="L125" i="2"/>
  <c r="K125" i="2"/>
  <c r="Q124" i="2"/>
  <c r="P124" i="2"/>
  <c r="O124" i="2"/>
  <c r="N124" i="2"/>
  <c r="M124" i="2"/>
  <c r="L124" i="2"/>
  <c r="K124" i="2"/>
  <c r="Q123" i="2"/>
  <c r="P123" i="2"/>
  <c r="O123" i="2"/>
  <c r="N123" i="2"/>
  <c r="M123" i="2"/>
  <c r="L123" i="2"/>
  <c r="K123" i="2"/>
  <c r="Q122" i="2"/>
  <c r="P122" i="2"/>
  <c r="O122" i="2"/>
  <c r="N122" i="2"/>
  <c r="M122" i="2"/>
  <c r="L122" i="2"/>
  <c r="K122" i="2"/>
  <c r="Q121" i="2"/>
  <c r="P121" i="2"/>
  <c r="O121" i="2"/>
  <c r="N121" i="2"/>
  <c r="M121" i="2"/>
  <c r="L121" i="2"/>
  <c r="K121" i="2"/>
  <c r="Q120" i="2"/>
  <c r="P120" i="2"/>
  <c r="O120" i="2"/>
  <c r="N120" i="2"/>
  <c r="M120" i="2"/>
  <c r="L120" i="2"/>
  <c r="K120" i="2"/>
  <c r="Q119" i="2"/>
  <c r="P119" i="2"/>
  <c r="O119" i="2"/>
  <c r="N119" i="2"/>
  <c r="M119" i="2"/>
  <c r="L119" i="2"/>
  <c r="K119" i="2"/>
  <c r="Q118" i="2"/>
  <c r="P118" i="2"/>
  <c r="O118" i="2"/>
  <c r="N118" i="2"/>
  <c r="M118" i="2"/>
  <c r="L118" i="2"/>
  <c r="K118" i="2"/>
  <c r="Q117" i="2"/>
  <c r="P117" i="2"/>
  <c r="O117" i="2"/>
  <c r="N117" i="2"/>
  <c r="M117" i="2"/>
  <c r="L117" i="2"/>
  <c r="K117" i="2"/>
  <c r="Q116" i="2"/>
  <c r="P116" i="2"/>
  <c r="O116" i="2"/>
  <c r="N116" i="2"/>
  <c r="M116" i="2"/>
  <c r="L116" i="2"/>
  <c r="K116" i="2"/>
  <c r="Q115" i="2"/>
  <c r="P115" i="2"/>
  <c r="O115" i="2"/>
  <c r="N115" i="2"/>
  <c r="M115" i="2"/>
  <c r="L115" i="2"/>
  <c r="K115" i="2"/>
  <c r="Q114" i="2"/>
  <c r="P114" i="2"/>
  <c r="O114" i="2"/>
  <c r="N114" i="2"/>
  <c r="M114" i="2"/>
  <c r="L114" i="2"/>
  <c r="K114" i="2"/>
  <c r="Q113" i="2"/>
  <c r="P113" i="2"/>
  <c r="O113" i="2"/>
  <c r="N113" i="2"/>
  <c r="M113" i="2"/>
  <c r="L113" i="2"/>
  <c r="K113" i="2"/>
  <c r="Q112" i="2"/>
  <c r="P112" i="2"/>
  <c r="O112" i="2"/>
  <c r="N112" i="2"/>
  <c r="M112" i="2"/>
  <c r="L112" i="2"/>
  <c r="K112" i="2"/>
  <c r="Q111" i="2"/>
  <c r="P111" i="2"/>
  <c r="O111" i="2"/>
  <c r="N111" i="2"/>
  <c r="M111" i="2"/>
  <c r="L111" i="2"/>
  <c r="K111" i="2"/>
  <c r="Q110" i="2"/>
  <c r="P110" i="2"/>
  <c r="O110" i="2"/>
  <c r="N110" i="2"/>
  <c r="M110" i="2"/>
  <c r="L110" i="2"/>
  <c r="K110" i="2"/>
  <c r="Q109" i="2"/>
  <c r="P109" i="2"/>
  <c r="O109" i="2"/>
  <c r="N109" i="2"/>
  <c r="M109" i="2"/>
  <c r="L109" i="2"/>
  <c r="K109" i="2"/>
  <c r="Q108" i="2"/>
  <c r="P108" i="2"/>
  <c r="O108" i="2"/>
  <c r="N108" i="2"/>
  <c r="M108" i="2"/>
  <c r="L108" i="2"/>
  <c r="K108" i="2"/>
  <c r="Q107" i="2"/>
  <c r="P107" i="2"/>
  <c r="O107" i="2"/>
  <c r="N107" i="2"/>
  <c r="M107" i="2"/>
  <c r="L107" i="2"/>
  <c r="K107" i="2"/>
  <c r="Q106" i="2"/>
  <c r="P106" i="2"/>
  <c r="O106" i="2"/>
  <c r="N106" i="2"/>
  <c r="M106" i="2"/>
  <c r="L106" i="2"/>
  <c r="K106" i="2"/>
  <c r="Q105" i="2"/>
  <c r="P105" i="2"/>
  <c r="O105" i="2"/>
  <c r="N105" i="2"/>
  <c r="M105" i="2"/>
  <c r="L105" i="2"/>
  <c r="K105" i="2"/>
  <c r="Q104" i="2"/>
  <c r="P104" i="2"/>
  <c r="O104" i="2"/>
  <c r="N104" i="2"/>
  <c r="M104" i="2"/>
  <c r="L104" i="2"/>
  <c r="K104" i="2"/>
  <c r="Q103" i="2"/>
  <c r="P103" i="2"/>
  <c r="O103" i="2"/>
  <c r="N103" i="2"/>
  <c r="M103" i="2"/>
  <c r="L103" i="2"/>
  <c r="K103" i="2"/>
  <c r="Q102" i="2"/>
  <c r="P102" i="2"/>
  <c r="O102" i="2"/>
  <c r="N102" i="2"/>
  <c r="M102" i="2"/>
  <c r="L102" i="2"/>
  <c r="K102" i="2"/>
  <c r="Q101" i="2"/>
  <c r="P101" i="2"/>
  <c r="O101" i="2"/>
  <c r="N101" i="2"/>
  <c r="M101" i="2"/>
  <c r="L101" i="2"/>
  <c r="K101" i="2"/>
  <c r="Q100" i="2"/>
  <c r="P100" i="2"/>
  <c r="O100" i="2"/>
  <c r="N100" i="2"/>
  <c r="M100" i="2"/>
  <c r="L100" i="2"/>
  <c r="K100" i="2"/>
  <c r="Q99" i="2"/>
  <c r="P99" i="2"/>
  <c r="O99" i="2"/>
  <c r="N99" i="2"/>
  <c r="M99" i="2"/>
  <c r="L99" i="2"/>
  <c r="K99" i="2"/>
  <c r="Q98" i="2"/>
  <c r="P98" i="2"/>
  <c r="O98" i="2"/>
  <c r="N98" i="2"/>
  <c r="M98" i="2"/>
  <c r="L98" i="2"/>
  <c r="K98" i="2"/>
  <c r="Q97" i="2"/>
  <c r="P97" i="2"/>
  <c r="O97" i="2"/>
  <c r="N97" i="2"/>
  <c r="M97" i="2"/>
  <c r="L97" i="2"/>
  <c r="K97" i="2"/>
  <c r="Q96" i="2"/>
  <c r="P96" i="2"/>
  <c r="O96" i="2"/>
  <c r="N96" i="2"/>
  <c r="M96" i="2"/>
  <c r="L96" i="2"/>
  <c r="K96" i="2"/>
  <c r="Q95" i="2"/>
  <c r="P95" i="2"/>
  <c r="O95" i="2"/>
  <c r="N95" i="2"/>
  <c r="M95" i="2"/>
  <c r="L95" i="2"/>
  <c r="K95" i="2"/>
  <c r="Q94" i="2"/>
  <c r="P94" i="2"/>
  <c r="O94" i="2"/>
  <c r="N94" i="2"/>
  <c r="M94" i="2"/>
  <c r="L94" i="2"/>
  <c r="K94" i="2"/>
  <c r="Q93" i="2"/>
  <c r="P93" i="2"/>
  <c r="O93" i="2"/>
  <c r="N93" i="2"/>
  <c r="M93" i="2"/>
  <c r="L93" i="2"/>
  <c r="K93" i="2"/>
  <c r="Q92" i="2"/>
  <c r="P92" i="2"/>
  <c r="O92" i="2"/>
  <c r="N92" i="2"/>
  <c r="M92" i="2"/>
  <c r="L92" i="2"/>
  <c r="K92" i="2"/>
  <c r="Q91" i="2"/>
  <c r="P91" i="2"/>
  <c r="O91" i="2"/>
  <c r="N91" i="2"/>
  <c r="M91" i="2"/>
  <c r="L91" i="2"/>
  <c r="K91" i="2"/>
  <c r="Q90" i="2"/>
  <c r="P90" i="2"/>
  <c r="O90" i="2"/>
  <c r="N90" i="2"/>
  <c r="M90" i="2"/>
  <c r="L90" i="2"/>
  <c r="K90" i="2"/>
  <c r="Q89" i="2"/>
  <c r="P89" i="2"/>
  <c r="O89" i="2"/>
  <c r="N89" i="2"/>
  <c r="M89" i="2"/>
  <c r="L89" i="2"/>
  <c r="K89" i="2"/>
  <c r="Q88" i="2"/>
  <c r="P88" i="2"/>
  <c r="O88" i="2"/>
  <c r="N88" i="2"/>
  <c r="M88" i="2"/>
  <c r="L88" i="2"/>
  <c r="K88" i="2"/>
  <c r="Q87" i="2"/>
  <c r="P87" i="2"/>
  <c r="O87" i="2"/>
  <c r="N87" i="2"/>
  <c r="M87" i="2"/>
  <c r="L87" i="2"/>
  <c r="K87" i="2"/>
  <c r="Q86" i="2"/>
  <c r="P86" i="2"/>
  <c r="O86" i="2"/>
  <c r="N86" i="2"/>
  <c r="M86" i="2"/>
  <c r="L86" i="2"/>
  <c r="K86" i="2"/>
  <c r="Q85" i="2"/>
  <c r="P85" i="2"/>
  <c r="O85" i="2"/>
  <c r="N85" i="2"/>
  <c r="M85" i="2"/>
  <c r="L85" i="2"/>
  <c r="K85" i="2"/>
  <c r="Q84" i="2"/>
  <c r="P84" i="2"/>
  <c r="O84" i="2"/>
  <c r="N84" i="2"/>
  <c r="M84" i="2"/>
  <c r="L84" i="2"/>
  <c r="K84" i="2"/>
  <c r="Q83" i="2"/>
  <c r="P83" i="2"/>
  <c r="O83" i="2"/>
  <c r="N83" i="2"/>
  <c r="M83" i="2"/>
  <c r="L83" i="2"/>
  <c r="K83" i="2"/>
  <c r="Q82" i="2"/>
  <c r="P82" i="2"/>
  <c r="O82" i="2"/>
  <c r="N82" i="2"/>
  <c r="M82" i="2"/>
  <c r="L82" i="2"/>
  <c r="K82" i="2"/>
  <c r="Q81" i="2"/>
  <c r="P81" i="2"/>
  <c r="O81" i="2"/>
  <c r="N81" i="2"/>
  <c r="M81" i="2"/>
  <c r="L81" i="2"/>
  <c r="K81" i="2"/>
  <c r="Q80" i="2"/>
  <c r="P80" i="2"/>
  <c r="O80" i="2"/>
  <c r="N80" i="2"/>
  <c r="M80" i="2"/>
  <c r="L80" i="2"/>
  <c r="K80" i="2"/>
  <c r="Q79" i="2"/>
  <c r="P79" i="2"/>
  <c r="O79" i="2"/>
  <c r="N79" i="2"/>
  <c r="M79" i="2"/>
  <c r="L79" i="2"/>
  <c r="K79" i="2"/>
  <c r="Q78" i="2"/>
  <c r="P78" i="2"/>
  <c r="O78" i="2"/>
  <c r="N78" i="2"/>
  <c r="M78" i="2"/>
  <c r="L78" i="2"/>
  <c r="K78" i="2"/>
  <c r="Q77" i="2"/>
  <c r="P77" i="2"/>
  <c r="O77" i="2"/>
  <c r="N77" i="2"/>
  <c r="M77" i="2"/>
  <c r="L77" i="2"/>
  <c r="K77" i="2"/>
  <c r="Q76" i="2"/>
  <c r="P76" i="2"/>
  <c r="O76" i="2"/>
  <c r="N76" i="2"/>
  <c r="M76" i="2"/>
  <c r="L76" i="2"/>
  <c r="K76" i="2"/>
  <c r="Q75" i="2"/>
  <c r="P75" i="2"/>
  <c r="O75" i="2"/>
  <c r="N75" i="2"/>
  <c r="M75" i="2"/>
  <c r="L75" i="2"/>
  <c r="K75" i="2"/>
  <c r="Q74" i="2"/>
  <c r="P74" i="2"/>
  <c r="O74" i="2"/>
  <c r="N74" i="2"/>
  <c r="M74" i="2"/>
  <c r="L74" i="2"/>
  <c r="K74" i="2"/>
  <c r="Q73" i="2"/>
  <c r="P73" i="2"/>
  <c r="O73" i="2"/>
  <c r="N73" i="2"/>
  <c r="M73" i="2"/>
  <c r="L73" i="2"/>
  <c r="K73" i="2"/>
  <c r="Q72" i="2"/>
  <c r="P72" i="2"/>
  <c r="O72" i="2"/>
  <c r="N72" i="2"/>
  <c r="M72" i="2"/>
  <c r="L72" i="2"/>
  <c r="K72" i="2"/>
  <c r="Q71" i="2"/>
  <c r="P71" i="2"/>
  <c r="O71" i="2"/>
  <c r="N71" i="2"/>
  <c r="M71" i="2"/>
  <c r="L71" i="2"/>
  <c r="K71" i="2"/>
  <c r="Q70" i="2"/>
  <c r="P70" i="2"/>
  <c r="O70" i="2"/>
  <c r="N70" i="2"/>
  <c r="M70" i="2"/>
  <c r="L70" i="2"/>
  <c r="K70" i="2"/>
  <c r="Q69" i="2"/>
  <c r="P69" i="2"/>
  <c r="O69" i="2"/>
  <c r="N69" i="2"/>
  <c r="M69" i="2"/>
  <c r="L69" i="2"/>
  <c r="K69" i="2"/>
  <c r="Q68" i="2"/>
  <c r="P68" i="2"/>
  <c r="O68" i="2"/>
  <c r="N68" i="2"/>
  <c r="M68" i="2"/>
  <c r="L68" i="2"/>
  <c r="K68" i="2"/>
  <c r="Q67" i="2"/>
  <c r="P67" i="2"/>
  <c r="O67" i="2"/>
  <c r="N67" i="2"/>
  <c r="M67" i="2"/>
  <c r="L67" i="2"/>
  <c r="K67" i="2"/>
  <c r="Q66" i="2"/>
  <c r="P66" i="2"/>
  <c r="O66" i="2"/>
  <c r="N66" i="2"/>
  <c r="M66" i="2"/>
  <c r="L66" i="2"/>
  <c r="K66" i="2"/>
  <c r="Q65" i="2"/>
  <c r="P65" i="2"/>
  <c r="O65" i="2"/>
  <c r="N65" i="2"/>
  <c r="M65" i="2"/>
  <c r="L65" i="2"/>
  <c r="K65" i="2"/>
  <c r="Q64" i="2"/>
  <c r="P64" i="2"/>
  <c r="O64" i="2"/>
  <c r="N64" i="2"/>
  <c r="M64" i="2"/>
  <c r="L64" i="2"/>
  <c r="K64" i="2"/>
  <c r="Q63" i="2"/>
  <c r="P63" i="2"/>
  <c r="O63" i="2"/>
  <c r="N63" i="2"/>
  <c r="M63" i="2"/>
  <c r="L63" i="2"/>
  <c r="K63" i="2"/>
  <c r="Q62" i="2"/>
  <c r="P62" i="2"/>
  <c r="O62" i="2"/>
  <c r="N62" i="2"/>
  <c r="M62" i="2"/>
  <c r="L62" i="2"/>
  <c r="K62" i="2"/>
  <c r="Q61" i="2"/>
  <c r="P61" i="2"/>
  <c r="O61" i="2"/>
  <c r="N61" i="2"/>
  <c r="M61" i="2"/>
  <c r="L61" i="2"/>
  <c r="K61" i="2"/>
  <c r="Q60" i="2"/>
  <c r="P60" i="2"/>
  <c r="O60" i="2"/>
  <c r="N60" i="2"/>
  <c r="M60" i="2"/>
  <c r="L60" i="2"/>
  <c r="K60" i="2"/>
  <c r="Q59" i="2"/>
  <c r="P59" i="2"/>
  <c r="O59" i="2"/>
  <c r="N59" i="2"/>
  <c r="M59" i="2"/>
  <c r="L59" i="2"/>
  <c r="K59" i="2"/>
  <c r="Q58" i="2"/>
  <c r="P58" i="2"/>
  <c r="O58" i="2"/>
  <c r="N58" i="2"/>
  <c r="M58" i="2"/>
  <c r="L58" i="2"/>
  <c r="K58" i="2"/>
  <c r="Q57" i="2"/>
  <c r="P57" i="2"/>
  <c r="O57" i="2"/>
  <c r="N57" i="2"/>
  <c r="M57" i="2"/>
  <c r="L57" i="2"/>
  <c r="K57" i="2"/>
  <c r="Q56" i="2"/>
  <c r="P56" i="2"/>
  <c r="O56" i="2"/>
  <c r="N56" i="2"/>
  <c r="M56" i="2"/>
  <c r="L56" i="2"/>
  <c r="K56" i="2"/>
  <c r="Q55" i="2"/>
  <c r="P55" i="2"/>
  <c r="O55" i="2"/>
  <c r="N55" i="2"/>
  <c r="M55" i="2"/>
  <c r="L55" i="2"/>
  <c r="K55" i="2"/>
  <c r="Q54" i="2"/>
  <c r="P54" i="2"/>
  <c r="O54" i="2"/>
  <c r="N54" i="2"/>
  <c r="M54" i="2"/>
  <c r="L54" i="2"/>
  <c r="K54" i="2"/>
  <c r="Q53" i="2"/>
  <c r="P53" i="2"/>
  <c r="O53" i="2"/>
  <c r="N53" i="2"/>
  <c r="M53" i="2"/>
  <c r="L53" i="2"/>
  <c r="K53" i="2"/>
  <c r="Q52" i="2"/>
  <c r="P52" i="2"/>
  <c r="O52" i="2"/>
  <c r="N52" i="2"/>
  <c r="M52" i="2"/>
  <c r="L52" i="2"/>
  <c r="K52" i="2"/>
  <c r="Q51" i="2"/>
  <c r="P51" i="2"/>
  <c r="O51" i="2"/>
  <c r="N51" i="2"/>
  <c r="M51" i="2"/>
  <c r="L51" i="2"/>
  <c r="K51" i="2"/>
  <c r="Q50" i="2"/>
  <c r="P50" i="2"/>
  <c r="O50" i="2"/>
  <c r="N50" i="2"/>
  <c r="M50" i="2"/>
  <c r="L50" i="2"/>
  <c r="K50" i="2"/>
  <c r="Q49" i="2"/>
  <c r="P49" i="2"/>
  <c r="O49" i="2"/>
  <c r="N49" i="2"/>
  <c r="M49" i="2"/>
  <c r="L49" i="2"/>
  <c r="K49" i="2"/>
  <c r="Q48" i="2"/>
  <c r="P48" i="2"/>
  <c r="O48" i="2"/>
  <c r="N48" i="2"/>
  <c r="M48" i="2"/>
  <c r="L48" i="2"/>
  <c r="K48" i="2"/>
  <c r="Q47" i="2"/>
  <c r="P47" i="2"/>
  <c r="O47" i="2"/>
  <c r="N47" i="2"/>
  <c r="M47" i="2"/>
  <c r="L47" i="2"/>
  <c r="K47" i="2"/>
  <c r="Q46" i="2"/>
  <c r="P46" i="2"/>
  <c r="O46" i="2"/>
  <c r="N46" i="2"/>
  <c r="M46" i="2"/>
  <c r="L46" i="2"/>
  <c r="K46" i="2"/>
  <c r="Q45" i="2"/>
  <c r="P45" i="2"/>
  <c r="O45" i="2"/>
  <c r="N45" i="2"/>
  <c r="M45" i="2"/>
  <c r="L45" i="2"/>
  <c r="K45" i="2"/>
  <c r="Q44" i="2"/>
  <c r="P44" i="2"/>
  <c r="O44" i="2"/>
  <c r="N44" i="2"/>
  <c r="M44" i="2"/>
  <c r="L44" i="2"/>
  <c r="K44" i="2"/>
  <c r="Q43" i="2"/>
  <c r="P43" i="2"/>
  <c r="O43" i="2"/>
  <c r="N43" i="2"/>
  <c r="M43" i="2"/>
  <c r="L43" i="2"/>
  <c r="K43" i="2"/>
  <c r="Q42" i="2"/>
  <c r="P42" i="2"/>
  <c r="O42" i="2"/>
  <c r="N42" i="2"/>
  <c r="M42" i="2"/>
  <c r="L42" i="2"/>
  <c r="K42" i="2"/>
  <c r="Q41" i="2"/>
  <c r="P41" i="2"/>
  <c r="O41" i="2"/>
  <c r="N41" i="2"/>
  <c r="M41" i="2"/>
  <c r="L41" i="2"/>
  <c r="K41" i="2"/>
  <c r="Q40" i="2"/>
  <c r="P40" i="2"/>
  <c r="O40" i="2"/>
  <c r="N40" i="2"/>
  <c r="M40" i="2"/>
  <c r="L40" i="2"/>
  <c r="K40" i="2"/>
  <c r="Q39" i="2"/>
  <c r="P39" i="2"/>
  <c r="O39" i="2"/>
  <c r="N39" i="2"/>
  <c r="M39" i="2"/>
  <c r="L39" i="2"/>
  <c r="K39" i="2"/>
  <c r="Q38" i="2"/>
  <c r="P38" i="2"/>
  <c r="O38" i="2"/>
  <c r="N38" i="2"/>
  <c r="M38" i="2"/>
  <c r="L38" i="2"/>
  <c r="K38" i="2"/>
  <c r="Q37" i="2"/>
  <c r="P37" i="2"/>
  <c r="O37" i="2"/>
  <c r="N37" i="2"/>
  <c r="M37" i="2"/>
  <c r="L37" i="2"/>
  <c r="K37" i="2"/>
  <c r="Q36" i="2"/>
  <c r="P36" i="2"/>
  <c r="O36" i="2"/>
  <c r="N36" i="2"/>
  <c r="M36" i="2"/>
  <c r="L36" i="2"/>
  <c r="K36" i="2"/>
  <c r="Q35" i="2"/>
  <c r="P35" i="2"/>
  <c r="O35" i="2"/>
  <c r="N35" i="2"/>
  <c r="M35" i="2"/>
  <c r="L35" i="2"/>
  <c r="K35" i="2"/>
  <c r="Q34" i="2"/>
  <c r="P34" i="2"/>
  <c r="O34" i="2"/>
  <c r="N34" i="2"/>
  <c r="M34" i="2"/>
  <c r="L34" i="2"/>
  <c r="K34" i="2"/>
  <c r="Q33" i="2"/>
  <c r="P33" i="2"/>
  <c r="O33" i="2"/>
  <c r="N33" i="2"/>
  <c r="M33" i="2"/>
  <c r="L33" i="2"/>
  <c r="K33" i="2"/>
  <c r="Q32" i="2"/>
  <c r="P32" i="2"/>
  <c r="O32" i="2"/>
  <c r="N32" i="2"/>
  <c r="M32" i="2"/>
  <c r="L32" i="2"/>
  <c r="K32" i="2"/>
  <c r="Q31" i="2"/>
  <c r="P31" i="2"/>
  <c r="O31" i="2"/>
  <c r="N31" i="2"/>
  <c r="M31" i="2"/>
  <c r="L31" i="2"/>
  <c r="K31" i="2"/>
  <c r="Q30" i="2"/>
  <c r="P30" i="2"/>
  <c r="O30" i="2"/>
  <c r="N30" i="2"/>
  <c r="M30" i="2"/>
  <c r="L30" i="2"/>
  <c r="K30" i="2"/>
  <c r="Q29" i="2"/>
  <c r="P29" i="2"/>
  <c r="O29" i="2"/>
  <c r="N29" i="2"/>
  <c r="M29" i="2"/>
  <c r="L29" i="2"/>
  <c r="K29" i="2"/>
  <c r="Q28" i="2"/>
  <c r="P28" i="2"/>
  <c r="O28" i="2"/>
  <c r="N28" i="2"/>
  <c r="M28" i="2"/>
  <c r="L28" i="2"/>
  <c r="K28" i="2"/>
  <c r="Q27" i="2"/>
  <c r="P27" i="2"/>
  <c r="O27" i="2"/>
  <c r="N27" i="2"/>
  <c r="M27" i="2"/>
  <c r="L27" i="2"/>
  <c r="K27" i="2"/>
  <c r="Q26" i="2"/>
  <c r="P26" i="2"/>
  <c r="O26" i="2"/>
  <c r="N26" i="2"/>
  <c r="M26" i="2"/>
  <c r="L26" i="2"/>
  <c r="K26" i="2"/>
  <c r="Q25" i="2"/>
  <c r="P25" i="2"/>
  <c r="O25" i="2"/>
  <c r="N25" i="2"/>
  <c r="M25" i="2"/>
  <c r="L25" i="2"/>
  <c r="K25" i="2"/>
  <c r="Q24" i="2"/>
  <c r="P24" i="2"/>
  <c r="O24" i="2"/>
  <c r="N24" i="2"/>
  <c r="M24" i="2"/>
  <c r="L24" i="2"/>
  <c r="K24" i="2"/>
  <c r="Q23" i="2"/>
  <c r="P23" i="2"/>
  <c r="O23" i="2"/>
  <c r="N23" i="2"/>
  <c r="M23" i="2"/>
  <c r="L23" i="2"/>
  <c r="K23" i="2"/>
  <c r="Q22" i="2"/>
  <c r="P22" i="2"/>
  <c r="O22" i="2"/>
  <c r="N22" i="2"/>
  <c r="M22" i="2"/>
  <c r="L22" i="2"/>
  <c r="K22" i="2"/>
  <c r="Q21" i="2"/>
  <c r="P21" i="2"/>
  <c r="O21" i="2"/>
  <c r="N21" i="2"/>
  <c r="M21" i="2"/>
  <c r="L21" i="2"/>
  <c r="K21" i="2"/>
  <c r="Q20" i="2"/>
  <c r="P20" i="2"/>
  <c r="O20" i="2"/>
  <c r="N20" i="2"/>
  <c r="M20" i="2"/>
  <c r="L20" i="2"/>
  <c r="K20" i="2"/>
  <c r="Q19" i="2"/>
  <c r="P19" i="2"/>
  <c r="O19" i="2"/>
  <c r="N19" i="2"/>
  <c r="M19" i="2"/>
  <c r="L19" i="2"/>
  <c r="K19" i="2"/>
  <c r="Q18" i="2"/>
  <c r="P18" i="2"/>
  <c r="O18" i="2"/>
  <c r="N18" i="2"/>
  <c r="M18" i="2"/>
  <c r="L18" i="2"/>
  <c r="K18" i="2"/>
  <c r="Q17" i="2"/>
  <c r="P17" i="2"/>
  <c r="O17" i="2"/>
  <c r="N17" i="2"/>
  <c r="M17" i="2"/>
  <c r="L17" i="2"/>
  <c r="K17" i="2"/>
  <c r="Q16" i="2"/>
  <c r="P16" i="2"/>
  <c r="O16" i="2"/>
  <c r="N16" i="2"/>
  <c r="M16" i="2"/>
  <c r="L16" i="2"/>
  <c r="K16" i="2"/>
  <c r="Q15" i="2"/>
  <c r="P15" i="2"/>
  <c r="O15" i="2"/>
  <c r="N15" i="2"/>
  <c r="M15" i="2"/>
  <c r="L15" i="2"/>
  <c r="K15" i="2"/>
  <c r="Q14" i="2"/>
  <c r="P14" i="2"/>
  <c r="O14" i="2"/>
  <c r="N14" i="2"/>
  <c r="M14" i="2"/>
  <c r="L14" i="2"/>
  <c r="K14" i="2"/>
  <c r="Q13" i="2"/>
  <c r="P13" i="2"/>
  <c r="O13" i="2"/>
  <c r="N13" i="2"/>
  <c r="M13" i="2"/>
  <c r="L13" i="2"/>
  <c r="K13" i="2"/>
  <c r="AO1310" i="2"/>
  <c r="AO1309" i="2"/>
  <c r="AO1308" i="2"/>
  <c r="AO1307" i="2"/>
  <c r="AO1306" i="2"/>
  <c r="AO1305" i="2"/>
  <c r="AO1304" i="2"/>
  <c r="AO1303" i="2"/>
  <c r="AO1302" i="2"/>
  <c r="AO1301" i="2"/>
  <c r="AO1300" i="2"/>
  <c r="AO1299" i="2"/>
  <c r="AO1298" i="2"/>
  <c r="AO1297" i="2"/>
  <c r="AO1296" i="2"/>
  <c r="AO1295" i="2"/>
  <c r="AO1294" i="2"/>
  <c r="AO1293" i="2"/>
  <c r="AO1292" i="2"/>
  <c r="AO1291" i="2"/>
  <c r="AO1290" i="2"/>
  <c r="AO1289" i="2"/>
  <c r="AO1288" i="2"/>
  <c r="AO1287" i="2"/>
  <c r="AO1286" i="2"/>
  <c r="AO1285" i="2"/>
  <c r="AO1284" i="2"/>
  <c r="AO1283" i="2"/>
  <c r="AO1282" i="2"/>
  <c r="AO1281" i="2"/>
  <c r="AO1280" i="2"/>
  <c r="AO1279" i="2"/>
  <c r="AO1278" i="2"/>
  <c r="AO1277" i="2"/>
  <c r="AO1276" i="2"/>
  <c r="AO1275" i="2"/>
  <c r="AO1274" i="2"/>
  <c r="AO1273" i="2"/>
  <c r="AO1272" i="2"/>
  <c r="AO1271" i="2"/>
  <c r="AO1270" i="2"/>
  <c r="AO1269" i="2"/>
  <c r="AO1268" i="2"/>
  <c r="AO1267" i="2"/>
  <c r="AO1266" i="2"/>
  <c r="AO1265" i="2"/>
  <c r="AO1264" i="2"/>
  <c r="AO1263" i="2"/>
  <c r="AO1262" i="2"/>
  <c r="AO1261" i="2"/>
  <c r="AO1260" i="2"/>
  <c r="AO1259" i="2"/>
  <c r="AO1258" i="2"/>
  <c r="AO1257" i="2"/>
  <c r="AO1256" i="2"/>
  <c r="AO1255" i="2"/>
  <c r="AO1254" i="2"/>
  <c r="AO1253" i="2"/>
  <c r="AO1252" i="2"/>
  <c r="AO1251" i="2"/>
  <c r="AO1250" i="2"/>
  <c r="AO1249" i="2"/>
  <c r="AO1248" i="2"/>
  <c r="AO1247" i="2"/>
  <c r="AO1246" i="2"/>
  <c r="AO1245" i="2"/>
  <c r="AO1244" i="2"/>
  <c r="AO1243" i="2"/>
  <c r="AO1242" i="2"/>
  <c r="AO1241" i="2"/>
  <c r="AO1240" i="2"/>
  <c r="AO1239" i="2"/>
  <c r="AO1238" i="2"/>
  <c r="AO1237" i="2"/>
  <c r="AO1236" i="2"/>
  <c r="AO1235" i="2"/>
  <c r="AO1234" i="2"/>
  <c r="AO1233" i="2"/>
  <c r="AO1232" i="2"/>
  <c r="AO1231" i="2"/>
  <c r="AO1230" i="2"/>
  <c r="AO1229" i="2"/>
  <c r="AO1228" i="2"/>
  <c r="AO1227" i="2"/>
  <c r="AO1226" i="2"/>
  <c r="AO1225" i="2"/>
  <c r="AO1224" i="2"/>
  <c r="AO1223" i="2"/>
  <c r="AO1222" i="2"/>
  <c r="AO1221" i="2"/>
  <c r="AO1220" i="2"/>
  <c r="AO1219" i="2"/>
  <c r="AO1218" i="2"/>
  <c r="AO1217" i="2"/>
  <c r="AO1216" i="2"/>
  <c r="AO1215" i="2"/>
  <c r="AO1214" i="2"/>
  <c r="AO1213" i="2"/>
  <c r="AO1212" i="2"/>
  <c r="AO1211" i="2"/>
  <c r="AO1210" i="2"/>
  <c r="AO1209" i="2"/>
  <c r="AO1208" i="2"/>
  <c r="AO1207" i="2"/>
  <c r="AO1206" i="2"/>
  <c r="AO1205" i="2"/>
  <c r="AO1204" i="2"/>
  <c r="AO1203" i="2"/>
  <c r="AO1202" i="2"/>
  <c r="AO1201" i="2"/>
  <c r="AO1200" i="2"/>
  <c r="AO1199" i="2"/>
  <c r="AO1198" i="2"/>
  <c r="AO1197" i="2"/>
  <c r="AO1196" i="2"/>
  <c r="AO1195" i="2"/>
  <c r="AO1194" i="2"/>
  <c r="AO1193" i="2"/>
  <c r="AO1192" i="2"/>
  <c r="AO1191" i="2"/>
  <c r="AO1190" i="2"/>
  <c r="AO1189" i="2"/>
  <c r="AO1188" i="2"/>
  <c r="AO1187" i="2"/>
  <c r="AO1186" i="2"/>
  <c r="AO1185" i="2"/>
  <c r="AO1184" i="2"/>
  <c r="AO1183" i="2"/>
  <c r="AO1182" i="2"/>
  <c r="AO1181" i="2"/>
  <c r="AO1180" i="2"/>
  <c r="AO1179" i="2"/>
  <c r="AO1178" i="2"/>
  <c r="AO1177" i="2"/>
  <c r="AO1176" i="2"/>
  <c r="AO1175" i="2"/>
  <c r="AO1174" i="2"/>
  <c r="AO1173" i="2"/>
  <c r="AO1172" i="2"/>
  <c r="AO1171" i="2"/>
  <c r="AO1170" i="2"/>
  <c r="AO1169" i="2"/>
  <c r="AO1168" i="2"/>
  <c r="AO1167" i="2"/>
  <c r="AO1166" i="2"/>
  <c r="AO1165" i="2"/>
  <c r="AO1164" i="2"/>
  <c r="AO1163" i="2"/>
  <c r="AO1162" i="2"/>
  <c r="AO1161" i="2"/>
  <c r="AO1160" i="2"/>
  <c r="AO1159" i="2"/>
  <c r="AO1158" i="2"/>
  <c r="AO1157" i="2"/>
  <c r="AO1156" i="2"/>
  <c r="AO1155" i="2"/>
  <c r="AO1154" i="2"/>
  <c r="AO1153" i="2"/>
  <c r="AO1152" i="2"/>
  <c r="AO1151" i="2"/>
  <c r="AO1150" i="2"/>
  <c r="AO1149" i="2"/>
  <c r="AO1148" i="2"/>
  <c r="AO1147" i="2"/>
  <c r="AO1146" i="2"/>
  <c r="AO1145" i="2"/>
  <c r="AO1144" i="2"/>
  <c r="AO1143" i="2"/>
  <c r="AO1142" i="2"/>
  <c r="AO1141" i="2"/>
  <c r="AO1140" i="2"/>
  <c r="AO1139" i="2"/>
  <c r="AO1138" i="2"/>
  <c r="AO1137" i="2"/>
  <c r="AO1136" i="2"/>
  <c r="AO1135" i="2"/>
  <c r="AO1134" i="2"/>
  <c r="AO1133" i="2"/>
  <c r="AO1132" i="2"/>
  <c r="AO1131" i="2"/>
  <c r="AO1130" i="2"/>
  <c r="AO1129" i="2"/>
  <c r="AO1128" i="2"/>
  <c r="AO1127" i="2"/>
  <c r="AO1126" i="2"/>
  <c r="AO1125" i="2"/>
  <c r="AO1124" i="2"/>
  <c r="AO1123" i="2"/>
  <c r="AO1122" i="2"/>
  <c r="AO1121" i="2"/>
  <c r="AO1120" i="2"/>
  <c r="AO1119" i="2"/>
  <c r="AO1118" i="2"/>
  <c r="AO1117" i="2"/>
  <c r="AO1116" i="2"/>
  <c r="AO1115" i="2"/>
  <c r="AO1114" i="2"/>
  <c r="AO1113" i="2"/>
  <c r="AO1112" i="2"/>
  <c r="AO1111" i="2"/>
  <c r="AO1110" i="2"/>
  <c r="AO1109" i="2"/>
  <c r="AO1108" i="2"/>
  <c r="AO1107" i="2"/>
  <c r="AO1106" i="2"/>
  <c r="AO1105" i="2"/>
  <c r="AO1104" i="2"/>
  <c r="AO1103" i="2"/>
  <c r="AO1102" i="2"/>
  <c r="AO1101" i="2"/>
  <c r="AO1100" i="2"/>
  <c r="AO1099" i="2"/>
  <c r="AO1098" i="2"/>
  <c r="AO1097" i="2"/>
  <c r="AO1096" i="2"/>
  <c r="AO1095" i="2"/>
  <c r="AO1094" i="2"/>
  <c r="AO1093" i="2"/>
  <c r="AO1092" i="2"/>
  <c r="AO1091" i="2"/>
  <c r="AO1090" i="2"/>
  <c r="AO1089" i="2"/>
  <c r="AO1088" i="2"/>
  <c r="AO1087" i="2"/>
  <c r="AO1086" i="2"/>
  <c r="AO1085" i="2"/>
  <c r="AO1084" i="2"/>
  <c r="AO1083" i="2"/>
  <c r="AO1082" i="2"/>
  <c r="AO1081" i="2"/>
  <c r="AO1080" i="2"/>
  <c r="AO1079" i="2"/>
  <c r="AO1078" i="2"/>
  <c r="AO1077" i="2"/>
  <c r="AO1076" i="2"/>
  <c r="AO1075" i="2"/>
  <c r="AO1074" i="2"/>
  <c r="AO1073" i="2"/>
  <c r="AO1072" i="2"/>
  <c r="AO1071" i="2"/>
  <c r="AO1070" i="2"/>
  <c r="AO1069" i="2"/>
  <c r="AO1068" i="2"/>
  <c r="AO1067" i="2"/>
  <c r="AO1066" i="2"/>
  <c r="AO1065" i="2"/>
  <c r="AO1064" i="2"/>
  <c r="AO1063" i="2"/>
  <c r="AO1062" i="2"/>
  <c r="AO1061" i="2"/>
  <c r="AO1060" i="2"/>
  <c r="AO1059" i="2"/>
  <c r="AO1058" i="2"/>
  <c r="AO1057" i="2"/>
  <c r="AO1056" i="2"/>
  <c r="AO1055" i="2"/>
  <c r="AO1054" i="2"/>
  <c r="AO1053" i="2"/>
  <c r="AO1052" i="2"/>
  <c r="AO1051" i="2"/>
  <c r="AO1050" i="2"/>
  <c r="AO1049" i="2"/>
  <c r="AO1048" i="2"/>
  <c r="AO1047" i="2"/>
  <c r="AO1046" i="2"/>
  <c r="AO1045" i="2"/>
  <c r="AO1044" i="2"/>
  <c r="AO1043" i="2"/>
  <c r="AO1042" i="2"/>
  <c r="AO1041" i="2"/>
  <c r="AO1040" i="2"/>
  <c r="AO1039" i="2"/>
  <c r="AO1038" i="2"/>
  <c r="AO1037" i="2"/>
  <c r="AO1036" i="2"/>
  <c r="AO1035" i="2"/>
  <c r="AO1034" i="2"/>
  <c r="AO1033" i="2"/>
  <c r="AO1032" i="2"/>
  <c r="AO1031" i="2"/>
  <c r="AO1030" i="2"/>
  <c r="AO1029" i="2"/>
  <c r="AO1028" i="2"/>
  <c r="AO1027" i="2"/>
  <c r="AO1026" i="2"/>
  <c r="AO1025" i="2"/>
  <c r="AO1024" i="2"/>
  <c r="AO1023" i="2"/>
  <c r="AO1022" i="2"/>
  <c r="AO1021" i="2"/>
  <c r="AO1020" i="2"/>
  <c r="AO1019" i="2"/>
  <c r="AO1018" i="2"/>
  <c r="AO1017" i="2"/>
  <c r="AO1016" i="2"/>
  <c r="AO1015" i="2"/>
  <c r="AO1014" i="2"/>
  <c r="AO1013" i="2"/>
  <c r="AO1012" i="2"/>
  <c r="AO1011" i="2"/>
  <c r="AO1010" i="2"/>
  <c r="AO1009" i="2"/>
  <c r="AO1008" i="2"/>
  <c r="AO1007" i="2"/>
  <c r="AO1006" i="2"/>
  <c r="AO1005" i="2"/>
  <c r="AO1004" i="2"/>
  <c r="AO1003" i="2"/>
  <c r="AO1002" i="2"/>
  <c r="AO1001" i="2"/>
  <c r="AO1000" i="2"/>
  <c r="AO999" i="2"/>
  <c r="AO998" i="2"/>
  <c r="AO997" i="2"/>
  <c r="AO996" i="2"/>
  <c r="AO995" i="2"/>
  <c r="AO994" i="2"/>
  <c r="AO993" i="2"/>
  <c r="AO992" i="2"/>
  <c r="AO991" i="2"/>
  <c r="AO990" i="2"/>
  <c r="AO989" i="2"/>
  <c r="AO988" i="2"/>
  <c r="AO987" i="2"/>
  <c r="AO986" i="2"/>
  <c r="AO985" i="2"/>
  <c r="AO984" i="2"/>
  <c r="AO983" i="2"/>
  <c r="AO982" i="2"/>
  <c r="AO981" i="2"/>
  <c r="AO980" i="2"/>
  <c r="AO979" i="2"/>
  <c r="AO978" i="2"/>
  <c r="AO977" i="2"/>
  <c r="AO976" i="2"/>
  <c r="AO975" i="2"/>
  <c r="AO974" i="2"/>
  <c r="AO973" i="2"/>
  <c r="AO972" i="2"/>
  <c r="AO971" i="2"/>
  <c r="AO970" i="2"/>
  <c r="AO969" i="2"/>
  <c r="AO968" i="2"/>
  <c r="AO967" i="2"/>
  <c r="AO966" i="2"/>
  <c r="AO965" i="2"/>
  <c r="AO964" i="2"/>
  <c r="AO963" i="2"/>
  <c r="AO962" i="2"/>
  <c r="AO961" i="2"/>
  <c r="AO960" i="2"/>
  <c r="AO959" i="2"/>
  <c r="AO958" i="2"/>
  <c r="AO957" i="2"/>
  <c r="AO956" i="2"/>
  <c r="AO955" i="2"/>
  <c r="AO954" i="2"/>
  <c r="AO953" i="2"/>
  <c r="AO952" i="2"/>
  <c r="AO951" i="2"/>
  <c r="AO950" i="2"/>
  <c r="AO949" i="2"/>
  <c r="AO948" i="2"/>
  <c r="AO947" i="2"/>
  <c r="AO946" i="2"/>
  <c r="AO945" i="2"/>
  <c r="AO944" i="2"/>
  <c r="AO943" i="2"/>
  <c r="AO942" i="2"/>
  <c r="AO941" i="2"/>
  <c r="AO940" i="2"/>
  <c r="AO939" i="2"/>
  <c r="AO938" i="2"/>
  <c r="AO937" i="2"/>
  <c r="AO936" i="2"/>
  <c r="AO935" i="2"/>
  <c r="AO934" i="2"/>
  <c r="AO933" i="2"/>
  <c r="AO932" i="2"/>
  <c r="AO931" i="2"/>
  <c r="AO930" i="2"/>
  <c r="AO929" i="2"/>
  <c r="AO928" i="2"/>
  <c r="AO927" i="2"/>
  <c r="AO926" i="2"/>
  <c r="AO925" i="2"/>
  <c r="AO924" i="2"/>
  <c r="AO923" i="2"/>
  <c r="AO922" i="2"/>
  <c r="AO921" i="2"/>
  <c r="AO920" i="2"/>
  <c r="AO919" i="2"/>
  <c r="AO918" i="2"/>
  <c r="AO917" i="2"/>
  <c r="AO916" i="2"/>
  <c r="AO915" i="2"/>
  <c r="AO914" i="2"/>
  <c r="AO913" i="2"/>
  <c r="AO912" i="2"/>
  <c r="AO911" i="2"/>
  <c r="AO910" i="2"/>
  <c r="AO909" i="2"/>
  <c r="AO908" i="2"/>
  <c r="AO907" i="2"/>
  <c r="AO906" i="2"/>
  <c r="AO905" i="2"/>
  <c r="AO904" i="2"/>
  <c r="AO903" i="2"/>
  <c r="AO902" i="2"/>
  <c r="AO901" i="2"/>
  <c r="AO900" i="2"/>
  <c r="AO899" i="2"/>
  <c r="AO898" i="2"/>
  <c r="AO897" i="2"/>
  <c r="AO896" i="2"/>
  <c r="AO895" i="2"/>
  <c r="AO894" i="2"/>
  <c r="AO893" i="2"/>
  <c r="AO892" i="2"/>
  <c r="AO891" i="2"/>
  <c r="AO890" i="2"/>
  <c r="AO889" i="2"/>
  <c r="AO888" i="2"/>
  <c r="AO887" i="2"/>
  <c r="AO886" i="2"/>
  <c r="AO885" i="2"/>
  <c r="AO884" i="2"/>
  <c r="AO883" i="2"/>
  <c r="AO882" i="2"/>
  <c r="AO881" i="2"/>
  <c r="AO880" i="2"/>
  <c r="AO879" i="2"/>
  <c r="AO878" i="2"/>
  <c r="AO877" i="2"/>
  <c r="AO876" i="2"/>
  <c r="AO875" i="2"/>
  <c r="AO874" i="2"/>
  <c r="AO873" i="2"/>
  <c r="AO872" i="2"/>
  <c r="AO871" i="2"/>
  <c r="AO870" i="2"/>
  <c r="AO869" i="2"/>
  <c r="AO868" i="2"/>
  <c r="AO867" i="2"/>
  <c r="AO866" i="2"/>
  <c r="AO865" i="2"/>
  <c r="AO864" i="2"/>
  <c r="AO863" i="2"/>
  <c r="AO862" i="2"/>
  <c r="AO861" i="2"/>
  <c r="AO860" i="2"/>
  <c r="AO859" i="2"/>
  <c r="AO858" i="2"/>
  <c r="AO857" i="2"/>
  <c r="AO856" i="2"/>
  <c r="AO855" i="2"/>
  <c r="AO854" i="2"/>
  <c r="AO853" i="2"/>
  <c r="AO852" i="2"/>
  <c r="AO851" i="2"/>
  <c r="AO850" i="2"/>
  <c r="AO849" i="2"/>
  <c r="AO848" i="2"/>
  <c r="AO847" i="2"/>
  <c r="AO846" i="2"/>
  <c r="AO845" i="2"/>
  <c r="AO844" i="2"/>
  <c r="AO843" i="2"/>
  <c r="AO842" i="2"/>
  <c r="AO841" i="2"/>
  <c r="AO840" i="2"/>
  <c r="AO839" i="2"/>
  <c r="AO838" i="2"/>
  <c r="AO837" i="2"/>
  <c r="AO836" i="2"/>
  <c r="AO835" i="2"/>
  <c r="AO834" i="2"/>
  <c r="AO833" i="2"/>
  <c r="AO832" i="2"/>
  <c r="AO831" i="2"/>
  <c r="AO830" i="2"/>
  <c r="AO829" i="2"/>
  <c r="AO828" i="2"/>
  <c r="AO827" i="2"/>
  <c r="AO826" i="2"/>
  <c r="AO825" i="2"/>
  <c r="AO824" i="2"/>
  <c r="AO823" i="2"/>
  <c r="AO822" i="2"/>
  <c r="AO821" i="2"/>
  <c r="AO820" i="2"/>
  <c r="AO819" i="2"/>
  <c r="AO818" i="2"/>
  <c r="AO817" i="2"/>
  <c r="AO816" i="2"/>
  <c r="AO815" i="2"/>
  <c r="AO814" i="2"/>
  <c r="AO813" i="2"/>
  <c r="AO812" i="2"/>
  <c r="AO811" i="2"/>
  <c r="AO810" i="2"/>
  <c r="AO809" i="2"/>
  <c r="AO808" i="2"/>
  <c r="AO807" i="2"/>
  <c r="AO806" i="2"/>
  <c r="AO805" i="2"/>
  <c r="AO804" i="2"/>
  <c r="AO803" i="2"/>
  <c r="AO802" i="2"/>
  <c r="AO801" i="2"/>
  <c r="AO800" i="2"/>
  <c r="AO799" i="2"/>
  <c r="AO798" i="2"/>
  <c r="AO797" i="2"/>
  <c r="AO796" i="2"/>
  <c r="AO795" i="2"/>
  <c r="AO794" i="2"/>
  <c r="AO793" i="2"/>
  <c r="AO792" i="2"/>
  <c r="AO791" i="2"/>
  <c r="AO790" i="2"/>
  <c r="AO789" i="2"/>
  <c r="AO788" i="2"/>
  <c r="AO787" i="2"/>
  <c r="AO786" i="2"/>
  <c r="AO785" i="2"/>
  <c r="AO784" i="2"/>
  <c r="AO783" i="2"/>
  <c r="AO782" i="2"/>
  <c r="AO781" i="2"/>
  <c r="AO780" i="2"/>
  <c r="AO779" i="2"/>
  <c r="AO778" i="2"/>
  <c r="AO777" i="2"/>
  <c r="AO776" i="2"/>
  <c r="AO775" i="2"/>
  <c r="AO774" i="2"/>
  <c r="AO773" i="2"/>
  <c r="AO772" i="2"/>
  <c r="AO771" i="2"/>
  <c r="AO770" i="2"/>
  <c r="AO769" i="2"/>
  <c r="AO768" i="2"/>
  <c r="AO767" i="2"/>
  <c r="AO766" i="2"/>
  <c r="AO765" i="2"/>
  <c r="AO764" i="2"/>
  <c r="AO763" i="2"/>
  <c r="AO762" i="2"/>
  <c r="AO761" i="2"/>
  <c r="AO760" i="2"/>
  <c r="AO759" i="2"/>
  <c r="AO758" i="2"/>
  <c r="AO757" i="2"/>
  <c r="AO756" i="2"/>
  <c r="AO755" i="2"/>
  <c r="AO754" i="2"/>
  <c r="AO753" i="2"/>
  <c r="AO752" i="2"/>
  <c r="AO751" i="2"/>
  <c r="AO750" i="2"/>
  <c r="AO749" i="2"/>
  <c r="AO748" i="2"/>
  <c r="AO747" i="2"/>
  <c r="AO746" i="2"/>
  <c r="AO745" i="2"/>
  <c r="AO744" i="2"/>
  <c r="AO743" i="2"/>
  <c r="AO742" i="2"/>
  <c r="AO741" i="2"/>
  <c r="AO740" i="2"/>
  <c r="AO739" i="2"/>
  <c r="AO738" i="2"/>
  <c r="AO737" i="2"/>
  <c r="AO736" i="2"/>
  <c r="AO735" i="2"/>
  <c r="AO734" i="2"/>
  <c r="AO733" i="2"/>
  <c r="AO732" i="2"/>
  <c r="AO731" i="2"/>
  <c r="AO730" i="2"/>
  <c r="AO729" i="2"/>
  <c r="AO728" i="2"/>
  <c r="AO727" i="2"/>
  <c r="AO726" i="2"/>
  <c r="AO725" i="2"/>
  <c r="AO724" i="2"/>
  <c r="AO723" i="2"/>
  <c r="AO722" i="2"/>
  <c r="AO721" i="2"/>
  <c r="AO720" i="2"/>
  <c r="AO719" i="2"/>
  <c r="AO718" i="2"/>
  <c r="AO717" i="2"/>
  <c r="AO716" i="2"/>
  <c r="AO715" i="2"/>
  <c r="AO714" i="2"/>
  <c r="AO713" i="2"/>
  <c r="AO712" i="2"/>
  <c r="AO711" i="2"/>
  <c r="AO710" i="2"/>
  <c r="AO709" i="2"/>
  <c r="AO708" i="2"/>
  <c r="AO707" i="2"/>
  <c r="AO706" i="2"/>
  <c r="AO705" i="2"/>
  <c r="AO704" i="2"/>
  <c r="AO703" i="2"/>
  <c r="AO702" i="2"/>
  <c r="AO701" i="2"/>
  <c r="AO700" i="2"/>
  <c r="AO699" i="2"/>
  <c r="AO698" i="2"/>
  <c r="AO697" i="2"/>
  <c r="AO696" i="2"/>
  <c r="AO695" i="2"/>
  <c r="AO694" i="2"/>
  <c r="AO693" i="2"/>
  <c r="AO692" i="2"/>
  <c r="AO691" i="2"/>
  <c r="AO690" i="2"/>
  <c r="AO689" i="2"/>
  <c r="AO688" i="2"/>
  <c r="AO687" i="2"/>
  <c r="AO686" i="2"/>
  <c r="AO685" i="2"/>
  <c r="AO684" i="2"/>
  <c r="AO683" i="2"/>
  <c r="AO682" i="2"/>
  <c r="AO681" i="2"/>
  <c r="AO680" i="2"/>
  <c r="AO679" i="2"/>
  <c r="AO678" i="2"/>
  <c r="AO677" i="2"/>
  <c r="AO676" i="2"/>
  <c r="AO675" i="2"/>
  <c r="AO674" i="2"/>
  <c r="AO673" i="2"/>
  <c r="AO672" i="2"/>
  <c r="AO671" i="2"/>
  <c r="AO670" i="2"/>
  <c r="AO669" i="2"/>
  <c r="AO668" i="2"/>
  <c r="AO667" i="2"/>
  <c r="AO666" i="2"/>
  <c r="AO665" i="2"/>
  <c r="AO664" i="2"/>
  <c r="AO663" i="2"/>
  <c r="AO662" i="2"/>
  <c r="AO661" i="2"/>
  <c r="AO660" i="2"/>
  <c r="AO659" i="2"/>
  <c r="AO658" i="2"/>
  <c r="AO657" i="2"/>
  <c r="AO656" i="2"/>
  <c r="AO655" i="2"/>
  <c r="AO654" i="2"/>
  <c r="AO653" i="2"/>
  <c r="AO652" i="2"/>
  <c r="AO651" i="2"/>
  <c r="AO650" i="2"/>
  <c r="AO649" i="2"/>
  <c r="AO648" i="2"/>
  <c r="AO647" i="2"/>
  <c r="AO646" i="2"/>
  <c r="AO645" i="2"/>
  <c r="AO644" i="2"/>
  <c r="AO643" i="2"/>
  <c r="AO642" i="2"/>
  <c r="AO641" i="2"/>
  <c r="AO640" i="2"/>
  <c r="AO639" i="2"/>
  <c r="AO638" i="2"/>
  <c r="AO637" i="2"/>
  <c r="AO636" i="2"/>
  <c r="AO635" i="2"/>
  <c r="AO634" i="2"/>
  <c r="AO633" i="2"/>
  <c r="AO632" i="2"/>
  <c r="AO631" i="2"/>
  <c r="AO630" i="2"/>
  <c r="AO629" i="2"/>
  <c r="AO628" i="2"/>
  <c r="AO627" i="2"/>
  <c r="AO626" i="2"/>
  <c r="AO625" i="2"/>
  <c r="AO624" i="2"/>
  <c r="AO623" i="2"/>
  <c r="AO622" i="2"/>
  <c r="AO621" i="2"/>
  <c r="AO620" i="2"/>
  <c r="AO619" i="2"/>
  <c r="AO618" i="2"/>
  <c r="AO617" i="2"/>
  <c r="AO616" i="2"/>
  <c r="AO615" i="2"/>
  <c r="AO614" i="2"/>
  <c r="AO613" i="2"/>
  <c r="AO612" i="2"/>
  <c r="AO611" i="2"/>
  <c r="AO610" i="2"/>
  <c r="AO609" i="2"/>
  <c r="AO608" i="2"/>
  <c r="AO607" i="2"/>
  <c r="AO606" i="2"/>
  <c r="AO605" i="2"/>
  <c r="AO604" i="2"/>
  <c r="AO603" i="2"/>
  <c r="AO602" i="2"/>
  <c r="AO601" i="2"/>
  <c r="AO600" i="2"/>
  <c r="AO599" i="2"/>
  <c r="AO598" i="2"/>
  <c r="AO597" i="2"/>
  <c r="AO596" i="2"/>
  <c r="AO595" i="2"/>
  <c r="AO594" i="2"/>
  <c r="AO593" i="2"/>
  <c r="AO592" i="2"/>
  <c r="AO591" i="2"/>
  <c r="AO590" i="2"/>
  <c r="AO589" i="2"/>
  <c r="AO588" i="2"/>
  <c r="AO587" i="2"/>
  <c r="AO586" i="2"/>
  <c r="AO585" i="2"/>
  <c r="AO584" i="2"/>
  <c r="AO583" i="2"/>
  <c r="AO582" i="2"/>
  <c r="AO581" i="2"/>
  <c r="AO580" i="2"/>
  <c r="AO579" i="2"/>
  <c r="AO578" i="2"/>
  <c r="AO577" i="2"/>
  <c r="AO576" i="2"/>
  <c r="AO575" i="2"/>
  <c r="AO574" i="2"/>
  <c r="AO573" i="2"/>
  <c r="AO572" i="2"/>
  <c r="AO571" i="2"/>
  <c r="AO570" i="2"/>
  <c r="AO569" i="2"/>
  <c r="AO568" i="2"/>
  <c r="AO567" i="2"/>
  <c r="AO566" i="2"/>
  <c r="AO565" i="2"/>
  <c r="AO564" i="2"/>
  <c r="AO563" i="2"/>
  <c r="AO562" i="2"/>
  <c r="AO561" i="2"/>
  <c r="AO560" i="2"/>
  <c r="AO559" i="2"/>
  <c r="AO558" i="2"/>
  <c r="AO557" i="2"/>
  <c r="AO556" i="2"/>
  <c r="AO555" i="2"/>
  <c r="AO554" i="2"/>
  <c r="AO553" i="2"/>
  <c r="AO552" i="2"/>
  <c r="AO551" i="2"/>
  <c r="AO550" i="2"/>
  <c r="AO549" i="2"/>
  <c r="AO548" i="2"/>
  <c r="AO547" i="2"/>
  <c r="AO546" i="2"/>
  <c r="AO545" i="2"/>
  <c r="AO544" i="2"/>
  <c r="AO543" i="2"/>
  <c r="AO542" i="2"/>
  <c r="AO541" i="2"/>
  <c r="AO540" i="2"/>
  <c r="AO539" i="2"/>
  <c r="AO538" i="2"/>
  <c r="AO537" i="2"/>
  <c r="AO536" i="2"/>
  <c r="AO535" i="2"/>
  <c r="AO534" i="2"/>
  <c r="AO533" i="2"/>
  <c r="AO532" i="2"/>
  <c r="AO531" i="2"/>
  <c r="AO530" i="2"/>
  <c r="AO529" i="2"/>
  <c r="AO528" i="2"/>
  <c r="AO527" i="2"/>
  <c r="AO526" i="2"/>
  <c r="AO525" i="2"/>
  <c r="AO524" i="2"/>
  <c r="AO523" i="2"/>
  <c r="AO522" i="2"/>
  <c r="AO521" i="2"/>
  <c r="AO520" i="2"/>
  <c r="AO519" i="2"/>
  <c r="AO518" i="2"/>
  <c r="AO517" i="2"/>
  <c r="AO516" i="2"/>
  <c r="AO515" i="2"/>
  <c r="AO514" i="2"/>
  <c r="AO513" i="2"/>
  <c r="AO512" i="2"/>
  <c r="AO511" i="2"/>
  <c r="AO510" i="2"/>
  <c r="AO509" i="2"/>
  <c r="AO508" i="2"/>
  <c r="AO507" i="2"/>
  <c r="AO506" i="2"/>
  <c r="AO505" i="2"/>
  <c r="AO504" i="2"/>
  <c r="AO503" i="2"/>
  <c r="AO502" i="2"/>
  <c r="AO501" i="2"/>
  <c r="AO500" i="2"/>
  <c r="AO499" i="2"/>
  <c r="AO498" i="2"/>
  <c r="AO497" i="2"/>
  <c r="AO496" i="2"/>
  <c r="AO495" i="2"/>
  <c r="AO494" i="2"/>
  <c r="AO493" i="2"/>
  <c r="AO492" i="2"/>
  <c r="AO491" i="2"/>
  <c r="AO490" i="2"/>
  <c r="AO489" i="2"/>
  <c r="AO488" i="2"/>
  <c r="AO487" i="2"/>
  <c r="AO486" i="2"/>
  <c r="AO485" i="2"/>
  <c r="AO484" i="2"/>
  <c r="AO483" i="2"/>
  <c r="AO482" i="2"/>
  <c r="AO481" i="2"/>
  <c r="AO480" i="2"/>
  <c r="AO479" i="2"/>
  <c r="AO478" i="2"/>
  <c r="AO477" i="2"/>
  <c r="AO476" i="2"/>
  <c r="AO475" i="2"/>
  <c r="AO474" i="2"/>
  <c r="AO473" i="2"/>
  <c r="AO472" i="2"/>
  <c r="AO471" i="2"/>
  <c r="AO470" i="2"/>
  <c r="AO469" i="2"/>
  <c r="AO468" i="2"/>
  <c r="AO467" i="2"/>
  <c r="AO466" i="2"/>
  <c r="AO465" i="2"/>
  <c r="AO464" i="2"/>
  <c r="AO463" i="2"/>
  <c r="AO462" i="2"/>
  <c r="AO461" i="2"/>
  <c r="AO460" i="2"/>
  <c r="AO459" i="2"/>
  <c r="AO458" i="2"/>
  <c r="AO457" i="2"/>
  <c r="AO456" i="2"/>
  <c r="AO455" i="2"/>
  <c r="AO454" i="2"/>
  <c r="AO453" i="2"/>
  <c r="AO452" i="2"/>
  <c r="AO451" i="2"/>
  <c r="AO450" i="2"/>
  <c r="AO449" i="2"/>
  <c r="AO448" i="2"/>
  <c r="AO447" i="2"/>
  <c r="AO446" i="2"/>
  <c r="AO445" i="2"/>
  <c r="AO444" i="2"/>
  <c r="AO443" i="2"/>
  <c r="AO442" i="2"/>
  <c r="AO441" i="2"/>
  <c r="AO440" i="2"/>
  <c r="AO439" i="2"/>
  <c r="AO438" i="2"/>
  <c r="AO437" i="2"/>
  <c r="AO436" i="2"/>
  <c r="AO435" i="2"/>
  <c r="AO434" i="2"/>
  <c r="AO433" i="2"/>
  <c r="AO432" i="2"/>
  <c r="AO431" i="2"/>
  <c r="AO430" i="2"/>
  <c r="AO429" i="2"/>
  <c r="AO428" i="2"/>
  <c r="AO427" i="2"/>
  <c r="AO426" i="2"/>
  <c r="AO425" i="2"/>
  <c r="AO424" i="2"/>
  <c r="AO423" i="2"/>
  <c r="AO422" i="2"/>
  <c r="AO421" i="2"/>
  <c r="AO420" i="2"/>
  <c r="AO419" i="2"/>
  <c r="AO418" i="2"/>
  <c r="AO417" i="2"/>
  <c r="AO416" i="2"/>
  <c r="AO415" i="2"/>
  <c r="AO414" i="2"/>
  <c r="AO413" i="2"/>
  <c r="AO412" i="2"/>
  <c r="AO411" i="2"/>
  <c r="AO410" i="2"/>
  <c r="AO409" i="2"/>
  <c r="AO408" i="2"/>
  <c r="AO407" i="2"/>
  <c r="AO406" i="2"/>
  <c r="AO405" i="2"/>
  <c r="AO404" i="2"/>
  <c r="AO403" i="2"/>
  <c r="AO402" i="2"/>
  <c r="AO401" i="2"/>
  <c r="AO400" i="2"/>
  <c r="AO399" i="2"/>
  <c r="AO398" i="2"/>
  <c r="AO397" i="2"/>
  <c r="AO396" i="2"/>
  <c r="AO395" i="2"/>
  <c r="AO394" i="2"/>
  <c r="AO393" i="2"/>
  <c r="AO392" i="2"/>
  <c r="AO391" i="2"/>
  <c r="AO390" i="2"/>
  <c r="AO389" i="2"/>
  <c r="AO388" i="2"/>
  <c r="AO387" i="2"/>
  <c r="AO386" i="2"/>
  <c r="AO385" i="2"/>
  <c r="AO384" i="2"/>
  <c r="AO383" i="2"/>
  <c r="AO382" i="2"/>
  <c r="AO381" i="2"/>
  <c r="AO380" i="2"/>
  <c r="AO379" i="2"/>
  <c r="AO378" i="2"/>
  <c r="AO377" i="2"/>
  <c r="AO376" i="2"/>
  <c r="AO375" i="2"/>
  <c r="AO374" i="2"/>
  <c r="AO373" i="2"/>
  <c r="AO372" i="2"/>
  <c r="AO371" i="2"/>
  <c r="AO370" i="2"/>
  <c r="AO369" i="2"/>
  <c r="AO368" i="2"/>
  <c r="AO367" i="2"/>
  <c r="AO366" i="2"/>
  <c r="AO365" i="2"/>
  <c r="AO364" i="2"/>
  <c r="AO363" i="2"/>
  <c r="AO362" i="2"/>
  <c r="AO361" i="2"/>
  <c r="AO360" i="2"/>
  <c r="AO359" i="2"/>
  <c r="AO358" i="2"/>
  <c r="AO357" i="2"/>
  <c r="AO356" i="2"/>
  <c r="AO355" i="2"/>
  <c r="AO354" i="2"/>
  <c r="AO353" i="2"/>
  <c r="AO352" i="2"/>
  <c r="AO351" i="2"/>
  <c r="AO350" i="2"/>
  <c r="AO349" i="2"/>
  <c r="AO348" i="2"/>
  <c r="AO347" i="2"/>
  <c r="AO346" i="2"/>
  <c r="AO345" i="2"/>
  <c r="AO344" i="2"/>
  <c r="AO343" i="2"/>
  <c r="AO342" i="2"/>
  <c r="AO341" i="2"/>
  <c r="AO340" i="2"/>
  <c r="AO339" i="2"/>
  <c r="AO338" i="2"/>
  <c r="AO337" i="2"/>
  <c r="AO336" i="2"/>
  <c r="AO335" i="2"/>
  <c r="AO334" i="2"/>
  <c r="AO333" i="2"/>
  <c r="AO332" i="2"/>
  <c r="AO331" i="2"/>
  <c r="AO330" i="2"/>
  <c r="AO329" i="2"/>
  <c r="AO328" i="2"/>
  <c r="AO327" i="2"/>
  <c r="AO326" i="2"/>
  <c r="AO325" i="2"/>
  <c r="AO324" i="2"/>
  <c r="AO323" i="2"/>
  <c r="AO322" i="2"/>
  <c r="AO321" i="2"/>
  <c r="AO320" i="2"/>
  <c r="AO319" i="2"/>
  <c r="AO318" i="2"/>
  <c r="AO317" i="2"/>
  <c r="AO316" i="2"/>
  <c r="AO315" i="2"/>
  <c r="AO314" i="2"/>
  <c r="AO313" i="2"/>
  <c r="AO312" i="2"/>
  <c r="AO311" i="2"/>
  <c r="AO310" i="2"/>
  <c r="AO309" i="2"/>
  <c r="AO308" i="2"/>
  <c r="AO307" i="2"/>
  <c r="AO306" i="2"/>
  <c r="AO305" i="2"/>
  <c r="AO304" i="2"/>
  <c r="AO303" i="2"/>
  <c r="AO302" i="2"/>
  <c r="AO301" i="2"/>
  <c r="AO300" i="2"/>
  <c r="AO299" i="2"/>
  <c r="AO298" i="2"/>
  <c r="AO297" i="2"/>
  <c r="AO296" i="2"/>
  <c r="AO295" i="2"/>
  <c r="AO294" i="2"/>
  <c r="AO293" i="2"/>
  <c r="AO292" i="2"/>
  <c r="AO291" i="2"/>
  <c r="AO290" i="2"/>
  <c r="AO289" i="2"/>
  <c r="AO288" i="2"/>
  <c r="AO287" i="2"/>
  <c r="AO286" i="2"/>
  <c r="AO285" i="2"/>
  <c r="AO284" i="2"/>
  <c r="AO283" i="2"/>
  <c r="AO282" i="2"/>
  <c r="AO281" i="2"/>
  <c r="AO280" i="2"/>
  <c r="AO279" i="2"/>
  <c r="AO278" i="2"/>
  <c r="AO277" i="2"/>
  <c r="AO276" i="2"/>
  <c r="AO275" i="2"/>
  <c r="AO274" i="2"/>
  <c r="AO273" i="2"/>
  <c r="AO272" i="2"/>
  <c r="AO271" i="2"/>
  <c r="AO270" i="2"/>
  <c r="AO269" i="2"/>
  <c r="AO268" i="2"/>
  <c r="AO267" i="2"/>
  <c r="AO266" i="2"/>
  <c r="AO265" i="2"/>
  <c r="AO264" i="2"/>
  <c r="AO263" i="2"/>
  <c r="AO262" i="2"/>
  <c r="AO261" i="2"/>
  <c r="AO260" i="2"/>
  <c r="AO259" i="2"/>
  <c r="AO258" i="2"/>
  <c r="AO257" i="2"/>
  <c r="AO256" i="2"/>
  <c r="AO255" i="2"/>
  <c r="AO254" i="2"/>
  <c r="AO253" i="2"/>
  <c r="AO252" i="2"/>
  <c r="AO251" i="2"/>
  <c r="AO250" i="2"/>
  <c r="AO249" i="2"/>
  <c r="AO248" i="2"/>
  <c r="AO247" i="2"/>
  <c r="AO246" i="2"/>
  <c r="AO245" i="2"/>
  <c r="AO244" i="2"/>
  <c r="AO243" i="2"/>
  <c r="AO242" i="2"/>
  <c r="AO241" i="2"/>
  <c r="AO240" i="2"/>
  <c r="AO239" i="2"/>
  <c r="AO238" i="2"/>
  <c r="AO237" i="2"/>
  <c r="AO236" i="2"/>
  <c r="AO235" i="2"/>
  <c r="AO234" i="2"/>
  <c r="AO233" i="2"/>
  <c r="AO232" i="2"/>
  <c r="AO231" i="2"/>
  <c r="AO230" i="2"/>
  <c r="AO229" i="2"/>
  <c r="AO228" i="2"/>
  <c r="AO227" i="2"/>
  <c r="AO226" i="2"/>
  <c r="AO225" i="2"/>
  <c r="AO224" i="2"/>
  <c r="AO223" i="2"/>
  <c r="AO222" i="2"/>
  <c r="AO221" i="2"/>
  <c r="AO220" i="2"/>
  <c r="AO219" i="2"/>
  <c r="AO218" i="2"/>
  <c r="AO217" i="2"/>
  <c r="AO216" i="2"/>
  <c r="AO215" i="2"/>
  <c r="AO214" i="2"/>
  <c r="AO213" i="2"/>
  <c r="AO212" i="2"/>
  <c r="AO211" i="2"/>
  <c r="AO210" i="2"/>
  <c r="AO209" i="2"/>
  <c r="AO208" i="2"/>
  <c r="AO207" i="2"/>
  <c r="AO206" i="2"/>
  <c r="AO205" i="2"/>
  <c r="AO204" i="2"/>
  <c r="AO203" i="2"/>
  <c r="AO202" i="2"/>
  <c r="AO201" i="2"/>
  <c r="AO200" i="2"/>
  <c r="AO199" i="2"/>
  <c r="AO198" i="2"/>
  <c r="AO197" i="2"/>
  <c r="AO196" i="2"/>
  <c r="AO195" i="2"/>
  <c r="AO194" i="2"/>
  <c r="AO193" i="2"/>
  <c r="AO192" i="2"/>
  <c r="AO191" i="2"/>
  <c r="AO190" i="2"/>
  <c r="AO189" i="2"/>
  <c r="AO188" i="2"/>
  <c r="AO187" i="2"/>
  <c r="AO186" i="2"/>
  <c r="AO185" i="2"/>
  <c r="AO184" i="2"/>
  <c r="AO183" i="2"/>
  <c r="AO182" i="2"/>
  <c r="AO181" i="2"/>
  <c r="AO180" i="2"/>
  <c r="AO179" i="2"/>
  <c r="AO178" i="2"/>
  <c r="AO177" i="2"/>
  <c r="AO176" i="2"/>
  <c r="AO175" i="2"/>
  <c r="AO174" i="2"/>
  <c r="AO173" i="2"/>
  <c r="AO172" i="2"/>
  <c r="AO171" i="2"/>
  <c r="AO170" i="2"/>
  <c r="AO169" i="2"/>
  <c r="AO168" i="2"/>
  <c r="AO167" i="2"/>
  <c r="AO166" i="2"/>
  <c r="AO165" i="2"/>
  <c r="AO164" i="2"/>
  <c r="AO163" i="2"/>
  <c r="AO162" i="2"/>
  <c r="AO161" i="2"/>
  <c r="AO160" i="2"/>
  <c r="AO159" i="2"/>
  <c r="AO158" i="2"/>
  <c r="AO157" i="2"/>
  <c r="AO156" i="2"/>
  <c r="AO155" i="2"/>
  <c r="AO154" i="2"/>
  <c r="AO153" i="2"/>
  <c r="AO152" i="2"/>
  <c r="AO151" i="2"/>
  <c r="AO150" i="2"/>
  <c r="AO149" i="2"/>
  <c r="AO148" i="2"/>
  <c r="AO147" i="2"/>
  <c r="AO146" i="2"/>
  <c r="AO145" i="2"/>
  <c r="AO144" i="2"/>
  <c r="AO143" i="2"/>
  <c r="AO142" i="2"/>
  <c r="AO141" i="2"/>
  <c r="AO140" i="2"/>
  <c r="AO139" i="2"/>
  <c r="AO138" i="2"/>
  <c r="AO137" i="2"/>
  <c r="AO136" i="2"/>
  <c r="AO135" i="2"/>
  <c r="AO134" i="2"/>
  <c r="AO133" i="2"/>
  <c r="AO132" i="2"/>
  <c r="AO131" i="2"/>
  <c r="AO130" i="2"/>
  <c r="AO129" i="2"/>
  <c r="AO128" i="2"/>
  <c r="AO127" i="2"/>
  <c r="AO126" i="2"/>
  <c r="AO125" i="2"/>
  <c r="AO124" i="2"/>
  <c r="AO123" i="2"/>
  <c r="AO122" i="2"/>
  <c r="AO121" i="2"/>
  <c r="AO120" i="2"/>
  <c r="AO119" i="2"/>
  <c r="AO118" i="2"/>
  <c r="AO117" i="2"/>
  <c r="AO116" i="2"/>
  <c r="AO115" i="2"/>
  <c r="AO114" i="2"/>
  <c r="AO113" i="2"/>
  <c r="AO112" i="2"/>
  <c r="AO111" i="2"/>
  <c r="AO110" i="2"/>
  <c r="AO109" i="2"/>
  <c r="AO108" i="2"/>
  <c r="AO107" i="2"/>
  <c r="AO106" i="2"/>
  <c r="AO105" i="2"/>
  <c r="AO104" i="2"/>
  <c r="AO103" i="2"/>
  <c r="AO102" i="2"/>
  <c r="AO101" i="2"/>
  <c r="AO100" i="2"/>
  <c r="AO99" i="2"/>
  <c r="AO98" i="2"/>
  <c r="AO97" i="2"/>
  <c r="AO96" i="2"/>
  <c r="AO95" i="2"/>
  <c r="AO94" i="2"/>
  <c r="AO93" i="2"/>
  <c r="AO92" i="2"/>
  <c r="AO91" i="2"/>
  <c r="AO90" i="2"/>
  <c r="AO89" i="2"/>
  <c r="AO88" i="2"/>
  <c r="AO87" i="2"/>
  <c r="AO86" i="2"/>
  <c r="AO85" i="2"/>
  <c r="AO84" i="2"/>
  <c r="AO83" i="2"/>
  <c r="AO82" i="2"/>
  <c r="AO81" i="2"/>
  <c r="AO80" i="2"/>
  <c r="AO79" i="2"/>
  <c r="AO78" i="2"/>
  <c r="AO77" i="2"/>
  <c r="AO76" i="2"/>
  <c r="AO75" i="2"/>
  <c r="AO74" i="2"/>
  <c r="AO73" i="2"/>
  <c r="AO72" i="2"/>
  <c r="AO71" i="2"/>
  <c r="AO70" i="2"/>
  <c r="AO69" i="2"/>
  <c r="AO68" i="2"/>
  <c r="AO67" i="2"/>
  <c r="AO66" i="2"/>
  <c r="AO65" i="2"/>
  <c r="AO64" i="2"/>
  <c r="AO63" i="2"/>
  <c r="AO62" i="2"/>
  <c r="AO61" i="2"/>
  <c r="AO60" i="2"/>
  <c r="AO59" i="2"/>
  <c r="AO58" i="2"/>
  <c r="AO57" i="2"/>
  <c r="AO56" i="2"/>
  <c r="AO55" i="2"/>
  <c r="AO54" i="2"/>
  <c r="AO53" i="2"/>
  <c r="AO52" i="2"/>
  <c r="AO51" i="2"/>
  <c r="AO50" i="2"/>
  <c r="AO49" i="2"/>
  <c r="AO48" i="2"/>
  <c r="AO47" i="2"/>
  <c r="AO46" i="2"/>
  <c r="AO45" i="2"/>
  <c r="AO44" i="2"/>
  <c r="AO43" i="2"/>
  <c r="AO42" i="2"/>
  <c r="AO41" i="2"/>
  <c r="AO40" i="2"/>
  <c r="AO39" i="2"/>
  <c r="AO38" i="2"/>
  <c r="AO37" i="2"/>
  <c r="AO36" i="2"/>
  <c r="AO35" i="2"/>
  <c r="AO34" i="2"/>
  <c r="AO33" i="2"/>
  <c r="AO32" i="2"/>
  <c r="AO31" i="2"/>
  <c r="AO30" i="2"/>
  <c r="AO29" i="2"/>
  <c r="AO28" i="2"/>
  <c r="AO27" i="2"/>
  <c r="AO26" i="2"/>
  <c r="AO25" i="2"/>
  <c r="AO24" i="2"/>
  <c r="AO23" i="2"/>
  <c r="AO22" i="2"/>
  <c r="AO21" i="2"/>
  <c r="AO20" i="2"/>
  <c r="AO19" i="2"/>
  <c r="AO18" i="2"/>
  <c r="AO17" i="2"/>
  <c r="AO16" i="2"/>
  <c r="AO15" i="2"/>
  <c r="AO14" i="2"/>
  <c r="AO13" i="2"/>
  <c r="AJ1310" i="2"/>
  <c r="AJ1309" i="2"/>
  <c r="AJ1308" i="2"/>
  <c r="AJ1307" i="2"/>
  <c r="AJ1306" i="2"/>
  <c r="AJ1305" i="2"/>
  <c r="AJ1304" i="2"/>
  <c r="AJ1303" i="2"/>
  <c r="AJ1302" i="2"/>
  <c r="AJ1301" i="2"/>
  <c r="AJ1300" i="2"/>
  <c r="AJ1299" i="2"/>
  <c r="AJ1298" i="2"/>
  <c r="AJ1297" i="2"/>
  <c r="AJ1296" i="2"/>
  <c r="AJ1295" i="2"/>
  <c r="AJ1294" i="2"/>
  <c r="AJ1293" i="2"/>
  <c r="AJ1292" i="2"/>
  <c r="AJ1291" i="2"/>
  <c r="AJ1290" i="2"/>
  <c r="AJ1289" i="2"/>
  <c r="AJ1288" i="2"/>
  <c r="AJ1287" i="2"/>
  <c r="AJ1286" i="2"/>
  <c r="AJ1285" i="2"/>
  <c r="AJ1284" i="2"/>
  <c r="AJ1283" i="2"/>
  <c r="AJ1282" i="2"/>
  <c r="AJ1281" i="2"/>
  <c r="AJ1280" i="2"/>
  <c r="AJ1279" i="2"/>
  <c r="AJ1278" i="2"/>
  <c r="AJ1277" i="2"/>
  <c r="AJ1276" i="2"/>
  <c r="AJ1275" i="2"/>
  <c r="AJ1274" i="2"/>
  <c r="AJ1273" i="2"/>
  <c r="AJ1272" i="2"/>
  <c r="AJ1271" i="2"/>
  <c r="AJ1270" i="2"/>
  <c r="AJ1269" i="2"/>
  <c r="AJ1268" i="2"/>
  <c r="AJ1267" i="2"/>
  <c r="AJ1266" i="2"/>
  <c r="AJ1265" i="2"/>
  <c r="AJ1264" i="2"/>
  <c r="AJ1263" i="2"/>
  <c r="AJ1262" i="2"/>
  <c r="AJ1261" i="2"/>
  <c r="AJ1260" i="2"/>
  <c r="AJ1259" i="2"/>
  <c r="AJ1258" i="2"/>
  <c r="AJ1257" i="2"/>
  <c r="AJ1256" i="2"/>
  <c r="AJ1255" i="2"/>
  <c r="AJ1254" i="2"/>
  <c r="AJ1253" i="2"/>
  <c r="AJ1252" i="2"/>
  <c r="AJ1251" i="2"/>
  <c r="AJ1250" i="2"/>
  <c r="AJ1249" i="2"/>
  <c r="AJ1248" i="2"/>
  <c r="AJ1247" i="2"/>
  <c r="AJ1246" i="2"/>
  <c r="AJ1245" i="2"/>
  <c r="AJ1244" i="2"/>
  <c r="AJ1243" i="2"/>
  <c r="AJ1242" i="2"/>
  <c r="AJ1241" i="2"/>
  <c r="AJ1240" i="2"/>
  <c r="AJ1239" i="2"/>
  <c r="AJ1238" i="2"/>
  <c r="AJ1237" i="2"/>
  <c r="AJ1236" i="2"/>
  <c r="AJ1235" i="2"/>
  <c r="AJ1234" i="2"/>
  <c r="AJ1233" i="2"/>
  <c r="AJ1232" i="2"/>
  <c r="AJ1231" i="2"/>
  <c r="AJ1230" i="2"/>
  <c r="AJ1229" i="2"/>
  <c r="AJ1228" i="2"/>
  <c r="AJ1227" i="2"/>
  <c r="AJ1226" i="2"/>
  <c r="AJ1225" i="2"/>
  <c r="AJ1224" i="2"/>
  <c r="AJ1223" i="2"/>
  <c r="AJ1222" i="2"/>
  <c r="AJ1221" i="2"/>
  <c r="AJ1220" i="2"/>
  <c r="AJ1219" i="2"/>
  <c r="AJ1218" i="2"/>
  <c r="AJ1217" i="2"/>
  <c r="AJ1216" i="2"/>
  <c r="AJ1215" i="2"/>
  <c r="AJ1214" i="2"/>
  <c r="AJ1213" i="2"/>
  <c r="AJ1212" i="2"/>
  <c r="AJ1211" i="2"/>
  <c r="AJ1210" i="2"/>
  <c r="AJ1209" i="2"/>
  <c r="AJ1208" i="2"/>
  <c r="AJ1207" i="2"/>
  <c r="AJ1206" i="2"/>
  <c r="AJ1205" i="2"/>
  <c r="AJ1204" i="2"/>
  <c r="AJ1203" i="2"/>
  <c r="AJ1202" i="2"/>
  <c r="AJ1201" i="2"/>
  <c r="AJ1200" i="2"/>
  <c r="AJ1199" i="2"/>
  <c r="AJ1198" i="2"/>
  <c r="AJ1197" i="2"/>
  <c r="AJ1196" i="2"/>
  <c r="AJ1195" i="2"/>
  <c r="AJ1194" i="2"/>
  <c r="AJ1193" i="2"/>
  <c r="AJ1192" i="2"/>
  <c r="AJ1191" i="2"/>
  <c r="AJ1190" i="2"/>
  <c r="AJ1189" i="2"/>
  <c r="AJ1188" i="2"/>
  <c r="AJ1187" i="2"/>
  <c r="AJ1186" i="2"/>
  <c r="AJ1185" i="2"/>
  <c r="AJ1184" i="2"/>
  <c r="AJ1183" i="2"/>
  <c r="AJ1182" i="2"/>
  <c r="AJ1181" i="2"/>
  <c r="AJ1180" i="2"/>
  <c r="AJ1179" i="2"/>
  <c r="AJ1178" i="2"/>
  <c r="AJ1177" i="2"/>
  <c r="AJ1176" i="2"/>
  <c r="AJ1175" i="2"/>
  <c r="AJ1174" i="2"/>
  <c r="AJ1173" i="2"/>
  <c r="AJ1172" i="2"/>
  <c r="AJ1171" i="2"/>
  <c r="AJ1170" i="2"/>
  <c r="AJ1169" i="2"/>
  <c r="AJ1168" i="2"/>
  <c r="AJ1167" i="2"/>
  <c r="AJ1166" i="2"/>
  <c r="AJ1165" i="2"/>
  <c r="AJ1164" i="2"/>
  <c r="AJ1163" i="2"/>
  <c r="AJ1162" i="2"/>
  <c r="AJ1161" i="2"/>
  <c r="AJ1160" i="2"/>
  <c r="AJ1159" i="2"/>
  <c r="AJ1158" i="2"/>
  <c r="AJ1157" i="2"/>
  <c r="AJ1156" i="2"/>
  <c r="AJ1155" i="2"/>
  <c r="AJ1154" i="2"/>
  <c r="AJ1153" i="2"/>
  <c r="AJ1152" i="2"/>
  <c r="AJ1151" i="2"/>
  <c r="AJ1150" i="2"/>
  <c r="AJ1149" i="2"/>
  <c r="AJ1148" i="2"/>
  <c r="AJ1147" i="2"/>
  <c r="AJ1146" i="2"/>
  <c r="AJ1145" i="2"/>
  <c r="AJ1144" i="2"/>
  <c r="AJ1143" i="2"/>
  <c r="AJ1142" i="2"/>
  <c r="AJ1141" i="2"/>
  <c r="AJ1140" i="2"/>
  <c r="AJ1139" i="2"/>
  <c r="AJ1138" i="2"/>
  <c r="AJ1137" i="2"/>
  <c r="AJ1136" i="2"/>
  <c r="AJ1135" i="2"/>
  <c r="AJ1134" i="2"/>
  <c r="AJ1133" i="2"/>
  <c r="AJ1132" i="2"/>
  <c r="AJ1131" i="2"/>
  <c r="AJ1130" i="2"/>
  <c r="AJ1129" i="2"/>
  <c r="AJ1128" i="2"/>
  <c r="AJ1127" i="2"/>
  <c r="AJ1126" i="2"/>
  <c r="AJ1125" i="2"/>
  <c r="AJ1124" i="2"/>
  <c r="AJ1123" i="2"/>
  <c r="AJ1122" i="2"/>
  <c r="AJ1121" i="2"/>
  <c r="AJ1120" i="2"/>
  <c r="AJ1119" i="2"/>
  <c r="AJ1118" i="2"/>
  <c r="AJ1117" i="2"/>
  <c r="AJ1116" i="2"/>
  <c r="AJ1115" i="2"/>
  <c r="AJ1114" i="2"/>
  <c r="AJ1113" i="2"/>
  <c r="AJ1112" i="2"/>
  <c r="AJ1111" i="2"/>
  <c r="AJ1110" i="2"/>
  <c r="AJ1109" i="2"/>
  <c r="AJ1108" i="2"/>
  <c r="AJ1107" i="2"/>
  <c r="AJ1106" i="2"/>
  <c r="AJ1105" i="2"/>
  <c r="AJ1104" i="2"/>
  <c r="AJ1103" i="2"/>
  <c r="AJ1102" i="2"/>
  <c r="AJ1101" i="2"/>
  <c r="AJ1100" i="2"/>
  <c r="AJ1099" i="2"/>
  <c r="AJ1098" i="2"/>
  <c r="AJ1097" i="2"/>
  <c r="AJ1096" i="2"/>
  <c r="AJ1095" i="2"/>
  <c r="AJ1094" i="2"/>
  <c r="AJ1093" i="2"/>
  <c r="AJ1092" i="2"/>
  <c r="AJ1091" i="2"/>
  <c r="AJ1090" i="2"/>
  <c r="AJ1089" i="2"/>
  <c r="AJ1088" i="2"/>
  <c r="AJ1087" i="2"/>
  <c r="AJ1086" i="2"/>
  <c r="AJ1085" i="2"/>
  <c r="AJ1084" i="2"/>
  <c r="AJ1083" i="2"/>
  <c r="AJ1082" i="2"/>
  <c r="AJ1081" i="2"/>
  <c r="AJ1080" i="2"/>
  <c r="AJ1079" i="2"/>
  <c r="AJ1078" i="2"/>
  <c r="AJ1077" i="2"/>
  <c r="AJ1076" i="2"/>
  <c r="AJ1075" i="2"/>
  <c r="AJ1074" i="2"/>
  <c r="AJ1073" i="2"/>
  <c r="AJ1072" i="2"/>
  <c r="AJ1071" i="2"/>
  <c r="AJ1070" i="2"/>
  <c r="AJ1069" i="2"/>
  <c r="AJ1068" i="2"/>
  <c r="AJ1067" i="2"/>
  <c r="AJ1066" i="2"/>
  <c r="AJ1065" i="2"/>
  <c r="AJ1064" i="2"/>
  <c r="AJ1063" i="2"/>
  <c r="AJ1062" i="2"/>
  <c r="AJ1061" i="2"/>
  <c r="AJ1060" i="2"/>
  <c r="AJ1059" i="2"/>
  <c r="AJ1058" i="2"/>
  <c r="AJ1057" i="2"/>
  <c r="AJ1056" i="2"/>
  <c r="AJ1055" i="2"/>
  <c r="AJ1054" i="2"/>
  <c r="AJ1053" i="2"/>
  <c r="AJ1052" i="2"/>
  <c r="AJ1051" i="2"/>
  <c r="AJ1050" i="2"/>
  <c r="AJ1049" i="2"/>
  <c r="AJ1048" i="2"/>
  <c r="AJ1047" i="2"/>
  <c r="AJ1046" i="2"/>
  <c r="AJ1045" i="2"/>
  <c r="AJ1044" i="2"/>
  <c r="AJ1043" i="2"/>
  <c r="AJ1042" i="2"/>
  <c r="AJ1041" i="2"/>
  <c r="AJ1040" i="2"/>
  <c r="AJ1039" i="2"/>
  <c r="AJ1038" i="2"/>
  <c r="AJ1037" i="2"/>
  <c r="AJ1036" i="2"/>
  <c r="AJ1035" i="2"/>
  <c r="AJ1034" i="2"/>
  <c r="AJ1033" i="2"/>
  <c r="AJ1032" i="2"/>
  <c r="AJ1031" i="2"/>
  <c r="AJ1030" i="2"/>
  <c r="AJ1029" i="2"/>
  <c r="AJ1028" i="2"/>
  <c r="AJ1027" i="2"/>
  <c r="AJ1026" i="2"/>
  <c r="AJ1025" i="2"/>
  <c r="AJ1024" i="2"/>
  <c r="AJ1023" i="2"/>
  <c r="AJ1022" i="2"/>
  <c r="AJ1021" i="2"/>
  <c r="AJ1020" i="2"/>
  <c r="AJ1019" i="2"/>
  <c r="AJ1018" i="2"/>
  <c r="AJ1017" i="2"/>
  <c r="AJ1016" i="2"/>
  <c r="AJ1015" i="2"/>
  <c r="AJ1014" i="2"/>
  <c r="AJ1013" i="2"/>
  <c r="AJ1012" i="2"/>
  <c r="AJ1011" i="2"/>
  <c r="AJ1010" i="2"/>
  <c r="AJ1009" i="2"/>
  <c r="AJ1008" i="2"/>
  <c r="AJ1007" i="2"/>
  <c r="AJ1006" i="2"/>
  <c r="AJ1005" i="2"/>
  <c r="AJ1004" i="2"/>
  <c r="AJ1003" i="2"/>
  <c r="AJ1002" i="2"/>
  <c r="AJ1001" i="2"/>
  <c r="AJ1000" i="2"/>
  <c r="AJ999" i="2"/>
  <c r="AJ998" i="2"/>
  <c r="AJ997" i="2"/>
  <c r="AJ996" i="2"/>
  <c r="AJ995" i="2"/>
  <c r="AJ994" i="2"/>
  <c r="AJ993" i="2"/>
  <c r="AJ992" i="2"/>
  <c r="AJ991" i="2"/>
  <c r="AJ990" i="2"/>
  <c r="AJ989" i="2"/>
  <c r="AJ988" i="2"/>
  <c r="AJ987" i="2"/>
  <c r="AJ986" i="2"/>
  <c r="AJ985" i="2"/>
  <c r="AJ984" i="2"/>
  <c r="AJ983" i="2"/>
  <c r="AJ982" i="2"/>
  <c r="AJ981" i="2"/>
  <c r="AJ980" i="2"/>
  <c r="AJ979" i="2"/>
  <c r="AJ978" i="2"/>
  <c r="AJ977" i="2"/>
  <c r="AJ976" i="2"/>
  <c r="AJ975" i="2"/>
  <c r="AJ974" i="2"/>
  <c r="AJ973" i="2"/>
  <c r="AJ972" i="2"/>
  <c r="AJ971" i="2"/>
  <c r="AJ970" i="2"/>
  <c r="AJ969" i="2"/>
  <c r="AJ968" i="2"/>
  <c r="AJ967" i="2"/>
  <c r="AJ966" i="2"/>
  <c r="AJ965" i="2"/>
  <c r="AJ964" i="2"/>
  <c r="AJ963" i="2"/>
  <c r="AJ962" i="2"/>
  <c r="AJ961" i="2"/>
  <c r="AJ960" i="2"/>
  <c r="AJ959" i="2"/>
  <c r="AJ958" i="2"/>
  <c r="AJ957" i="2"/>
  <c r="AJ956" i="2"/>
  <c r="AJ955" i="2"/>
  <c r="AJ954" i="2"/>
  <c r="AJ953" i="2"/>
  <c r="AJ952" i="2"/>
  <c r="AJ951" i="2"/>
  <c r="AJ950" i="2"/>
  <c r="AJ949" i="2"/>
  <c r="AJ948" i="2"/>
  <c r="AJ947" i="2"/>
  <c r="AJ946" i="2"/>
  <c r="AJ945" i="2"/>
  <c r="AJ944" i="2"/>
  <c r="AJ943" i="2"/>
  <c r="AJ942" i="2"/>
  <c r="AJ941" i="2"/>
  <c r="AJ940" i="2"/>
  <c r="AJ939" i="2"/>
  <c r="AJ938" i="2"/>
  <c r="AJ937" i="2"/>
  <c r="AJ936" i="2"/>
  <c r="AJ935" i="2"/>
  <c r="AJ934" i="2"/>
  <c r="AJ933" i="2"/>
  <c r="AJ932" i="2"/>
  <c r="AJ931" i="2"/>
  <c r="AJ930" i="2"/>
  <c r="AJ929" i="2"/>
  <c r="AJ928" i="2"/>
  <c r="AJ927" i="2"/>
  <c r="AJ926" i="2"/>
  <c r="AJ925" i="2"/>
  <c r="AJ924" i="2"/>
  <c r="AJ923" i="2"/>
  <c r="AJ922" i="2"/>
  <c r="AJ921" i="2"/>
  <c r="AJ920" i="2"/>
  <c r="AJ919" i="2"/>
  <c r="AJ918" i="2"/>
  <c r="AJ917" i="2"/>
  <c r="AJ916" i="2"/>
  <c r="AJ915" i="2"/>
  <c r="AJ914" i="2"/>
  <c r="AJ913" i="2"/>
  <c r="AJ912" i="2"/>
  <c r="AJ911" i="2"/>
  <c r="AJ910" i="2"/>
  <c r="AJ909" i="2"/>
  <c r="AJ908" i="2"/>
  <c r="AJ907" i="2"/>
  <c r="AJ906" i="2"/>
  <c r="AJ905" i="2"/>
  <c r="AJ904" i="2"/>
  <c r="AJ903" i="2"/>
  <c r="AJ902" i="2"/>
  <c r="AJ901" i="2"/>
  <c r="AJ900" i="2"/>
  <c r="AJ899" i="2"/>
  <c r="AJ898" i="2"/>
  <c r="AJ897" i="2"/>
  <c r="AJ896" i="2"/>
  <c r="AJ895" i="2"/>
  <c r="AJ894" i="2"/>
  <c r="AJ893" i="2"/>
  <c r="AJ892" i="2"/>
  <c r="AJ891" i="2"/>
  <c r="AJ890" i="2"/>
  <c r="AJ889" i="2"/>
  <c r="AJ888" i="2"/>
  <c r="AJ887" i="2"/>
  <c r="AJ886" i="2"/>
  <c r="AJ885" i="2"/>
  <c r="AJ884" i="2"/>
  <c r="AJ883" i="2"/>
  <c r="AJ882" i="2"/>
  <c r="AJ881" i="2"/>
  <c r="AJ880" i="2"/>
  <c r="AJ879" i="2"/>
  <c r="AJ878" i="2"/>
  <c r="AJ877" i="2"/>
  <c r="AJ876" i="2"/>
  <c r="AJ875" i="2"/>
  <c r="AJ874" i="2"/>
  <c r="AJ873" i="2"/>
  <c r="AJ872" i="2"/>
  <c r="AJ871" i="2"/>
  <c r="AJ870" i="2"/>
  <c r="AJ869" i="2"/>
  <c r="AJ868" i="2"/>
  <c r="AJ867" i="2"/>
  <c r="AJ866" i="2"/>
  <c r="AJ865" i="2"/>
  <c r="AJ864" i="2"/>
  <c r="AJ863" i="2"/>
  <c r="AJ862" i="2"/>
  <c r="AJ861" i="2"/>
  <c r="AJ860" i="2"/>
  <c r="AJ859" i="2"/>
  <c r="AJ858" i="2"/>
  <c r="AJ857" i="2"/>
  <c r="AJ856" i="2"/>
  <c r="AJ855" i="2"/>
  <c r="AJ854" i="2"/>
  <c r="AJ853" i="2"/>
  <c r="AJ852" i="2"/>
  <c r="AJ851" i="2"/>
  <c r="AJ850" i="2"/>
  <c r="AJ849" i="2"/>
  <c r="AJ848" i="2"/>
  <c r="AJ847" i="2"/>
  <c r="AJ846" i="2"/>
  <c r="AJ845" i="2"/>
  <c r="AJ844" i="2"/>
  <c r="AJ843" i="2"/>
  <c r="AJ842" i="2"/>
  <c r="AJ841" i="2"/>
  <c r="AJ840" i="2"/>
  <c r="AJ839" i="2"/>
  <c r="AJ838" i="2"/>
  <c r="AJ837" i="2"/>
  <c r="AJ836" i="2"/>
  <c r="AJ835" i="2"/>
  <c r="AJ834" i="2"/>
  <c r="AJ833" i="2"/>
  <c r="AJ832" i="2"/>
  <c r="AJ831" i="2"/>
  <c r="AJ830" i="2"/>
  <c r="AJ829" i="2"/>
  <c r="AJ828" i="2"/>
  <c r="AJ827" i="2"/>
  <c r="AJ826" i="2"/>
  <c r="AJ825" i="2"/>
  <c r="AJ824" i="2"/>
  <c r="AJ823" i="2"/>
  <c r="AJ822" i="2"/>
  <c r="AJ821" i="2"/>
  <c r="AJ820" i="2"/>
  <c r="AJ819" i="2"/>
  <c r="AJ818" i="2"/>
  <c r="AJ817" i="2"/>
  <c r="AJ816" i="2"/>
  <c r="AJ815" i="2"/>
  <c r="AJ814" i="2"/>
  <c r="AJ813" i="2"/>
  <c r="AJ812" i="2"/>
  <c r="AJ811" i="2"/>
  <c r="AJ810" i="2"/>
  <c r="AJ809" i="2"/>
  <c r="AJ808" i="2"/>
  <c r="AJ807" i="2"/>
  <c r="AJ806" i="2"/>
  <c r="AJ805" i="2"/>
  <c r="AJ804" i="2"/>
  <c r="AJ803" i="2"/>
  <c r="AJ802" i="2"/>
  <c r="AJ801" i="2"/>
  <c r="AJ800" i="2"/>
  <c r="AJ799" i="2"/>
  <c r="AJ798" i="2"/>
  <c r="AJ797" i="2"/>
  <c r="AJ796" i="2"/>
  <c r="AJ795" i="2"/>
  <c r="AJ794" i="2"/>
  <c r="AJ793" i="2"/>
  <c r="AJ792" i="2"/>
  <c r="AJ791" i="2"/>
  <c r="AJ790" i="2"/>
  <c r="AJ789" i="2"/>
  <c r="AJ788" i="2"/>
  <c r="AJ787" i="2"/>
  <c r="AJ786" i="2"/>
  <c r="AJ785" i="2"/>
  <c r="AJ784" i="2"/>
  <c r="AJ783" i="2"/>
  <c r="AJ782" i="2"/>
  <c r="AJ781" i="2"/>
  <c r="AJ780" i="2"/>
  <c r="AJ779" i="2"/>
  <c r="AJ778" i="2"/>
  <c r="AJ777" i="2"/>
  <c r="AJ776" i="2"/>
  <c r="AJ775" i="2"/>
  <c r="AJ774" i="2"/>
  <c r="AJ773" i="2"/>
  <c r="AJ772" i="2"/>
  <c r="AJ771" i="2"/>
  <c r="AJ770" i="2"/>
  <c r="AJ769" i="2"/>
  <c r="AJ768" i="2"/>
  <c r="AJ767" i="2"/>
  <c r="AJ766" i="2"/>
  <c r="AJ765" i="2"/>
  <c r="AJ764" i="2"/>
  <c r="AJ763" i="2"/>
  <c r="AJ762" i="2"/>
  <c r="AJ761" i="2"/>
  <c r="AJ760" i="2"/>
  <c r="AJ759" i="2"/>
  <c r="AJ758" i="2"/>
  <c r="AJ757" i="2"/>
  <c r="AJ756" i="2"/>
  <c r="AJ755" i="2"/>
  <c r="AJ754" i="2"/>
  <c r="AJ753" i="2"/>
  <c r="AJ752" i="2"/>
  <c r="AJ751" i="2"/>
  <c r="AJ750" i="2"/>
  <c r="AJ749" i="2"/>
  <c r="AJ748" i="2"/>
  <c r="AJ747" i="2"/>
  <c r="AJ746" i="2"/>
  <c r="AJ745" i="2"/>
  <c r="AJ744" i="2"/>
  <c r="AJ743" i="2"/>
  <c r="AJ742" i="2"/>
  <c r="AJ741" i="2"/>
  <c r="AJ740" i="2"/>
  <c r="AJ739" i="2"/>
  <c r="AJ738" i="2"/>
  <c r="AJ737" i="2"/>
  <c r="AJ736" i="2"/>
  <c r="AJ735" i="2"/>
  <c r="AJ734" i="2"/>
  <c r="AJ733" i="2"/>
  <c r="AJ732" i="2"/>
  <c r="AJ731" i="2"/>
  <c r="AJ730" i="2"/>
  <c r="AJ729" i="2"/>
  <c r="AJ728" i="2"/>
  <c r="AJ727" i="2"/>
  <c r="AJ726" i="2"/>
  <c r="AJ725" i="2"/>
  <c r="AJ724" i="2"/>
  <c r="AJ723" i="2"/>
  <c r="AJ722" i="2"/>
  <c r="AJ721" i="2"/>
  <c r="AJ720" i="2"/>
  <c r="AJ719" i="2"/>
  <c r="AJ718" i="2"/>
  <c r="AJ717" i="2"/>
  <c r="AJ716" i="2"/>
  <c r="AJ715" i="2"/>
  <c r="AJ714" i="2"/>
  <c r="AJ713" i="2"/>
  <c r="AJ712" i="2"/>
  <c r="AJ711" i="2"/>
  <c r="AJ710" i="2"/>
  <c r="AJ709" i="2"/>
  <c r="AJ708" i="2"/>
  <c r="AJ707" i="2"/>
  <c r="AJ706" i="2"/>
  <c r="AJ705" i="2"/>
  <c r="AJ704" i="2"/>
  <c r="AJ703" i="2"/>
  <c r="AJ702" i="2"/>
  <c r="AJ701" i="2"/>
  <c r="AJ700" i="2"/>
  <c r="AJ699" i="2"/>
  <c r="AJ698" i="2"/>
  <c r="AJ697" i="2"/>
  <c r="AJ696" i="2"/>
  <c r="AJ695" i="2"/>
  <c r="AJ694" i="2"/>
  <c r="AJ693" i="2"/>
  <c r="AJ692" i="2"/>
  <c r="AJ691" i="2"/>
  <c r="AJ690" i="2"/>
  <c r="AJ689" i="2"/>
  <c r="AJ688" i="2"/>
  <c r="AJ687" i="2"/>
  <c r="AJ686" i="2"/>
  <c r="AJ685" i="2"/>
  <c r="AJ684" i="2"/>
  <c r="AJ683" i="2"/>
  <c r="AJ682" i="2"/>
  <c r="AJ681" i="2"/>
  <c r="AJ680" i="2"/>
  <c r="AJ679" i="2"/>
  <c r="AJ678" i="2"/>
  <c r="AJ677" i="2"/>
  <c r="AJ676" i="2"/>
  <c r="AJ675" i="2"/>
  <c r="AJ674" i="2"/>
  <c r="AJ673" i="2"/>
  <c r="AJ672" i="2"/>
  <c r="AJ671" i="2"/>
  <c r="AJ670" i="2"/>
  <c r="AJ669" i="2"/>
  <c r="AJ668" i="2"/>
  <c r="AJ667" i="2"/>
  <c r="AJ666" i="2"/>
  <c r="AJ665" i="2"/>
  <c r="AJ664" i="2"/>
  <c r="AJ663" i="2"/>
  <c r="AJ662" i="2"/>
  <c r="AJ661" i="2"/>
  <c r="AJ660" i="2"/>
  <c r="AJ659" i="2"/>
  <c r="AJ658" i="2"/>
  <c r="AJ657" i="2"/>
  <c r="AJ656" i="2"/>
  <c r="AJ655" i="2"/>
  <c r="AJ654" i="2"/>
  <c r="AJ653" i="2"/>
  <c r="AJ652" i="2"/>
  <c r="AJ651" i="2"/>
  <c r="AJ650" i="2"/>
  <c r="AJ649" i="2"/>
  <c r="AJ648" i="2"/>
  <c r="AJ647" i="2"/>
  <c r="AJ646" i="2"/>
  <c r="AJ645" i="2"/>
  <c r="AJ644" i="2"/>
  <c r="AJ643" i="2"/>
  <c r="AJ642" i="2"/>
  <c r="AJ641" i="2"/>
  <c r="AJ640" i="2"/>
  <c r="AJ639" i="2"/>
  <c r="AJ638" i="2"/>
  <c r="AJ637" i="2"/>
  <c r="AJ636" i="2"/>
  <c r="AJ635" i="2"/>
  <c r="AJ634" i="2"/>
  <c r="AJ633" i="2"/>
  <c r="AJ632" i="2"/>
  <c r="AJ631" i="2"/>
  <c r="AJ630" i="2"/>
  <c r="AJ629" i="2"/>
  <c r="AJ628" i="2"/>
  <c r="AJ627" i="2"/>
  <c r="AJ626" i="2"/>
  <c r="AJ625" i="2"/>
  <c r="AJ624" i="2"/>
  <c r="AJ623" i="2"/>
  <c r="AJ622" i="2"/>
  <c r="AJ621" i="2"/>
  <c r="AJ620" i="2"/>
  <c r="AJ619" i="2"/>
  <c r="AJ618" i="2"/>
  <c r="AJ617" i="2"/>
  <c r="AJ616" i="2"/>
  <c r="AJ615" i="2"/>
  <c r="AJ614" i="2"/>
  <c r="AJ613" i="2"/>
  <c r="AJ612" i="2"/>
  <c r="AJ611" i="2"/>
  <c r="AJ610" i="2"/>
  <c r="AJ609" i="2"/>
  <c r="AJ608" i="2"/>
  <c r="AJ607" i="2"/>
  <c r="AJ606" i="2"/>
  <c r="AJ605" i="2"/>
  <c r="AJ604" i="2"/>
  <c r="AJ603" i="2"/>
  <c r="AJ602" i="2"/>
  <c r="AJ601" i="2"/>
  <c r="AJ600" i="2"/>
  <c r="AJ599" i="2"/>
  <c r="AJ598" i="2"/>
  <c r="AJ597" i="2"/>
  <c r="AJ596" i="2"/>
  <c r="AJ595" i="2"/>
  <c r="AJ594" i="2"/>
  <c r="AJ593" i="2"/>
  <c r="AJ592" i="2"/>
  <c r="AJ591" i="2"/>
  <c r="AJ590" i="2"/>
  <c r="AJ589" i="2"/>
  <c r="AJ588" i="2"/>
  <c r="AJ587" i="2"/>
  <c r="AJ586" i="2"/>
  <c r="AJ585" i="2"/>
  <c r="AJ584" i="2"/>
  <c r="AJ583" i="2"/>
  <c r="AJ582" i="2"/>
  <c r="AJ581" i="2"/>
  <c r="AJ580" i="2"/>
  <c r="AJ579" i="2"/>
  <c r="AJ578" i="2"/>
  <c r="AJ577" i="2"/>
  <c r="AJ576" i="2"/>
  <c r="AJ575" i="2"/>
  <c r="AJ574" i="2"/>
  <c r="AJ573" i="2"/>
  <c r="AJ572" i="2"/>
  <c r="AJ571" i="2"/>
  <c r="AJ570" i="2"/>
  <c r="AJ569" i="2"/>
  <c r="AJ568" i="2"/>
  <c r="AJ567" i="2"/>
  <c r="AJ566" i="2"/>
  <c r="AJ565" i="2"/>
  <c r="AJ564" i="2"/>
  <c r="AJ563" i="2"/>
  <c r="AJ562" i="2"/>
  <c r="AJ561" i="2"/>
  <c r="AJ560" i="2"/>
  <c r="AJ559" i="2"/>
  <c r="AJ558" i="2"/>
  <c r="AJ557" i="2"/>
  <c r="AJ556" i="2"/>
  <c r="AJ555" i="2"/>
  <c r="AJ554" i="2"/>
  <c r="AJ553" i="2"/>
  <c r="AJ552" i="2"/>
  <c r="AJ551" i="2"/>
  <c r="AJ550" i="2"/>
  <c r="AJ549" i="2"/>
  <c r="AJ548" i="2"/>
  <c r="AJ547" i="2"/>
  <c r="AJ546" i="2"/>
  <c r="AJ545" i="2"/>
  <c r="AJ544" i="2"/>
  <c r="AJ543" i="2"/>
  <c r="AJ542" i="2"/>
  <c r="AJ541" i="2"/>
  <c r="AJ540" i="2"/>
  <c r="AJ539" i="2"/>
  <c r="AJ538" i="2"/>
  <c r="AJ537" i="2"/>
  <c r="AJ536" i="2"/>
  <c r="AJ535" i="2"/>
  <c r="AJ534" i="2"/>
  <c r="AJ533" i="2"/>
  <c r="AJ532" i="2"/>
  <c r="AJ531" i="2"/>
  <c r="AJ530" i="2"/>
  <c r="AJ529" i="2"/>
  <c r="AJ528" i="2"/>
  <c r="AJ527" i="2"/>
  <c r="AJ526" i="2"/>
  <c r="AJ525" i="2"/>
  <c r="AJ524" i="2"/>
  <c r="AJ523" i="2"/>
  <c r="AJ522" i="2"/>
  <c r="AJ521" i="2"/>
  <c r="AJ520" i="2"/>
  <c r="AJ519" i="2"/>
  <c r="AJ518" i="2"/>
  <c r="AJ517" i="2"/>
  <c r="AJ516" i="2"/>
  <c r="AJ515" i="2"/>
  <c r="AJ514" i="2"/>
  <c r="AJ513" i="2"/>
  <c r="AJ512" i="2"/>
  <c r="AJ511" i="2"/>
  <c r="AJ510" i="2"/>
  <c r="AJ509" i="2"/>
  <c r="AJ508" i="2"/>
  <c r="AJ507" i="2"/>
  <c r="AJ506" i="2"/>
  <c r="AJ505" i="2"/>
  <c r="AJ504" i="2"/>
  <c r="AJ503" i="2"/>
  <c r="AJ502" i="2"/>
  <c r="AJ501" i="2"/>
  <c r="AJ500" i="2"/>
  <c r="AJ499" i="2"/>
  <c r="AJ498" i="2"/>
  <c r="AJ497" i="2"/>
  <c r="AJ496" i="2"/>
  <c r="AJ495" i="2"/>
  <c r="AJ494" i="2"/>
  <c r="AJ493" i="2"/>
  <c r="AJ492" i="2"/>
  <c r="AJ491" i="2"/>
  <c r="AJ490" i="2"/>
  <c r="AJ489" i="2"/>
  <c r="AJ488" i="2"/>
  <c r="AJ487" i="2"/>
  <c r="AJ486" i="2"/>
  <c r="AJ485" i="2"/>
  <c r="AJ484" i="2"/>
  <c r="AJ483" i="2"/>
  <c r="AJ482" i="2"/>
  <c r="AJ481" i="2"/>
  <c r="AJ480" i="2"/>
  <c r="AJ479" i="2"/>
  <c r="AJ478" i="2"/>
  <c r="AJ477" i="2"/>
  <c r="AJ476" i="2"/>
  <c r="AJ475" i="2"/>
  <c r="AJ474" i="2"/>
  <c r="AJ473" i="2"/>
  <c r="AJ472" i="2"/>
  <c r="AJ471" i="2"/>
  <c r="AJ470" i="2"/>
  <c r="AJ469" i="2"/>
  <c r="AJ468" i="2"/>
  <c r="AJ467" i="2"/>
  <c r="AJ466" i="2"/>
  <c r="AJ465" i="2"/>
  <c r="AJ464" i="2"/>
  <c r="AJ463" i="2"/>
  <c r="AJ462" i="2"/>
  <c r="AJ461" i="2"/>
  <c r="AJ460" i="2"/>
  <c r="AJ459" i="2"/>
  <c r="AJ458" i="2"/>
  <c r="AJ457" i="2"/>
  <c r="AJ456" i="2"/>
  <c r="AJ455" i="2"/>
  <c r="AJ454" i="2"/>
  <c r="AJ453" i="2"/>
  <c r="AJ452" i="2"/>
  <c r="AJ451" i="2"/>
  <c r="AJ450" i="2"/>
  <c r="AJ449" i="2"/>
  <c r="AJ448" i="2"/>
  <c r="AJ447" i="2"/>
  <c r="AJ446" i="2"/>
  <c r="AJ445" i="2"/>
  <c r="AJ444" i="2"/>
  <c r="AJ443" i="2"/>
  <c r="AJ442" i="2"/>
  <c r="AJ441" i="2"/>
  <c r="AJ440" i="2"/>
  <c r="AJ439" i="2"/>
  <c r="AJ438" i="2"/>
  <c r="AJ437" i="2"/>
  <c r="AJ436" i="2"/>
  <c r="AJ435" i="2"/>
  <c r="AJ434" i="2"/>
  <c r="AJ433" i="2"/>
  <c r="AJ432" i="2"/>
  <c r="AJ431" i="2"/>
  <c r="AJ430" i="2"/>
  <c r="AJ429" i="2"/>
  <c r="AJ428" i="2"/>
  <c r="AJ427" i="2"/>
  <c r="AJ426" i="2"/>
  <c r="AJ425" i="2"/>
  <c r="AJ424" i="2"/>
  <c r="AJ423" i="2"/>
  <c r="AJ422" i="2"/>
  <c r="AJ421" i="2"/>
  <c r="AJ420" i="2"/>
  <c r="AJ419" i="2"/>
  <c r="AJ418" i="2"/>
  <c r="AJ417" i="2"/>
  <c r="AJ416" i="2"/>
  <c r="AJ415" i="2"/>
  <c r="AJ414" i="2"/>
  <c r="AJ413" i="2"/>
  <c r="AJ412" i="2"/>
  <c r="AJ411" i="2"/>
  <c r="AJ410" i="2"/>
  <c r="AJ409" i="2"/>
  <c r="AJ408" i="2"/>
  <c r="AJ407" i="2"/>
  <c r="AJ406" i="2"/>
  <c r="AJ405" i="2"/>
  <c r="AJ404" i="2"/>
  <c r="AJ403" i="2"/>
  <c r="AJ402" i="2"/>
  <c r="AJ401" i="2"/>
  <c r="AJ400" i="2"/>
  <c r="AJ399" i="2"/>
  <c r="AJ398" i="2"/>
  <c r="AJ397" i="2"/>
  <c r="AJ396" i="2"/>
  <c r="AJ395" i="2"/>
  <c r="AJ394" i="2"/>
  <c r="AJ393" i="2"/>
  <c r="AJ392" i="2"/>
  <c r="AJ391" i="2"/>
  <c r="AJ390" i="2"/>
  <c r="AJ389" i="2"/>
  <c r="AJ388" i="2"/>
  <c r="AJ387" i="2"/>
  <c r="AJ386" i="2"/>
  <c r="AJ385" i="2"/>
  <c r="AJ384" i="2"/>
  <c r="AJ383" i="2"/>
  <c r="AJ382" i="2"/>
  <c r="AJ381" i="2"/>
  <c r="AJ380" i="2"/>
  <c r="AJ379" i="2"/>
  <c r="AJ378" i="2"/>
  <c r="AJ377" i="2"/>
  <c r="AJ376" i="2"/>
  <c r="AJ375" i="2"/>
  <c r="AJ374" i="2"/>
  <c r="AJ373" i="2"/>
  <c r="AJ372" i="2"/>
  <c r="AJ371" i="2"/>
  <c r="AJ370" i="2"/>
  <c r="AJ369" i="2"/>
  <c r="AJ368" i="2"/>
  <c r="AJ367" i="2"/>
  <c r="AJ366" i="2"/>
  <c r="AJ365" i="2"/>
  <c r="AJ364" i="2"/>
  <c r="AJ363" i="2"/>
  <c r="AJ362" i="2"/>
  <c r="AJ361" i="2"/>
  <c r="AJ360" i="2"/>
  <c r="AJ359" i="2"/>
  <c r="AJ358" i="2"/>
  <c r="AJ357" i="2"/>
  <c r="AJ356" i="2"/>
  <c r="AJ355" i="2"/>
  <c r="AJ354" i="2"/>
  <c r="AJ353" i="2"/>
  <c r="AJ352" i="2"/>
  <c r="AJ351" i="2"/>
  <c r="AJ350" i="2"/>
  <c r="AJ349" i="2"/>
  <c r="AJ348" i="2"/>
  <c r="AJ347" i="2"/>
  <c r="AJ346" i="2"/>
  <c r="AJ345" i="2"/>
  <c r="AJ344" i="2"/>
  <c r="AJ343" i="2"/>
  <c r="AJ342" i="2"/>
  <c r="AJ341" i="2"/>
  <c r="AJ340" i="2"/>
  <c r="AJ339" i="2"/>
  <c r="AJ338" i="2"/>
  <c r="AJ337" i="2"/>
  <c r="AJ336" i="2"/>
  <c r="AJ335" i="2"/>
  <c r="AJ334" i="2"/>
  <c r="AJ333" i="2"/>
  <c r="AJ332" i="2"/>
  <c r="AJ331" i="2"/>
  <c r="AJ330" i="2"/>
  <c r="AJ329" i="2"/>
  <c r="AJ328" i="2"/>
  <c r="AJ327" i="2"/>
  <c r="AJ326" i="2"/>
  <c r="AJ325" i="2"/>
  <c r="AJ324" i="2"/>
  <c r="AJ323" i="2"/>
  <c r="AJ322" i="2"/>
  <c r="AJ321" i="2"/>
  <c r="AJ320" i="2"/>
  <c r="AJ319" i="2"/>
  <c r="AJ318" i="2"/>
  <c r="AJ317" i="2"/>
  <c r="AJ316" i="2"/>
  <c r="AJ315" i="2"/>
  <c r="AJ314" i="2"/>
  <c r="AJ313" i="2"/>
  <c r="AJ312" i="2"/>
  <c r="AJ311" i="2"/>
  <c r="AJ310" i="2"/>
  <c r="AJ309" i="2"/>
  <c r="AJ308" i="2"/>
  <c r="AJ307" i="2"/>
  <c r="AJ306" i="2"/>
  <c r="AJ305" i="2"/>
  <c r="AJ304" i="2"/>
  <c r="AJ303" i="2"/>
  <c r="AJ302" i="2"/>
  <c r="AJ301" i="2"/>
  <c r="AJ300" i="2"/>
  <c r="AJ299" i="2"/>
  <c r="AJ298" i="2"/>
  <c r="AJ297" i="2"/>
  <c r="AJ296" i="2"/>
  <c r="AJ295" i="2"/>
  <c r="AJ294" i="2"/>
  <c r="AJ293" i="2"/>
  <c r="AJ292" i="2"/>
  <c r="AJ291" i="2"/>
  <c r="AJ290" i="2"/>
  <c r="AJ289" i="2"/>
  <c r="AJ288" i="2"/>
  <c r="AJ287" i="2"/>
  <c r="AJ286" i="2"/>
  <c r="AJ285" i="2"/>
  <c r="AJ284" i="2"/>
  <c r="AJ283" i="2"/>
  <c r="AJ282" i="2"/>
  <c r="AJ281" i="2"/>
  <c r="AJ280" i="2"/>
  <c r="AJ279" i="2"/>
  <c r="AJ278" i="2"/>
  <c r="AJ277" i="2"/>
  <c r="AJ276" i="2"/>
  <c r="AJ275" i="2"/>
  <c r="AJ274" i="2"/>
  <c r="AJ273" i="2"/>
  <c r="AJ272" i="2"/>
  <c r="AJ271" i="2"/>
  <c r="AJ270" i="2"/>
  <c r="AJ269" i="2"/>
  <c r="AJ268" i="2"/>
  <c r="AJ267" i="2"/>
  <c r="AJ266" i="2"/>
  <c r="AJ265" i="2"/>
  <c r="AJ264" i="2"/>
  <c r="AJ263" i="2"/>
  <c r="AJ262" i="2"/>
  <c r="AJ261" i="2"/>
  <c r="AJ260" i="2"/>
  <c r="AJ259" i="2"/>
  <c r="AJ258" i="2"/>
  <c r="AJ257" i="2"/>
  <c r="AJ256" i="2"/>
  <c r="AJ255" i="2"/>
  <c r="AJ254" i="2"/>
  <c r="AJ253" i="2"/>
  <c r="AJ252" i="2"/>
  <c r="AJ251" i="2"/>
  <c r="AJ250" i="2"/>
  <c r="AJ249" i="2"/>
  <c r="AJ248" i="2"/>
  <c r="AJ247" i="2"/>
  <c r="AJ246" i="2"/>
  <c r="AJ245" i="2"/>
  <c r="AJ244" i="2"/>
  <c r="AJ243" i="2"/>
  <c r="AJ242" i="2"/>
  <c r="AJ241" i="2"/>
  <c r="AJ240" i="2"/>
  <c r="AJ239" i="2"/>
  <c r="AJ238" i="2"/>
  <c r="AJ237" i="2"/>
  <c r="AJ236" i="2"/>
  <c r="AJ235" i="2"/>
  <c r="AJ234" i="2"/>
  <c r="AJ233" i="2"/>
  <c r="AJ232" i="2"/>
  <c r="AJ231" i="2"/>
  <c r="AJ230" i="2"/>
  <c r="AJ229" i="2"/>
  <c r="AJ228" i="2"/>
  <c r="AJ227" i="2"/>
  <c r="AJ226" i="2"/>
  <c r="AJ225" i="2"/>
  <c r="AJ224" i="2"/>
  <c r="AJ223" i="2"/>
  <c r="AJ222" i="2"/>
  <c r="AJ221" i="2"/>
  <c r="AJ220" i="2"/>
  <c r="AJ219" i="2"/>
  <c r="AJ218" i="2"/>
  <c r="AJ217" i="2"/>
  <c r="AJ216" i="2"/>
  <c r="AJ215" i="2"/>
  <c r="AJ214" i="2"/>
  <c r="AJ213" i="2"/>
  <c r="AJ212" i="2"/>
  <c r="AJ211" i="2"/>
  <c r="AJ210" i="2"/>
  <c r="AJ209" i="2"/>
  <c r="AJ208" i="2"/>
  <c r="AJ207" i="2"/>
  <c r="AJ206" i="2"/>
  <c r="AJ205" i="2"/>
  <c r="AJ204" i="2"/>
  <c r="AJ203" i="2"/>
  <c r="AJ202" i="2"/>
  <c r="AJ201" i="2"/>
  <c r="AJ200" i="2"/>
  <c r="AJ199" i="2"/>
  <c r="AJ198" i="2"/>
  <c r="AJ197" i="2"/>
  <c r="AJ196" i="2"/>
  <c r="AJ195" i="2"/>
  <c r="AJ194" i="2"/>
  <c r="AJ193" i="2"/>
  <c r="AJ192" i="2"/>
  <c r="AJ191" i="2"/>
  <c r="AJ190" i="2"/>
  <c r="AJ189" i="2"/>
  <c r="AJ188" i="2"/>
  <c r="AJ187" i="2"/>
  <c r="AJ186" i="2"/>
  <c r="AJ185" i="2"/>
  <c r="AJ184" i="2"/>
  <c r="AJ183" i="2"/>
  <c r="AJ182" i="2"/>
  <c r="AJ181" i="2"/>
  <c r="AJ180" i="2"/>
  <c r="AJ179" i="2"/>
  <c r="AJ178" i="2"/>
  <c r="AJ177" i="2"/>
  <c r="AJ176" i="2"/>
  <c r="AJ175" i="2"/>
  <c r="AJ174" i="2"/>
  <c r="AJ173" i="2"/>
  <c r="AJ172" i="2"/>
  <c r="AJ171" i="2"/>
  <c r="AJ170" i="2"/>
  <c r="AJ169" i="2"/>
  <c r="AJ168" i="2"/>
  <c r="AJ167" i="2"/>
  <c r="AJ166" i="2"/>
  <c r="AJ165" i="2"/>
  <c r="AJ164" i="2"/>
  <c r="AJ163" i="2"/>
  <c r="AJ162" i="2"/>
  <c r="AJ161" i="2"/>
  <c r="AJ160" i="2"/>
  <c r="AJ159" i="2"/>
  <c r="AJ158" i="2"/>
  <c r="AJ157" i="2"/>
  <c r="AJ156" i="2"/>
  <c r="AJ155" i="2"/>
  <c r="AJ154" i="2"/>
  <c r="AJ153" i="2"/>
  <c r="AJ152" i="2"/>
  <c r="AJ151" i="2"/>
  <c r="AJ150" i="2"/>
  <c r="AJ149" i="2"/>
  <c r="AJ148" i="2"/>
  <c r="AJ147" i="2"/>
  <c r="AJ146" i="2"/>
  <c r="AJ145" i="2"/>
  <c r="AJ144" i="2"/>
  <c r="AJ143" i="2"/>
  <c r="AJ142" i="2"/>
  <c r="AJ141" i="2"/>
  <c r="AJ140" i="2"/>
  <c r="AJ139" i="2"/>
  <c r="AJ138" i="2"/>
  <c r="AJ137" i="2"/>
  <c r="AJ136" i="2"/>
  <c r="AJ135" i="2"/>
  <c r="AJ134" i="2"/>
  <c r="AJ133" i="2"/>
  <c r="AJ132" i="2"/>
  <c r="AJ131" i="2"/>
  <c r="AJ130" i="2"/>
  <c r="AJ129" i="2"/>
  <c r="AJ128" i="2"/>
  <c r="AJ127" i="2"/>
  <c r="AJ126" i="2"/>
  <c r="AJ125" i="2"/>
  <c r="AJ124" i="2"/>
  <c r="AJ123" i="2"/>
  <c r="AJ122" i="2"/>
  <c r="AJ121" i="2"/>
  <c r="AJ120" i="2"/>
  <c r="AJ119" i="2"/>
  <c r="AJ118" i="2"/>
  <c r="AJ117" i="2"/>
  <c r="AJ116" i="2"/>
  <c r="AJ115" i="2"/>
  <c r="AJ114" i="2"/>
  <c r="AJ113" i="2"/>
  <c r="AJ112" i="2"/>
  <c r="AJ111" i="2"/>
  <c r="AJ110" i="2"/>
  <c r="AJ109" i="2"/>
  <c r="AJ108" i="2"/>
  <c r="AJ107" i="2"/>
  <c r="AJ106" i="2"/>
  <c r="AJ105" i="2"/>
  <c r="AJ104" i="2"/>
  <c r="AJ103" i="2"/>
  <c r="AJ102" i="2"/>
  <c r="AJ101" i="2"/>
  <c r="AJ100" i="2"/>
  <c r="AJ99" i="2"/>
  <c r="AJ98" i="2"/>
  <c r="AJ97" i="2"/>
  <c r="AJ96" i="2"/>
  <c r="AJ95" i="2"/>
  <c r="AJ94" i="2"/>
  <c r="AJ93" i="2"/>
  <c r="AJ92" i="2"/>
  <c r="AJ91" i="2"/>
  <c r="AJ90" i="2"/>
  <c r="AJ89" i="2"/>
  <c r="AJ88" i="2"/>
  <c r="AJ87" i="2"/>
  <c r="AJ86" i="2"/>
  <c r="AJ85" i="2"/>
  <c r="AJ84" i="2"/>
  <c r="AJ83" i="2"/>
  <c r="AJ82" i="2"/>
  <c r="AJ81" i="2"/>
  <c r="AJ80" i="2"/>
  <c r="AJ79" i="2"/>
  <c r="AJ78" i="2"/>
  <c r="AJ77" i="2"/>
  <c r="AJ76" i="2"/>
  <c r="AJ75" i="2"/>
  <c r="AJ74" i="2"/>
  <c r="AJ73" i="2"/>
  <c r="AJ72" i="2"/>
  <c r="AJ71" i="2"/>
  <c r="AJ70" i="2"/>
  <c r="AJ69" i="2"/>
  <c r="AJ68" i="2"/>
  <c r="AJ67" i="2"/>
  <c r="AJ66" i="2"/>
  <c r="AJ65" i="2"/>
  <c r="AJ64" i="2"/>
  <c r="AJ63" i="2"/>
  <c r="AJ62" i="2"/>
  <c r="AJ61" i="2"/>
  <c r="AJ60" i="2"/>
  <c r="AJ59" i="2"/>
  <c r="AJ58" i="2"/>
  <c r="AJ57" i="2"/>
  <c r="AJ56" i="2"/>
  <c r="AJ55" i="2"/>
  <c r="AJ54" i="2"/>
  <c r="AJ53" i="2"/>
  <c r="AJ52" i="2"/>
  <c r="AJ51" i="2"/>
  <c r="AJ50" i="2"/>
  <c r="AJ49" i="2"/>
  <c r="AJ48" i="2"/>
  <c r="AJ47" i="2"/>
  <c r="AJ46" i="2"/>
  <c r="AJ45" i="2"/>
  <c r="AJ44" i="2"/>
  <c r="AJ43" i="2"/>
  <c r="AJ42" i="2"/>
  <c r="AJ41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O12" i="2"/>
  <c r="AJ12" i="2"/>
  <c r="Q12" i="2"/>
  <c r="P12" i="2"/>
  <c r="O12" i="2"/>
  <c r="N12" i="2"/>
  <c r="M12" i="2"/>
  <c r="L12" i="2"/>
  <c r="K12" i="2"/>
  <c r="Q63" i="39" l="1"/>
  <c r="Q62" i="39"/>
  <c r="Q61" i="39"/>
  <c r="Q60" i="39"/>
  <c r="Q59" i="39"/>
  <c r="Q58" i="39"/>
  <c r="Q57" i="39"/>
  <c r="Q56" i="39"/>
  <c r="Q55" i="39"/>
  <c r="Q54" i="39"/>
  <c r="Q53" i="39"/>
  <c r="Q52" i="39"/>
  <c r="Q51" i="39"/>
  <c r="Q50" i="39"/>
  <c r="Q49" i="39"/>
  <c r="Q48" i="39"/>
  <c r="Q47" i="39"/>
  <c r="Q46" i="39"/>
  <c r="Q45" i="39"/>
  <c r="Q44" i="39"/>
  <c r="Q43" i="39"/>
  <c r="Q42" i="39"/>
  <c r="Q41" i="39"/>
  <c r="Q40" i="39"/>
  <c r="Q39" i="39"/>
  <c r="Q38" i="39"/>
  <c r="Q37" i="39"/>
  <c r="Q36" i="39"/>
  <c r="Q35" i="39"/>
  <c r="Q34" i="39"/>
  <c r="Q33" i="39"/>
  <c r="Q32" i="39"/>
  <c r="Q31" i="39"/>
  <c r="Q30" i="39"/>
  <c r="Q29" i="39"/>
  <c r="Q28" i="39"/>
  <c r="Q27" i="39"/>
  <c r="Q26" i="39"/>
  <c r="Q25" i="39"/>
  <c r="Q24" i="39"/>
  <c r="Q23" i="39"/>
  <c r="Q21" i="39"/>
  <c r="Q20" i="39"/>
  <c r="Q18" i="39"/>
  <c r="Q17" i="39"/>
  <c r="Q16" i="39"/>
  <c r="Q15" i="39"/>
  <c r="S1310" i="2" l="1"/>
  <c r="S1309" i="2"/>
  <c r="S1308" i="2"/>
  <c r="S1307" i="2"/>
  <c r="S1306" i="2"/>
  <c r="S1305" i="2"/>
  <c r="S1304" i="2"/>
  <c r="S1303" i="2"/>
  <c r="S1302" i="2"/>
  <c r="S1301" i="2"/>
  <c r="S1300" i="2"/>
  <c r="S1299" i="2"/>
  <c r="S1298" i="2"/>
  <c r="S1297" i="2"/>
  <c r="S1296" i="2"/>
  <c r="S1295" i="2"/>
  <c r="S1294" i="2"/>
  <c r="S1293" i="2"/>
  <c r="S1292" i="2"/>
  <c r="S1291" i="2"/>
  <c r="S1290" i="2"/>
  <c r="S1289" i="2"/>
  <c r="S1288" i="2"/>
  <c r="S1287" i="2"/>
  <c r="S1286" i="2"/>
  <c r="S1285" i="2"/>
  <c r="S1284" i="2"/>
  <c r="S1283" i="2"/>
  <c r="S1282" i="2"/>
  <c r="S1281" i="2"/>
  <c r="S1280" i="2"/>
  <c r="S1279" i="2"/>
  <c r="S1278" i="2"/>
  <c r="S1277" i="2"/>
  <c r="S1276" i="2"/>
  <c r="S1275" i="2"/>
  <c r="S1274" i="2"/>
  <c r="S1273" i="2"/>
  <c r="S1272" i="2"/>
  <c r="S1271" i="2"/>
  <c r="S1270" i="2"/>
  <c r="S1269" i="2"/>
  <c r="S1268" i="2"/>
  <c r="S1267" i="2"/>
  <c r="S1266" i="2"/>
  <c r="S1265" i="2"/>
  <c r="S1264" i="2"/>
  <c r="S1263" i="2"/>
  <c r="S1262" i="2"/>
  <c r="S1261" i="2"/>
  <c r="S1260" i="2"/>
  <c r="S1259" i="2"/>
  <c r="S1258" i="2"/>
  <c r="S1257" i="2"/>
  <c r="S1256" i="2"/>
  <c r="S1255" i="2"/>
  <c r="S1254" i="2"/>
  <c r="S1253" i="2"/>
  <c r="S1252" i="2"/>
  <c r="S1251" i="2"/>
  <c r="S1250" i="2"/>
  <c r="S1249" i="2"/>
  <c r="S1248" i="2"/>
  <c r="S1247" i="2"/>
  <c r="S1246" i="2"/>
  <c r="S1245" i="2"/>
  <c r="S1244" i="2"/>
  <c r="S1243" i="2"/>
  <c r="S1242" i="2"/>
  <c r="S1241" i="2"/>
  <c r="S1240" i="2"/>
  <c r="S1239" i="2"/>
  <c r="S1238" i="2"/>
  <c r="S1237" i="2"/>
  <c r="S1236" i="2"/>
  <c r="S1235" i="2"/>
  <c r="S1234" i="2"/>
  <c r="S1233" i="2"/>
  <c r="S1232" i="2"/>
  <c r="S1231" i="2"/>
  <c r="S1230" i="2"/>
  <c r="S1229" i="2"/>
  <c r="S1228" i="2"/>
  <c r="S1227" i="2"/>
  <c r="S1226" i="2"/>
  <c r="S1225" i="2"/>
  <c r="S1224" i="2"/>
  <c r="S1223" i="2"/>
  <c r="S1222" i="2"/>
  <c r="S1221" i="2"/>
  <c r="S1220" i="2"/>
  <c r="S1219" i="2"/>
  <c r="S1218" i="2"/>
  <c r="S1217" i="2"/>
  <c r="S1216" i="2"/>
  <c r="S1215" i="2"/>
  <c r="S1214" i="2"/>
  <c r="S1213" i="2"/>
  <c r="S1212" i="2"/>
  <c r="S1211" i="2"/>
  <c r="S1210" i="2"/>
  <c r="S1209" i="2"/>
  <c r="S1208" i="2"/>
  <c r="S1207" i="2"/>
  <c r="S1206" i="2"/>
  <c r="S1205" i="2"/>
  <c r="S1204" i="2"/>
  <c r="S1203" i="2"/>
  <c r="S1202" i="2"/>
  <c r="S1201" i="2"/>
  <c r="S1200" i="2"/>
  <c r="S1199" i="2"/>
  <c r="S1198" i="2"/>
  <c r="S1197" i="2"/>
  <c r="S1196" i="2"/>
  <c r="S1195" i="2"/>
  <c r="S1194" i="2"/>
  <c r="S1193" i="2"/>
  <c r="S1192" i="2"/>
  <c r="S1191" i="2"/>
  <c r="S1190" i="2"/>
  <c r="S1189" i="2"/>
  <c r="S1188" i="2"/>
  <c r="S1187" i="2"/>
  <c r="S1186" i="2"/>
  <c r="S1185" i="2"/>
  <c r="S1184" i="2"/>
  <c r="S1183" i="2"/>
  <c r="S1182" i="2"/>
  <c r="S1181" i="2"/>
  <c r="S1180" i="2"/>
  <c r="S1179" i="2"/>
  <c r="S1178" i="2"/>
  <c r="S1177" i="2"/>
  <c r="S1176" i="2"/>
  <c r="S1175" i="2"/>
  <c r="S1174" i="2"/>
  <c r="S1173" i="2"/>
  <c r="S1172" i="2"/>
  <c r="S1171" i="2"/>
  <c r="S1170" i="2"/>
  <c r="S1169" i="2"/>
  <c r="S1168" i="2"/>
  <c r="S1167" i="2"/>
  <c r="S1166" i="2"/>
  <c r="S1165" i="2"/>
  <c r="S1164" i="2"/>
  <c r="S1163" i="2"/>
  <c r="S1162" i="2"/>
  <c r="S1161" i="2"/>
  <c r="S1160" i="2"/>
  <c r="S1159" i="2"/>
  <c r="S1158" i="2"/>
  <c r="S1157" i="2"/>
  <c r="S1156" i="2"/>
  <c r="S1155" i="2"/>
  <c r="S1154" i="2"/>
  <c r="S1153" i="2"/>
  <c r="S1152" i="2"/>
  <c r="S1151" i="2"/>
  <c r="S1150" i="2"/>
  <c r="S1149" i="2"/>
  <c r="S1148" i="2"/>
  <c r="S1147" i="2"/>
  <c r="S1146" i="2"/>
  <c r="S1145" i="2"/>
  <c r="S1144" i="2"/>
  <c r="S1143" i="2"/>
  <c r="S1142" i="2"/>
  <c r="S1141" i="2"/>
  <c r="S1140" i="2"/>
  <c r="S1139" i="2"/>
  <c r="S1138" i="2"/>
  <c r="S1137" i="2"/>
  <c r="S1136" i="2"/>
  <c r="S1135" i="2"/>
  <c r="S1134" i="2"/>
  <c r="S1133" i="2"/>
  <c r="S1132" i="2"/>
  <c r="S1131" i="2"/>
  <c r="S1130" i="2"/>
  <c r="S1129" i="2"/>
  <c r="S1128" i="2"/>
  <c r="S1127" i="2"/>
  <c r="S1126" i="2"/>
  <c r="S1125" i="2"/>
  <c r="S1124" i="2"/>
  <c r="S1123" i="2"/>
  <c r="S1122" i="2"/>
  <c r="S1121" i="2"/>
  <c r="S1120" i="2"/>
  <c r="S1119" i="2"/>
  <c r="S1118" i="2"/>
  <c r="S1117" i="2"/>
  <c r="S1116" i="2"/>
  <c r="S1115" i="2"/>
  <c r="S1114" i="2"/>
  <c r="S1113" i="2"/>
  <c r="S1112" i="2"/>
  <c r="S1111" i="2"/>
  <c r="S1110" i="2"/>
  <c r="S1109" i="2"/>
  <c r="S1108" i="2"/>
  <c r="S1107" i="2"/>
  <c r="S1106" i="2"/>
  <c r="S1105" i="2"/>
  <c r="S1104" i="2"/>
  <c r="S1103" i="2"/>
  <c r="S1102" i="2"/>
  <c r="S1101" i="2"/>
  <c r="S1100" i="2"/>
  <c r="S1099" i="2"/>
  <c r="S1098" i="2"/>
  <c r="S1097" i="2"/>
  <c r="S1096" i="2"/>
  <c r="S1095" i="2"/>
  <c r="S1094" i="2"/>
  <c r="S1093" i="2"/>
  <c r="S1092" i="2"/>
  <c r="S1091" i="2"/>
  <c r="S1090" i="2"/>
  <c r="S1089" i="2"/>
  <c r="S1088" i="2"/>
  <c r="S1087" i="2"/>
  <c r="S1086" i="2"/>
  <c r="S1085" i="2"/>
  <c r="S1084" i="2"/>
  <c r="S1083" i="2"/>
  <c r="S1082" i="2"/>
  <c r="S1081" i="2"/>
  <c r="S1080" i="2"/>
  <c r="S1079" i="2"/>
  <c r="S1078" i="2"/>
  <c r="S1077" i="2"/>
  <c r="S1076" i="2"/>
  <c r="S1075" i="2"/>
  <c r="S1074" i="2"/>
  <c r="S1073" i="2"/>
  <c r="S1072" i="2"/>
  <c r="S1071" i="2"/>
  <c r="S1070" i="2"/>
  <c r="S1069" i="2"/>
  <c r="S1068" i="2"/>
  <c r="S1067" i="2"/>
  <c r="S1066" i="2"/>
  <c r="S1065" i="2"/>
  <c r="S1064" i="2"/>
  <c r="S1063" i="2"/>
  <c r="S1062" i="2"/>
  <c r="S1061" i="2"/>
  <c r="S1060" i="2"/>
  <c r="S1059" i="2"/>
  <c r="S1058" i="2"/>
  <c r="S1057" i="2"/>
  <c r="S1056" i="2"/>
  <c r="S1055" i="2"/>
  <c r="S1054" i="2"/>
  <c r="S1053" i="2"/>
  <c r="S1052" i="2"/>
  <c r="S1051" i="2"/>
  <c r="S1050" i="2"/>
  <c r="S1049" i="2"/>
  <c r="S1048" i="2"/>
  <c r="S1047" i="2"/>
  <c r="S1046" i="2"/>
  <c r="S1045" i="2"/>
  <c r="S1044" i="2"/>
  <c r="S1043" i="2"/>
  <c r="S1042" i="2"/>
  <c r="S1041" i="2"/>
  <c r="S1040" i="2"/>
  <c r="S1039" i="2"/>
  <c r="S1038" i="2"/>
  <c r="S1037" i="2"/>
  <c r="S1036" i="2"/>
  <c r="S1035" i="2"/>
  <c r="S1034" i="2"/>
  <c r="S1033" i="2"/>
  <c r="S1032" i="2"/>
  <c r="S1031" i="2"/>
  <c r="S1030" i="2"/>
  <c r="S1029" i="2"/>
  <c r="S1028" i="2"/>
  <c r="S1027" i="2"/>
  <c r="S1026" i="2"/>
  <c r="S1025" i="2"/>
  <c r="S1024" i="2"/>
  <c r="S1023" i="2"/>
  <c r="S1022" i="2"/>
  <c r="S1021" i="2"/>
  <c r="S1020" i="2"/>
  <c r="S1019" i="2"/>
  <c r="S1018" i="2"/>
  <c r="S1017" i="2"/>
  <c r="S1016" i="2"/>
  <c r="S1015" i="2"/>
  <c r="S1014" i="2"/>
  <c r="S1013" i="2"/>
  <c r="S1012" i="2"/>
  <c r="S1011" i="2"/>
  <c r="S1010" i="2"/>
  <c r="S1009" i="2"/>
  <c r="S1008" i="2"/>
  <c r="S1007" i="2"/>
  <c r="S1006" i="2"/>
  <c r="S1005" i="2"/>
  <c r="S1004" i="2"/>
  <c r="S1003" i="2"/>
  <c r="S1002" i="2"/>
  <c r="S1001" i="2"/>
  <c r="S1000" i="2"/>
  <c r="S999" i="2"/>
  <c r="S998" i="2"/>
  <c r="S997" i="2"/>
  <c r="S996" i="2"/>
  <c r="S995" i="2"/>
  <c r="S994" i="2"/>
  <c r="S993" i="2"/>
  <c r="S992" i="2"/>
  <c r="S991" i="2"/>
  <c r="S990" i="2"/>
  <c r="S989" i="2"/>
  <c r="S988" i="2"/>
  <c r="S987" i="2"/>
  <c r="S986" i="2"/>
  <c r="S985" i="2"/>
  <c r="S984" i="2"/>
  <c r="S983" i="2"/>
  <c r="S982" i="2"/>
  <c r="S981" i="2"/>
  <c r="S980" i="2"/>
  <c r="S979" i="2"/>
  <c r="S978" i="2"/>
  <c r="S977" i="2"/>
  <c r="S976" i="2"/>
  <c r="S975" i="2"/>
  <c r="S974" i="2"/>
  <c r="S973" i="2"/>
  <c r="S972" i="2"/>
  <c r="S971" i="2"/>
  <c r="S970" i="2"/>
  <c r="S969" i="2"/>
  <c r="S968" i="2"/>
  <c r="S967" i="2"/>
  <c r="S966" i="2"/>
  <c r="S965" i="2"/>
  <c r="S964" i="2"/>
  <c r="S963" i="2"/>
  <c r="S962" i="2"/>
  <c r="S961" i="2"/>
  <c r="S960" i="2"/>
  <c r="S959" i="2"/>
  <c r="S958" i="2"/>
  <c r="S957" i="2"/>
  <c r="S956" i="2"/>
  <c r="S955" i="2"/>
  <c r="S954" i="2"/>
  <c r="S953" i="2"/>
  <c r="S952" i="2"/>
  <c r="S951" i="2"/>
  <c r="S950" i="2"/>
  <c r="S949" i="2"/>
  <c r="S948" i="2"/>
  <c r="S947" i="2"/>
  <c r="S946" i="2"/>
  <c r="S945" i="2"/>
  <c r="S944" i="2"/>
  <c r="S943" i="2"/>
  <c r="S942" i="2"/>
  <c r="S941" i="2"/>
  <c r="S940" i="2"/>
  <c r="S939" i="2"/>
  <c r="S938" i="2"/>
  <c r="S937" i="2"/>
  <c r="S936" i="2"/>
  <c r="S935" i="2"/>
  <c r="S934" i="2"/>
  <c r="S933" i="2"/>
  <c r="S932" i="2"/>
  <c r="S931" i="2"/>
  <c r="S930" i="2"/>
  <c r="S929" i="2"/>
  <c r="S928" i="2"/>
  <c r="S927" i="2"/>
  <c r="S926" i="2"/>
  <c r="S925" i="2"/>
  <c r="S924" i="2"/>
  <c r="S923" i="2"/>
  <c r="S922" i="2"/>
  <c r="S921" i="2"/>
  <c r="S920" i="2"/>
  <c r="S919" i="2"/>
  <c r="S918" i="2"/>
  <c r="S917" i="2"/>
  <c r="S916" i="2"/>
  <c r="S915" i="2"/>
  <c r="S914" i="2"/>
  <c r="S913" i="2"/>
  <c r="S912" i="2"/>
  <c r="S911" i="2"/>
  <c r="S910" i="2"/>
  <c r="S909" i="2"/>
  <c r="S908" i="2"/>
  <c r="S907" i="2"/>
  <c r="S906" i="2"/>
  <c r="S905" i="2"/>
  <c r="S904" i="2"/>
  <c r="S903" i="2"/>
  <c r="S902" i="2"/>
  <c r="S901" i="2"/>
  <c r="S900" i="2"/>
  <c r="S899" i="2"/>
  <c r="S898" i="2"/>
  <c r="S897" i="2"/>
  <c r="S896" i="2"/>
  <c r="S895" i="2"/>
  <c r="S894" i="2"/>
  <c r="S893" i="2"/>
  <c r="S892" i="2"/>
  <c r="S891" i="2"/>
  <c r="S890" i="2"/>
  <c r="S889" i="2"/>
  <c r="S888" i="2"/>
  <c r="S887" i="2"/>
  <c r="S886" i="2"/>
  <c r="S885" i="2"/>
  <c r="S884" i="2"/>
  <c r="S883" i="2"/>
  <c r="S882" i="2"/>
  <c r="S881" i="2"/>
  <c r="S880" i="2"/>
  <c r="S879" i="2"/>
  <c r="S878" i="2"/>
  <c r="S877" i="2"/>
  <c r="S876" i="2"/>
  <c r="S875" i="2"/>
  <c r="S874" i="2"/>
  <c r="S873" i="2"/>
  <c r="S872" i="2"/>
  <c r="S871" i="2"/>
  <c r="S870" i="2"/>
  <c r="S869" i="2"/>
  <c r="S868" i="2"/>
  <c r="S867" i="2"/>
  <c r="S866" i="2"/>
  <c r="S865" i="2"/>
  <c r="S864" i="2"/>
  <c r="S863" i="2"/>
  <c r="S862" i="2"/>
  <c r="S861" i="2"/>
  <c r="S860" i="2"/>
  <c r="S859" i="2"/>
  <c r="S858" i="2"/>
  <c r="S857" i="2"/>
  <c r="S856" i="2"/>
  <c r="S855" i="2"/>
  <c r="S854" i="2"/>
  <c r="S853" i="2"/>
  <c r="S852" i="2"/>
  <c r="S851" i="2"/>
  <c r="S850" i="2"/>
  <c r="S849" i="2"/>
  <c r="S848" i="2"/>
  <c r="S847" i="2"/>
  <c r="S846" i="2"/>
  <c r="S845" i="2"/>
  <c r="S844" i="2"/>
  <c r="S843" i="2"/>
  <c r="S842" i="2"/>
  <c r="S841" i="2"/>
  <c r="S840" i="2"/>
  <c r="S839" i="2"/>
  <c r="S838" i="2"/>
  <c r="S837" i="2"/>
  <c r="S836" i="2"/>
  <c r="S835" i="2"/>
  <c r="S834" i="2"/>
  <c r="S833" i="2"/>
  <c r="S832" i="2"/>
  <c r="S831" i="2"/>
  <c r="S830" i="2"/>
  <c r="S829" i="2"/>
  <c r="S828" i="2"/>
  <c r="S827" i="2"/>
  <c r="S826" i="2"/>
  <c r="S825" i="2"/>
  <c r="S824" i="2"/>
  <c r="S823" i="2"/>
  <c r="S822" i="2"/>
  <c r="S821" i="2"/>
  <c r="S820" i="2"/>
  <c r="S819" i="2"/>
  <c r="S818" i="2"/>
  <c r="S817" i="2"/>
  <c r="S816" i="2"/>
  <c r="S815" i="2"/>
  <c r="S814" i="2"/>
  <c r="S813" i="2"/>
  <c r="S812" i="2"/>
  <c r="S811" i="2"/>
  <c r="S810" i="2"/>
  <c r="S809" i="2"/>
  <c r="S808" i="2"/>
  <c r="S807" i="2"/>
  <c r="S806" i="2"/>
  <c r="S805" i="2"/>
  <c r="S804" i="2"/>
  <c r="S803" i="2"/>
  <c r="S802" i="2"/>
  <c r="S801" i="2"/>
  <c r="S800" i="2"/>
  <c r="S799" i="2"/>
  <c r="S798" i="2"/>
  <c r="S797" i="2"/>
  <c r="S796" i="2"/>
  <c r="S795" i="2"/>
  <c r="S794" i="2"/>
  <c r="S793" i="2"/>
  <c r="S792" i="2"/>
  <c r="S791" i="2"/>
  <c r="S790" i="2"/>
  <c r="S789" i="2"/>
  <c r="S788" i="2"/>
  <c r="S787" i="2"/>
  <c r="S786" i="2"/>
  <c r="S785" i="2"/>
  <c r="S784" i="2"/>
  <c r="S783" i="2"/>
  <c r="S782" i="2"/>
  <c r="S781" i="2"/>
  <c r="S780" i="2"/>
  <c r="S779" i="2"/>
  <c r="S778" i="2"/>
  <c r="S777" i="2"/>
  <c r="S776" i="2"/>
  <c r="S775" i="2"/>
  <c r="S774" i="2"/>
  <c r="S773" i="2"/>
  <c r="S772" i="2"/>
  <c r="S771" i="2"/>
  <c r="S770" i="2"/>
  <c r="S769" i="2"/>
  <c r="S768" i="2"/>
  <c r="S767" i="2"/>
  <c r="S766" i="2"/>
  <c r="S765" i="2"/>
  <c r="S764" i="2"/>
  <c r="S763" i="2"/>
  <c r="S762" i="2"/>
  <c r="S761" i="2"/>
  <c r="S760" i="2"/>
  <c r="S759" i="2"/>
  <c r="S758" i="2"/>
  <c r="S757" i="2"/>
  <c r="S756" i="2"/>
  <c r="S755" i="2"/>
  <c r="S754" i="2"/>
  <c r="S753" i="2"/>
  <c r="S752" i="2"/>
  <c r="S751" i="2"/>
  <c r="S750" i="2"/>
  <c r="S749" i="2"/>
  <c r="S748" i="2"/>
  <c r="S747" i="2"/>
  <c r="S746" i="2"/>
  <c r="S745" i="2"/>
  <c r="S744" i="2"/>
  <c r="S743" i="2"/>
  <c r="S742" i="2"/>
  <c r="S741" i="2"/>
  <c r="S740" i="2"/>
  <c r="S739" i="2"/>
  <c r="S738" i="2"/>
  <c r="S737" i="2"/>
  <c r="S736" i="2"/>
  <c r="S735" i="2"/>
  <c r="S734" i="2"/>
  <c r="S733" i="2"/>
  <c r="S732" i="2"/>
  <c r="S731" i="2"/>
  <c r="S730" i="2"/>
  <c r="S729" i="2"/>
  <c r="S728" i="2"/>
  <c r="S727" i="2"/>
  <c r="S726" i="2"/>
  <c r="S725" i="2"/>
  <c r="S724" i="2"/>
  <c r="S723" i="2"/>
  <c r="S722" i="2"/>
  <c r="S721" i="2"/>
  <c r="S720" i="2"/>
  <c r="S719" i="2"/>
  <c r="S718" i="2"/>
  <c r="S717" i="2"/>
  <c r="S716" i="2"/>
  <c r="S715" i="2"/>
  <c r="S714" i="2"/>
  <c r="S713" i="2"/>
  <c r="S712" i="2"/>
  <c r="S711" i="2"/>
  <c r="S710" i="2"/>
  <c r="S709" i="2"/>
  <c r="S708" i="2"/>
  <c r="S707" i="2"/>
  <c r="S706" i="2"/>
  <c r="S705" i="2"/>
  <c r="S704" i="2"/>
  <c r="S703" i="2"/>
  <c r="S702" i="2"/>
  <c r="S701" i="2"/>
  <c r="S700" i="2"/>
  <c r="S699" i="2"/>
  <c r="S698" i="2"/>
  <c r="S697" i="2"/>
  <c r="S696" i="2"/>
  <c r="S695" i="2"/>
  <c r="S694" i="2"/>
  <c r="S693" i="2"/>
  <c r="S692" i="2"/>
  <c r="S691" i="2"/>
  <c r="S690" i="2"/>
  <c r="S689" i="2"/>
  <c r="S688" i="2"/>
  <c r="S687" i="2"/>
  <c r="S686" i="2"/>
  <c r="S685" i="2"/>
  <c r="S684" i="2"/>
  <c r="S683" i="2"/>
  <c r="S682" i="2"/>
  <c r="S681" i="2"/>
  <c r="S680" i="2"/>
  <c r="S679" i="2"/>
  <c r="S678" i="2"/>
  <c r="S677" i="2"/>
  <c r="S676" i="2"/>
  <c r="S675" i="2"/>
  <c r="S674" i="2"/>
  <c r="S673" i="2"/>
  <c r="S672" i="2"/>
  <c r="S671" i="2"/>
  <c r="S670" i="2"/>
  <c r="S669" i="2"/>
  <c r="S668" i="2"/>
  <c r="S667" i="2"/>
  <c r="S666" i="2"/>
  <c r="S665" i="2"/>
  <c r="S664" i="2"/>
  <c r="S663" i="2"/>
  <c r="S662" i="2"/>
  <c r="S661" i="2"/>
  <c r="S660" i="2"/>
  <c r="S659" i="2"/>
  <c r="S658" i="2"/>
  <c r="S657" i="2"/>
  <c r="S656" i="2"/>
  <c r="S655" i="2"/>
  <c r="S654" i="2"/>
  <c r="S653" i="2"/>
  <c r="S652" i="2"/>
  <c r="S651" i="2"/>
  <c r="S650" i="2"/>
  <c r="S649" i="2"/>
  <c r="S648" i="2"/>
  <c r="S647" i="2"/>
  <c r="S646" i="2"/>
  <c r="S645" i="2"/>
  <c r="S644" i="2"/>
  <c r="S643" i="2"/>
  <c r="S642" i="2"/>
  <c r="S641" i="2"/>
  <c r="S640" i="2"/>
  <c r="S639" i="2"/>
  <c r="S638" i="2"/>
  <c r="S637" i="2"/>
  <c r="S636" i="2"/>
  <c r="S635" i="2"/>
  <c r="S634" i="2"/>
  <c r="S633" i="2"/>
  <c r="S632" i="2"/>
  <c r="S631" i="2"/>
  <c r="S630" i="2"/>
  <c r="S629" i="2"/>
  <c r="S628" i="2"/>
  <c r="S627" i="2"/>
  <c r="S626" i="2"/>
  <c r="S625" i="2"/>
  <c r="S624" i="2"/>
  <c r="S623" i="2"/>
  <c r="S622" i="2"/>
  <c r="S621" i="2"/>
  <c r="S620" i="2"/>
  <c r="S619" i="2"/>
  <c r="S618" i="2"/>
  <c r="S617" i="2"/>
  <c r="S616" i="2"/>
  <c r="S615" i="2"/>
  <c r="S614" i="2"/>
  <c r="S613" i="2"/>
  <c r="S612" i="2"/>
  <c r="S611" i="2"/>
  <c r="S610" i="2"/>
  <c r="S609" i="2"/>
  <c r="S608" i="2"/>
  <c r="S607" i="2"/>
  <c r="S606" i="2"/>
  <c r="S605" i="2"/>
  <c r="S604" i="2"/>
  <c r="S603" i="2"/>
  <c r="S602" i="2"/>
  <c r="S601" i="2"/>
  <c r="S600" i="2"/>
  <c r="S599" i="2"/>
  <c r="S598" i="2"/>
  <c r="S597" i="2"/>
  <c r="S596" i="2"/>
  <c r="S595" i="2"/>
  <c r="S594" i="2"/>
  <c r="S593" i="2"/>
  <c r="S592" i="2"/>
  <c r="S591" i="2"/>
  <c r="S590" i="2"/>
  <c r="S589" i="2"/>
  <c r="S588" i="2"/>
  <c r="S587" i="2"/>
  <c r="S586" i="2"/>
  <c r="S585" i="2"/>
  <c r="S584" i="2"/>
  <c r="S583" i="2"/>
  <c r="S582" i="2"/>
  <c r="S581" i="2"/>
  <c r="S580" i="2"/>
  <c r="S579" i="2"/>
  <c r="S578" i="2"/>
  <c r="S577" i="2"/>
  <c r="S576" i="2"/>
  <c r="S575" i="2"/>
  <c r="S574" i="2"/>
  <c r="S573" i="2"/>
  <c r="S572" i="2"/>
  <c r="S571" i="2"/>
  <c r="S570" i="2"/>
  <c r="S569" i="2"/>
  <c r="S568" i="2"/>
  <c r="S567" i="2"/>
  <c r="S566" i="2"/>
  <c r="S565" i="2"/>
  <c r="S564" i="2"/>
  <c r="S563" i="2"/>
  <c r="S562" i="2"/>
  <c r="S561" i="2"/>
  <c r="S560" i="2"/>
  <c r="S559" i="2"/>
  <c r="S558" i="2"/>
  <c r="S557" i="2"/>
  <c r="S556" i="2"/>
  <c r="S555" i="2"/>
  <c r="S554" i="2"/>
  <c r="S553" i="2"/>
  <c r="S552" i="2"/>
  <c r="S551" i="2"/>
  <c r="S550" i="2"/>
  <c r="S549" i="2"/>
  <c r="S548" i="2"/>
  <c r="S547" i="2"/>
  <c r="S546" i="2"/>
  <c r="S545" i="2"/>
  <c r="S544" i="2"/>
  <c r="S543" i="2"/>
  <c r="S542" i="2"/>
  <c r="S541" i="2"/>
  <c r="S540" i="2"/>
  <c r="S539" i="2"/>
  <c r="S538" i="2"/>
  <c r="S537" i="2"/>
  <c r="S536" i="2"/>
  <c r="S535" i="2"/>
  <c r="S534" i="2"/>
  <c r="S533" i="2"/>
  <c r="S532" i="2"/>
  <c r="S531" i="2"/>
  <c r="S530" i="2"/>
  <c r="S529" i="2"/>
  <c r="S528" i="2"/>
  <c r="S527" i="2"/>
  <c r="S526" i="2"/>
  <c r="S525" i="2"/>
  <c r="S524" i="2"/>
  <c r="S523" i="2"/>
  <c r="S522" i="2"/>
  <c r="S521" i="2"/>
  <c r="S520" i="2"/>
  <c r="S519" i="2"/>
  <c r="S518" i="2"/>
  <c r="S517" i="2"/>
  <c r="S516" i="2"/>
  <c r="S515" i="2"/>
  <c r="S514" i="2"/>
  <c r="S513" i="2"/>
  <c r="S512" i="2"/>
  <c r="S511" i="2"/>
  <c r="S510" i="2"/>
  <c r="S509" i="2"/>
  <c r="S508" i="2"/>
  <c r="S507" i="2"/>
  <c r="S506" i="2"/>
  <c r="S505" i="2"/>
  <c r="S504" i="2"/>
  <c r="S503" i="2"/>
  <c r="S502" i="2"/>
  <c r="S501" i="2"/>
  <c r="S500" i="2"/>
  <c r="S499" i="2"/>
  <c r="S498" i="2"/>
  <c r="S497" i="2"/>
  <c r="S496" i="2"/>
  <c r="S495" i="2"/>
  <c r="S494" i="2"/>
  <c r="S493" i="2"/>
  <c r="S492" i="2"/>
  <c r="S491" i="2"/>
  <c r="S490" i="2"/>
  <c r="S489" i="2"/>
  <c r="S488" i="2"/>
  <c r="S487" i="2"/>
  <c r="S486" i="2"/>
  <c r="S485" i="2"/>
  <c r="S484" i="2"/>
  <c r="S483" i="2"/>
  <c r="S482" i="2"/>
  <c r="S481" i="2"/>
  <c r="S480" i="2"/>
  <c r="S479" i="2"/>
  <c r="S478" i="2"/>
  <c r="S477" i="2"/>
  <c r="S476" i="2"/>
  <c r="S475" i="2"/>
  <c r="S474" i="2"/>
  <c r="S473" i="2"/>
  <c r="S472" i="2"/>
  <c r="S471" i="2"/>
  <c r="S470" i="2"/>
  <c r="S469" i="2"/>
  <c r="S468" i="2"/>
  <c r="S467" i="2"/>
  <c r="S466" i="2"/>
  <c r="S465" i="2"/>
  <c r="S464" i="2"/>
  <c r="S463" i="2"/>
  <c r="S462" i="2"/>
  <c r="S461" i="2"/>
  <c r="S460" i="2"/>
  <c r="S459" i="2"/>
  <c r="S458" i="2"/>
  <c r="S457" i="2"/>
  <c r="S456" i="2"/>
  <c r="S455" i="2"/>
  <c r="S454" i="2"/>
  <c r="S453" i="2"/>
  <c r="S452" i="2"/>
  <c r="S451" i="2"/>
  <c r="S450" i="2"/>
  <c r="S449" i="2"/>
  <c r="S448" i="2"/>
  <c r="S447" i="2"/>
  <c r="S446" i="2"/>
  <c r="S445" i="2"/>
  <c r="S444" i="2"/>
  <c r="S443" i="2"/>
  <c r="S442" i="2"/>
  <c r="S441" i="2"/>
  <c r="S440" i="2"/>
  <c r="S439" i="2"/>
  <c r="S438" i="2"/>
  <c r="S437" i="2"/>
  <c r="S436" i="2"/>
  <c r="S435" i="2"/>
  <c r="S434" i="2"/>
  <c r="S433" i="2"/>
  <c r="S432" i="2"/>
  <c r="S431" i="2"/>
  <c r="S430" i="2"/>
  <c r="S429" i="2"/>
  <c r="S428" i="2"/>
  <c r="S427" i="2"/>
  <c r="S426" i="2"/>
  <c r="S425" i="2"/>
  <c r="S424" i="2"/>
  <c r="S423" i="2"/>
  <c r="S422" i="2"/>
  <c r="S421" i="2"/>
  <c r="S420" i="2"/>
  <c r="S419" i="2"/>
  <c r="S418" i="2"/>
  <c r="S417" i="2"/>
  <c r="S416" i="2"/>
  <c r="S415" i="2"/>
  <c r="S414" i="2"/>
  <c r="S413" i="2"/>
  <c r="S412" i="2"/>
  <c r="S411" i="2"/>
  <c r="S410" i="2"/>
  <c r="S409" i="2"/>
  <c r="S408" i="2"/>
  <c r="S407" i="2"/>
  <c r="S406" i="2"/>
  <c r="S405" i="2"/>
  <c r="S404" i="2"/>
  <c r="S403" i="2"/>
  <c r="S402" i="2"/>
  <c r="S401" i="2"/>
  <c r="S400" i="2"/>
  <c r="S399" i="2"/>
  <c r="S398" i="2"/>
  <c r="S397" i="2"/>
  <c r="S396" i="2"/>
  <c r="S395" i="2"/>
  <c r="S394" i="2"/>
  <c r="S393" i="2"/>
  <c r="S392" i="2"/>
  <c r="S391" i="2"/>
  <c r="S390" i="2"/>
  <c r="S389" i="2"/>
  <c r="S388" i="2"/>
  <c r="S387" i="2"/>
  <c r="S386" i="2"/>
  <c r="S385" i="2"/>
  <c r="S384" i="2"/>
  <c r="S383" i="2"/>
  <c r="S382" i="2"/>
  <c r="S381" i="2"/>
  <c r="S380" i="2"/>
  <c r="S379" i="2"/>
  <c r="S378" i="2"/>
  <c r="S377" i="2"/>
  <c r="S376" i="2"/>
  <c r="S375" i="2"/>
  <c r="S374" i="2"/>
  <c r="S373" i="2"/>
  <c r="S372" i="2"/>
  <c r="S371" i="2"/>
  <c r="S370" i="2"/>
  <c r="S369" i="2"/>
  <c r="S368" i="2"/>
  <c r="S367" i="2"/>
  <c r="S366" i="2"/>
  <c r="S365" i="2"/>
  <c r="S364" i="2"/>
  <c r="S363" i="2"/>
  <c r="S362" i="2"/>
  <c r="S361" i="2"/>
  <c r="S360" i="2"/>
  <c r="S359" i="2"/>
  <c r="S358" i="2"/>
  <c r="S357" i="2"/>
  <c r="S356" i="2"/>
  <c r="S355" i="2"/>
  <c r="S354" i="2"/>
  <c r="S353" i="2"/>
  <c r="S352" i="2"/>
  <c r="S351" i="2"/>
  <c r="S350" i="2"/>
  <c r="S349" i="2"/>
  <c r="S348" i="2"/>
  <c r="S347" i="2"/>
  <c r="S346" i="2"/>
  <c r="S345" i="2"/>
  <c r="S344" i="2"/>
  <c r="S343" i="2"/>
  <c r="S342" i="2"/>
  <c r="S341" i="2"/>
  <c r="S340" i="2"/>
  <c r="S339" i="2"/>
  <c r="S338" i="2"/>
  <c r="S337" i="2"/>
  <c r="S336" i="2"/>
  <c r="S335" i="2"/>
  <c r="S334" i="2"/>
  <c r="S333" i="2"/>
  <c r="S332" i="2"/>
  <c r="S331" i="2"/>
  <c r="S330" i="2"/>
  <c r="S329" i="2"/>
  <c r="S328" i="2"/>
  <c r="S327" i="2"/>
  <c r="S326" i="2"/>
  <c r="S325" i="2"/>
  <c r="S324" i="2"/>
  <c r="S323" i="2"/>
  <c r="S322" i="2"/>
  <c r="S321" i="2"/>
  <c r="S320" i="2"/>
  <c r="S319" i="2"/>
  <c r="S318" i="2"/>
  <c r="S317" i="2"/>
  <c r="S316" i="2"/>
  <c r="S315" i="2"/>
  <c r="S314" i="2"/>
  <c r="S313" i="2"/>
  <c r="S312" i="2"/>
  <c r="S311" i="2"/>
  <c r="S310" i="2"/>
  <c r="S309" i="2"/>
  <c r="S308" i="2"/>
  <c r="S307" i="2"/>
  <c r="S306" i="2"/>
  <c r="S305" i="2"/>
  <c r="S304" i="2"/>
  <c r="S303" i="2"/>
  <c r="S302" i="2"/>
  <c r="S301" i="2"/>
  <c r="S300" i="2"/>
  <c r="S299" i="2"/>
  <c r="S298" i="2"/>
  <c r="S297" i="2"/>
  <c r="S296" i="2"/>
  <c r="S295" i="2"/>
  <c r="S294" i="2"/>
  <c r="S293" i="2"/>
  <c r="S292" i="2"/>
  <c r="S291" i="2"/>
  <c r="S290" i="2"/>
  <c r="S289" i="2"/>
  <c r="S288" i="2"/>
  <c r="S287" i="2"/>
  <c r="S286" i="2"/>
  <c r="S285" i="2"/>
  <c r="S284" i="2"/>
  <c r="S283" i="2"/>
  <c r="S282" i="2"/>
  <c r="S281" i="2"/>
  <c r="S280" i="2"/>
  <c r="S279" i="2"/>
  <c r="S278" i="2"/>
  <c r="S277" i="2"/>
  <c r="S276" i="2"/>
  <c r="S275" i="2"/>
  <c r="S274" i="2"/>
  <c r="S273" i="2"/>
  <c r="S272" i="2"/>
  <c r="S271" i="2"/>
  <c r="S270" i="2"/>
  <c r="S269" i="2"/>
  <c r="S268" i="2"/>
  <c r="S267" i="2"/>
  <c r="S266" i="2"/>
  <c r="S265" i="2"/>
  <c r="S264" i="2"/>
  <c r="S263" i="2"/>
  <c r="S262" i="2"/>
  <c r="S261" i="2"/>
  <c r="S260" i="2"/>
  <c r="S259" i="2"/>
  <c r="S258" i="2"/>
  <c r="S257" i="2"/>
  <c r="S256" i="2"/>
  <c r="S255" i="2"/>
  <c r="S254" i="2"/>
  <c r="S253" i="2"/>
  <c r="S252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9" i="2"/>
  <c r="S238" i="2"/>
  <c r="S237" i="2"/>
  <c r="S236" i="2"/>
  <c r="S235" i="2"/>
  <c r="S234" i="2"/>
  <c r="S233" i="2"/>
  <c r="S232" i="2"/>
  <c r="S231" i="2"/>
  <c r="S230" i="2"/>
  <c r="S229" i="2"/>
  <c r="S228" i="2"/>
  <c r="S227" i="2"/>
  <c r="S226" i="2"/>
  <c r="S225" i="2"/>
  <c r="S224" i="2"/>
  <c r="S223" i="2"/>
  <c r="S222" i="2"/>
  <c r="S221" i="2"/>
  <c r="S220" i="2"/>
  <c r="S219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K37" i="42"/>
  <c r="J37" i="42"/>
  <c r="K36" i="42"/>
  <c r="J36" i="42"/>
  <c r="K32" i="42"/>
  <c r="J32" i="42"/>
  <c r="K31" i="42"/>
  <c r="J31" i="42"/>
  <c r="K28" i="42"/>
  <c r="J28" i="42"/>
  <c r="K25" i="42"/>
  <c r="J25" i="42"/>
  <c r="K24" i="42"/>
  <c r="J24" i="42"/>
  <c r="K21" i="42"/>
  <c r="J21" i="42"/>
  <c r="K20" i="42"/>
  <c r="J20" i="42"/>
  <c r="K13" i="42"/>
  <c r="J13" i="42"/>
  <c r="K12" i="42"/>
  <c r="J12" i="42"/>
  <c r="A9" i="48" l="1"/>
  <c r="A8" i="48"/>
  <c r="A7" i="48"/>
  <c r="A6" i="48"/>
  <c r="A5" i="48"/>
  <c r="D51" i="39" l="1"/>
  <c r="D50" i="39"/>
  <c r="D49" i="39"/>
  <c r="D48" i="39"/>
  <c r="D47" i="39"/>
  <c r="D46" i="39"/>
  <c r="D45" i="39"/>
  <c r="D44" i="39"/>
  <c r="AN1134" i="2"/>
  <c r="AI1134" i="2" s="1"/>
  <c r="AM1134" i="2"/>
  <c r="AH1134" i="2" s="1"/>
  <c r="AL1134" i="2"/>
  <c r="AG1134" i="2" s="1"/>
  <c r="AK1134" i="2"/>
  <c r="AF1134" i="2" s="1"/>
  <c r="AN1133" i="2"/>
  <c r="AI1133" i="2" s="1"/>
  <c r="H51" i="39" s="1"/>
  <c r="AM1133" i="2"/>
  <c r="AH1133" i="2" s="1"/>
  <c r="G51" i="39" s="1"/>
  <c r="AL1133" i="2"/>
  <c r="AG1133" i="2" s="1"/>
  <c r="F51" i="39" s="1"/>
  <c r="AK1133" i="2"/>
  <c r="AF1133" i="2" s="1"/>
  <c r="E51" i="39" s="1"/>
  <c r="AN1132" i="2"/>
  <c r="AI1132" i="2" s="1"/>
  <c r="H50" i="39" s="1"/>
  <c r="AM1132" i="2"/>
  <c r="AH1132" i="2" s="1"/>
  <c r="G50" i="39" s="1"/>
  <c r="AL1132" i="2"/>
  <c r="AG1132" i="2" s="1"/>
  <c r="F50" i="39" s="1"/>
  <c r="AK1132" i="2"/>
  <c r="AF1132" i="2" s="1"/>
  <c r="E50" i="39" s="1"/>
  <c r="AN1131" i="2"/>
  <c r="AI1131" i="2" s="1"/>
  <c r="H49" i="39" s="1"/>
  <c r="AM1131" i="2"/>
  <c r="AH1131" i="2" s="1"/>
  <c r="G49" i="39" s="1"/>
  <c r="AL1131" i="2"/>
  <c r="AG1131" i="2" s="1"/>
  <c r="F49" i="39" s="1"/>
  <c r="AK1131" i="2"/>
  <c r="AF1131" i="2" s="1"/>
  <c r="E49" i="39" s="1"/>
  <c r="AN1130" i="2"/>
  <c r="AI1130" i="2" s="1"/>
  <c r="H48" i="39" s="1"/>
  <c r="AM1130" i="2"/>
  <c r="AH1130" i="2" s="1"/>
  <c r="G48" i="39" s="1"/>
  <c r="AL1130" i="2"/>
  <c r="AG1130" i="2" s="1"/>
  <c r="F48" i="39" s="1"/>
  <c r="AK1130" i="2"/>
  <c r="AF1130" i="2" s="1"/>
  <c r="E48" i="39" s="1"/>
  <c r="AN1129" i="2"/>
  <c r="AI1129" i="2" s="1"/>
  <c r="AM1129" i="2"/>
  <c r="AH1129" i="2" s="1"/>
  <c r="AL1129" i="2"/>
  <c r="AG1129" i="2" s="1"/>
  <c r="AK1129" i="2"/>
  <c r="AF1129" i="2" s="1"/>
  <c r="AN1128" i="2"/>
  <c r="AI1128" i="2" s="1"/>
  <c r="AM1128" i="2"/>
  <c r="AH1128" i="2" s="1"/>
  <c r="AL1128" i="2"/>
  <c r="AG1128" i="2" s="1"/>
  <c r="AK1128" i="2"/>
  <c r="AF1128" i="2" s="1"/>
  <c r="AN1127" i="2"/>
  <c r="AI1127" i="2" s="1"/>
  <c r="AM1127" i="2"/>
  <c r="AH1127" i="2" s="1"/>
  <c r="AL1127" i="2"/>
  <c r="AG1127" i="2" s="1"/>
  <c r="AK1127" i="2"/>
  <c r="AF1127" i="2" s="1"/>
  <c r="AN1126" i="2"/>
  <c r="AI1126" i="2" s="1"/>
  <c r="AM1126" i="2"/>
  <c r="AH1126" i="2" s="1"/>
  <c r="AL1126" i="2"/>
  <c r="AG1126" i="2" s="1"/>
  <c r="AK1126" i="2"/>
  <c r="AF1126" i="2" s="1"/>
  <c r="AN1125" i="2"/>
  <c r="AI1125" i="2" s="1"/>
  <c r="AM1125" i="2"/>
  <c r="AH1125" i="2" s="1"/>
  <c r="AL1125" i="2"/>
  <c r="AG1125" i="2" s="1"/>
  <c r="AK1125" i="2"/>
  <c r="AF1125" i="2" s="1"/>
  <c r="AN1124" i="2"/>
  <c r="AI1124" i="2" s="1"/>
  <c r="AM1124" i="2"/>
  <c r="AH1124" i="2" s="1"/>
  <c r="AL1124" i="2"/>
  <c r="AG1124" i="2" s="1"/>
  <c r="AK1124" i="2"/>
  <c r="AF1124" i="2" s="1"/>
  <c r="AN1123" i="2"/>
  <c r="AI1123" i="2" s="1"/>
  <c r="AM1123" i="2"/>
  <c r="AH1123" i="2" s="1"/>
  <c r="AL1123" i="2"/>
  <c r="AG1123" i="2" s="1"/>
  <c r="AK1123" i="2"/>
  <c r="AF1123" i="2" s="1"/>
  <c r="AN1122" i="2"/>
  <c r="AI1122" i="2" s="1"/>
  <c r="AM1122" i="2"/>
  <c r="AH1122" i="2" s="1"/>
  <c r="AL1122" i="2"/>
  <c r="AG1122" i="2" s="1"/>
  <c r="AK1122" i="2"/>
  <c r="AF1122" i="2" s="1"/>
  <c r="AN1121" i="2"/>
  <c r="AI1121" i="2" s="1"/>
  <c r="AM1121" i="2"/>
  <c r="AH1121" i="2" s="1"/>
  <c r="AL1121" i="2"/>
  <c r="AG1121" i="2" s="1"/>
  <c r="AK1121" i="2"/>
  <c r="AF1121" i="2" s="1"/>
  <c r="AN1120" i="2"/>
  <c r="AI1120" i="2" s="1"/>
  <c r="H44" i="39" s="1"/>
  <c r="AM1120" i="2"/>
  <c r="AH1120" i="2" s="1"/>
  <c r="G44" i="39" s="1"/>
  <c r="AL1120" i="2"/>
  <c r="AG1120" i="2" s="1"/>
  <c r="F44" i="39" s="1"/>
  <c r="AK1120" i="2"/>
  <c r="AF1120" i="2" s="1"/>
  <c r="E44" i="39" s="1"/>
  <c r="AN1119" i="2"/>
  <c r="AI1119" i="2" s="1"/>
  <c r="AM1119" i="2"/>
  <c r="AH1119" i="2" s="1"/>
  <c r="AL1119" i="2"/>
  <c r="AG1119" i="2" s="1"/>
  <c r="AK1119" i="2"/>
  <c r="AF1119" i="2" s="1"/>
  <c r="AN1118" i="2"/>
  <c r="AI1118" i="2" s="1"/>
  <c r="AM1118" i="2"/>
  <c r="AH1118" i="2" s="1"/>
  <c r="AL1118" i="2"/>
  <c r="AG1118" i="2" s="1"/>
  <c r="AK1118" i="2"/>
  <c r="AF1118" i="2" s="1"/>
  <c r="AN1117" i="2"/>
  <c r="AI1117" i="2" s="1"/>
  <c r="AM1117" i="2"/>
  <c r="AH1117" i="2" s="1"/>
  <c r="AL1117" i="2"/>
  <c r="AG1117" i="2" s="1"/>
  <c r="AK1117" i="2"/>
  <c r="AF1117" i="2" s="1"/>
  <c r="AN1116" i="2"/>
  <c r="AI1116" i="2" s="1"/>
  <c r="AM1116" i="2"/>
  <c r="AH1116" i="2" s="1"/>
  <c r="AL1116" i="2"/>
  <c r="AG1116" i="2" s="1"/>
  <c r="AK1116" i="2"/>
  <c r="AF1116" i="2" s="1"/>
  <c r="AN1115" i="2"/>
  <c r="AI1115" i="2" s="1"/>
  <c r="AM1115" i="2"/>
  <c r="AH1115" i="2" s="1"/>
  <c r="AL1115" i="2"/>
  <c r="AG1115" i="2" s="1"/>
  <c r="AK1115" i="2"/>
  <c r="AF1115" i="2" s="1"/>
  <c r="AN1114" i="2"/>
  <c r="AI1114" i="2" s="1"/>
  <c r="AM1114" i="2"/>
  <c r="AH1114" i="2" s="1"/>
  <c r="AL1114" i="2"/>
  <c r="AG1114" i="2" s="1"/>
  <c r="AK1114" i="2"/>
  <c r="AF1114" i="2" s="1"/>
  <c r="AN1113" i="2"/>
  <c r="AI1113" i="2" s="1"/>
  <c r="AM1113" i="2"/>
  <c r="AH1113" i="2" s="1"/>
  <c r="AL1113" i="2"/>
  <c r="AG1113" i="2" s="1"/>
  <c r="AK1113" i="2"/>
  <c r="AF1113" i="2" s="1"/>
  <c r="AN1112" i="2"/>
  <c r="AI1112" i="2" s="1"/>
  <c r="AM1112" i="2"/>
  <c r="AH1112" i="2" s="1"/>
  <c r="AL1112" i="2"/>
  <c r="AG1112" i="2" s="1"/>
  <c r="AK1112" i="2"/>
  <c r="AF1112" i="2" s="1"/>
  <c r="AN1111" i="2"/>
  <c r="AI1111" i="2" s="1"/>
  <c r="AM1111" i="2"/>
  <c r="AH1111" i="2" s="1"/>
  <c r="AL1111" i="2"/>
  <c r="AG1111" i="2" s="1"/>
  <c r="AK1111" i="2"/>
  <c r="AF1111" i="2" s="1"/>
  <c r="AN1110" i="2"/>
  <c r="AI1110" i="2" s="1"/>
  <c r="AM1110" i="2"/>
  <c r="AH1110" i="2" s="1"/>
  <c r="AL1110" i="2"/>
  <c r="AG1110" i="2" s="1"/>
  <c r="AK1110" i="2"/>
  <c r="AF1110" i="2" s="1"/>
  <c r="AN1109" i="2"/>
  <c r="AI1109" i="2" s="1"/>
  <c r="AM1109" i="2"/>
  <c r="AH1109" i="2" s="1"/>
  <c r="AL1109" i="2"/>
  <c r="AG1109" i="2" s="1"/>
  <c r="AK1109" i="2"/>
  <c r="AF1109" i="2" s="1"/>
  <c r="AN1108" i="2"/>
  <c r="AI1108" i="2" s="1"/>
  <c r="AM1108" i="2"/>
  <c r="AH1108" i="2" s="1"/>
  <c r="AL1108" i="2"/>
  <c r="AG1108" i="2" s="1"/>
  <c r="AK1108" i="2"/>
  <c r="AF1108" i="2" s="1"/>
  <c r="AN1107" i="2"/>
  <c r="AI1107" i="2" s="1"/>
  <c r="AM1107" i="2"/>
  <c r="AH1107" i="2" s="1"/>
  <c r="AL1107" i="2"/>
  <c r="AG1107" i="2" s="1"/>
  <c r="AK1107" i="2"/>
  <c r="AF1107" i="2" s="1"/>
  <c r="AN1106" i="2"/>
  <c r="AI1106" i="2" s="1"/>
  <c r="AM1106" i="2"/>
  <c r="AH1106" i="2" s="1"/>
  <c r="AL1106" i="2"/>
  <c r="AG1106" i="2" s="1"/>
  <c r="AK1106" i="2"/>
  <c r="AF1106" i="2" s="1"/>
  <c r="AN1105" i="2"/>
  <c r="AI1105" i="2" s="1"/>
  <c r="AM1105" i="2"/>
  <c r="AH1105" i="2" s="1"/>
  <c r="AL1105" i="2"/>
  <c r="AG1105" i="2" s="1"/>
  <c r="AK1105" i="2"/>
  <c r="AF1105" i="2" s="1"/>
  <c r="AN1104" i="2"/>
  <c r="AI1104" i="2" s="1"/>
  <c r="AM1104" i="2"/>
  <c r="AH1104" i="2" s="1"/>
  <c r="AL1104" i="2"/>
  <c r="AG1104" i="2" s="1"/>
  <c r="AK1104" i="2"/>
  <c r="AF1104" i="2" s="1"/>
  <c r="AN1103" i="2"/>
  <c r="AI1103" i="2" s="1"/>
  <c r="AM1103" i="2"/>
  <c r="AH1103" i="2" s="1"/>
  <c r="AL1103" i="2"/>
  <c r="AG1103" i="2" s="1"/>
  <c r="AK1103" i="2"/>
  <c r="AF1103" i="2" s="1"/>
  <c r="G46" i="39" l="1"/>
  <c r="E47" i="39"/>
  <c r="F45" i="39"/>
  <c r="G45" i="39"/>
  <c r="F46" i="39"/>
  <c r="H47" i="39"/>
  <c r="H46" i="39"/>
  <c r="F47" i="39"/>
  <c r="H45" i="39"/>
  <c r="E46" i="39"/>
  <c r="G47" i="39"/>
  <c r="E45" i="39"/>
  <c r="I49" i="39"/>
  <c r="I51" i="39"/>
  <c r="I44" i="39"/>
  <c r="I48" i="39"/>
  <c r="I50" i="39"/>
  <c r="C23" i="44"/>
  <c r="C22" i="44"/>
  <c r="C21" i="44"/>
  <c r="C20" i="44"/>
  <c r="C19" i="44"/>
  <c r="C18" i="44"/>
  <c r="C17" i="44"/>
  <c r="C16" i="44"/>
  <c r="D4" i="2"/>
  <c r="I47" i="39" l="1"/>
  <c r="I46" i="39"/>
  <c r="I45" i="39"/>
  <c r="D63" i="39" l="1"/>
  <c r="D62" i="39"/>
  <c r="D61" i="39"/>
  <c r="D60" i="39"/>
  <c r="D59" i="39"/>
  <c r="D58" i="39"/>
  <c r="D57" i="39"/>
  <c r="D56" i="39"/>
  <c r="D55" i="39"/>
  <c r="D54" i="39"/>
  <c r="D53" i="39"/>
  <c r="D52" i="39"/>
  <c r="D38" i="39"/>
  <c r="D37" i="39"/>
  <c r="AN1310" i="2"/>
  <c r="AI1310" i="2" s="1"/>
  <c r="AM1310" i="2"/>
  <c r="AH1310" i="2" s="1"/>
  <c r="AL1310" i="2"/>
  <c r="AG1310" i="2" s="1"/>
  <c r="AK1310" i="2"/>
  <c r="AF1310" i="2" s="1"/>
  <c r="AQ1310" i="2"/>
  <c r="AN1309" i="2"/>
  <c r="AI1309" i="2" s="1"/>
  <c r="AM1309" i="2"/>
  <c r="AH1309" i="2" s="1"/>
  <c r="AL1309" i="2"/>
  <c r="AG1309" i="2" s="1"/>
  <c r="AK1309" i="2"/>
  <c r="AF1309" i="2" s="1"/>
  <c r="AQ1309" i="2"/>
  <c r="AN1308" i="2"/>
  <c r="AI1308" i="2" s="1"/>
  <c r="AM1308" i="2"/>
  <c r="AH1308" i="2" s="1"/>
  <c r="AL1308" i="2"/>
  <c r="AG1308" i="2" s="1"/>
  <c r="AK1308" i="2"/>
  <c r="AF1308" i="2" s="1"/>
  <c r="AQ1308" i="2"/>
  <c r="AN1307" i="2"/>
  <c r="AI1307" i="2" s="1"/>
  <c r="AM1307" i="2"/>
  <c r="AH1307" i="2" s="1"/>
  <c r="AL1307" i="2"/>
  <c r="AG1307" i="2" s="1"/>
  <c r="AK1307" i="2"/>
  <c r="AF1307" i="2" s="1"/>
  <c r="AQ1307" i="2"/>
  <c r="AN1306" i="2"/>
  <c r="AI1306" i="2" s="1"/>
  <c r="AM1306" i="2"/>
  <c r="AH1306" i="2" s="1"/>
  <c r="AL1306" i="2"/>
  <c r="AG1306" i="2" s="1"/>
  <c r="AK1306" i="2"/>
  <c r="AF1306" i="2" s="1"/>
  <c r="AQ1306" i="2"/>
  <c r="AN1305" i="2"/>
  <c r="AI1305" i="2" s="1"/>
  <c r="AM1305" i="2"/>
  <c r="AH1305" i="2" s="1"/>
  <c r="AL1305" i="2"/>
  <c r="AG1305" i="2" s="1"/>
  <c r="AK1305" i="2"/>
  <c r="AF1305" i="2" s="1"/>
  <c r="AQ1305" i="2"/>
  <c r="AN1304" i="2"/>
  <c r="AI1304" i="2" s="1"/>
  <c r="AM1304" i="2"/>
  <c r="AH1304" i="2" s="1"/>
  <c r="AL1304" i="2"/>
  <c r="AG1304" i="2" s="1"/>
  <c r="AK1304" i="2"/>
  <c r="AF1304" i="2" s="1"/>
  <c r="AQ1304" i="2"/>
  <c r="AN1303" i="2"/>
  <c r="AI1303" i="2" s="1"/>
  <c r="AM1303" i="2"/>
  <c r="AH1303" i="2" s="1"/>
  <c r="AL1303" i="2"/>
  <c r="AG1303" i="2" s="1"/>
  <c r="AK1303" i="2"/>
  <c r="AF1303" i="2" s="1"/>
  <c r="AQ1303" i="2"/>
  <c r="AN1302" i="2"/>
  <c r="AI1302" i="2" s="1"/>
  <c r="AM1302" i="2"/>
  <c r="AH1302" i="2" s="1"/>
  <c r="AL1302" i="2"/>
  <c r="AG1302" i="2" s="1"/>
  <c r="AK1302" i="2"/>
  <c r="AF1302" i="2" s="1"/>
  <c r="AQ1302" i="2"/>
  <c r="AN1301" i="2"/>
  <c r="AI1301" i="2" s="1"/>
  <c r="AM1301" i="2"/>
  <c r="AH1301" i="2" s="1"/>
  <c r="AL1301" i="2"/>
  <c r="AG1301" i="2" s="1"/>
  <c r="AK1301" i="2"/>
  <c r="AF1301" i="2" s="1"/>
  <c r="AQ1301" i="2"/>
  <c r="AN1300" i="2"/>
  <c r="AI1300" i="2" s="1"/>
  <c r="AM1300" i="2"/>
  <c r="AH1300" i="2" s="1"/>
  <c r="AL1300" i="2"/>
  <c r="AG1300" i="2" s="1"/>
  <c r="AK1300" i="2"/>
  <c r="AF1300" i="2" s="1"/>
  <c r="AQ1300" i="2"/>
  <c r="AN1299" i="2"/>
  <c r="AI1299" i="2" s="1"/>
  <c r="AM1299" i="2"/>
  <c r="AH1299" i="2" s="1"/>
  <c r="AL1299" i="2"/>
  <c r="AG1299" i="2" s="1"/>
  <c r="AK1299" i="2"/>
  <c r="AF1299" i="2" s="1"/>
  <c r="AQ1299" i="2"/>
  <c r="AN1298" i="2"/>
  <c r="AI1298" i="2" s="1"/>
  <c r="AM1298" i="2"/>
  <c r="AH1298" i="2" s="1"/>
  <c r="AL1298" i="2"/>
  <c r="AG1298" i="2" s="1"/>
  <c r="AK1298" i="2"/>
  <c r="AF1298" i="2" s="1"/>
  <c r="AQ1298" i="2"/>
  <c r="AN1297" i="2"/>
  <c r="AI1297" i="2" s="1"/>
  <c r="AM1297" i="2"/>
  <c r="AH1297" i="2" s="1"/>
  <c r="AL1297" i="2"/>
  <c r="AG1297" i="2" s="1"/>
  <c r="AK1297" i="2"/>
  <c r="AF1297" i="2" s="1"/>
  <c r="AQ1297" i="2"/>
  <c r="AN1296" i="2"/>
  <c r="AI1296" i="2" s="1"/>
  <c r="AM1296" i="2"/>
  <c r="AH1296" i="2" s="1"/>
  <c r="AL1296" i="2"/>
  <c r="AG1296" i="2" s="1"/>
  <c r="AK1296" i="2"/>
  <c r="AF1296" i="2" s="1"/>
  <c r="AQ1296" i="2"/>
  <c r="AN1295" i="2"/>
  <c r="AI1295" i="2" s="1"/>
  <c r="AM1295" i="2"/>
  <c r="AH1295" i="2" s="1"/>
  <c r="AL1295" i="2"/>
  <c r="AG1295" i="2" s="1"/>
  <c r="AK1295" i="2"/>
  <c r="AF1295" i="2" s="1"/>
  <c r="AQ1295" i="2"/>
  <c r="AN1294" i="2"/>
  <c r="AI1294" i="2" s="1"/>
  <c r="AM1294" i="2"/>
  <c r="AH1294" i="2" s="1"/>
  <c r="AL1294" i="2"/>
  <c r="AG1294" i="2" s="1"/>
  <c r="AK1294" i="2"/>
  <c r="AF1294" i="2" s="1"/>
  <c r="AQ1294" i="2"/>
  <c r="AN1293" i="2"/>
  <c r="AI1293" i="2" s="1"/>
  <c r="AM1293" i="2"/>
  <c r="AH1293" i="2" s="1"/>
  <c r="AL1293" i="2"/>
  <c r="AG1293" i="2" s="1"/>
  <c r="AK1293" i="2"/>
  <c r="AF1293" i="2" s="1"/>
  <c r="AQ1293" i="2"/>
  <c r="AN1292" i="2"/>
  <c r="AI1292" i="2" s="1"/>
  <c r="AM1292" i="2"/>
  <c r="AH1292" i="2" s="1"/>
  <c r="AL1292" i="2"/>
  <c r="AG1292" i="2" s="1"/>
  <c r="AK1292" i="2"/>
  <c r="AF1292" i="2" s="1"/>
  <c r="AQ1292" i="2"/>
  <c r="AN1291" i="2"/>
  <c r="AI1291" i="2" s="1"/>
  <c r="AM1291" i="2"/>
  <c r="AH1291" i="2" s="1"/>
  <c r="AL1291" i="2"/>
  <c r="AG1291" i="2" s="1"/>
  <c r="AK1291" i="2"/>
  <c r="AF1291" i="2" s="1"/>
  <c r="AQ1291" i="2"/>
  <c r="AN1290" i="2"/>
  <c r="AI1290" i="2" s="1"/>
  <c r="AM1290" i="2"/>
  <c r="AH1290" i="2" s="1"/>
  <c r="AL1290" i="2"/>
  <c r="AG1290" i="2" s="1"/>
  <c r="AK1290" i="2"/>
  <c r="AF1290" i="2" s="1"/>
  <c r="AQ1290" i="2"/>
  <c r="AN1289" i="2"/>
  <c r="AI1289" i="2" s="1"/>
  <c r="AM1289" i="2"/>
  <c r="AH1289" i="2" s="1"/>
  <c r="AL1289" i="2"/>
  <c r="AG1289" i="2" s="1"/>
  <c r="AK1289" i="2"/>
  <c r="AF1289" i="2" s="1"/>
  <c r="AQ1289" i="2"/>
  <c r="AN1288" i="2"/>
  <c r="AI1288" i="2" s="1"/>
  <c r="AM1288" i="2"/>
  <c r="AH1288" i="2" s="1"/>
  <c r="AL1288" i="2"/>
  <c r="AG1288" i="2" s="1"/>
  <c r="AK1288" i="2"/>
  <c r="AF1288" i="2" s="1"/>
  <c r="AQ1288" i="2"/>
  <c r="AN1287" i="2"/>
  <c r="AI1287" i="2" s="1"/>
  <c r="AM1287" i="2"/>
  <c r="AH1287" i="2" s="1"/>
  <c r="AL1287" i="2"/>
  <c r="AG1287" i="2" s="1"/>
  <c r="AK1287" i="2"/>
  <c r="AF1287" i="2" s="1"/>
  <c r="AQ1287" i="2"/>
  <c r="AN1286" i="2"/>
  <c r="AI1286" i="2" s="1"/>
  <c r="AM1286" i="2"/>
  <c r="AH1286" i="2" s="1"/>
  <c r="AL1286" i="2"/>
  <c r="AG1286" i="2" s="1"/>
  <c r="AK1286" i="2"/>
  <c r="AF1286" i="2" s="1"/>
  <c r="AQ1286" i="2"/>
  <c r="AN1285" i="2"/>
  <c r="AI1285" i="2" s="1"/>
  <c r="AM1285" i="2"/>
  <c r="AH1285" i="2" s="1"/>
  <c r="AL1285" i="2"/>
  <c r="AG1285" i="2" s="1"/>
  <c r="AK1285" i="2"/>
  <c r="AF1285" i="2" s="1"/>
  <c r="AQ1285" i="2"/>
  <c r="AN1284" i="2"/>
  <c r="AI1284" i="2" s="1"/>
  <c r="AM1284" i="2"/>
  <c r="AH1284" i="2" s="1"/>
  <c r="AL1284" i="2"/>
  <c r="AG1284" i="2" s="1"/>
  <c r="AK1284" i="2"/>
  <c r="AF1284" i="2" s="1"/>
  <c r="AQ1284" i="2"/>
  <c r="AN1283" i="2"/>
  <c r="AI1283" i="2" s="1"/>
  <c r="AM1283" i="2"/>
  <c r="AH1283" i="2" s="1"/>
  <c r="AL1283" i="2"/>
  <c r="AG1283" i="2" s="1"/>
  <c r="AK1283" i="2"/>
  <c r="AF1283" i="2" s="1"/>
  <c r="AQ1283" i="2"/>
  <c r="AN1282" i="2"/>
  <c r="AI1282" i="2" s="1"/>
  <c r="AM1282" i="2"/>
  <c r="AH1282" i="2" s="1"/>
  <c r="AL1282" i="2"/>
  <c r="AG1282" i="2" s="1"/>
  <c r="AK1282" i="2"/>
  <c r="AF1282" i="2" s="1"/>
  <c r="AQ1282" i="2"/>
  <c r="AN1281" i="2"/>
  <c r="AI1281" i="2" s="1"/>
  <c r="AM1281" i="2"/>
  <c r="AH1281" i="2" s="1"/>
  <c r="AL1281" i="2"/>
  <c r="AG1281" i="2" s="1"/>
  <c r="AK1281" i="2"/>
  <c r="AF1281" i="2" s="1"/>
  <c r="AQ1281" i="2"/>
  <c r="AN1280" i="2"/>
  <c r="AI1280" i="2" s="1"/>
  <c r="AM1280" i="2"/>
  <c r="AH1280" i="2" s="1"/>
  <c r="AL1280" i="2"/>
  <c r="AG1280" i="2" s="1"/>
  <c r="AK1280" i="2"/>
  <c r="AF1280" i="2" s="1"/>
  <c r="AQ1280" i="2"/>
  <c r="AN1279" i="2"/>
  <c r="AI1279" i="2" s="1"/>
  <c r="AM1279" i="2"/>
  <c r="AH1279" i="2" s="1"/>
  <c r="AL1279" i="2"/>
  <c r="AG1279" i="2" s="1"/>
  <c r="AK1279" i="2"/>
  <c r="AF1279" i="2" s="1"/>
  <c r="AQ1279" i="2"/>
  <c r="AN1278" i="2"/>
  <c r="AI1278" i="2" s="1"/>
  <c r="AM1278" i="2"/>
  <c r="AH1278" i="2" s="1"/>
  <c r="AL1278" i="2"/>
  <c r="AG1278" i="2" s="1"/>
  <c r="AK1278" i="2"/>
  <c r="AF1278" i="2" s="1"/>
  <c r="AQ1278" i="2"/>
  <c r="AN1277" i="2"/>
  <c r="AI1277" i="2" s="1"/>
  <c r="AM1277" i="2"/>
  <c r="AH1277" i="2" s="1"/>
  <c r="AL1277" i="2"/>
  <c r="AG1277" i="2" s="1"/>
  <c r="AK1277" i="2"/>
  <c r="AF1277" i="2" s="1"/>
  <c r="AQ1277" i="2"/>
  <c r="AN1276" i="2"/>
  <c r="AI1276" i="2" s="1"/>
  <c r="AM1276" i="2"/>
  <c r="AH1276" i="2" s="1"/>
  <c r="AL1276" i="2"/>
  <c r="AG1276" i="2" s="1"/>
  <c r="AK1276" i="2"/>
  <c r="AF1276" i="2" s="1"/>
  <c r="AQ1276" i="2"/>
  <c r="AN1275" i="2"/>
  <c r="AI1275" i="2" s="1"/>
  <c r="AM1275" i="2"/>
  <c r="AH1275" i="2" s="1"/>
  <c r="AL1275" i="2"/>
  <c r="AG1275" i="2" s="1"/>
  <c r="AK1275" i="2"/>
  <c r="AF1275" i="2" s="1"/>
  <c r="AQ1275" i="2"/>
  <c r="AN1274" i="2"/>
  <c r="AI1274" i="2" s="1"/>
  <c r="AM1274" i="2"/>
  <c r="AH1274" i="2" s="1"/>
  <c r="AL1274" i="2"/>
  <c r="AG1274" i="2" s="1"/>
  <c r="AK1274" i="2"/>
  <c r="AF1274" i="2" s="1"/>
  <c r="AQ1274" i="2"/>
  <c r="AN1273" i="2"/>
  <c r="AI1273" i="2" s="1"/>
  <c r="AM1273" i="2"/>
  <c r="AH1273" i="2" s="1"/>
  <c r="AL1273" i="2"/>
  <c r="AG1273" i="2" s="1"/>
  <c r="AK1273" i="2"/>
  <c r="AF1273" i="2" s="1"/>
  <c r="AQ1273" i="2"/>
  <c r="AN1272" i="2"/>
  <c r="AI1272" i="2" s="1"/>
  <c r="AM1272" i="2"/>
  <c r="AH1272" i="2" s="1"/>
  <c r="AL1272" i="2"/>
  <c r="AG1272" i="2" s="1"/>
  <c r="AK1272" i="2"/>
  <c r="AF1272" i="2" s="1"/>
  <c r="AQ1272" i="2"/>
  <c r="AN1271" i="2"/>
  <c r="AI1271" i="2" s="1"/>
  <c r="AM1271" i="2"/>
  <c r="AH1271" i="2" s="1"/>
  <c r="AL1271" i="2"/>
  <c r="AG1271" i="2" s="1"/>
  <c r="AK1271" i="2"/>
  <c r="AF1271" i="2" s="1"/>
  <c r="AQ1271" i="2"/>
  <c r="AN1270" i="2"/>
  <c r="AI1270" i="2" s="1"/>
  <c r="AM1270" i="2"/>
  <c r="AH1270" i="2" s="1"/>
  <c r="AL1270" i="2"/>
  <c r="AG1270" i="2" s="1"/>
  <c r="AK1270" i="2"/>
  <c r="AF1270" i="2" s="1"/>
  <c r="AQ1270" i="2"/>
  <c r="AN1269" i="2"/>
  <c r="AI1269" i="2" s="1"/>
  <c r="AM1269" i="2"/>
  <c r="AH1269" i="2" s="1"/>
  <c r="AL1269" i="2"/>
  <c r="AG1269" i="2" s="1"/>
  <c r="AK1269" i="2"/>
  <c r="AF1269" i="2" s="1"/>
  <c r="AQ1269" i="2"/>
  <c r="AN1268" i="2"/>
  <c r="AI1268" i="2" s="1"/>
  <c r="AM1268" i="2"/>
  <c r="AH1268" i="2" s="1"/>
  <c r="AL1268" i="2"/>
  <c r="AG1268" i="2" s="1"/>
  <c r="AK1268" i="2"/>
  <c r="AF1268" i="2" s="1"/>
  <c r="AQ1268" i="2"/>
  <c r="AN1267" i="2"/>
  <c r="AI1267" i="2" s="1"/>
  <c r="AM1267" i="2"/>
  <c r="AH1267" i="2" s="1"/>
  <c r="AL1267" i="2"/>
  <c r="AG1267" i="2" s="1"/>
  <c r="AK1267" i="2"/>
  <c r="AF1267" i="2" s="1"/>
  <c r="AQ1267" i="2"/>
  <c r="AN1266" i="2"/>
  <c r="AI1266" i="2" s="1"/>
  <c r="AM1266" i="2"/>
  <c r="AH1266" i="2" s="1"/>
  <c r="AL1266" i="2"/>
  <c r="AG1266" i="2" s="1"/>
  <c r="AK1266" i="2"/>
  <c r="AF1266" i="2" s="1"/>
  <c r="AQ1266" i="2"/>
  <c r="AN1265" i="2"/>
  <c r="AI1265" i="2" s="1"/>
  <c r="AM1265" i="2"/>
  <c r="AH1265" i="2" s="1"/>
  <c r="AL1265" i="2"/>
  <c r="AG1265" i="2" s="1"/>
  <c r="AK1265" i="2"/>
  <c r="AF1265" i="2" s="1"/>
  <c r="AQ1265" i="2"/>
  <c r="AN1264" i="2"/>
  <c r="AI1264" i="2" s="1"/>
  <c r="AM1264" i="2"/>
  <c r="AH1264" i="2" s="1"/>
  <c r="AL1264" i="2"/>
  <c r="AG1264" i="2" s="1"/>
  <c r="AK1264" i="2"/>
  <c r="AF1264" i="2" s="1"/>
  <c r="AQ1264" i="2"/>
  <c r="AN1263" i="2"/>
  <c r="AI1263" i="2" s="1"/>
  <c r="AM1263" i="2"/>
  <c r="AH1263" i="2" s="1"/>
  <c r="AL1263" i="2"/>
  <c r="AG1263" i="2" s="1"/>
  <c r="AK1263" i="2"/>
  <c r="AF1263" i="2" s="1"/>
  <c r="AQ1263" i="2"/>
  <c r="AN1262" i="2"/>
  <c r="AI1262" i="2" s="1"/>
  <c r="AM1262" i="2"/>
  <c r="AH1262" i="2" s="1"/>
  <c r="AL1262" i="2"/>
  <c r="AG1262" i="2" s="1"/>
  <c r="AK1262" i="2"/>
  <c r="AF1262" i="2" s="1"/>
  <c r="AQ1262" i="2"/>
  <c r="AN1261" i="2"/>
  <c r="AI1261" i="2" s="1"/>
  <c r="AM1261" i="2"/>
  <c r="AH1261" i="2" s="1"/>
  <c r="AL1261" i="2"/>
  <c r="AG1261" i="2" s="1"/>
  <c r="AK1261" i="2"/>
  <c r="AF1261" i="2" s="1"/>
  <c r="AQ1261" i="2"/>
  <c r="AN1260" i="2"/>
  <c r="AI1260" i="2" s="1"/>
  <c r="AM1260" i="2"/>
  <c r="AH1260" i="2" s="1"/>
  <c r="AL1260" i="2"/>
  <c r="AG1260" i="2" s="1"/>
  <c r="AK1260" i="2"/>
  <c r="AF1260" i="2" s="1"/>
  <c r="AQ1260" i="2"/>
  <c r="AN1259" i="2"/>
  <c r="AI1259" i="2" s="1"/>
  <c r="AM1259" i="2"/>
  <c r="AH1259" i="2" s="1"/>
  <c r="AL1259" i="2"/>
  <c r="AG1259" i="2" s="1"/>
  <c r="AK1259" i="2"/>
  <c r="AF1259" i="2" s="1"/>
  <c r="AQ1259" i="2"/>
  <c r="AN1258" i="2"/>
  <c r="AI1258" i="2" s="1"/>
  <c r="AM1258" i="2"/>
  <c r="AH1258" i="2" s="1"/>
  <c r="AL1258" i="2"/>
  <c r="AG1258" i="2" s="1"/>
  <c r="AK1258" i="2"/>
  <c r="AF1258" i="2" s="1"/>
  <c r="AQ1258" i="2"/>
  <c r="AN1257" i="2"/>
  <c r="AI1257" i="2" s="1"/>
  <c r="AM1257" i="2"/>
  <c r="AH1257" i="2" s="1"/>
  <c r="AL1257" i="2"/>
  <c r="AG1257" i="2" s="1"/>
  <c r="AK1257" i="2"/>
  <c r="AF1257" i="2" s="1"/>
  <c r="AQ1257" i="2"/>
  <c r="AN1256" i="2"/>
  <c r="AI1256" i="2" s="1"/>
  <c r="AM1256" i="2"/>
  <c r="AH1256" i="2" s="1"/>
  <c r="AL1256" i="2"/>
  <c r="AG1256" i="2" s="1"/>
  <c r="AK1256" i="2"/>
  <c r="AF1256" i="2" s="1"/>
  <c r="AQ1256" i="2"/>
  <c r="AN1255" i="2"/>
  <c r="AI1255" i="2" s="1"/>
  <c r="AM1255" i="2"/>
  <c r="AH1255" i="2" s="1"/>
  <c r="AL1255" i="2"/>
  <c r="AG1255" i="2" s="1"/>
  <c r="AK1255" i="2"/>
  <c r="AF1255" i="2" s="1"/>
  <c r="AQ1255" i="2"/>
  <c r="AN1254" i="2"/>
  <c r="AI1254" i="2" s="1"/>
  <c r="AM1254" i="2"/>
  <c r="AH1254" i="2" s="1"/>
  <c r="AL1254" i="2"/>
  <c r="AG1254" i="2" s="1"/>
  <c r="AK1254" i="2"/>
  <c r="AF1254" i="2" s="1"/>
  <c r="AQ1254" i="2"/>
  <c r="AN1253" i="2"/>
  <c r="AI1253" i="2" s="1"/>
  <c r="AM1253" i="2"/>
  <c r="AH1253" i="2" s="1"/>
  <c r="AL1253" i="2"/>
  <c r="AG1253" i="2" s="1"/>
  <c r="AK1253" i="2"/>
  <c r="AF1253" i="2" s="1"/>
  <c r="AQ1253" i="2"/>
  <c r="AN1252" i="2"/>
  <c r="AI1252" i="2" s="1"/>
  <c r="AM1252" i="2"/>
  <c r="AH1252" i="2" s="1"/>
  <c r="AL1252" i="2"/>
  <c r="AG1252" i="2" s="1"/>
  <c r="AK1252" i="2"/>
  <c r="AF1252" i="2" s="1"/>
  <c r="AQ1252" i="2"/>
  <c r="AN1251" i="2"/>
  <c r="AI1251" i="2" s="1"/>
  <c r="AM1251" i="2"/>
  <c r="AH1251" i="2" s="1"/>
  <c r="AL1251" i="2"/>
  <c r="AG1251" i="2" s="1"/>
  <c r="AK1251" i="2"/>
  <c r="AF1251" i="2" s="1"/>
  <c r="AQ1251" i="2"/>
  <c r="AN1250" i="2"/>
  <c r="AI1250" i="2" s="1"/>
  <c r="AM1250" i="2"/>
  <c r="AH1250" i="2" s="1"/>
  <c r="AL1250" i="2"/>
  <c r="AG1250" i="2" s="1"/>
  <c r="AK1250" i="2"/>
  <c r="AF1250" i="2" s="1"/>
  <c r="AQ1250" i="2"/>
  <c r="AN1249" i="2"/>
  <c r="AI1249" i="2" s="1"/>
  <c r="AM1249" i="2"/>
  <c r="AH1249" i="2" s="1"/>
  <c r="AL1249" i="2"/>
  <c r="AG1249" i="2" s="1"/>
  <c r="AK1249" i="2"/>
  <c r="AF1249" i="2" s="1"/>
  <c r="AQ1249" i="2"/>
  <c r="AN1248" i="2"/>
  <c r="AI1248" i="2" s="1"/>
  <c r="AM1248" i="2"/>
  <c r="AH1248" i="2" s="1"/>
  <c r="AL1248" i="2"/>
  <c r="AG1248" i="2" s="1"/>
  <c r="AK1248" i="2"/>
  <c r="AF1248" i="2" s="1"/>
  <c r="AQ1248" i="2"/>
  <c r="AN1247" i="2"/>
  <c r="AI1247" i="2" s="1"/>
  <c r="AM1247" i="2"/>
  <c r="AH1247" i="2" s="1"/>
  <c r="AL1247" i="2"/>
  <c r="AG1247" i="2" s="1"/>
  <c r="AK1247" i="2"/>
  <c r="AF1247" i="2" s="1"/>
  <c r="AQ1247" i="2"/>
  <c r="AN1246" i="2"/>
  <c r="AI1246" i="2" s="1"/>
  <c r="AM1246" i="2"/>
  <c r="AH1246" i="2" s="1"/>
  <c r="AL1246" i="2"/>
  <c r="AG1246" i="2" s="1"/>
  <c r="AK1246" i="2"/>
  <c r="AF1246" i="2" s="1"/>
  <c r="AQ1246" i="2"/>
  <c r="AN1245" i="2"/>
  <c r="AI1245" i="2" s="1"/>
  <c r="AM1245" i="2"/>
  <c r="AH1245" i="2" s="1"/>
  <c r="AL1245" i="2"/>
  <c r="AG1245" i="2" s="1"/>
  <c r="AK1245" i="2"/>
  <c r="AF1245" i="2" s="1"/>
  <c r="AQ1245" i="2"/>
  <c r="AN1244" i="2"/>
  <c r="AI1244" i="2" s="1"/>
  <c r="AM1244" i="2"/>
  <c r="AH1244" i="2" s="1"/>
  <c r="AL1244" i="2"/>
  <c r="AG1244" i="2" s="1"/>
  <c r="AK1244" i="2"/>
  <c r="AF1244" i="2" s="1"/>
  <c r="AQ1244" i="2"/>
  <c r="AN1243" i="2"/>
  <c r="AI1243" i="2" s="1"/>
  <c r="AM1243" i="2"/>
  <c r="AH1243" i="2" s="1"/>
  <c r="AL1243" i="2"/>
  <c r="AG1243" i="2" s="1"/>
  <c r="AK1243" i="2"/>
  <c r="AF1243" i="2" s="1"/>
  <c r="AQ1243" i="2"/>
  <c r="AN1242" i="2"/>
  <c r="AI1242" i="2" s="1"/>
  <c r="AM1242" i="2"/>
  <c r="AH1242" i="2" s="1"/>
  <c r="AL1242" i="2"/>
  <c r="AG1242" i="2" s="1"/>
  <c r="AK1242" i="2"/>
  <c r="AF1242" i="2" s="1"/>
  <c r="AQ1242" i="2"/>
  <c r="AN1241" i="2"/>
  <c r="AI1241" i="2" s="1"/>
  <c r="AM1241" i="2"/>
  <c r="AH1241" i="2" s="1"/>
  <c r="AL1241" i="2"/>
  <c r="AG1241" i="2" s="1"/>
  <c r="AK1241" i="2"/>
  <c r="AF1241" i="2" s="1"/>
  <c r="AQ1241" i="2"/>
  <c r="AN1240" i="2"/>
  <c r="AI1240" i="2" s="1"/>
  <c r="AM1240" i="2"/>
  <c r="AH1240" i="2" s="1"/>
  <c r="AL1240" i="2"/>
  <c r="AG1240" i="2" s="1"/>
  <c r="AK1240" i="2"/>
  <c r="AF1240" i="2" s="1"/>
  <c r="AQ1240" i="2"/>
  <c r="AN1239" i="2"/>
  <c r="AI1239" i="2" s="1"/>
  <c r="AM1239" i="2"/>
  <c r="AH1239" i="2" s="1"/>
  <c r="AL1239" i="2"/>
  <c r="AG1239" i="2" s="1"/>
  <c r="AK1239" i="2"/>
  <c r="AF1239" i="2" s="1"/>
  <c r="AQ1239" i="2"/>
  <c r="AN1238" i="2"/>
  <c r="AI1238" i="2" s="1"/>
  <c r="AM1238" i="2"/>
  <c r="AH1238" i="2" s="1"/>
  <c r="AL1238" i="2"/>
  <c r="AG1238" i="2" s="1"/>
  <c r="AK1238" i="2"/>
  <c r="AF1238" i="2" s="1"/>
  <c r="AQ1238" i="2"/>
  <c r="AN1237" i="2"/>
  <c r="AI1237" i="2" s="1"/>
  <c r="AM1237" i="2"/>
  <c r="AH1237" i="2" s="1"/>
  <c r="AL1237" i="2"/>
  <c r="AG1237" i="2" s="1"/>
  <c r="AK1237" i="2"/>
  <c r="AF1237" i="2" s="1"/>
  <c r="AQ1237" i="2"/>
  <c r="AN1236" i="2"/>
  <c r="AI1236" i="2" s="1"/>
  <c r="AM1236" i="2"/>
  <c r="AH1236" i="2" s="1"/>
  <c r="AL1236" i="2"/>
  <c r="AG1236" i="2" s="1"/>
  <c r="AK1236" i="2"/>
  <c r="AF1236" i="2" s="1"/>
  <c r="AQ1236" i="2"/>
  <c r="AN1235" i="2"/>
  <c r="AI1235" i="2" s="1"/>
  <c r="AM1235" i="2"/>
  <c r="AH1235" i="2" s="1"/>
  <c r="AL1235" i="2"/>
  <c r="AG1235" i="2" s="1"/>
  <c r="AK1235" i="2"/>
  <c r="AF1235" i="2" s="1"/>
  <c r="AQ1235" i="2"/>
  <c r="AN1234" i="2"/>
  <c r="AI1234" i="2" s="1"/>
  <c r="AM1234" i="2"/>
  <c r="AH1234" i="2" s="1"/>
  <c r="AL1234" i="2"/>
  <c r="AG1234" i="2" s="1"/>
  <c r="AK1234" i="2"/>
  <c r="AF1234" i="2" s="1"/>
  <c r="AQ1234" i="2"/>
  <c r="AN1233" i="2"/>
  <c r="AI1233" i="2" s="1"/>
  <c r="AM1233" i="2"/>
  <c r="AH1233" i="2" s="1"/>
  <c r="AL1233" i="2"/>
  <c r="AG1233" i="2" s="1"/>
  <c r="AK1233" i="2"/>
  <c r="AF1233" i="2" s="1"/>
  <c r="AQ1233" i="2"/>
  <c r="AN1232" i="2"/>
  <c r="AI1232" i="2" s="1"/>
  <c r="AM1232" i="2"/>
  <c r="AH1232" i="2" s="1"/>
  <c r="AL1232" i="2"/>
  <c r="AG1232" i="2" s="1"/>
  <c r="AK1232" i="2"/>
  <c r="AF1232" i="2" s="1"/>
  <c r="AQ1232" i="2"/>
  <c r="AN1231" i="2"/>
  <c r="AI1231" i="2" s="1"/>
  <c r="AM1231" i="2"/>
  <c r="AH1231" i="2" s="1"/>
  <c r="AL1231" i="2"/>
  <c r="AG1231" i="2" s="1"/>
  <c r="AK1231" i="2"/>
  <c r="AF1231" i="2" s="1"/>
  <c r="AQ1231" i="2"/>
  <c r="AN1230" i="2"/>
  <c r="AI1230" i="2" s="1"/>
  <c r="AM1230" i="2"/>
  <c r="AH1230" i="2" s="1"/>
  <c r="AL1230" i="2"/>
  <c r="AG1230" i="2" s="1"/>
  <c r="AK1230" i="2"/>
  <c r="AF1230" i="2" s="1"/>
  <c r="AQ1230" i="2"/>
  <c r="AN1229" i="2"/>
  <c r="AI1229" i="2" s="1"/>
  <c r="AM1229" i="2"/>
  <c r="AH1229" i="2" s="1"/>
  <c r="AL1229" i="2"/>
  <c r="AG1229" i="2" s="1"/>
  <c r="AK1229" i="2"/>
  <c r="AF1229" i="2" s="1"/>
  <c r="AQ1229" i="2"/>
  <c r="AN1228" i="2"/>
  <c r="AI1228" i="2" s="1"/>
  <c r="AM1228" i="2"/>
  <c r="AH1228" i="2" s="1"/>
  <c r="AL1228" i="2"/>
  <c r="AG1228" i="2" s="1"/>
  <c r="AK1228" i="2"/>
  <c r="AF1228" i="2" s="1"/>
  <c r="AQ1228" i="2"/>
  <c r="AN1227" i="2"/>
  <c r="AI1227" i="2" s="1"/>
  <c r="AM1227" i="2"/>
  <c r="AH1227" i="2" s="1"/>
  <c r="AL1227" i="2"/>
  <c r="AG1227" i="2" s="1"/>
  <c r="AK1227" i="2"/>
  <c r="AF1227" i="2" s="1"/>
  <c r="AQ1227" i="2"/>
  <c r="AN1226" i="2"/>
  <c r="AI1226" i="2" s="1"/>
  <c r="AM1226" i="2"/>
  <c r="AH1226" i="2" s="1"/>
  <c r="AL1226" i="2"/>
  <c r="AG1226" i="2" s="1"/>
  <c r="AK1226" i="2"/>
  <c r="AF1226" i="2" s="1"/>
  <c r="AQ1226" i="2"/>
  <c r="AN1225" i="2"/>
  <c r="AI1225" i="2" s="1"/>
  <c r="AM1225" i="2"/>
  <c r="AH1225" i="2" s="1"/>
  <c r="AL1225" i="2"/>
  <c r="AG1225" i="2" s="1"/>
  <c r="AK1225" i="2"/>
  <c r="AF1225" i="2" s="1"/>
  <c r="AQ1225" i="2"/>
  <c r="AN1224" i="2"/>
  <c r="AI1224" i="2" s="1"/>
  <c r="AM1224" i="2"/>
  <c r="AH1224" i="2" s="1"/>
  <c r="AL1224" i="2"/>
  <c r="AG1224" i="2" s="1"/>
  <c r="AK1224" i="2"/>
  <c r="AF1224" i="2" s="1"/>
  <c r="AQ1224" i="2"/>
  <c r="AN1223" i="2"/>
  <c r="AI1223" i="2" s="1"/>
  <c r="AM1223" i="2"/>
  <c r="AH1223" i="2" s="1"/>
  <c r="AL1223" i="2"/>
  <c r="AG1223" i="2" s="1"/>
  <c r="AK1223" i="2"/>
  <c r="AF1223" i="2" s="1"/>
  <c r="AQ1223" i="2"/>
  <c r="AN1222" i="2"/>
  <c r="AI1222" i="2" s="1"/>
  <c r="AM1222" i="2"/>
  <c r="AH1222" i="2" s="1"/>
  <c r="AL1222" i="2"/>
  <c r="AG1222" i="2" s="1"/>
  <c r="AK1222" i="2"/>
  <c r="AF1222" i="2" s="1"/>
  <c r="AQ1222" i="2"/>
  <c r="AN1221" i="2"/>
  <c r="AI1221" i="2" s="1"/>
  <c r="AM1221" i="2"/>
  <c r="AH1221" i="2" s="1"/>
  <c r="AL1221" i="2"/>
  <c r="AG1221" i="2" s="1"/>
  <c r="AK1221" i="2"/>
  <c r="AF1221" i="2" s="1"/>
  <c r="AQ1221" i="2"/>
  <c r="AN1220" i="2"/>
  <c r="AI1220" i="2" s="1"/>
  <c r="AM1220" i="2"/>
  <c r="AH1220" i="2" s="1"/>
  <c r="AL1220" i="2"/>
  <c r="AG1220" i="2" s="1"/>
  <c r="AK1220" i="2"/>
  <c r="AF1220" i="2" s="1"/>
  <c r="AQ1220" i="2"/>
  <c r="AN1219" i="2"/>
  <c r="AI1219" i="2" s="1"/>
  <c r="AM1219" i="2"/>
  <c r="AH1219" i="2" s="1"/>
  <c r="AL1219" i="2"/>
  <c r="AG1219" i="2" s="1"/>
  <c r="AK1219" i="2"/>
  <c r="AF1219" i="2" s="1"/>
  <c r="AQ1219" i="2"/>
  <c r="AN1218" i="2"/>
  <c r="AI1218" i="2" s="1"/>
  <c r="AM1218" i="2"/>
  <c r="AH1218" i="2" s="1"/>
  <c r="AL1218" i="2"/>
  <c r="AG1218" i="2" s="1"/>
  <c r="AK1218" i="2"/>
  <c r="AF1218" i="2" s="1"/>
  <c r="AQ1218" i="2"/>
  <c r="AN1217" i="2"/>
  <c r="AI1217" i="2" s="1"/>
  <c r="AM1217" i="2"/>
  <c r="AH1217" i="2" s="1"/>
  <c r="AL1217" i="2"/>
  <c r="AG1217" i="2" s="1"/>
  <c r="AK1217" i="2"/>
  <c r="AF1217" i="2" s="1"/>
  <c r="AQ1217" i="2"/>
  <c r="AN1216" i="2"/>
  <c r="AI1216" i="2" s="1"/>
  <c r="AM1216" i="2"/>
  <c r="AH1216" i="2" s="1"/>
  <c r="AL1216" i="2"/>
  <c r="AG1216" i="2" s="1"/>
  <c r="AK1216" i="2"/>
  <c r="AF1216" i="2" s="1"/>
  <c r="AQ1216" i="2"/>
  <c r="AN1215" i="2"/>
  <c r="AI1215" i="2" s="1"/>
  <c r="AM1215" i="2"/>
  <c r="AH1215" i="2" s="1"/>
  <c r="AL1215" i="2"/>
  <c r="AG1215" i="2" s="1"/>
  <c r="AK1215" i="2"/>
  <c r="AF1215" i="2" s="1"/>
  <c r="AQ1215" i="2"/>
  <c r="AN1214" i="2"/>
  <c r="AI1214" i="2" s="1"/>
  <c r="AM1214" i="2"/>
  <c r="AH1214" i="2" s="1"/>
  <c r="AL1214" i="2"/>
  <c r="AG1214" i="2" s="1"/>
  <c r="AK1214" i="2"/>
  <c r="AF1214" i="2" s="1"/>
  <c r="AQ1214" i="2"/>
  <c r="AN1213" i="2"/>
  <c r="AI1213" i="2" s="1"/>
  <c r="AM1213" i="2"/>
  <c r="AH1213" i="2" s="1"/>
  <c r="AL1213" i="2"/>
  <c r="AG1213" i="2" s="1"/>
  <c r="AK1213" i="2"/>
  <c r="AF1213" i="2" s="1"/>
  <c r="AQ1213" i="2"/>
  <c r="AN1212" i="2"/>
  <c r="AI1212" i="2" s="1"/>
  <c r="AM1212" i="2"/>
  <c r="AH1212" i="2" s="1"/>
  <c r="AL1212" i="2"/>
  <c r="AG1212" i="2" s="1"/>
  <c r="AK1212" i="2"/>
  <c r="AF1212" i="2" s="1"/>
  <c r="AQ1212" i="2"/>
  <c r="AN1211" i="2"/>
  <c r="AI1211" i="2" s="1"/>
  <c r="AM1211" i="2"/>
  <c r="AH1211" i="2" s="1"/>
  <c r="AL1211" i="2"/>
  <c r="AG1211" i="2" s="1"/>
  <c r="AK1211" i="2"/>
  <c r="AF1211" i="2" s="1"/>
  <c r="AQ1211" i="2"/>
  <c r="AN1210" i="2"/>
  <c r="AI1210" i="2" s="1"/>
  <c r="AM1210" i="2"/>
  <c r="AH1210" i="2" s="1"/>
  <c r="AL1210" i="2"/>
  <c r="AG1210" i="2" s="1"/>
  <c r="AK1210" i="2"/>
  <c r="AF1210" i="2" s="1"/>
  <c r="AQ1210" i="2"/>
  <c r="AN1209" i="2"/>
  <c r="AI1209" i="2" s="1"/>
  <c r="AM1209" i="2"/>
  <c r="AH1209" i="2" s="1"/>
  <c r="AL1209" i="2"/>
  <c r="AG1209" i="2" s="1"/>
  <c r="AK1209" i="2"/>
  <c r="AF1209" i="2" s="1"/>
  <c r="AQ1209" i="2"/>
  <c r="AN1208" i="2"/>
  <c r="AI1208" i="2" s="1"/>
  <c r="AM1208" i="2"/>
  <c r="AH1208" i="2" s="1"/>
  <c r="AL1208" i="2"/>
  <c r="AG1208" i="2" s="1"/>
  <c r="AK1208" i="2"/>
  <c r="AF1208" i="2" s="1"/>
  <c r="AQ1208" i="2"/>
  <c r="AN1207" i="2"/>
  <c r="AI1207" i="2" s="1"/>
  <c r="AM1207" i="2"/>
  <c r="AH1207" i="2" s="1"/>
  <c r="AL1207" i="2"/>
  <c r="AG1207" i="2" s="1"/>
  <c r="AK1207" i="2"/>
  <c r="AF1207" i="2" s="1"/>
  <c r="AQ1207" i="2"/>
  <c r="AN1206" i="2"/>
  <c r="AI1206" i="2" s="1"/>
  <c r="AM1206" i="2"/>
  <c r="AH1206" i="2" s="1"/>
  <c r="AL1206" i="2"/>
  <c r="AG1206" i="2" s="1"/>
  <c r="AK1206" i="2"/>
  <c r="AF1206" i="2" s="1"/>
  <c r="AQ1206" i="2"/>
  <c r="AN1205" i="2"/>
  <c r="AI1205" i="2" s="1"/>
  <c r="AM1205" i="2"/>
  <c r="AH1205" i="2" s="1"/>
  <c r="AL1205" i="2"/>
  <c r="AG1205" i="2" s="1"/>
  <c r="AK1205" i="2"/>
  <c r="AF1205" i="2" s="1"/>
  <c r="AQ1205" i="2"/>
  <c r="AN1204" i="2"/>
  <c r="AI1204" i="2" s="1"/>
  <c r="AM1204" i="2"/>
  <c r="AH1204" i="2" s="1"/>
  <c r="AL1204" i="2"/>
  <c r="AG1204" i="2" s="1"/>
  <c r="AK1204" i="2"/>
  <c r="AF1204" i="2" s="1"/>
  <c r="AQ1204" i="2"/>
  <c r="AN1203" i="2"/>
  <c r="AI1203" i="2" s="1"/>
  <c r="AM1203" i="2"/>
  <c r="AH1203" i="2" s="1"/>
  <c r="AL1203" i="2"/>
  <c r="AG1203" i="2" s="1"/>
  <c r="AK1203" i="2"/>
  <c r="AF1203" i="2" s="1"/>
  <c r="AQ1203" i="2"/>
  <c r="AN1202" i="2"/>
  <c r="AI1202" i="2" s="1"/>
  <c r="AM1202" i="2"/>
  <c r="AH1202" i="2" s="1"/>
  <c r="AL1202" i="2"/>
  <c r="AG1202" i="2" s="1"/>
  <c r="AK1202" i="2"/>
  <c r="AF1202" i="2" s="1"/>
  <c r="AQ1202" i="2"/>
  <c r="AN1201" i="2"/>
  <c r="AI1201" i="2" s="1"/>
  <c r="AM1201" i="2"/>
  <c r="AH1201" i="2" s="1"/>
  <c r="AL1201" i="2"/>
  <c r="AG1201" i="2" s="1"/>
  <c r="AK1201" i="2"/>
  <c r="AF1201" i="2" s="1"/>
  <c r="AQ1201" i="2"/>
  <c r="AN1200" i="2"/>
  <c r="AI1200" i="2" s="1"/>
  <c r="AM1200" i="2"/>
  <c r="AH1200" i="2" s="1"/>
  <c r="AL1200" i="2"/>
  <c r="AG1200" i="2" s="1"/>
  <c r="AK1200" i="2"/>
  <c r="AF1200" i="2" s="1"/>
  <c r="AQ1200" i="2"/>
  <c r="AN1199" i="2"/>
  <c r="AI1199" i="2" s="1"/>
  <c r="AM1199" i="2"/>
  <c r="AH1199" i="2" s="1"/>
  <c r="AL1199" i="2"/>
  <c r="AG1199" i="2" s="1"/>
  <c r="AK1199" i="2"/>
  <c r="AF1199" i="2" s="1"/>
  <c r="AQ1199" i="2"/>
  <c r="AN1198" i="2"/>
  <c r="AI1198" i="2" s="1"/>
  <c r="AM1198" i="2"/>
  <c r="AH1198" i="2" s="1"/>
  <c r="AL1198" i="2"/>
  <c r="AG1198" i="2" s="1"/>
  <c r="AK1198" i="2"/>
  <c r="AF1198" i="2" s="1"/>
  <c r="AQ1198" i="2"/>
  <c r="AN1197" i="2"/>
  <c r="AI1197" i="2" s="1"/>
  <c r="AM1197" i="2"/>
  <c r="AH1197" i="2" s="1"/>
  <c r="AL1197" i="2"/>
  <c r="AG1197" i="2" s="1"/>
  <c r="AK1197" i="2"/>
  <c r="AF1197" i="2" s="1"/>
  <c r="AQ1197" i="2"/>
  <c r="AN1196" i="2"/>
  <c r="AI1196" i="2" s="1"/>
  <c r="AM1196" i="2"/>
  <c r="AH1196" i="2" s="1"/>
  <c r="AL1196" i="2"/>
  <c r="AG1196" i="2" s="1"/>
  <c r="AK1196" i="2"/>
  <c r="AF1196" i="2" s="1"/>
  <c r="AQ1196" i="2"/>
  <c r="AN1195" i="2"/>
  <c r="AI1195" i="2" s="1"/>
  <c r="AM1195" i="2"/>
  <c r="AH1195" i="2" s="1"/>
  <c r="AL1195" i="2"/>
  <c r="AG1195" i="2" s="1"/>
  <c r="AK1195" i="2"/>
  <c r="AF1195" i="2" s="1"/>
  <c r="AQ1195" i="2"/>
  <c r="AN1194" i="2"/>
  <c r="AI1194" i="2" s="1"/>
  <c r="AM1194" i="2"/>
  <c r="AH1194" i="2" s="1"/>
  <c r="AL1194" i="2"/>
  <c r="AG1194" i="2" s="1"/>
  <c r="AK1194" i="2"/>
  <c r="AF1194" i="2" s="1"/>
  <c r="AQ1194" i="2"/>
  <c r="AN1193" i="2"/>
  <c r="AI1193" i="2" s="1"/>
  <c r="AM1193" i="2"/>
  <c r="AH1193" i="2" s="1"/>
  <c r="AL1193" i="2"/>
  <c r="AG1193" i="2" s="1"/>
  <c r="AK1193" i="2"/>
  <c r="AF1193" i="2" s="1"/>
  <c r="AQ1193" i="2"/>
  <c r="AN1192" i="2"/>
  <c r="AI1192" i="2" s="1"/>
  <c r="AM1192" i="2"/>
  <c r="AH1192" i="2" s="1"/>
  <c r="AL1192" i="2"/>
  <c r="AG1192" i="2" s="1"/>
  <c r="AK1192" i="2"/>
  <c r="AF1192" i="2" s="1"/>
  <c r="AQ1192" i="2"/>
  <c r="AN1191" i="2"/>
  <c r="AI1191" i="2" s="1"/>
  <c r="AM1191" i="2"/>
  <c r="AH1191" i="2" s="1"/>
  <c r="AL1191" i="2"/>
  <c r="AG1191" i="2" s="1"/>
  <c r="AK1191" i="2"/>
  <c r="AF1191" i="2" s="1"/>
  <c r="AQ1191" i="2"/>
  <c r="AN1190" i="2"/>
  <c r="AI1190" i="2" s="1"/>
  <c r="AM1190" i="2"/>
  <c r="AH1190" i="2" s="1"/>
  <c r="AL1190" i="2"/>
  <c r="AG1190" i="2" s="1"/>
  <c r="AK1190" i="2"/>
  <c r="AF1190" i="2" s="1"/>
  <c r="AQ1190" i="2"/>
  <c r="AN1189" i="2"/>
  <c r="AI1189" i="2" s="1"/>
  <c r="AM1189" i="2"/>
  <c r="AH1189" i="2" s="1"/>
  <c r="AL1189" i="2"/>
  <c r="AG1189" i="2" s="1"/>
  <c r="AK1189" i="2"/>
  <c r="AF1189" i="2" s="1"/>
  <c r="AQ1189" i="2"/>
  <c r="AN1188" i="2"/>
  <c r="AI1188" i="2" s="1"/>
  <c r="AM1188" i="2"/>
  <c r="AH1188" i="2" s="1"/>
  <c r="AL1188" i="2"/>
  <c r="AG1188" i="2" s="1"/>
  <c r="AK1188" i="2"/>
  <c r="AF1188" i="2" s="1"/>
  <c r="AQ1188" i="2"/>
  <c r="AN1187" i="2"/>
  <c r="AI1187" i="2" s="1"/>
  <c r="AM1187" i="2"/>
  <c r="AH1187" i="2" s="1"/>
  <c r="AL1187" i="2"/>
  <c r="AG1187" i="2" s="1"/>
  <c r="AK1187" i="2"/>
  <c r="AF1187" i="2" s="1"/>
  <c r="AQ1187" i="2"/>
  <c r="AN1186" i="2"/>
  <c r="AI1186" i="2" s="1"/>
  <c r="AM1186" i="2"/>
  <c r="AH1186" i="2" s="1"/>
  <c r="AL1186" i="2"/>
  <c r="AG1186" i="2" s="1"/>
  <c r="AK1186" i="2"/>
  <c r="AF1186" i="2" s="1"/>
  <c r="AQ1186" i="2"/>
  <c r="AN1185" i="2"/>
  <c r="AI1185" i="2" s="1"/>
  <c r="AM1185" i="2"/>
  <c r="AH1185" i="2" s="1"/>
  <c r="AL1185" i="2"/>
  <c r="AG1185" i="2" s="1"/>
  <c r="AK1185" i="2"/>
  <c r="AF1185" i="2" s="1"/>
  <c r="AQ1185" i="2"/>
  <c r="AN1184" i="2"/>
  <c r="AI1184" i="2" s="1"/>
  <c r="AM1184" i="2"/>
  <c r="AH1184" i="2" s="1"/>
  <c r="AL1184" i="2"/>
  <c r="AG1184" i="2" s="1"/>
  <c r="AK1184" i="2"/>
  <c r="AF1184" i="2" s="1"/>
  <c r="AQ1184" i="2"/>
  <c r="AN1183" i="2"/>
  <c r="AI1183" i="2" s="1"/>
  <c r="AM1183" i="2"/>
  <c r="AH1183" i="2" s="1"/>
  <c r="AL1183" i="2"/>
  <c r="AG1183" i="2" s="1"/>
  <c r="AK1183" i="2"/>
  <c r="AF1183" i="2" s="1"/>
  <c r="AQ1183" i="2"/>
  <c r="AN1182" i="2"/>
  <c r="AI1182" i="2" s="1"/>
  <c r="AM1182" i="2"/>
  <c r="AH1182" i="2" s="1"/>
  <c r="AL1182" i="2"/>
  <c r="AG1182" i="2" s="1"/>
  <c r="AK1182" i="2"/>
  <c r="AF1182" i="2" s="1"/>
  <c r="AQ1182" i="2"/>
  <c r="AN1181" i="2"/>
  <c r="AI1181" i="2" s="1"/>
  <c r="AM1181" i="2"/>
  <c r="AH1181" i="2" s="1"/>
  <c r="AL1181" i="2"/>
  <c r="AG1181" i="2" s="1"/>
  <c r="AK1181" i="2"/>
  <c r="AF1181" i="2" s="1"/>
  <c r="AQ1181" i="2"/>
  <c r="AN1180" i="2"/>
  <c r="AI1180" i="2" s="1"/>
  <c r="AM1180" i="2"/>
  <c r="AH1180" i="2" s="1"/>
  <c r="AL1180" i="2"/>
  <c r="AG1180" i="2" s="1"/>
  <c r="AK1180" i="2"/>
  <c r="AF1180" i="2" s="1"/>
  <c r="AQ1180" i="2"/>
  <c r="AN1179" i="2"/>
  <c r="AI1179" i="2" s="1"/>
  <c r="AM1179" i="2"/>
  <c r="AH1179" i="2" s="1"/>
  <c r="AL1179" i="2"/>
  <c r="AG1179" i="2" s="1"/>
  <c r="AK1179" i="2"/>
  <c r="AF1179" i="2" s="1"/>
  <c r="AQ1179" i="2"/>
  <c r="AN1178" i="2"/>
  <c r="AI1178" i="2" s="1"/>
  <c r="AM1178" i="2"/>
  <c r="AH1178" i="2" s="1"/>
  <c r="AL1178" i="2"/>
  <c r="AG1178" i="2" s="1"/>
  <c r="AK1178" i="2"/>
  <c r="AF1178" i="2" s="1"/>
  <c r="AQ1178" i="2"/>
  <c r="AN1177" i="2"/>
  <c r="AI1177" i="2" s="1"/>
  <c r="AM1177" i="2"/>
  <c r="AH1177" i="2" s="1"/>
  <c r="AL1177" i="2"/>
  <c r="AG1177" i="2" s="1"/>
  <c r="AK1177" i="2"/>
  <c r="AF1177" i="2" s="1"/>
  <c r="AQ1177" i="2"/>
  <c r="AN1176" i="2"/>
  <c r="AI1176" i="2" s="1"/>
  <c r="AM1176" i="2"/>
  <c r="AH1176" i="2" s="1"/>
  <c r="AL1176" i="2"/>
  <c r="AG1176" i="2" s="1"/>
  <c r="AK1176" i="2"/>
  <c r="AF1176" i="2" s="1"/>
  <c r="AQ1176" i="2"/>
  <c r="AN1175" i="2"/>
  <c r="AI1175" i="2" s="1"/>
  <c r="AM1175" i="2"/>
  <c r="AH1175" i="2" s="1"/>
  <c r="AL1175" i="2"/>
  <c r="AG1175" i="2" s="1"/>
  <c r="AK1175" i="2"/>
  <c r="AF1175" i="2" s="1"/>
  <c r="AQ1175" i="2"/>
  <c r="AN1174" i="2"/>
  <c r="AI1174" i="2" s="1"/>
  <c r="AM1174" i="2"/>
  <c r="AH1174" i="2" s="1"/>
  <c r="AL1174" i="2"/>
  <c r="AG1174" i="2" s="1"/>
  <c r="AK1174" i="2"/>
  <c r="AF1174" i="2" s="1"/>
  <c r="AQ1174" i="2"/>
  <c r="AN1173" i="2"/>
  <c r="AI1173" i="2" s="1"/>
  <c r="AM1173" i="2"/>
  <c r="AH1173" i="2" s="1"/>
  <c r="AL1173" i="2"/>
  <c r="AG1173" i="2" s="1"/>
  <c r="AK1173" i="2"/>
  <c r="AF1173" i="2" s="1"/>
  <c r="AQ1173" i="2"/>
  <c r="AN1172" i="2"/>
  <c r="AI1172" i="2" s="1"/>
  <c r="AM1172" i="2"/>
  <c r="AH1172" i="2" s="1"/>
  <c r="AL1172" i="2"/>
  <c r="AG1172" i="2" s="1"/>
  <c r="AK1172" i="2"/>
  <c r="AF1172" i="2" s="1"/>
  <c r="AQ1172" i="2"/>
  <c r="AN1171" i="2"/>
  <c r="AI1171" i="2" s="1"/>
  <c r="AM1171" i="2"/>
  <c r="AH1171" i="2" s="1"/>
  <c r="AL1171" i="2"/>
  <c r="AG1171" i="2" s="1"/>
  <c r="AK1171" i="2"/>
  <c r="AF1171" i="2" s="1"/>
  <c r="AQ1171" i="2"/>
  <c r="AN1170" i="2"/>
  <c r="AI1170" i="2" s="1"/>
  <c r="AM1170" i="2"/>
  <c r="AH1170" i="2" s="1"/>
  <c r="AL1170" i="2"/>
  <c r="AG1170" i="2" s="1"/>
  <c r="AK1170" i="2"/>
  <c r="AF1170" i="2" s="1"/>
  <c r="AQ1170" i="2"/>
  <c r="AN1169" i="2"/>
  <c r="AI1169" i="2" s="1"/>
  <c r="AM1169" i="2"/>
  <c r="AH1169" i="2" s="1"/>
  <c r="AL1169" i="2"/>
  <c r="AG1169" i="2" s="1"/>
  <c r="AK1169" i="2"/>
  <c r="AF1169" i="2" s="1"/>
  <c r="AQ1169" i="2"/>
  <c r="AN1168" i="2"/>
  <c r="AI1168" i="2" s="1"/>
  <c r="AM1168" i="2"/>
  <c r="AH1168" i="2" s="1"/>
  <c r="AL1168" i="2"/>
  <c r="AG1168" i="2" s="1"/>
  <c r="AK1168" i="2"/>
  <c r="AF1168" i="2" s="1"/>
  <c r="AQ1168" i="2"/>
  <c r="AN1167" i="2"/>
  <c r="AI1167" i="2" s="1"/>
  <c r="AM1167" i="2"/>
  <c r="AH1167" i="2" s="1"/>
  <c r="AL1167" i="2"/>
  <c r="AG1167" i="2" s="1"/>
  <c r="AK1167" i="2"/>
  <c r="AF1167" i="2" s="1"/>
  <c r="AQ1167" i="2"/>
  <c r="AN1166" i="2"/>
  <c r="AI1166" i="2" s="1"/>
  <c r="AM1166" i="2"/>
  <c r="AH1166" i="2" s="1"/>
  <c r="AL1166" i="2"/>
  <c r="AG1166" i="2" s="1"/>
  <c r="AK1166" i="2"/>
  <c r="AF1166" i="2" s="1"/>
  <c r="AQ1166" i="2"/>
  <c r="AN1165" i="2"/>
  <c r="AI1165" i="2" s="1"/>
  <c r="AM1165" i="2"/>
  <c r="AH1165" i="2" s="1"/>
  <c r="AL1165" i="2"/>
  <c r="AG1165" i="2" s="1"/>
  <c r="AK1165" i="2"/>
  <c r="AF1165" i="2" s="1"/>
  <c r="AQ1165" i="2"/>
  <c r="AN1164" i="2"/>
  <c r="AI1164" i="2" s="1"/>
  <c r="AM1164" i="2"/>
  <c r="AH1164" i="2" s="1"/>
  <c r="AL1164" i="2"/>
  <c r="AG1164" i="2" s="1"/>
  <c r="AK1164" i="2"/>
  <c r="AF1164" i="2" s="1"/>
  <c r="AQ1164" i="2"/>
  <c r="AN1163" i="2"/>
  <c r="AI1163" i="2" s="1"/>
  <c r="AM1163" i="2"/>
  <c r="AH1163" i="2" s="1"/>
  <c r="AL1163" i="2"/>
  <c r="AG1163" i="2" s="1"/>
  <c r="AK1163" i="2"/>
  <c r="AF1163" i="2" s="1"/>
  <c r="AQ1163" i="2"/>
  <c r="AN1162" i="2"/>
  <c r="AI1162" i="2" s="1"/>
  <c r="AM1162" i="2"/>
  <c r="AH1162" i="2" s="1"/>
  <c r="AL1162" i="2"/>
  <c r="AG1162" i="2" s="1"/>
  <c r="AK1162" i="2"/>
  <c r="AF1162" i="2" s="1"/>
  <c r="AQ1162" i="2"/>
  <c r="AN1161" i="2"/>
  <c r="AI1161" i="2" s="1"/>
  <c r="AM1161" i="2"/>
  <c r="AH1161" i="2" s="1"/>
  <c r="AL1161" i="2"/>
  <c r="AG1161" i="2" s="1"/>
  <c r="AK1161" i="2"/>
  <c r="AF1161" i="2" s="1"/>
  <c r="AQ1161" i="2"/>
  <c r="AN1160" i="2"/>
  <c r="AI1160" i="2" s="1"/>
  <c r="AM1160" i="2"/>
  <c r="AH1160" i="2" s="1"/>
  <c r="AL1160" i="2"/>
  <c r="AG1160" i="2" s="1"/>
  <c r="AK1160" i="2"/>
  <c r="AF1160" i="2" s="1"/>
  <c r="AQ1160" i="2"/>
  <c r="AN1159" i="2"/>
  <c r="AI1159" i="2" s="1"/>
  <c r="AM1159" i="2"/>
  <c r="AH1159" i="2" s="1"/>
  <c r="AL1159" i="2"/>
  <c r="AG1159" i="2" s="1"/>
  <c r="AK1159" i="2"/>
  <c r="AF1159" i="2" s="1"/>
  <c r="AQ1159" i="2"/>
  <c r="AN1158" i="2"/>
  <c r="AI1158" i="2" s="1"/>
  <c r="AM1158" i="2"/>
  <c r="AH1158" i="2" s="1"/>
  <c r="AL1158" i="2"/>
  <c r="AG1158" i="2" s="1"/>
  <c r="AK1158" i="2"/>
  <c r="AF1158" i="2" s="1"/>
  <c r="AQ1158" i="2"/>
  <c r="AN1157" i="2"/>
  <c r="AI1157" i="2" s="1"/>
  <c r="AM1157" i="2"/>
  <c r="AH1157" i="2" s="1"/>
  <c r="AL1157" i="2"/>
  <c r="AG1157" i="2" s="1"/>
  <c r="AK1157" i="2"/>
  <c r="AF1157" i="2" s="1"/>
  <c r="AQ1157" i="2"/>
  <c r="AN1156" i="2"/>
  <c r="AI1156" i="2" s="1"/>
  <c r="AM1156" i="2"/>
  <c r="AH1156" i="2" s="1"/>
  <c r="AL1156" i="2"/>
  <c r="AG1156" i="2" s="1"/>
  <c r="AK1156" i="2"/>
  <c r="AF1156" i="2" s="1"/>
  <c r="AQ1156" i="2"/>
  <c r="AN1155" i="2"/>
  <c r="AI1155" i="2" s="1"/>
  <c r="AM1155" i="2"/>
  <c r="AH1155" i="2" s="1"/>
  <c r="AL1155" i="2"/>
  <c r="AG1155" i="2" s="1"/>
  <c r="AK1155" i="2"/>
  <c r="AF1155" i="2" s="1"/>
  <c r="AQ1155" i="2"/>
  <c r="AN1154" i="2"/>
  <c r="AI1154" i="2" s="1"/>
  <c r="AM1154" i="2"/>
  <c r="AH1154" i="2" s="1"/>
  <c r="AL1154" i="2"/>
  <c r="AG1154" i="2" s="1"/>
  <c r="AK1154" i="2"/>
  <c r="AF1154" i="2" s="1"/>
  <c r="AQ1154" i="2"/>
  <c r="AN1153" i="2"/>
  <c r="AI1153" i="2" s="1"/>
  <c r="AM1153" i="2"/>
  <c r="AH1153" i="2" s="1"/>
  <c r="AL1153" i="2"/>
  <c r="AG1153" i="2" s="1"/>
  <c r="AK1153" i="2"/>
  <c r="AF1153" i="2" s="1"/>
  <c r="AQ1153" i="2"/>
  <c r="AN1152" i="2"/>
  <c r="AI1152" i="2" s="1"/>
  <c r="AM1152" i="2"/>
  <c r="AH1152" i="2" s="1"/>
  <c r="AL1152" i="2"/>
  <c r="AG1152" i="2" s="1"/>
  <c r="AK1152" i="2"/>
  <c r="AF1152" i="2" s="1"/>
  <c r="AQ1152" i="2"/>
  <c r="AN1151" i="2"/>
  <c r="AI1151" i="2" s="1"/>
  <c r="AM1151" i="2"/>
  <c r="AH1151" i="2" s="1"/>
  <c r="AL1151" i="2"/>
  <c r="AG1151" i="2" s="1"/>
  <c r="AK1151" i="2"/>
  <c r="AF1151" i="2" s="1"/>
  <c r="AQ1151" i="2"/>
  <c r="AN1150" i="2"/>
  <c r="AI1150" i="2" s="1"/>
  <c r="AM1150" i="2"/>
  <c r="AH1150" i="2" s="1"/>
  <c r="AL1150" i="2"/>
  <c r="AG1150" i="2" s="1"/>
  <c r="AK1150" i="2"/>
  <c r="AF1150" i="2" s="1"/>
  <c r="AQ1150" i="2"/>
  <c r="AN1149" i="2"/>
  <c r="AI1149" i="2" s="1"/>
  <c r="AM1149" i="2"/>
  <c r="AH1149" i="2" s="1"/>
  <c r="AL1149" i="2"/>
  <c r="AG1149" i="2" s="1"/>
  <c r="AK1149" i="2"/>
  <c r="AF1149" i="2" s="1"/>
  <c r="AQ1149" i="2"/>
  <c r="AN1148" i="2"/>
  <c r="AI1148" i="2" s="1"/>
  <c r="AM1148" i="2"/>
  <c r="AH1148" i="2" s="1"/>
  <c r="AL1148" i="2"/>
  <c r="AG1148" i="2" s="1"/>
  <c r="AK1148" i="2"/>
  <c r="AF1148" i="2" s="1"/>
  <c r="AQ1148" i="2"/>
  <c r="AN1147" i="2"/>
  <c r="AI1147" i="2" s="1"/>
  <c r="AM1147" i="2"/>
  <c r="AH1147" i="2" s="1"/>
  <c r="AL1147" i="2"/>
  <c r="AG1147" i="2" s="1"/>
  <c r="AK1147" i="2"/>
  <c r="AF1147" i="2" s="1"/>
  <c r="AQ1147" i="2"/>
  <c r="AN1146" i="2"/>
  <c r="AI1146" i="2" s="1"/>
  <c r="AM1146" i="2"/>
  <c r="AH1146" i="2" s="1"/>
  <c r="AL1146" i="2"/>
  <c r="AG1146" i="2" s="1"/>
  <c r="AK1146" i="2"/>
  <c r="AF1146" i="2" s="1"/>
  <c r="AQ1146" i="2"/>
  <c r="AN1145" i="2"/>
  <c r="AI1145" i="2" s="1"/>
  <c r="AM1145" i="2"/>
  <c r="AH1145" i="2" s="1"/>
  <c r="AL1145" i="2"/>
  <c r="AG1145" i="2" s="1"/>
  <c r="AK1145" i="2"/>
  <c r="AF1145" i="2" s="1"/>
  <c r="AQ1145" i="2"/>
  <c r="AN1144" i="2"/>
  <c r="AI1144" i="2" s="1"/>
  <c r="AM1144" i="2"/>
  <c r="AH1144" i="2" s="1"/>
  <c r="AL1144" i="2"/>
  <c r="AG1144" i="2" s="1"/>
  <c r="AK1144" i="2"/>
  <c r="AF1144" i="2" s="1"/>
  <c r="AQ1144" i="2"/>
  <c r="AN1143" i="2"/>
  <c r="AI1143" i="2" s="1"/>
  <c r="AM1143" i="2"/>
  <c r="AH1143" i="2" s="1"/>
  <c r="AL1143" i="2"/>
  <c r="AG1143" i="2" s="1"/>
  <c r="AK1143" i="2"/>
  <c r="AF1143" i="2" s="1"/>
  <c r="AQ1143" i="2"/>
  <c r="AN1142" i="2"/>
  <c r="AI1142" i="2" s="1"/>
  <c r="AM1142" i="2"/>
  <c r="AH1142" i="2" s="1"/>
  <c r="AL1142" i="2"/>
  <c r="AG1142" i="2" s="1"/>
  <c r="AK1142" i="2"/>
  <c r="AF1142" i="2" s="1"/>
  <c r="AQ1142" i="2"/>
  <c r="AN1141" i="2"/>
  <c r="AI1141" i="2" s="1"/>
  <c r="AM1141" i="2"/>
  <c r="AH1141" i="2" s="1"/>
  <c r="AL1141" i="2"/>
  <c r="AG1141" i="2" s="1"/>
  <c r="AK1141" i="2"/>
  <c r="AF1141" i="2" s="1"/>
  <c r="AQ1141" i="2"/>
  <c r="AN1140" i="2"/>
  <c r="AI1140" i="2" s="1"/>
  <c r="AM1140" i="2"/>
  <c r="AH1140" i="2" s="1"/>
  <c r="AL1140" i="2"/>
  <c r="AG1140" i="2" s="1"/>
  <c r="AK1140" i="2"/>
  <c r="AF1140" i="2" s="1"/>
  <c r="AQ1140" i="2"/>
  <c r="AN1139" i="2"/>
  <c r="AI1139" i="2" s="1"/>
  <c r="AM1139" i="2"/>
  <c r="AH1139" i="2" s="1"/>
  <c r="AL1139" i="2"/>
  <c r="AG1139" i="2" s="1"/>
  <c r="AK1139" i="2"/>
  <c r="AF1139" i="2" s="1"/>
  <c r="AQ1139" i="2"/>
  <c r="AN1138" i="2"/>
  <c r="AI1138" i="2" s="1"/>
  <c r="AM1138" i="2"/>
  <c r="AH1138" i="2" s="1"/>
  <c r="AL1138" i="2"/>
  <c r="AG1138" i="2" s="1"/>
  <c r="AK1138" i="2"/>
  <c r="AF1138" i="2" s="1"/>
  <c r="AQ1138" i="2"/>
  <c r="AN1137" i="2"/>
  <c r="AI1137" i="2" s="1"/>
  <c r="AM1137" i="2"/>
  <c r="AH1137" i="2" s="1"/>
  <c r="AL1137" i="2"/>
  <c r="AG1137" i="2" s="1"/>
  <c r="AK1137" i="2"/>
  <c r="AF1137" i="2" s="1"/>
  <c r="AQ1137" i="2"/>
  <c r="AN1136" i="2"/>
  <c r="AI1136" i="2" s="1"/>
  <c r="AM1136" i="2"/>
  <c r="AH1136" i="2" s="1"/>
  <c r="AL1136" i="2"/>
  <c r="AG1136" i="2" s="1"/>
  <c r="AK1136" i="2"/>
  <c r="AF1136" i="2" s="1"/>
  <c r="AQ1136" i="2"/>
  <c r="AN1135" i="2"/>
  <c r="AI1135" i="2" s="1"/>
  <c r="AM1135" i="2"/>
  <c r="AH1135" i="2" s="1"/>
  <c r="AL1135" i="2"/>
  <c r="AG1135" i="2" s="1"/>
  <c r="AK1135" i="2"/>
  <c r="AF1135" i="2" s="1"/>
  <c r="AQ1135" i="2"/>
  <c r="D43" i="39"/>
  <c r="D42" i="39"/>
  <c r="D41" i="39"/>
  <c r="D40" i="39"/>
  <c r="D39" i="39"/>
  <c r="G37" i="39" l="1"/>
  <c r="E38" i="39"/>
  <c r="F43" i="39"/>
  <c r="E59" i="39"/>
  <c r="H57" i="39"/>
  <c r="E60" i="39"/>
  <c r="G61" i="39"/>
  <c r="H37" i="39"/>
  <c r="F38" i="39"/>
  <c r="E55" i="39"/>
  <c r="E62" i="39"/>
  <c r="E37" i="39"/>
  <c r="F37" i="39"/>
  <c r="H38" i="39"/>
  <c r="F40" i="39"/>
  <c r="E41" i="39"/>
  <c r="E52" i="39"/>
  <c r="E53" i="39"/>
  <c r="F55" i="39"/>
  <c r="F60" i="39"/>
  <c r="H61" i="39"/>
  <c r="F62" i="39"/>
  <c r="G38" i="39"/>
  <c r="H52" i="39"/>
  <c r="H53" i="39"/>
  <c r="F52" i="39"/>
  <c r="G55" i="39"/>
  <c r="H56" i="39"/>
  <c r="F57" i="39"/>
  <c r="G58" i="39"/>
  <c r="G60" i="39"/>
  <c r="E61" i="39"/>
  <c r="G62" i="39"/>
  <c r="E56" i="39"/>
  <c r="H59" i="39"/>
  <c r="H60" i="39"/>
  <c r="H63" i="39"/>
  <c r="F53" i="39"/>
  <c r="E54" i="39"/>
  <c r="H54" i="39"/>
  <c r="F56" i="39"/>
  <c r="E57" i="39"/>
  <c r="H58" i="39"/>
  <c r="F59" i="39"/>
  <c r="E39" i="39"/>
  <c r="G41" i="39"/>
  <c r="F42" i="39"/>
  <c r="E43" i="39"/>
  <c r="G52" i="39"/>
  <c r="G53" i="39"/>
  <c r="F54" i="39"/>
  <c r="H55" i="39"/>
  <c r="G56" i="39"/>
  <c r="E58" i="39"/>
  <c r="G59" i="39"/>
  <c r="H62" i="39"/>
  <c r="G63" i="39"/>
  <c r="F63" i="39"/>
  <c r="E63" i="39"/>
  <c r="F58" i="39"/>
  <c r="F61" i="39"/>
  <c r="G39" i="39"/>
  <c r="G43" i="39"/>
  <c r="G54" i="39"/>
  <c r="G57" i="39"/>
  <c r="G40" i="39"/>
  <c r="G42" i="39"/>
  <c r="H40" i="39"/>
  <c r="H42" i="39"/>
  <c r="I37" i="39" l="1"/>
  <c r="I60" i="39"/>
  <c r="I55" i="39"/>
  <c r="I38" i="39"/>
  <c r="I57" i="39"/>
  <c r="I61" i="39"/>
  <c r="I53" i="39"/>
  <c r="I52" i="39"/>
  <c r="I62" i="39"/>
  <c r="I63" i="39"/>
  <c r="I58" i="39"/>
  <c r="I59" i="39"/>
  <c r="I56" i="39"/>
  <c r="I54" i="39"/>
  <c r="E42" i="39"/>
  <c r="I42" i="39" s="1"/>
  <c r="F41" i="39"/>
  <c r="H43" i="39"/>
  <c r="I43" i="39" s="1"/>
  <c r="H39" i="39"/>
  <c r="H41" i="39"/>
  <c r="F39" i="39"/>
  <c r="E40" i="39"/>
  <c r="I40" i="39" s="1"/>
  <c r="I39" i="39" l="1"/>
  <c r="I41" i="39"/>
  <c r="AN641" i="2" l="1"/>
  <c r="AI641" i="2" s="1"/>
  <c r="AM641" i="2"/>
  <c r="AH641" i="2" s="1"/>
  <c r="AL641" i="2"/>
  <c r="AG641" i="2" s="1"/>
  <c r="AK641" i="2"/>
  <c r="AF641" i="2" s="1"/>
  <c r="AN640" i="2"/>
  <c r="AI640" i="2" s="1"/>
  <c r="AM640" i="2"/>
  <c r="AH640" i="2" s="1"/>
  <c r="AL640" i="2"/>
  <c r="AG640" i="2" s="1"/>
  <c r="AK640" i="2"/>
  <c r="AF640" i="2" s="1"/>
  <c r="B9" i="70" l="1"/>
  <c r="B8" i="70"/>
  <c r="B7" i="70"/>
  <c r="B6" i="70"/>
  <c r="B3" i="70"/>
  <c r="B4" i="70"/>
  <c r="K33" i="42" l="1"/>
  <c r="J14" i="42" l="1"/>
  <c r="J15" i="42"/>
  <c r="A4" i="42" l="1"/>
  <c r="A5" i="42"/>
  <c r="A6" i="42"/>
  <c r="A7" i="42"/>
  <c r="A8" i="42"/>
  <c r="A9" i="42"/>
  <c r="A3" i="42"/>
  <c r="AQ1134" i="2" l="1"/>
  <c r="AQ1131" i="2"/>
  <c r="AQ1126" i="2"/>
  <c r="AQ1121" i="2"/>
  <c r="AQ1116" i="2"/>
  <c r="AQ1113" i="2"/>
  <c r="AQ1108" i="2"/>
  <c r="AQ1105" i="2"/>
  <c r="AQ1133" i="2"/>
  <c r="AQ1130" i="2"/>
  <c r="AQ1127" i="2"/>
  <c r="AQ1124" i="2"/>
  <c r="AQ1122" i="2"/>
  <c r="AQ1119" i="2"/>
  <c r="AQ1117" i="2"/>
  <c r="AQ1114" i="2"/>
  <c r="AQ1111" i="2"/>
  <c r="AQ1109" i="2"/>
  <c r="AQ1106" i="2"/>
  <c r="AQ1103" i="2"/>
  <c r="AQ1132" i="2"/>
  <c r="AQ1129" i="2"/>
  <c r="AQ1128" i="2"/>
  <c r="AQ1125" i="2"/>
  <c r="AQ1123" i="2"/>
  <c r="AQ1120" i="2"/>
  <c r="AQ1118" i="2"/>
  <c r="AQ1115" i="2"/>
  <c r="AQ1112" i="2"/>
  <c r="AQ1110" i="2"/>
  <c r="AQ1107" i="2"/>
  <c r="AQ1104" i="2"/>
  <c r="AQ641" i="2"/>
  <c r="AQ640" i="2"/>
  <c r="D22" i="45"/>
  <c r="AN699" i="2" l="1"/>
  <c r="AI699" i="2" s="1"/>
  <c r="AM699" i="2"/>
  <c r="AH699" i="2" s="1"/>
  <c r="AL699" i="2"/>
  <c r="AG699" i="2" s="1"/>
  <c r="AK699" i="2"/>
  <c r="AF699" i="2" s="1"/>
  <c r="D27" i="45" l="1"/>
  <c r="D26" i="45"/>
  <c r="D25" i="45"/>
  <c r="D24" i="45"/>
  <c r="D23" i="45"/>
  <c r="D28" i="45" l="1"/>
  <c r="H45" i="38" s="1"/>
  <c r="AK12" i="2" l="1"/>
  <c r="AF12" i="2" s="1"/>
  <c r="AL12" i="2"/>
  <c r="AG12" i="2" s="1"/>
  <c r="AM12" i="2"/>
  <c r="AH12" i="2" s="1"/>
  <c r="AN12" i="2"/>
  <c r="AI12" i="2" s="1"/>
  <c r="AK13" i="2"/>
  <c r="AF13" i="2" s="1"/>
  <c r="AL13" i="2"/>
  <c r="AG13" i="2" s="1"/>
  <c r="AM13" i="2"/>
  <c r="AH13" i="2" s="1"/>
  <c r="AN13" i="2"/>
  <c r="AI13" i="2" s="1"/>
  <c r="AK14" i="2"/>
  <c r="AF14" i="2" s="1"/>
  <c r="AL14" i="2"/>
  <c r="AG14" i="2" s="1"/>
  <c r="AM14" i="2"/>
  <c r="AH14" i="2" s="1"/>
  <c r="AN14" i="2"/>
  <c r="AI14" i="2" s="1"/>
  <c r="AK15" i="2"/>
  <c r="AF15" i="2" s="1"/>
  <c r="AL15" i="2"/>
  <c r="AG15" i="2" s="1"/>
  <c r="AM15" i="2"/>
  <c r="AH15" i="2" s="1"/>
  <c r="AN15" i="2"/>
  <c r="AI15" i="2" s="1"/>
  <c r="AK16" i="2"/>
  <c r="AF16" i="2" s="1"/>
  <c r="AL16" i="2"/>
  <c r="AG16" i="2" s="1"/>
  <c r="AM16" i="2"/>
  <c r="AH16" i="2" s="1"/>
  <c r="AN16" i="2"/>
  <c r="AI16" i="2" s="1"/>
  <c r="AK17" i="2"/>
  <c r="AF17" i="2" s="1"/>
  <c r="AL17" i="2"/>
  <c r="AG17" i="2" s="1"/>
  <c r="AM17" i="2"/>
  <c r="AH17" i="2" s="1"/>
  <c r="AN17" i="2"/>
  <c r="AI17" i="2" s="1"/>
  <c r="AK18" i="2"/>
  <c r="AF18" i="2" s="1"/>
  <c r="AL18" i="2"/>
  <c r="AG18" i="2" s="1"/>
  <c r="AM18" i="2"/>
  <c r="AH18" i="2" s="1"/>
  <c r="AN18" i="2"/>
  <c r="AI18" i="2" s="1"/>
  <c r="AK19" i="2"/>
  <c r="AF19" i="2" s="1"/>
  <c r="AL19" i="2"/>
  <c r="AG19" i="2" s="1"/>
  <c r="AM19" i="2"/>
  <c r="AH19" i="2" s="1"/>
  <c r="AN19" i="2"/>
  <c r="AI19" i="2" s="1"/>
  <c r="AK20" i="2"/>
  <c r="AF20" i="2" s="1"/>
  <c r="AL20" i="2"/>
  <c r="AG20" i="2" s="1"/>
  <c r="AM20" i="2"/>
  <c r="AH20" i="2" s="1"/>
  <c r="AN20" i="2"/>
  <c r="AI20" i="2" s="1"/>
  <c r="AK21" i="2"/>
  <c r="AL21" i="2"/>
  <c r="AM21" i="2"/>
  <c r="AN21" i="2"/>
  <c r="AK22" i="2"/>
  <c r="AL22" i="2"/>
  <c r="AM22" i="2"/>
  <c r="AN22" i="2"/>
  <c r="AK23" i="2"/>
  <c r="AF23" i="2" s="1"/>
  <c r="AL23" i="2"/>
  <c r="AG23" i="2" s="1"/>
  <c r="AM23" i="2"/>
  <c r="AH23" i="2" s="1"/>
  <c r="AN23" i="2"/>
  <c r="AI23" i="2" s="1"/>
  <c r="AK24" i="2"/>
  <c r="AF24" i="2" s="1"/>
  <c r="AL24" i="2"/>
  <c r="AG24" i="2" s="1"/>
  <c r="AM24" i="2"/>
  <c r="AH24" i="2" s="1"/>
  <c r="AN24" i="2"/>
  <c r="AI24" i="2" s="1"/>
  <c r="AK25" i="2"/>
  <c r="AF25" i="2" s="1"/>
  <c r="AL25" i="2"/>
  <c r="AG25" i="2" s="1"/>
  <c r="AM25" i="2"/>
  <c r="AH25" i="2" s="1"/>
  <c r="AN25" i="2"/>
  <c r="AI25" i="2" s="1"/>
  <c r="AK26" i="2"/>
  <c r="AF26" i="2" s="1"/>
  <c r="AL26" i="2"/>
  <c r="AG26" i="2" s="1"/>
  <c r="AM26" i="2"/>
  <c r="AH26" i="2" s="1"/>
  <c r="AN26" i="2"/>
  <c r="AI26" i="2" s="1"/>
  <c r="AK27" i="2"/>
  <c r="AF27" i="2" s="1"/>
  <c r="AL27" i="2"/>
  <c r="AG27" i="2" s="1"/>
  <c r="AM27" i="2"/>
  <c r="AH27" i="2" s="1"/>
  <c r="AN27" i="2"/>
  <c r="AI27" i="2" s="1"/>
  <c r="AK28" i="2"/>
  <c r="AF28" i="2" s="1"/>
  <c r="AL28" i="2"/>
  <c r="AG28" i="2" s="1"/>
  <c r="AM28" i="2"/>
  <c r="AH28" i="2" s="1"/>
  <c r="AN28" i="2"/>
  <c r="AI28" i="2" s="1"/>
  <c r="AK29" i="2"/>
  <c r="AF29" i="2" s="1"/>
  <c r="AL29" i="2"/>
  <c r="AG29" i="2" s="1"/>
  <c r="AM29" i="2"/>
  <c r="AH29" i="2" s="1"/>
  <c r="AN29" i="2"/>
  <c r="AI29" i="2" s="1"/>
  <c r="AK30" i="2"/>
  <c r="AF30" i="2" s="1"/>
  <c r="AL30" i="2"/>
  <c r="AG30" i="2" s="1"/>
  <c r="AM30" i="2"/>
  <c r="AH30" i="2" s="1"/>
  <c r="AN30" i="2"/>
  <c r="AI30" i="2" s="1"/>
  <c r="AK31" i="2"/>
  <c r="AF31" i="2" s="1"/>
  <c r="AL31" i="2"/>
  <c r="AG31" i="2" s="1"/>
  <c r="AM31" i="2"/>
  <c r="AH31" i="2" s="1"/>
  <c r="AN31" i="2"/>
  <c r="AI31" i="2" s="1"/>
  <c r="AK32" i="2"/>
  <c r="AF32" i="2" s="1"/>
  <c r="AL32" i="2"/>
  <c r="AG32" i="2" s="1"/>
  <c r="AM32" i="2"/>
  <c r="AH32" i="2" s="1"/>
  <c r="AN32" i="2"/>
  <c r="AI32" i="2" s="1"/>
  <c r="AK33" i="2"/>
  <c r="AF33" i="2" s="1"/>
  <c r="AL33" i="2"/>
  <c r="AG33" i="2" s="1"/>
  <c r="AM33" i="2"/>
  <c r="AH33" i="2" s="1"/>
  <c r="AN33" i="2"/>
  <c r="AI33" i="2" s="1"/>
  <c r="AK34" i="2"/>
  <c r="AF34" i="2" s="1"/>
  <c r="AL34" i="2"/>
  <c r="AG34" i="2" s="1"/>
  <c r="AM34" i="2"/>
  <c r="AH34" i="2" s="1"/>
  <c r="AN34" i="2"/>
  <c r="AI34" i="2" s="1"/>
  <c r="AK35" i="2"/>
  <c r="AF35" i="2" s="1"/>
  <c r="AL35" i="2"/>
  <c r="AG35" i="2" s="1"/>
  <c r="AM35" i="2"/>
  <c r="AH35" i="2" s="1"/>
  <c r="AN35" i="2"/>
  <c r="AI35" i="2" s="1"/>
  <c r="AK36" i="2"/>
  <c r="AF36" i="2" s="1"/>
  <c r="AL36" i="2"/>
  <c r="AG36" i="2" s="1"/>
  <c r="AM36" i="2"/>
  <c r="AH36" i="2" s="1"/>
  <c r="AN36" i="2"/>
  <c r="AI36" i="2" s="1"/>
  <c r="AK37" i="2"/>
  <c r="AF37" i="2" s="1"/>
  <c r="AL37" i="2"/>
  <c r="AG37" i="2" s="1"/>
  <c r="AM37" i="2"/>
  <c r="AH37" i="2" s="1"/>
  <c r="AN37" i="2"/>
  <c r="AI37" i="2" s="1"/>
  <c r="AK38" i="2"/>
  <c r="AF38" i="2" s="1"/>
  <c r="AL38" i="2"/>
  <c r="AG38" i="2" s="1"/>
  <c r="AM38" i="2"/>
  <c r="AH38" i="2" s="1"/>
  <c r="AN38" i="2"/>
  <c r="AI38" i="2" s="1"/>
  <c r="AK39" i="2"/>
  <c r="AF39" i="2" s="1"/>
  <c r="AL39" i="2"/>
  <c r="AG39" i="2" s="1"/>
  <c r="AM39" i="2"/>
  <c r="AH39" i="2" s="1"/>
  <c r="AN39" i="2"/>
  <c r="AI39" i="2" s="1"/>
  <c r="AK40" i="2"/>
  <c r="AF40" i="2" s="1"/>
  <c r="AL40" i="2"/>
  <c r="AG40" i="2" s="1"/>
  <c r="AM40" i="2"/>
  <c r="AH40" i="2" s="1"/>
  <c r="AN40" i="2"/>
  <c r="AI40" i="2" s="1"/>
  <c r="AK41" i="2"/>
  <c r="AF41" i="2" s="1"/>
  <c r="AL41" i="2"/>
  <c r="AG41" i="2" s="1"/>
  <c r="AM41" i="2"/>
  <c r="AH41" i="2" s="1"/>
  <c r="AN41" i="2"/>
  <c r="AI41" i="2" s="1"/>
  <c r="AK42" i="2"/>
  <c r="AF42" i="2" s="1"/>
  <c r="AL42" i="2"/>
  <c r="AG42" i="2" s="1"/>
  <c r="AM42" i="2"/>
  <c r="AH42" i="2" s="1"/>
  <c r="AN42" i="2"/>
  <c r="AI42" i="2" s="1"/>
  <c r="AK43" i="2"/>
  <c r="AF43" i="2" s="1"/>
  <c r="AL43" i="2"/>
  <c r="AG43" i="2" s="1"/>
  <c r="AM43" i="2"/>
  <c r="AH43" i="2" s="1"/>
  <c r="AN43" i="2"/>
  <c r="AI43" i="2" s="1"/>
  <c r="AK44" i="2"/>
  <c r="AF44" i="2" s="1"/>
  <c r="AL44" i="2"/>
  <c r="AG44" i="2" s="1"/>
  <c r="AM44" i="2"/>
  <c r="AH44" i="2" s="1"/>
  <c r="AN44" i="2"/>
  <c r="AI44" i="2" s="1"/>
  <c r="AK45" i="2"/>
  <c r="AF45" i="2" s="1"/>
  <c r="AL45" i="2"/>
  <c r="AG45" i="2" s="1"/>
  <c r="AM45" i="2"/>
  <c r="AH45" i="2" s="1"/>
  <c r="AN45" i="2"/>
  <c r="AI45" i="2" s="1"/>
  <c r="AK46" i="2"/>
  <c r="AF46" i="2" s="1"/>
  <c r="AL46" i="2"/>
  <c r="AG46" i="2" s="1"/>
  <c r="AM46" i="2"/>
  <c r="AH46" i="2" s="1"/>
  <c r="AN46" i="2"/>
  <c r="AI46" i="2" s="1"/>
  <c r="AK47" i="2"/>
  <c r="AF47" i="2" s="1"/>
  <c r="AL47" i="2"/>
  <c r="AG47" i="2" s="1"/>
  <c r="AM47" i="2"/>
  <c r="AH47" i="2" s="1"/>
  <c r="AN47" i="2"/>
  <c r="AI47" i="2" s="1"/>
  <c r="AK48" i="2"/>
  <c r="AF48" i="2" s="1"/>
  <c r="AL48" i="2"/>
  <c r="AG48" i="2" s="1"/>
  <c r="AM48" i="2"/>
  <c r="AH48" i="2" s="1"/>
  <c r="AN48" i="2"/>
  <c r="AI48" i="2" s="1"/>
  <c r="AK49" i="2"/>
  <c r="AF49" i="2" s="1"/>
  <c r="AL49" i="2"/>
  <c r="AG49" i="2" s="1"/>
  <c r="AM49" i="2"/>
  <c r="AH49" i="2" s="1"/>
  <c r="AN49" i="2"/>
  <c r="AI49" i="2" s="1"/>
  <c r="AK50" i="2"/>
  <c r="AF50" i="2" s="1"/>
  <c r="AL50" i="2"/>
  <c r="AG50" i="2" s="1"/>
  <c r="AM50" i="2"/>
  <c r="AH50" i="2" s="1"/>
  <c r="AN50" i="2"/>
  <c r="AI50" i="2" s="1"/>
  <c r="AK51" i="2"/>
  <c r="AF51" i="2" s="1"/>
  <c r="AL51" i="2"/>
  <c r="AG51" i="2" s="1"/>
  <c r="AM51" i="2"/>
  <c r="AH51" i="2" s="1"/>
  <c r="AN51" i="2"/>
  <c r="AI51" i="2" s="1"/>
  <c r="AK52" i="2"/>
  <c r="AF52" i="2" s="1"/>
  <c r="AL52" i="2"/>
  <c r="AG52" i="2" s="1"/>
  <c r="AM52" i="2"/>
  <c r="AH52" i="2" s="1"/>
  <c r="AN52" i="2"/>
  <c r="AI52" i="2" s="1"/>
  <c r="AK53" i="2"/>
  <c r="AF53" i="2" s="1"/>
  <c r="AL53" i="2"/>
  <c r="AG53" i="2" s="1"/>
  <c r="AM53" i="2"/>
  <c r="AH53" i="2" s="1"/>
  <c r="AN53" i="2"/>
  <c r="AI53" i="2" s="1"/>
  <c r="AK54" i="2"/>
  <c r="AF54" i="2" s="1"/>
  <c r="AL54" i="2"/>
  <c r="AG54" i="2" s="1"/>
  <c r="AM54" i="2"/>
  <c r="AH54" i="2" s="1"/>
  <c r="AN54" i="2"/>
  <c r="AI54" i="2" s="1"/>
  <c r="AK55" i="2"/>
  <c r="AF55" i="2" s="1"/>
  <c r="AL55" i="2"/>
  <c r="AG55" i="2" s="1"/>
  <c r="AM55" i="2"/>
  <c r="AH55" i="2" s="1"/>
  <c r="AN55" i="2"/>
  <c r="AI55" i="2" s="1"/>
  <c r="AK56" i="2"/>
  <c r="AF56" i="2" s="1"/>
  <c r="AL56" i="2"/>
  <c r="AG56" i="2" s="1"/>
  <c r="AM56" i="2"/>
  <c r="AH56" i="2" s="1"/>
  <c r="AN56" i="2"/>
  <c r="AI56" i="2" s="1"/>
  <c r="AK57" i="2"/>
  <c r="AF57" i="2" s="1"/>
  <c r="AL57" i="2"/>
  <c r="AG57" i="2" s="1"/>
  <c r="AM57" i="2"/>
  <c r="AH57" i="2" s="1"/>
  <c r="AN57" i="2"/>
  <c r="AI57" i="2" s="1"/>
  <c r="AK58" i="2"/>
  <c r="AF58" i="2" s="1"/>
  <c r="AL58" i="2"/>
  <c r="AG58" i="2" s="1"/>
  <c r="AM58" i="2"/>
  <c r="AH58" i="2" s="1"/>
  <c r="AN58" i="2"/>
  <c r="AI58" i="2" s="1"/>
  <c r="AK59" i="2"/>
  <c r="AF59" i="2" s="1"/>
  <c r="AL59" i="2"/>
  <c r="AG59" i="2" s="1"/>
  <c r="AM59" i="2"/>
  <c r="AH59" i="2" s="1"/>
  <c r="AN59" i="2"/>
  <c r="AI59" i="2" s="1"/>
  <c r="AK60" i="2"/>
  <c r="AF60" i="2" s="1"/>
  <c r="AL60" i="2"/>
  <c r="AG60" i="2" s="1"/>
  <c r="AM60" i="2"/>
  <c r="AH60" i="2" s="1"/>
  <c r="AN60" i="2"/>
  <c r="AI60" i="2" s="1"/>
  <c r="AK61" i="2"/>
  <c r="AF61" i="2" s="1"/>
  <c r="AL61" i="2"/>
  <c r="AG61" i="2" s="1"/>
  <c r="AM61" i="2"/>
  <c r="AH61" i="2" s="1"/>
  <c r="AN61" i="2"/>
  <c r="AI61" i="2" s="1"/>
  <c r="AK62" i="2"/>
  <c r="AF62" i="2" s="1"/>
  <c r="AL62" i="2"/>
  <c r="AG62" i="2" s="1"/>
  <c r="AM62" i="2"/>
  <c r="AH62" i="2" s="1"/>
  <c r="AN62" i="2"/>
  <c r="AI62" i="2" s="1"/>
  <c r="AK63" i="2"/>
  <c r="AF63" i="2" s="1"/>
  <c r="AL63" i="2"/>
  <c r="AG63" i="2" s="1"/>
  <c r="AM63" i="2"/>
  <c r="AH63" i="2" s="1"/>
  <c r="AN63" i="2"/>
  <c r="AI63" i="2" s="1"/>
  <c r="AK64" i="2"/>
  <c r="AF64" i="2" s="1"/>
  <c r="AL64" i="2"/>
  <c r="AG64" i="2" s="1"/>
  <c r="AM64" i="2"/>
  <c r="AH64" i="2" s="1"/>
  <c r="AN64" i="2"/>
  <c r="AI64" i="2" s="1"/>
  <c r="AK65" i="2"/>
  <c r="AF65" i="2" s="1"/>
  <c r="AL65" i="2"/>
  <c r="AG65" i="2" s="1"/>
  <c r="AM65" i="2"/>
  <c r="AH65" i="2" s="1"/>
  <c r="AN65" i="2"/>
  <c r="AI65" i="2" s="1"/>
  <c r="AK66" i="2"/>
  <c r="AF66" i="2" s="1"/>
  <c r="AL66" i="2"/>
  <c r="AG66" i="2" s="1"/>
  <c r="AM66" i="2"/>
  <c r="AH66" i="2" s="1"/>
  <c r="AN66" i="2"/>
  <c r="AI66" i="2" s="1"/>
  <c r="AK67" i="2"/>
  <c r="AF67" i="2" s="1"/>
  <c r="AL67" i="2"/>
  <c r="AG67" i="2" s="1"/>
  <c r="AM67" i="2"/>
  <c r="AH67" i="2" s="1"/>
  <c r="AN67" i="2"/>
  <c r="AI67" i="2" s="1"/>
  <c r="AK68" i="2"/>
  <c r="AF68" i="2" s="1"/>
  <c r="AL68" i="2"/>
  <c r="AG68" i="2" s="1"/>
  <c r="AM68" i="2"/>
  <c r="AH68" i="2" s="1"/>
  <c r="AN68" i="2"/>
  <c r="AI68" i="2" s="1"/>
  <c r="AK69" i="2"/>
  <c r="AF69" i="2" s="1"/>
  <c r="AL69" i="2"/>
  <c r="AG69" i="2" s="1"/>
  <c r="AM69" i="2"/>
  <c r="AH69" i="2" s="1"/>
  <c r="AN69" i="2"/>
  <c r="AI69" i="2" s="1"/>
  <c r="AK70" i="2"/>
  <c r="AF70" i="2" s="1"/>
  <c r="AL70" i="2"/>
  <c r="AG70" i="2" s="1"/>
  <c r="AM70" i="2"/>
  <c r="AH70" i="2" s="1"/>
  <c r="AN70" i="2"/>
  <c r="AI70" i="2" s="1"/>
  <c r="AK71" i="2"/>
  <c r="AF71" i="2" s="1"/>
  <c r="AL71" i="2"/>
  <c r="AG71" i="2" s="1"/>
  <c r="AM71" i="2"/>
  <c r="AH71" i="2" s="1"/>
  <c r="AN71" i="2"/>
  <c r="AI71" i="2" s="1"/>
  <c r="AK72" i="2"/>
  <c r="AF72" i="2" s="1"/>
  <c r="AL72" i="2"/>
  <c r="AG72" i="2" s="1"/>
  <c r="AM72" i="2"/>
  <c r="AH72" i="2" s="1"/>
  <c r="AN72" i="2"/>
  <c r="AI72" i="2" s="1"/>
  <c r="AK73" i="2"/>
  <c r="AF73" i="2" s="1"/>
  <c r="AL73" i="2"/>
  <c r="AG73" i="2" s="1"/>
  <c r="AM73" i="2"/>
  <c r="AH73" i="2" s="1"/>
  <c r="AN73" i="2"/>
  <c r="AI73" i="2" s="1"/>
  <c r="AK74" i="2"/>
  <c r="AF74" i="2" s="1"/>
  <c r="AL74" i="2"/>
  <c r="AG74" i="2" s="1"/>
  <c r="AM74" i="2"/>
  <c r="AH74" i="2" s="1"/>
  <c r="AN74" i="2"/>
  <c r="AI74" i="2" s="1"/>
  <c r="AK75" i="2"/>
  <c r="AF75" i="2" s="1"/>
  <c r="AL75" i="2"/>
  <c r="AG75" i="2" s="1"/>
  <c r="AM75" i="2"/>
  <c r="AH75" i="2" s="1"/>
  <c r="AN75" i="2"/>
  <c r="AI75" i="2" s="1"/>
  <c r="AK76" i="2"/>
  <c r="AF76" i="2" s="1"/>
  <c r="AL76" i="2"/>
  <c r="AG76" i="2" s="1"/>
  <c r="AM76" i="2"/>
  <c r="AH76" i="2" s="1"/>
  <c r="AN76" i="2"/>
  <c r="AI76" i="2" s="1"/>
  <c r="AK77" i="2"/>
  <c r="AF77" i="2" s="1"/>
  <c r="AL77" i="2"/>
  <c r="AG77" i="2" s="1"/>
  <c r="AM77" i="2"/>
  <c r="AH77" i="2" s="1"/>
  <c r="AN77" i="2"/>
  <c r="AI77" i="2" s="1"/>
  <c r="AK78" i="2"/>
  <c r="AF78" i="2" s="1"/>
  <c r="AL78" i="2"/>
  <c r="AG78" i="2" s="1"/>
  <c r="AM78" i="2"/>
  <c r="AH78" i="2" s="1"/>
  <c r="AN78" i="2"/>
  <c r="AI78" i="2" s="1"/>
  <c r="AK79" i="2"/>
  <c r="AF79" i="2" s="1"/>
  <c r="AL79" i="2"/>
  <c r="AG79" i="2" s="1"/>
  <c r="AM79" i="2"/>
  <c r="AH79" i="2" s="1"/>
  <c r="AN79" i="2"/>
  <c r="AI79" i="2" s="1"/>
  <c r="AK80" i="2"/>
  <c r="AF80" i="2" s="1"/>
  <c r="AL80" i="2"/>
  <c r="AG80" i="2" s="1"/>
  <c r="AM80" i="2"/>
  <c r="AH80" i="2" s="1"/>
  <c r="AN80" i="2"/>
  <c r="AI80" i="2" s="1"/>
  <c r="AK81" i="2"/>
  <c r="AF81" i="2" s="1"/>
  <c r="AL81" i="2"/>
  <c r="AG81" i="2" s="1"/>
  <c r="AM81" i="2"/>
  <c r="AH81" i="2" s="1"/>
  <c r="AN81" i="2"/>
  <c r="AI81" i="2" s="1"/>
  <c r="AK82" i="2"/>
  <c r="AF82" i="2" s="1"/>
  <c r="AL82" i="2"/>
  <c r="AG82" i="2" s="1"/>
  <c r="AM82" i="2"/>
  <c r="AH82" i="2" s="1"/>
  <c r="AN82" i="2"/>
  <c r="AI82" i="2" s="1"/>
  <c r="AK83" i="2"/>
  <c r="AF83" i="2" s="1"/>
  <c r="AL83" i="2"/>
  <c r="AG83" i="2" s="1"/>
  <c r="AM83" i="2"/>
  <c r="AH83" i="2" s="1"/>
  <c r="AN83" i="2"/>
  <c r="AI83" i="2" s="1"/>
  <c r="AK84" i="2"/>
  <c r="AF84" i="2" s="1"/>
  <c r="AL84" i="2"/>
  <c r="AG84" i="2" s="1"/>
  <c r="AM84" i="2"/>
  <c r="AH84" i="2" s="1"/>
  <c r="AN84" i="2"/>
  <c r="AI84" i="2" s="1"/>
  <c r="AK85" i="2"/>
  <c r="AF85" i="2" s="1"/>
  <c r="AL85" i="2"/>
  <c r="AG85" i="2" s="1"/>
  <c r="AM85" i="2"/>
  <c r="AH85" i="2" s="1"/>
  <c r="AN85" i="2"/>
  <c r="AI85" i="2" s="1"/>
  <c r="AK86" i="2"/>
  <c r="AF86" i="2" s="1"/>
  <c r="AL86" i="2"/>
  <c r="AG86" i="2" s="1"/>
  <c r="AM86" i="2"/>
  <c r="AH86" i="2" s="1"/>
  <c r="AN86" i="2"/>
  <c r="AI86" i="2" s="1"/>
  <c r="AK87" i="2"/>
  <c r="AF87" i="2" s="1"/>
  <c r="AL87" i="2"/>
  <c r="AG87" i="2" s="1"/>
  <c r="AM87" i="2"/>
  <c r="AH87" i="2" s="1"/>
  <c r="AN87" i="2"/>
  <c r="AI87" i="2" s="1"/>
  <c r="AK88" i="2"/>
  <c r="AF88" i="2" s="1"/>
  <c r="AL88" i="2"/>
  <c r="AG88" i="2" s="1"/>
  <c r="AM88" i="2"/>
  <c r="AH88" i="2" s="1"/>
  <c r="AN88" i="2"/>
  <c r="AI88" i="2" s="1"/>
  <c r="AK89" i="2"/>
  <c r="AF89" i="2" s="1"/>
  <c r="AL89" i="2"/>
  <c r="AG89" i="2" s="1"/>
  <c r="AM89" i="2"/>
  <c r="AH89" i="2" s="1"/>
  <c r="AN89" i="2"/>
  <c r="AI89" i="2" s="1"/>
  <c r="AK90" i="2"/>
  <c r="AF90" i="2" s="1"/>
  <c r="AL90" i="2"/>
  <c r="AG90" i="2" s="1"/>
  <c r="AM90" i="2"/>
  <c r="AH90" i="2" s="1"/>
  <c r="AN90" i="2"/>
  <c r="AI90" i="2" s="1"/>
  <c r="AK91" i="2"/>
  <c r="AF91" i="2" s="1"/>
  <c r="AL91" i="2"/>
  <c r="AG91" i="2" s="1"/>
  <c r="AM91" i="2"/>
  <c r="AH91" i="2" s="1"/>
  <c r="AN91" i="2"/>
  <c r="AI91" i="2" s="1"/>
  <c r="AK92" i="2"/>
  <c r="AF92" i="2" s="1"/>
  <c r="AL92" i="2"/>
  <c r="AG92" i="2" s="1"/>
  <c r="AM92" i="2"/>
  <c r="AH92" i="2" s="1"/>
  <c r="AN92" i="2"/>
  <c r="AI92" i="2" s="1"/>
  <c r="AK93" i="2"/>
  <c r="AF93" i="2" s="1"/>
  <c r="AL93" i="2"/>
  <c r="AG93" i="2" s="1"/>
  <c r="AM93" i="2"/>
  <c r="AH93" i="2" s="1"/>
  <c r="AN93" i="2"/>
  <c r="AI93" i="2" s="1"/>
  <c r="AK94" i="2"/>
  <c r="AF94" i="2" s="1"/>
  <c r="AL94" i="2"/>
  <c r="AG94" i="2" s="1"/>
  <c r="AM94" i="2"/>
  <c r="AH94" i="2" s="1"/>
  <c r="AN94" i="2"/>
  <c r="AI94" i="2" s="1"/>
  <c r="AK95" i="2"/>
  <c r="AF95" i="2" s="1"/>
  <c r="AL95" i="2"/>
  <c r="AG95" i="2" s="1"/>
  <c r="AM95" i="2"/>
  <c r="AH95" i="2" s="1"/>
  <c r="AN95" i="2"/>
  <c r="AI95" i="2" s="1"/>
  <c r="AK96" i="2"/>
  <c r="AF96" i="2" s="1"/>
  <c r="AL96" i="2"/>
  <c r="AG96" i="2" s="1"/>
  <c r="AM96" i="2"/>
  <c r="AH96" i="2" s="1"/>
  <c r="AN96" i="2"/>
  <c r="AI96" i="2" s="1"/>
  <c r="AK97" i="2"/>
  <c r="AF97" i="2" s="1"/>
  <c r="AL97" i="2"/>
  <c r="AG97" i="2" s="1"/>
  <c r="AM97" i="2"/>
  <c r="AH97" i="2" s="1"/>
  <c r="AN97" i="2"/>
  <c r="AI97" i="2" s="1"/>
  <c r="AK98" i="2"/>
  <c r="AF98" i="2" s="1"/>
  <c r="AL98" i="2"/>
  <c r="AG98" i="2" s="1"/>
  <c r="AM98" i="2"/>
  <c r="AH98" i="2" s="1"/>
  <c r="AN98" i="2"/>
  <c r="AI98" i="2" s="1"/>
  <c r="AK99" i="2"/>
  <c r="AF99" i="2" s="1"/>
  <c r="AL99" i="2"/>
  <c r="AG99" i="2" s="1"/>
  <c r="AM99" i="2"/>
  <c r="AH99" i="2" s="1"/>
  <c r="AN99" i="2"/>
  <c r="AI99" i="2" s="1"/>
  <c r="AK100" i="2"/>
  <c r="AF100" i="2" s="1"/>
  <c r="AL100" i="2"/>
  <c r="AG100" i="2" s="1"/>
  <c r="AM100" i="2"/>
  <c r="AH100" i="2" s="1"/>
  <c r="AN100" i="2"/>
  <c r="AI100" i="2" s="1"/>
  <c r="AK101" i="2"/>
  <c r="AF101" i="2" s="1"/>
  <c r="AL101" i="2"/>
  <c r="AG101" i="2" s="1"/>
  <c r="AM101" i="2"/>
  <c r="AH101" i="2" s="1"/>
  <c r="AN101" i="2"/>
  <c r="AI101" i="2" s="1"/>
  <c r="AK102" i="2"/>
  <c r="AF102" i="2" s="1"/>
  <c r="AL102" i="2"/>
  <c r="AG102" i="2" s="1"/>
  <c r="AM102" i="2"/>
  <c r="AH102" i="2" s="1"/>
  <c r="AN102" i="2"/>
  <c r="AI102" i="2" s="1"/>
  <c r="AK103" i="2"/>
  <c r="AF103" i="2" s="1"/>
  <c r="AL103" i="2"/>
  <c r="AG103" i="2" s="1"/>
  <c r="AM103" i="2"/>
  <c r="AH103" i="2" s="1"/>
  <c r="AN103" i="2"/>
  <c r="AI103" i="2" s="1"/>
  <c r="AK104" i="2"/>
  <c r="AF104" i="2" s="1"/>
  <c r="AL104" i="2"/>
  <c r="AG104" i="2" s="1"/>
  <c r="AM104" i="2"/>
  <c r="AH104" i="2" s="1"/>
  <c r="AN104" i="2"/>
  <c r="AI104" i="2" s="1"/>
  <c r="AK105" i="2"/>
  <c r="AF105" i="2" s="1"/>
  <c r="AK106" i="2"/>
  <c r="AF106" i="2" s="1"/>
  <c r="AL106" i="2"/>
  <c r="AG106" i="2" s="1"/>
  <c r="AM106" i="2"/>
  <c r="AH106" i="2" s="1"/>
  <c r="AN106" i="2"/>
  <c r="AI106" i="2" s="1"/>
  <c r="AK107" i="2"/>
  <c r="AF107" i="2" s="1"/>
  <c r="AL107" i="2"/>
  <c r="AG107" i="2" s="1"/>
  <c r="AM107" i="2"/>
  <c r="AH107" i="2" s="1"/>
  <c r="AN107" i="2"/>
  <c r="AI107" i="2" s="1"/>
  <c r="AK108" i="2"/>
  <c r="AF108" i="2" s="1"/>
  <c r="AL108" i="2"/>
  <c r="AG108" i="2" s="1"/>
  <c r="AM108" i="2"/>
  <c r="AH108" i="2" s="1"/>
  <c r="AN108" i="2"/>
  <c r="AI108" i="2" s="1"/>
  <c r="AK109" i="2"/>
  <c r="AF109" i="2" s="1"/>
  <c r="AL109" i="2"/>
  <c r="AG109" i="2" s="1"/>
  <c r="AM109" i="2"/>
  <c r="AH109" i="2" s="1"/>
  <c r="AN109" i="2"/>
  <c r="AI109" i="2" s="1"/>
  <c r="AK110" i="2"/>
  <c r="AF110" i="2" s="1"/>
  <c r="AL110" i="2"/>
  <c r="AG110" i="2" s="1"/>
  <c r="AM110" i="2"/>
  <c r="AH110" i="2" s="1"/>
  <c r="AN110" i="2"/>
  <c r="AI110" i="2" s="1"/>
  <c r="AK111" i="2"/>
  <c r="AF111" i="2" s="1"/>
  <c r="AL111" i="2"/>
  <c r="AG111" i="2" s="1"/>
  <c r="AM111" i="2"/>
  <c r="AH111" i="2" s="1"/>
  <c r="AN111" i="2"/>
  <c r="AI111" i="2" s="1"/>
  <c r="AK112" i="2"/>
  <c r="AF112" i="2" s="1"/>
  <c r="AL112" i="2"/>
  <c r="AG112" i="2" s="1"/>
  <c r="AM112" i="2"/>
  <c r="AH112" i="2" s="1"/>
  <c r="AN112" i="2"/>
  <c r="AI112" i="2" s="1"/>
  <c r="AK113" i="2"/>
  <c r="AF113" i="2" s="1"/>
  <c r="AL113" i="2"/>
  <c r="AG113" i="2" s="1"/>
  <c r="AM113" i="2"/>
  <c r="AH113" i="2" s="1"/>
  <c r="AN113" i="2"/>
  <c r="AI113" i="2" s="1"/>
  <c r="AK114" i="2"/>
  <c r="AF114" i="2" s="1"/>
  <c r="AL114" i="2"/>
  <c r="AG114" i="2" s="1"/>
  <c r="AM114" i="2"/>
  <c r="AH114" i="2" s="1"/>
  <c r="AN114" i="2"/>
  <c r="AI114" i="2" s="1"/>
  <c r="AK115" i="2"/>
  <c r="AF115" i="2" s="1"/>
  <c r="AL115" i="2"/>
  <c r="AG115" i="2" s="1"/>
  <c r="AM115" i="2"/>
  <c r="AH115" i="2" s="1"/>
  <c r="AN115" i="2"/>
  <c r="AI115" i="2" s="1"/>
  <c r="AK116" i="2"/>
  <c r="AF116" i="2" s="1"/>
  <c r="AL116" i="2"/>
  <c r="AG116" i="2" s="1"/>
  <c r="AM116" i="2"/>
  <c r="AH116" i="2" s="1"/>
  <c r="AN116" i="2"/>
  <c r="AI116" i="2" s="1"/>
  <c r="AK117" i="2"/>
  <c r="AF117" i="2" s="1"/>
  <c r="AL117" i="2"/>
  <c r="AG117" i="2" s="1"/>
  <c r="AM117" i="2"/>
  <c r="AH117" i="2" s="1"/>
  <c r="AN117" i="2"/>
  <c r="AI117" i="2" s="1"/>
  <c r="AK118" i="2"/>
  <c r="AF118" i="2" s="1"/>
  <c r="AL118" i="2"/>
  <c r="AG118" i="2" s="1"/>
  <c r="AM118" i="2"/>
  <c r="AH118" i="2" s="1"/>
  <c r="AN118" i="2"/>
  <c r="AI118" i="2" s="1"/>
  <c r="AK119" i="2"/>
  <c r="AF119" i="2" s="1"/>
  <c r="AL119" i="2"/>
  <c r="AG119" i="2" s="1"/>
  <c r="AM119" i="2"/>
  <c r="AH119" i="2" s="1"/>
  <c r="AN119" i="2"/>
  <c r="AI119" i="2" s="1"/>
  <c r="AK120" i="2"/>
  <c r="AF120" i="2" s="1"/>
  <c r="AL120" i="2"/>
  <c r="AG120" i="2" s="1"/>
  <c r="AM120" i="2"/>
  <c r="AH120" i="2" s="1"/>
  <c r="AN120" i="2"/>
  <c r="AI120" i="2" s="1"/>
  <c r="AK121" i="2"/>
  <c r="AF121" i="2" s="1"/>
  <c r="AL121" i="2"/>
  <c r="AG121" i="2" s="1"/>
  <c r="AM121" i="2"/>
  <c r="AH121" i="2" s="1"/>
  <c r="AN121" i="2"/>
  <c r="AI121" i="2" s="1"/>
  <c r="AK122" i="2"/>
  <c r="AF122" i="2" s="1"/>
  <c r="AL122" i="2"/>
  <c r="AG122" i="2" s="1"/>
  <c r="AM122" i="2"/>
  <c r="AH122" i="2" s="1"/>
  <c r="AN122" i="2"/>
  <c r="AI122" i="2" s="1"/>
  <c r="AK123" i="2"/>
  <c r="AF123" i="2" s="1"/>
  <c r="AL123" i="2"/>
  <c r="AG123" i="2" s="1"/>
  <c r="AM123" i="2"/>
  <c r="AH123" i="2" s="1"/>
  <c r="AN123" i="2"/>
  <c r="AI123" i="2" s="1"/>
  <c r="AK124" i="2"/>
  <c r="AF124" i="2" s="1"/>
  <c r="AL124" i="2"/>
  <c r="AG124" i="2" s="1"/>
  <c r="AM124" i="2"/>
  <c r="AH124" i="2" s="1"/>
  <c r="AN124" i="2"/>
  <c r="AI124" i="2" s="1"/>
  <c r="AK125" i="2"/>
  <c r="AF125" i="2" s="1"/>
  <c r="AL125" i="2"/>
  <c r="AG125" i="2" s="1"/>
  <c r="AM125" i="2"/>
  <c r="AH125" i="2" s="1"/>
  <c r="AN125" i="2"/>
  <c r="AI125" i="2" s="1"/>
  <c r="AK126" i="2"/>
  <c r="AF126" i="2" s="1"/>
  <c r="AL126" i="2"/>
  <c r="AG126" i="2" s="1"/>
  <c r="AM126" i="2"/>
  <c r="AH126" i="2" s="1"/>
  <c r="AN126" i="2"/>
  <c r="AI126" i="2" s="1"/>
  <c r="AK127" i="2"/>
  <c r="AF127" i="2" s="1"/>
  <c r="AL127" i="2"/>
  <c r="AG127" i="2" s="1"/>
  <c r="AM127" i="2"/>
  <c r="AH127" i="2" s="1"/>
  <c r="AN127" i="2"/>
  <c r="AI127" i="2" s="1"/>
  <c r="AK128" i="2"/>
  <c r="AF128" i="2" s="1"/>
  <c r="AL128" i="2"/>
  <c r="AG128" i="2" s="1"/>
  <c r="AM128" i="2"/>
  <c r="AH128" i="2" s="1"/>
  <c r="AN128" i="2"/>
  <c r="AI128" i="2" s="1"/>
  <c r="AK129" i="2"/>
  <c r="AF129" i="2" s="1"/>
  <c r="AL129" i="2"/>
  <c r="AG129" i="2" s="1"/>
  <c r="AM129" i="2"/>
  <c r="AH129" i="2" s="1"/>
  <c r="AN129" i="2"/>
  <c r="AI129" i="2" s="1"/>
  <c r="AK130" i="2"/>
  <c r="AF130" i="2" s="1"/>
  <c r="AL130" i="2"/>
  <c r="AG130" i="2" s="1"/>
  <c r="AM130" i="2"/>
  <c r="AH130" i="2" s="1"/>
  <c r="AN130" i="2"/>
  <c r="AI130" i="2" s="1"/>
  <c r="AK131" i="2"/>
  <c r="AF131" i="2" s="1"/>
  <c r="AL131" i="2"/>
  <c r="AG131" i="2" s="1"/>
  <c r="AM131" i="2"/>
  <c r="AH131" i="2" s="1"/>
  <c r="AN131" i="2"/>
  <c r="AI131" i="2" s="1"/>
  <c r="AK132" i="2"/>
  <c r="AF132" i="2" s="1"/>
  <c r="AL132" i="2"/>
  <c r="AG132" i="2" s="1"/>
  <c r="AM132" i="2"/>
  <c r="AH132" i="2" s="1"/>
  <c r="AN132" i="2"/>
  <c r="AI132" i="2" s="1"/>
  <c r="AK133" i="2"/>
  <c r="AF133" i="2" s="1"/>
  <c r="AL133" i="2"/>
  <c r="AG133" i="2" s="1"/>
  <c r="AM133" i="2"/>
  <c r="AH133" i="2" s="1"/>
  <c r="AN133" i="2"/>
  <c r="AI133" i="2" s="1"/>
  <c r="AK134" i="2"/>
  <c r="AF134" i="2" s="1"/>
  <c r="AL134" i="2"/>
  <c r="AG134" i="2" s="1"/>
  <c r="AM134" i="2"/>
  <c r="AH134" i="2" s="1"/>
  <c r="AN134" i="2"/>
  <c r="AI134" i="2" s="1"/>
  <c r="AK135" i="2"/>
  <c r="AF135" i="2" s="1"/>
  <c r="AL135" i="2"/>
  <c r="AG135" i="2" s="1"/>
  <c r="AM135" i="2"/>
  <c r="AH135" i="2" s="1"/>
  <c r="AN135" i="2"/>
  <c r="AI135" i="2" s="1"/>
  <c r="AK136" i="2"/>
  <c r="AF136" i="2" s="1"/>
  <c r="AL136" i="2"/>
  <c r="AG136" i="2" s="1"/>
  <c r="AM136" i="2"/>
  <c r="AH136" i="2" s="1"/>
  <c r="AN136" i="2"/>
  <c r="AI136" i="2" s="1"/>
  <c r="AK137" i="2"/>
  <c r="AF137" i="2" s="1"/>
  <c r="AL137" i="2"/>
  <c r="AG137" i="2" s="1"/>
  <c r="AM137" i="2"/>
  <c r="AH137" i="2" s="1"/>
  <c r="AN137" i="2"/>
  <c r="AI137" i="2" s="1"/>
  <c r="AK138" i="2"/>
  <c r="AF138" i="2" s="1"/>
  <c r="AL138" i="2"/>
  <c r="AG138" i="2" s="1"/>
  <c r="AM138" i="2"/>
  <c r="AH138" i="2" s="1"/>
  <c r="AN138" i="2"/>
  <c r="AI138" i="2" s="1"/>
  <c r="AK139" i="2"/>
  <c r="AF139" i="2" s="1"/>
  <c r="AL139" i="2"/>
  <c r="AG139" i="2" s="1"/>
  <c r="AM139" i="2"/>
  <c r="AH139" i="2" s="1"/>
  <c r="AN139" i="2"/>
  <c r="AI139" i="2" s="1"/>
  <c r="AK140" i="2"/>
  <c r="AF140" i="2" s="1"/>
  <c r="AL140" i="2"/>
  <c r="AG140" i="2" s="1"/>
  <c r="AM140" i="2"/>
  <c r="AH140" i="2" s="1"/>
  <c r="AN140" i="2"/>
  <c r="AI140" i="2" s="1"/>
  <c r="AK141" i="2"/>
  <c r="AF141" i="2" s="1"/>
  <c r="AL141" i="2"/>
  <c r="AG141" i="2" s="1"/>
  <c r="AM141" i="2"/>
  <c r="AH141" i="2" s="1"/>
  <c r="AN141" i="2"/>
  <c r="AI141" i="2" s="1"/>
  <c r="AK142" i="2"/>
  <c r="AF142" i="2" s="1"/>
  <c r="AL142" i="2"/>
  <c r="AG142" i="2" s="1"/>
  <c r="AM142" i="2"/>
  <c r="AH142" i="2" s="1"/>
  <c r="AN142" i="2"/>
  <c r="AI142" i="2" s="1"/>
  <c r="AK143" i="2"/>
  <c r="AF143" i="2" s="1"/>
  <c r="AL143" i="2"/>
  <c r="AG143" i="2" s="1"/>
  <c r="AM143" i="2"/>
  <c r="AH143" i="2" s="1"/>
  <c r="AN143" i="2"/>
  <c r="AI143" i="2" s="1"/>
  <c r="AK144" i="2"/>
  <c r="AF144" i="2" s="1"/>
  <c r="AL144" i="2"/>
  <c r="AG144" i="2" s="1"/>
  <c r="AM144" i="2"/>
  <c r="AH144" i="2" s="1"/>
  <c r="AN144" i="2"/>
  <c r="AI144" i="2" s="1"/>
  <c r="AK145" i="2"/>
  <c r="AF145" i="2" s="1"/>
  <c r="AL145" i="2"/>
  <c r="AG145" i="2" s="1"/>
  <c r="AM145" i="2"/>
  <c r="AH145" i="2" s="1"/>
  <c r="AN145" i="2"/>
  <c r="AI145" i="2" s="1"/>
  <c r="AK146" i="2"/>
  <c r="AF146" i="2" s="1"/>
  <c r="AL146" i="2"/>
  <c r="AG146" i="2" s="1"/>
  <c r="AM146" i="2"/>
  <c r="AH146" i="2" s="1"/>
  <c r="AN146" i="2"/>
  <c r="AI146" i="2" s="1"/>
  <c r="AK147" i="2"/>
  <c r="AF147" i="2" s="1"/>
  <c r="AL147" i="2"/>
  <c r="AG147" i="2" s="1"/>
  <c r="AM147" i="2"/>
  <c r="AH147" i="2" s="1"/>
  <c r="AN147" i="2"/>
  <c r="AI147" i="2" s="1"/>
  <c r="AK148" i="2"/>
  <c r="AF148" i="2" s="1"/>
  <c r="AL148" i="2"/>
  <c r="AG148" i="2" s="1"/>
  <c r="AM148" i="2"/>
  <c r="AH148" i="2" s="1"/>
  <c r="AN148" i="2"/>
  <c r="AI148" i="2" s="1"/>
  <c r="AK149" i="2"/>
  <c r="AF149" i="2" s="1"/>
  <c r="AL149" i="2"/>
  <c r="AG149" i="2" s="1"/>
  <c r="AM149" i="2"/>
  <c r="AH149" i="2" s="1"/>
  <c r="AN149" i="2"/>
  <c r="AI149" i="2" s="1"/>
  <c r="AK150" i="2"/>
  <c r="AF150" i="2" s="1"/>
  <c r="AL150" i="2"/>
  <c r="AG150" i="2" s="1"/>
  <c r="AM150" i="2"/>
  <c r="AH150" i="2" s="1"/>
  <c r="AN150" i="2"/>
  <c r="AI150" i="2" s="1"/>
  <c r="AK151" i="2"/>
  <c r="AF151" i="2" s="1"/>
  <c r="AL151" i="2"/>
  <c r="AG151" i="2" s="1"/>
  <c r="AM151" i="2"/>
  <c r="AH151" i="2" s="1"/>
  <c r="AN151" i="2"/>
  <c r="AI151" i="2" s="1"/>
  <c r="AK152" i="2"/>
  <c r="AF152" i="2" s="1"/>
  <c r="AL152" i="2"/>
  <c r="AG152" i="2" s="1"/>
  <c r="AM152" i="2"/>
  <c r="AH152" i="2" s="1"/>
  <c r="AN152" i="2"/>
  <c r="AI152" i="2" s="1"/>
  <c r="AK153" i="2"/>
  <c r="AF153" i="2" s="1"/>
  <c r="AL153" i="2"/>
  <c r="AG153" i="2" s="1"/>
  <c r="AM153" i="2"/>
  <c r="AH153" i="2" s="1"/>
  <c r="AN153" i="2"/>
  <c r="AI153" i="2" s="1"/>
  <c r="AK154" i="2"/>
  <c r="AF154" i="2" s="1"/>
  <c r="AL154" i="2"/>
  <c r="AG154" i="2" s="1"/>
  <c r="AM154" i="2"/>
  <c r="AH154" i="2" s="1"/>
  <c r="AN154" i="2"/>
  <c r="AI154" i="2" s="1"/>
  <c r="AK155" i="2"/>
  <c r="AF155" i="2" s="1"/>
  <c r="AL155" i="2"/>
  <c r="AG155" i="2" s="1"/>
  <c r="AM155" i="2"/>
  <c r="AH155" i="2" s="1"/>
  <c r="AN155" i="2"/>
  <c r="AI155" i="2" s="1"/>
  <c r="AK156" i="2"/>
  <c r="AF156" i="2" s="1"/>
  <c r="AL156" i="2"/>
  <c r="AG156" i="2" s="1"/>
  <c r="AM156" i="2"/>
  <c r="AH156" i="2" s="1"/>
  <c r="AN156" i="2"/>
  <c r="AI156" i="2" s="1"/>
  <c r="AK157" i="2"/>
  <c r="AF157" i="2" s="1"/>
  <c r="AL157" i="2"/>
  <c r="AG157" i="2" s="1"/>
  <c r="AM157" i="2"/>
  <c r="AH157" i="2" s="1"/>
  <c r="AN157" i="2"/>
  <c r="AI157" i="2" s="1"/>
  <c r="AK158" i="2"/>
  <c r="AF158" i="2" s="1"/>
  <c r="AL158" i="2"/>
  <c r="AG158" i="2" s="1"/>
  <c r="AM158" i="2"/>
  <c r="AH158" i="2" s="1"/>
  <c r="AN158" i="2"/>
  <c r="AI158" i="2" s="1"/>
  <c r="AK159" i="2"/>
  <c r="AF159" i="2" s="1"/>
  <c r="AL159" i="2"/>
  <c r="AG159" i="2" s="1"/>
  <c r="AM159" i="2"/>
  <c r="AH159" i="2" s="1"/>
  <c r="AN159" i="2"/>
  <c r="AI159" i="2" s="1"/>
  <c r="AK160" i="2"/>
  <c r="AF160" i="2" s="1"/>
  <c r="AL160" i="2"/>
  <c r="AG160" i="2" s="1"/>
  <c r="AM160" i="2"/>
  <c r="AH160" i="2" s="1"/>
  <c r="AN160" i="2"/>
  <c r="AI160" i="2" s="1"/>
  <c r="AK161" i="2"/>
  <c r="AF161" i="2" s="1"/>
  <c r="AL161" i="2"/>
  <c r="AG161" i="2" s="1"/>
  <c r="AM161" i="2"/>
  <c r="AH161" i="2" s="1"/>
  <c r="AN161" i="2"/>
  <c r="AI161" i="2" s="1"/>
  <c r="AK162" i="2"/>
  <c r="AF162" i="2" s="1"/>
  <c r="AL162" i="2"/>
  <c r="AG162" i="2" s="1"/>
  <c r="AM162" i="2"/>
  <c r="AH162" i="2" s="1"/>
  <c r="AN162" i="2"/>
  <c r="AI162" i="2" s="1"/>
  <c r="AK163" i="2"/>
  <c r="AF163" i="2" s="1"/>
  <c r="AL163" i="2"/>
  <c r="AG163" i="2" s="1"/>
  <c r="AM163" i="2"/>
  <c r="AH163" i="2" s="1"/>
  <c r="AN163" i="2"/>
  <c r="AI163" i="2" s="1"/>
  <c r="AK164" i="2"/>
  <c r="AL164" i="2"/>
  <c r="AM164" i="2"/>
  <c r="AN164" i="2"/>
  <c r="AK165" i="2"/>
  <c r="AF165" i="2" s="1"/>
  <c r="AL165" i="2"/>
  <c r="AG165" i="2" s="1"/>
  <c r="AM165" i="2"/>
  <c r="AH165" i="2" s="1"/>
  <c r="AN165" i="2"/>
  <c r="AI165" i="2" s="1"/>
  <c r="AK166" i="2"/>
  <c r="AL166" i="2"/>
  <c r="AM166" i="2"/>
  <c r="AN166" i="2"/>
  <c r="AK167" i="2"/>
  <c r="AF167" i="2" s="1"/>
  <c r="AL167" i="2"/>
  <c r="AG167" i="2" s="1"/>
  <c r="AM167" i="2"/>
  <c r="AH167" i="2" s="1"/>
  <c r="AN167" i="2"/>
  <c r="AI167" i="2" s="1"/>
  <c r="AK168" i="2"/>
  <c r="AF168" i="2" s="1"/>
  <c r="AL168" i="2"/>
  <c r="AG168" i="2" s="1"/>
  <c r="AM168" i="2"/>
  <c r="AH168" i="2" s="1"/>
  <c r="AN168" i="2"/>
  <c r="AI168" i="2" s="1"/>
  <c r="AK169" i="2"/>
  <c r="AF169" i="2" s="1"/>
  <c r="AL169" i="2"/>
  <c r="AG169" i="2" s="1"/>
  <c r="AM169" i="2"/>
  <c r="AH169" i="2" s="1"/>
  <c r="AN169" i="2"/>
  <c r="AI169" i="2" s="1"/>
  <c r="AK170" i="2"/>
  <c r="AL170" i="2"/>
  <c r="AM170" i="2"/>
  <c r="AN170" i="2"/>
  <c r="AK171" i="2"/>
  <c r="AF171" i="2" s="1"/>
  <c r="AL171" i="2"/>
  <c r="AG171" i="2" s="1"/>
  <c r="AM171" i="2"/>
  <c r="AH171" i="2" s="1"/>
  <c r="AN171" i="2"/>
  <c r="AI171" i="2" s="1"/>
  <c r="AK172" i="2"/>
  <c r="AF172" i="2" s="1"/>
  <c r="AL172" i="2"/>
  <c r="AG172" i="2" s="1"/>
  <c r="AM172" i="2"/>
  <c r="AH172" i="2" s="1"/>
  <c r="AN172" i="2"/>
  <c r="AI172" i="2" s="1"/>
  <c r="AK173" i="2"/>
  <c r="AF173" i="2" s="1"/>
  <c r="AL173" i="2"/>
  <c r="AG173" i="2" s="1"/>
  <c r="AM173" i="2"/>
  <c r="AH173" i="2" s="1"/>
  <c r="AN173" i="2"/>
  <c r="AI173" i="2" s="1"/>
  <c r="AK174" i="2"/>
  <c r="AF174" i="2" s="1"/>
  <c r="AL174" i="2"/>
  <c r="AG174" i="2" s="1"/>
  <c r="AM174" i="2"/>
  <c r="AH174" i="2" s="1"/>
  <c r="AN174" i="2"/>
  <c r="AI174" i="2" s="1"/>
  <c r="AK175" i="2"/>
  <c r="AF175" i="2" s="1"/>
  <c r="AL175" i="2"/>
  <c r="AG175" i="2" s="1"/>
  <c r="AM175" i="2"/>
  <c r="AH175" i="2" s="1"/>
  <c r="AN175" i="2"/>
  <c r="AI175" i="2" s="1"/>
  <c r="AK176" i="2"/>
  <c r="AF176" i="2" s="1"/>
  <c r="AL176" i="2"/>
  <c r="AG176" i="2" s="1"/>
  <c r="AM176" i="2"/>
  <c r="AH176" i="2" s="1"/>
  <c r="AN176" i="2"/>
  <c r="AI176" i="2" s="1"/>
  <c r="AK177" i="2"/>
  <c r="AF177" i="2" s="1"/>
  <c r="AL177" i="2"/>
  <c r="AG177" i="2" s="1"/>
  <c r="AM177" i="2"/>
  <c r="AH177" i="2" s="1"/>
  <c r="AN177" i="2"/>
  <c r="AI177" i="2" s="1"/>
  <c r="AK178" i="2"/>
  <c r="AL178" i="2"/>
  <c r="AM178" i="2"/>
  <c r="AN178" i="2"/>
  <c r="AK179" i="2"/>
  <c r="AL179" i="2"/>
  <c r="AM179" i="2"/>
  <c r="AN179" i="2"/>
  <c r="AK180" i="2"/>
  <c r="AL180" i="2"/>
  <c r="AM180" i="2"/>
  <c r="AN180" i="2"/>
  <c r="AK181" i="2"/>
  <c r="AF181" i="2" s="1"/>
  <c r="AL181" i="2"/>
  <c r="AG181" i="2" s="1"/>
  <c r="AM181" i="2"/>
  <c r="AH181" i="2" s="1"/>
  <c r="AN181" i="2"/>
  <c r="AI181" i="2" s="1"/>
  <c r="AK182" i="2"/>
  <c r="AF182" i="2" s="1"/>
  <c r="AL182" i="2"/>
  <c r="AG182" i="2" s="1"/>
  <c r="AM182" i="2"/>
  <c r="AH182" i="2" s="1"/>
  <c r="AN182" i="2"/>
  <c r="AI182" i="2" s="1"/>
  <c r="AK183" i="2"/>
  <c r="AF183" i="2" s="1"/>
  <c r="AL183" i="2"/>
  <c r="AG183" i="2" s="1"/>
  <c r="AM183" i="2"/>
  <c r="AH183" i="2" s="1"/>
  <c r="AN183" i="2"/>
  <c r="AI183" i="2" s="1"/>
  <c r="AK184" i="2"/>
  <c r="AF184" i="2" s="1"/>
  <c r="AL184" i="2"/>
  <c r="AG184" i="2" s="1"/>
  <c r="AM184" i="2"/>
  <c r="AH184" i="2" s="1"/>
  <c r="AN184" i="2"/>
  <c r="AI184" i="2" s="1"/>
  <c r="AK185" i="2"/>
  <c r="AF185" i="2" s="1"/>
  <c r="AL185" i="2"/>
  <c r="AG185" i="2" s="1"/>
  <c r="AM185" i="2"/>
  <c r="AH185" i="2" s="1"/>
  <c r="AN185" i="2"/>
  <c r="AI185" i="2" s="1"/>
  <c r="AK186" i="2"/>
  <c r="AF186" i="2" s="1"/>
  <c r="AL186" i="2"/>
  <c r="AG186" i="2" s="1"/>
  <c r="AM186" i="2"/>
  <c r="AH186" i="2" s="1"/>
  <c r="AN186" i="2"/>
  <c r="AI186" i="2" s="1"/>
  <c r="AK187" i="2"/>
  <c r="AF187" i="2" s="1"/>
  <c r="AL187" i="2"/>
  <c r="AG187" i="2" s="1"/>
  <c r="AM187" i="2"/>
  <c r="AH187" i="2" s="1"/>
  <c r="AN187" i="2"/>
  <c r="AI187" i="2" s="1"/>
  <c r="AK188" i="2"/>
  <c r="AF188" i="2" s="1"/>
  <c r="AL188" i="2"/>
  <c r="AG188" i="2" s="1"/>
  <c r="AM188" i="2"/>
  <c r="AH188" i="2" s="1"/>
  <c r="AN188" i="2"/>
  <c r="AI188" i="2" s="1"/>
  <c r="AK189" i="2"/>
  <c r="AF189" i="2" s="1"/>
  <c r="AL189" i="2"/>
  <c r="AG189" i="2" s="1"/>
  <c r="AM189" i="2"/>
  <c r="AH189" i="2" s="1"/>
  <c r="AN189" i="2"/>
  <c r="AI189" i="2" s="1"/>
  <c r="AK190" i="2"/>
  <c r="AF190" i="2" s="1"/>
  <c r="AL190" i="2"/>
  <c r="AG190" i="2" s="1"/>
  <c r="AM190" i="2"/>
  <c r="AH190" i="2" s="1"/>
  <c r="AN190" i="2"/>
  <c r="AI190" i="2" s="1"/>
  <c r="AK191" i="2"/>
  <c r="AF191" i="2" s="1"/>
  <c r="AL191" i="2"/>
  <c r="AG191" i="2" s="1"/>
  <c r="AM191" i="2"/>
  <c r="AH191" i="2" s="1"/>
  <c r="AN191" i="2"/>
  <c r="AI191" i="2" s="1"/>
  <c r="AK192" i="2"/>
  <c r="AF192" i="2" s="1"/>
  <c r="AL192" i="2"/>
  <c r="AG192" i="2" s="1"/>
  <c r="AM192" i="2"/>
  <c r="AH192" i="2" s="1"/>
  <c r="AN192" i="2"/>
  <c r="AI192" i="2" s="1"/>
  <c r="AK193" i="2"/>
  <c r="AF193" i="2" s="1"/>
  <c r="AL193" i="2"/>
  <c r="AG193" i="2" s="1"/>
  <c r="AM193" i="2"/>
  <c r="AH193" i="2" s="1"/>
  <c r="AN193" i="2"/>
  <c r="AI193" i="2" s="1"/>
  <c r="AK194" i="2"/>
  <c r="AF194" i="2" s="1"/>
  <c r="AL194" i="2"/>
  <c r="AG194" i="2" s="1"/>
  <c r="AM194" i="2"/>
  <c r="AH194" i="2" s="1"/>
  <c r="AN194" i="2"/>
  <c r="AI194" i="2" s="1"/>
  <c r="AK195" i="2"/>
  <c r="AF195" i="2" s="1"/>
  <c r="AL195" i="2"/>
  <c r="AG195" i="2" s="1"/>
  <c r="AM195" i="2"/>
  <c r="AH195" i="2" s="1"/>
  <c r="AN195" i="2"/>
  <c r="AI195" i="2" s="1"/>
  <c r="AK196" i="2"/>
  <c r="AL196" i="2"/>
  <c r="AM196" i="2"/>
  <c r="AN196" i="2"/>
  <c r="AK197" i="2"/>
  <c r="AL197" i="2"/>
  <c r="AM197" i="2"/>
  <c r="AN197" i="2"/>
  <c r="AK198" i="2"/>
  <c r="AL198" i="2"/>
  <c r="AM198" i="2"/>
  <c r="AN198" i="2"/>
  <c r="AK199" i="2"/>
  <c r="AL199" i="2"/>
  <c r="AM199" i="2"/>
  <c r="AN199" i="2"/>
  <c r="AK200" i="2"/>
  <c r="AL200" i="2"/>
  <c r="AM200" i="2"/>
  <c r="AN200" i="2"/>
  <c r="AK201" i="2"/>
  <c r="AL201" i="2"/>
  <c r="AM201" i="2"/>
  <c r="AN201" i="2"/>
  <c r="AK202" i="2"/>
  <c r="AL202" i="2"/>
  <c r="AM202" i="2"/>
  <c r="AN202" i="2"/>
  <c r="AK203" i="2"/>
  <c r="AL203" i="2"/>
  <c r="AM203" i="2"/>
  <c r="AN203" i="2"/>
  <c r="AK204" i="2"/>
  <c r="AL204" i="2"/>
  <c r="AM204" i="2"/>
  <c r="AN204" i="2"/>
  <c r="AK205" i="2"/>
  <c r="AF205" i="2" s="1"/>
  <c r="AL205" i="2"/>
  <c r="AG205" i="2" s="1"/>
  <c r="AM205" i="2"/>
  <c r="AH205" i="2" s="1"/>
  <c r="AN205" i="2"/>
  <c r="AI205" i="2" s="1"/>
  <c r="AK206" i="2"/>
  <c r="AF206" i="2" s="1"/>
  <c r="AL206" i="2"/>
  <c r="AG206" i="2" s="1"/>
  <c r="AM206" i="2"/>
  <c r="AH206" i="2" s="1"/>
  <c r="AN206" i="2"/>
  <c r="AI206" i="2" s="1"/>
  <c r="AK207" i="2"/>
  <c r="AF207" i="2" s="1"/>
  <c r="AL207" i="2"/>
  <c r="AG207" i="2" s="1"/>
  <c r="AM207" i="2"/>
  <c r="AH207" i="2" s="1"/>
  <c r="AN207" i="2"/>
  <c r="AI207" i="2" s="1"/>
  <c r="AK208" i="2"/>
  <c r="AF208" i="2" s="1"/>
  <c r="AL208" i="2"/>
  <c r="AG208" i="2" s="1"/>
  <c r="AM208" i="2"/>
  <c r="AH208" i="2" s="1"/>
  <c r="AN208" i="2"/>
  <c r="AI208" i="2" s="1"/>
  <c r="AK209" i="2"/>
  <c r="AF209" i="2" s="1"/>
  <c r="AL209" i="2"/>
  <c r="AG209" i="2" s="1"/>
  <c r="AM209" i="2"/>
  <c r="AH209" i="2" s="1"/>
  <c r="AN209" i="2"/>
  <c r="AI209" i="2" s="1"/>
  <c r="AK210" i="2"/>
  <c r="AF210" i="2" s="1"/>
  <c r="AL210" i="2"/>
  <c r="AG210" i="2" s="1"/>
  <c r="AM210" i="2"/>
  <c r="AH210" i="2" s="1"/>
  <c r="AN210" i="2"/>
  <c r="AI210" i="2" s="1"/>
  <c r="AK211" i="2"/>
  <c r="AF211" i="2" s="1"/>
  <c r="AL211" i="2"/>
  <c r="AG211" i="2" s="1"/>
  <c r="AM211" i="2"/>
  <c r="AH211" i="2" s="1"/>
  <c r="AN211" i="2"/>
  <c r="AI211" i="2" s="1"/>
  <c r="AK212" i="2"/>
  <c r="AF212" i="2" s="1"/>
  <c r="AL212" i="2"/>
  <c r="AG212" i="2" s="1"/>
  <c r="AM212" i="2"/>
  <c r="AH212" i="2" s="1"/>
  <c r="AN212" i="2"/>
  <c r="AI212" i="2" s="1"/>
  <c r="AK213" i="2"/>
  <c r="AF213" i="2" s="1"/>
  <c r="AL213" i="2"/>
  <c r="AG213" i="2" s="1"/>
  <c r="AM213" i="2"/>
  <c r="AH213" i="2" s="1"/>
  <c r="AN213" i="2"/>
  <c r="AI213" i="2" s="1"/>
  <c r="AK214" i="2"/>
  <c r="AF214" i="2" s="1"/>
  <c r="AL214" i="2"/>
  <c r="AG214" i="2" s="1"/>
  <c r="AM214" i="2"/>
  <c r="AH214" i="2" s="1"/>
  <c r="AN214" i="2"/>
  <c r="AI214" i="2" s="1"/>
  <c r="AK215" i="2"/>
  <c r="AF215" i="2" s="1"/>
  <c r="AL215" i="2"/>
  <c r="AG215" i="2" s="1"/>
  <c r="AM215" i="2"/>
  <c r="AH215" i="2" s="1"/>
  <c r="AN215" i="2"/>
  <c r="AI215" i="2" s="1"/>
  <c r="AK216" i="2"/>
  <c r="AF216" i="2" s="1"/>
  <c r="AL216" i="2"/>
  <c r="AG216" i="2" s="1"/>
  <c r="AM216" i="2"/>
  <c r="AH216" i="2" s="1"/>
  <c r="AN216" i="2"/>
  <c r="AI216" i="2" s="1"/>
  <c r="AK217" i="2"/>
  <c r="AF217" i="2" s="1"/>
  <c r="AL217" i="2"/>
  <c r="AG217" i="2" s="1"/>
  <c r="AM217" i="2"/>
  <c r="AH217" i="2" s="1"/>
  <c r="AN217" i="2"/>
  <c r="AI217" i="2" s="1"/>
  <c r="AK218" i="2"/>
  <c r="AF218" i="2" s="1"/>
  <c r="AL218" i="2"/>
  <c r="AG218" i="2" s="1"/>
  <c r="AM218" i="2"/>
  <c r="AH218" i="2" s="1"/>
  <c r="AN218" i="2"/>
  <c r="AI218" i="2" s="1"/>
  <c r="AK219" i="2"/>
  <c r="AF219" i="2" s="1"/>
  <c r="AL219" i="2"/>
  <c r="AG219" i="2" s="1"/>
  <c r="AM219" i="2"/>
  <c r="AH219" i="2" s="1"/>
  <c r="AN219" i="2"/>
  <c r="AI219" i="2" s="1"/>
  <c r="AK220" i="2"/>
  <c r="AF220" i="2" s="1"/>
  <c r="AL220" i="2"/>
  <c r="AG220" i="2" s="1"/>
  <c r="AM220" i="2"/>
  <c r="AH220" i="2" s="1"/>
  <c r="AN220" i="2"/>
  <c r="AI220" i="2" s="1"/>
  <c r="AK221" i="2"/>
  <c r="AF221" i="2" s="1"/>
  <c r="AL221" i="2"/>
  <c r="AG221" i="2" s="1"/>
  <c r="AM221" i="2"/>
  <c r="AH221" i="2" s="1"/>
  <c r="AN221" i="2"/>
  <c r="AI221" i="2" s="1"/>
  <c r="AK222" i="2"/>
  <c r="AL222" i="2"/>
  <c r="AM222" i="2"/>
  <c r="AN222" i="2"/>
  <c r="AK223" i="2"/>
  <c r="AL223" i="2"/>
  <c r="AM223" i="2"/>
  <c r="AN223" i="2"/>
  <c r="AK224" i="2"/>
  <c r="AL224" i="2"/>
  <c r="AM224" i="2"/>
  <c r="AN224" i="2"/>
  <c r="AK225" i="2"/>
  <c r="AF225" i="2" s="1"/>
  <c r="AL225" i="2"/>
  <c r="AG225" i="2" s="1"/>
  <c r="AM225" i="2"/>
  <c r="AH225" i="2" s="1"/>
  <c r="AN225" i="2"/>
  <c r="AI225" i="2" s="1"/>
  <c r="AK226" i="2"/>
  <c r="AL226" i="2"/>
  <c r="AM226" i="2"/>
  <c r="AN226" i="2"/>
  <c r="AK227" i="2"/>
  <c r="AF227" i="2" s="1"/>
  <c r="AL227" i="2"/>
  <c r="AG227" i="2" s="1"/>
  <c r="AM227" i="2"/>
  <c r="AH227" i="2" s="1"/>
  <c r="AN227" i="2"/>
  <c r="AI227" i="2" s="1"/>
  <c r="AK228" i="2"/>
  <c r="AL228" i="2"/>
  <c r="AM228" i="2"/>
  <c r="AN228" i="2"/>
  <c r="AK229" i="2"/>
  <c r="AF229" i="2" s="1"/>
  <c r="AL229" i="2"/>
  <c r="AG229" i="2" s="1"/>
  <c r="AM229" i="2"/>
  <c r="AH229" i="2" s="1"/>
  <c r="AN229" i="2"/>
  <c r="AI229" i="2" s="1"/>
  <c r="AK230" i="2"/>
  <c r="AL230" i="2"/>
  <c r="AM230" i="2"/>
  <c r="AN230" i="2"/>
  <c r="AK231" i="2"/>
  <c r="AL231" i="2"/>
  <c r="AM231" i="2"/>
  <c r="AN231" i="2"/>
  <c r="AK232" i="2"/>
  <c r="AF232" i="2" s="1"/>
  <c r="AL232" i="2"/>
  <c r="AG232" i="2" s="1"/>
  <c r="AM232" i="2"/>
  <c r="AH232" i="2" s="1"/>
  <c r="AN232" i="2"/>
  <c r="AI232" i="2" s="1"/>
  <c r="AK233" i="2"/>
  <c r="AF233" i="2" s="1"/>
  <c r="AL233" i="2"/>
  <c r="AG233" i="2" s="1"/>
  <c r="AM233" i="2"/>
  <c r="AH233" i="2" s="1"/>
  <c r="AN233" i="2"/>
  <c r="AI233" i="2" s="1"/>
  <c r="AK234" i="2"/>
  <c r="AF234" i="2" s="1"/>
  <c r="AL234" i="2"/>
  <c r="AG234" i="2" s="1"/>
  <c r="AM234" i="2"/>
  <c r="AH234" i="2" s="1"/>
  <c r="AN234" i="2"/>
  <c r="AI234" i="2" s="1"/>
  <c r="AK235" i="2"/>
  <c r="AF235" i="2" s="1"/>
  <c r="AL235" i="2"/>
  <c r="AG235" i="2" s="1"/>
  <c r="AM235" i="2"/>
  <c r="AH235" i="2" s="1"/>
  <c r="AN235" i="2"/>
  <c r="AI235" i="2" s="1"/>
  <c r="AK236" i="2"/>
  <c r="AF236" i="2" s="1"/>
  <c r="AL236" i="2"/>
  <c r="AG236" i="2" s="1"/>
  <c r="AM236" i="2"/>
  <c r="AH236" i="2" s="1"/>
  <c r="AN236" i="2"/>
  <c r="AI236" i="2" s="1"/>
  <c r="AK237" i="2"/>
  <c r="AF237" i="2" s="1"/>
  <c r="AL237" i="2"/>
  <c r="AG237" i="2" s="1"/>
  <c r="AM237" i="2"/>
  <c r="AH237" i="2" s="1"/>
  <c r="AN237" i="2"/>
  <c r="AI237" i="2" s="1"/>
  <c r="AK238" i="2"/>
  <c r="AF238" i="2" s="1"/>
  <c r="AL238" i="2"/>
  <c r="AG238" i="2" s="1"/>
  <c r="AM238" i="2"/>
  <c r="AH238" i="2" s="1"/>
  <c r="AN238" i="2"/>
  <c r="AI238" i="2" s="1"/>
  <c r="AK239" i="2"/>
  <c r="AL239" i="2"/>
  <c r="AM239" i="2"/>
  <c r="AN239" i="2"/>
  <c r="AK240" i="2"/>
  <c r="AL240" i="2"/>
  <c r="AM240" i="2"/>
  <c r="AN240" i="2"/>
  <c r="AK241" i="2"/>
  <c r="AF241" i="2" s="1"/>
  <c r="AL241" i="2"/>
  <c r="AG241" i="2" s="1"/>
  <c r="AM241" i="2"/>
  <c r="AH241" i="2" s="1"/>
  <c r="AN241" i="2"/>
  <c r="AI241" i="2" s="1"/>
  <c r="AK242" i="2"/>
  <c r="AF242" i="2" s="1"/>
  <c r="AL242" i="2"/>
  <c r="AG242" i="2" s="1"/>
  <c r="AM242" i="2"/>
  <c r="AH242" i="2" s="1"/>
  <c r="AN242" i="2"/>
  <c r="AI242" i="2" s="1"/>
  <c r="AK243" i="2"/>
  <c r="AL243" i="2"/>
  <c r="AM243" i="2"/>
  <c r="AN243" i="2"/>
  <c r="AK244" i="2"/>
  <c r="AF244" i="2" s="1"/>
  <c r="AL244" i="2"/>
  <c r="AG244" i="2" s="1"/>
  <c r="AM244" i="2"/>
  <c r="AH244" i="2" s="1"/>
  <c r="AN244" i="2"/>
  <c r="AI244" i="2" s="1"/>
  <c r="AK245" i="2"/>
  <c r="AF245" i="2" s="1"/>
  <c r="AL245" i="2"/>
  <c r="AG245" i="2" s="1"/>
  <c r="AM245" i="2"/>
  <c r="AH245" i="2" s="1"/>
  <c r="AN245" i="2"/>
  <c r="AI245" i="2" s="1"/>
  <c r="AK246" i="2"/>
  <c r="AF246" i="2" s="1"/>
  <c r="AL246" i="2"/>
  <c r="AG246" i="2" s="1"/>
  <c r="AM246" i="2"/>
  <c r="AH246" i="2" s="1"/>
  <c r="AN246" i="2"/>
  <c r="AI246" i="2" s="1"/>
  <c r="AK247" i="2"/>
  <c r="AK248" i="2"/>
  <c r="AF248" i="2" s="1"/>
  <c r="AL248" i="2"/>
  <c r="AG248" i="2" s="1"/>
  <c r="AM248" i="2"/>
  <c r="AH248" i="2" s="1"/>
  <c r="AN248" i="2"/>
  <c r="AI248" i="2" s="1"/>
  <c r="AK249" i="2"/>
  <c r="AF249" i="2" s="1"/>
  <c r="AL249" i="2"/>
  <c r="AG249" i="2" s="1"/>
  <c r="AM249" i="2"/>
  <c r="AH249" i="2" s="1"/>
  <c r="AN249" i="2"/>
  <c r="AI249" i="2" s="1"/>
  <c r="AK250" i="2"/>
  <c r="AF250" i="2" s="1"/>
  <c r="AL250" i="2"/>
  <c r="AG250" i="2" s="1"/>
  <c r="AM250" i="2"/>
  <c r="AH250" i="2" s="1"/>
  <c r="AN250" i="2"/>
  <c r="AI250" i="2" s="1"/>
  <c r="AK251" i="2"/>
  <c r="AF251" i="2" s="1"/>
  <c r="AL251" i="2"/>
  <c r="AG251" i="2" s="1"/>
  <c r="AM251" i="2"/>
  <c r="AH251" i="2" s="1"/>
  <c r="AN251" i="2"/>
  <c r="AI251" i="2" s="1"/>
  <c r="AK252" i="2"/>
  <c r="AL252" i="2"/>
  <c r="AM252" i="2"/>
  <c r="AN252" i="2"/>
  <c r="AK253" i="2"/>
  <c r="AL253" i="2"/>
  <c r="AM253" i="2"/>
  <c r="AN253" i="2"/>
  <c r="AK254" i="2"/>
  <c r="AL254" i="2"/>
  <c r="AM254" i="2"/>
  <c r="AN254" i="2"/>
  <c r="AK255" i="2"/>
  <c r="AL255" i="2"/>
  <c r="AM255" i="2"/>
  <c r="AN255" i="2"/>
  <c r="AK256" i="2"/>
  <c r="AL256" i="2"/>
  <c r="AM256" i="2"/>
  <c r="AN256" i="2"/>
  <c r="AK257" i="2"/>
  <c r="AF257" i="2" s="1"/>
  <c r="AL257" i="2"/>
  <c r="AG257" i="2" s="1"/>
  <c r="AM257" i="2"/>
  <c r="AH257" i="2" s="1"/>
  <c r="AN257" i="2"/>
  <c r="AI257" i="2" s="1"/>
  <c r="AK258" i="2"/>
  <c r="AL258" i="2"/>
  <c r="AM258" i="2"/>
  <c r="AN258" i="2"/>
  <c r="AK259" i="2"/>
  <c r="AF259" i="2" s="1"/>
  <c r="AL259" i="2"/>
  <c r="AG259" i="2" s="1"/>
  <c r="AM259" i="2"/>
  <c r="AH259" i="2" s="1"/>
  <c r="AN259" i="2"/>
  <c r="AI259" i="2" s="1"/>
  <c r="AK260" i="2"/>
  <c r="AL260" i="2"/>
  <c r="AM260" i="2"/>
  <c r="AN260" i="2"/>
  <c r="AK261" i="2"/>
  <c r="AL261" i="2"/>
  <c r="AM261" i="2"/>
  <c r="AN261" i="2"/>
  <c r="AK262" i="2"/>
  <c r="AL262" i="2"/>
  <c r="AM262" i="2"/>
  <c r="AN262" i="2"/>
  <c r="AK263" i="2"/>
  <c r="AL263" i="2"/>
  <c r="AM263" i="2"/>
  <c r="AN263" i="2"/>
  <c r="AK264" i="2"/>
  <c r="AL264" i="2"/>
  <c r="AM264" i="2"/>
  <c r="AN264" i="2"/>
  <c r="AK265" i="2"/>
  <c r="AL265" i="2"/>
  <c r="AM265" i="2"/>
  <c r="AN265" i="2"/>
  <c r="AK266" i="2"/>
  <c r="AL266" i="2"/>
  <c r="AM266" i="2"/>
  <c r="AN266" i="2"/>
  <c r="AK267" i="2"/>
  <c r="AL267" i="2"/>
  <c r="AM267" i="2"/>
  <c r="AN267" i="2"/>
  <c r="AK268" i="2"/>
  <c r="AF268" i="2" s="1"/>
  <c r="AL268" i="2"/>
  <c r="AG268" i="2" s="1"/>
  <c r="AM268" i="2"/>
  <c r="AH268" i="2" s="1"/>
  <c r="AN268" i="2"/>
  <c r="AI268" i="2" s="1"/>
  <c r="AK269" i="2"/>
  <c r="AF269" i="2" s="1"/>
  <c r="AL269" i="2"/>
  <c r="AG269" i="2" s="1"/>
  <c r="AM269" i="2"/>
  <c r="AH269" i="2" s="1"/>
  <c r="AN269" i="2"/>
  <c r="AI269" i="2" s="1"/>
  <c r="AK270" i="2"/>
  <c r="AF270" i="2" s="1"/>
  <c r="AL270" i="2"/>
  <c r="AG270" i="2" s="1"/>
  <c r="AM270" i="2"/>
  <c r="AH270" i="2" s="1"/>
  <c r="AN270" i="2"/>
  <c r="AI270" i="2" s="1"/>
  <c r="AK271" i="2"/>
  <c r="AF271" i="2" s="1"/>
  <c r="AL271" i="2"/>
  <c r="AG271" i="2" s="1"/>
  <c r="AM271" i="2"/>
  <c r="AH271" i="2" s="1"/>
  <c r="AN271" i="2"/>
  <c r="AI271" i="2" s="1"/>
  <c r="AK272" i="2"/>
  <c r="AF272" i="2" s="1"/>
  <c r="AL272" i="2"/>
  <c r="AG272" i="2" s="1"/>
  <c r="AM272" i="2"/>
  <c r="AH272" i="2" s="1"/>
  <c r="AN272" i="2"/>
  <c r="AI272" i="2" s="1"/>
  <c r="AK273" i="2"/>
  <c r="AF273" i="2" s="1"/>
  <c r="AL273" i="2"/>
  <c r="AG273" i="2" s="1"/>
  <c r="AM273" i="2"/>
  <c r="AH273" i="2" s="1"/>
  <c r="AN273" i="2"/>
  <c r="AI273" i="2" s="1"/>
  <c r="AK274" i="2"/>
  <c r="AL274" i="2"/>
  <c r="AM274" i="2"/>
  <c r="AN274" i="2"/>
  <c r="AK275" i="2"/>
  <c r="AF275" i="2" s="1"/>
  <c r="AL275" i="2"/>
  <c r="AG275" i="2" s="1"/>
  <c r="AM275" i="2"/>
  <c r="AH275" i="2" s="1"/>
  <c r="AN275" i="2"/>
  <c r="AI275" i="2" s="1"/>
  <c r="AK276" i="2"/>
  <c r="AL276" i="2"/>
  <c r="AM276" i="2"/>
  <c r="AN276" i="2"/>
  <c r="AK277" i="2"/>
  <c r="AF277" i="2" s="1"/>
  <c r="AL277" i="2"/>
  <c r="AG277" i="2" s="1"/>
  <c r="AM277" i="2"/>
  <c r="AH277" i="2" s="1"/>
  <c r="AN277" i="2"/>
  <c r="AI277" i="2" s="1"/>
  <c r="AK278" i="2"/>
  <c r="AF278" i="2" s="1"/>
  <c r="AL278" i="2"/>
  <c r="AG278" i="2" s="1"/>
  <c r="AM278" i="2"/>
  <c r="AH278" i="2" s="1"/>
  <c r="AN278" i="2"/>
  <c r="AI278" i="2" s="1"/>
  <c r="AK279" i="2"/>
  <c r="AF279" i="2" s="1"/>
  <c r="AL279" i="2"/>
  <c r="AG279" i="2" s="1"/>
  <c r="AM279" i="2"/>
  <c r="AH279" i="2" s="1"/>
  <c r="AN279" i="2"/>
  <c r="AI279" i="2" s="1"/>
  <c r="AK280" i="2"/>
  <c r="AF280" i="2" s="1"/>
  <c r="AL280" i="2"/>
  <c r="AG280" i="2" s="1"/>
  <c r="AM280" i="2"/>
  <c r="AH280" i="2" s="1"/>
  <c r="AN280" i="2"/>
  <c r="AI280" i="2" s="1"/>
  <c r="AK281" i="2"/>
  <c r="AF281" i="2" s="1"/>
  <c r="AL281" i="2"/>
  <c r="AG281" i="2" s="1"/>
  <c r="AM281" i="2"/>
  <c r="AH281" i="2" s="1"/>
  <c r="AN281" i="2"/>
  <c r="AI281" i="2" s="1"/>
  <c r="AK282" i="2"/>
  <c r="AF282" i="2" s="1"/>
  <c r="AL282" i="2"/>
  <c r="AG282" i="2" s="1"/>
  <c r="AM282" i="2"/>
  <c r="AH282" i="2" s="1"/>
  <c r="AN282" i="2"/>
  <c r="AI282" i="2" s="1"/>
  <c r="AK283" i="2"/>
  <c r="AF283" i="2" s="1"/>
  <c r="AL283" i="2"/>
  <c r="AG283" i="2" s="1"/>
  <c r="AM283" i="2"/>
  <c r="AH283" i="2" s="1"/>
  <c r="AN283" i="2"/>
  <c r="AI283" i="2" s="1"/>
  <c r="AK284" i="2"/>
  <c r="AF284" i="2" s="1"/>
  <c r="AL284" i="2"/>
  <c r="AG284" i="2" s="1"/>
  <c r="AM284" i="2"/>
  <c r="AH284" i="2" s="1"/>
  <c r="AN284" i="2"/>
  <c r="AI284" i="2" s="1"/>
  <c r="AK285" i="2"/>
  <c r="AF285" i="2" s="1"/>
  <c r="AL285" i="2"/>
  <c r="AG285" i="2" s="1"/>
  <c r="AM285" i="2"/>
  <c r="AH285" i="2" s="1"/>
  <c r="AN285" i="2"/>
  <c r="AI285" i="2" s="1"/>
  <c r="AK286" i="2"/>
  <c r="AF286" i="2" s="1"/>
  <c r="AL286" i="2"/>
  <c r="AG286" i="2" s="1"/>
  <c r="AM286" i="2"/>
  <c r="AH286" i="2" s="1"/>
  <c r="AN286" i="2"/>
  <c r="AI286" i="2" s="1"/>
  <c r="AK287" i="2"/>
  <c r="AF287" i="2" s="1"/>
  <c r="AL287" i="2"/>
  <c r="AG287" i="2" s="1"/>
  <c r="AM287" i="2"/>
  <c r="AH287" i="2" s="1"/>
  <c r="AN287" i="2"/>
  <c r="AI287" i="2" s="1"/>
  <c r="AK288" i="2"/>
  <c r="AF288" i="2" s="1"/>
  <c r="AL288" i="2"/>
  <c r="AG288" i="2" s="1"/>
  <c r="AM288" i="2"/>
  <c r="AH288" i="2" s="1"/>
  <c r="AN288" i="2"/>
  <c r="AI288" i="2" s="1"/>
  <c r="AK289" i="2"/>
  <c r="AF289" i="2" s="1"/>
  <c r="AL289" i="2"/>
  <c r="AG289" i="2" s="1"/>
  <c r="AM289" i="2"/>
  <c r="AH289" i="2" s="1"/>
  <c r="AN289" i="2"/>
  <c r="AI289" i="2" s="1"/>
  <c r="AK290" i="2"/>
  <c r="AF290" i="2" s="1"/>
  <c r="AL290" i="2"/>
  <c r="AG290" i="2" s="1"/>
  <c r="AM290" i="2"/>
  <c r="AH290" i="2" s="1"/>
  <c r="AN290" i="2"/>
  <c r="AI290" i="2" s="1"/>
  <c r="AK291" i="2"/>
  <c r="AF291" i="2" s="1"/>
  <c r="AL291" i="2"/>
  <c r="AG291" i="2" s="1"/>
  <c r="AM291" i="2"/>
  <c r="AH291" i="2" s="1"/>
  <c r="AN291" i="2"/>
  <c r="AI291" i="2" s="1"/>
  <c r="AK292" i="2"/>
  <c r="AF292" i="2" s="1"/>
  <c r="AL292" i="2"/>
  <c r="AG292" i="2" s="1"/>
  <c r="AM292" i="2"/>
  <c r="AH292" i="2" s="1"/>
  <c r="AN292" i="2"/>
  <c r="AI292" i="2" s="1"/>
  <c r="AK293" i="2"/>
  <c r="AF293" i="2" s="1"/>
  <c r="AL293" i="2"/>
  <c r="AG293" i="2" s="1"/>
  <c r="AM293" i="2"/>
  <c r="AH293" i="2" s="1"/>
  <c r="AN293" i="2"/>
  <c r="AI293" i="2" s="1"/>
  <c r="AK294" i="2"/>
  <c r="AF294" i="2" s="1"/>
  <c r="AL294" i="2"/>
  <c r="AG294" i="2" s="1"/>
  <c r="AM294" i="2"/>
  <c r="AH294" i="2" s="1"/>
  <c r="AN294" i="2"/>
  <c r="AI294" i="2" s="1"/>
  <c r="AK295" i="2"/>
  <c r="AF295" i="2" s="1"/>
  <c r="AL295" i="2"/>
  <c r="AG295" i="2" s="1"/>
  <c r="AM295" i="2"/>
  <c r="AH295" i="2" s="1"/>
  <c r="AN295" i="2"/>
  <c r="AI295" i="2" s="1"/>
  <c r="AK296" i="2"/>
  <c r="AF296" i="2" s="1"/>
  <c r="AL296" i="2"/>
  <c r="AG296" i="2" s="1"/>
  <c r="AM296" i="2"/>
  <c r="AH296" i="2" s="1"/>
  <c r="AN296" i="2"/>
  <c r="AI296" i="2" s="1"/>
  <c r="AK297" i="2"/>
  <c r="AF297" i="2" s="1"/>
  <c r="AL297" i="2"/>
  <c r="AG297" i="2" s="1"/>
  <c r="AM297" i="2"/>
  <c r="AH297" i="2" s="1"/>
  <c r="AN297" i="2"/>
  <c r="AI297" i="2" s="1"/>
  <c r="AK298" i="2"/>
  <c r="AF298" i="2" s="1"/>
  <c r="AL298" i="2"/>
  <c r="AG298" i="2" s="1"/>
  <c r="AM298" i="2"/>
  <c r="AH298" i="2" s="1"/>
  <c r="AN298" i="2"/>
  <c r="AI298" i="2" s="1"/>
  <c r="AK299" i="2"/>
  <c r="AF299" i="2" s="1"/>
  <c r="AL299" i="2"/>
  <c r="AG299" i="2" s="1"/>
  <c r="AM299" i="2"/>
  <c r="AH299" i="2" s="1"/>
  <c r="AN299" i="2"/>
  <c r="AI299" i="2" s="1"/>
  <c r="AK300" i="2"/>
  <c r="AF300" i="2" s="1"/>
  <c r="AL300" i="2"/>
  <c r="AG300" i="2" s="1"/>
  <c r="AM300" i="2"/>
  <c r="AH300" i="2" s="1"/>
  <c r="AN300" i="2"/>
  <c r="AI300" i="2" s="1"/>
  <c r="AK301" i="2"/>
  <c r="AF301" i="2" s="1"/>
  <c r="AL301" i="2"/>
  <c r="AG301" i="2" s="1"/>
  <c r="AM301" i="2"/>
  <c r="AH301" i="2" s="1"/>
  <c r="AN301" i="2"/>
  <c r="AI301" i="2" s="1"/>
  <c r="AK302" i="2"/>
  <c r="AF302" i="2" s="1"/>
  <c r="AL302" i="2"/>
  <c r="AG302" i="2" s="1"/>
  <c r="AM302" i="2"/>
  <c r="AH302" i="2" s="1"/>
  <c r="AN302" i="2"/>
  <c r="AI302" i="2" s="1"/>
  <c r="AK303" i="2"/>
  <c r="AF303" i="2" s="1"/>
  <c r="AL303" i="2"/>
  <c r="AG303" i="2" s="1"/>
  <c r="AM303" i="2"/>
  <c r="AH303" i="2" s="1"/>
  <c r="AN303" i="2"/>
  <c r="AI303" i="2" s="1"/>
  <c r="AK304" i="2"/>
  <c r="AL304" i="2"/>
  <c r="AM304" i="2"/>
  <c r="AN304" i="2"/>
  <c r="AK305" i="2"/>
  <c r="AF305" i="2" s="1"/>
  <c r="AL305" i="2"/>
  <c r="AG305" i="2" s="1"/>
  <c r="AM305" i="2"/>
  <c r="AH305" i="2" s="1"/>
  <c r="AN305" i="2"/>
  <c r="AI305" i="2" s="1"/>
  <c r="AK306" i="2"/>
  <c r="AF306" i="2" s="1"/>
  <c r="AL306" i="2"/>
  <c r="AG306" i="2" s="1"/>
  <c r="AM306" i="2"/>
  <c r="AH306" i="2" s="1"/>
  <c r="AN306" i="2"/>
  <c r="AI306" i="2" s="1"/>
  <c r="AK307" i="2"/>
  <c r="AF307" i="2" s="1"/>
  <c r="AL307" i="2"/>
  <c r="AG307" i="2" s="1"/>
  <c r="AM307" i="2"/>
  <c r="AH307" i="2" s="1"/>
  <c r="AN307" i="2"/>
  <c r="AI307" i="2" s="1"/>
  <c r="AK308" i="2"/>
  <c r="AF308" i="2" s="1"/>
  <c r="AL308" i="2"/>
  <c r="AG308" i="2" s="1"/>
  <c r="AM308" i="2"/>
  <c r="AH308" i="2" s="1"/>
  <c r="AN308" i="2"/>
  <c r="AI308" i="2" s="1"/>
  <c r="AK309" i="2"/>
  <c r="AF309" i="2" s="1"/>
  <c r="AL309" i="2"/>
  <c r="AG309" i="2" s="1"/>
  <c r="AM309" i="2"/>
  <c r="AH309" i="2" s="1"/>
  <c r="AN309" i="2"/>
  <c r="AI309" i="2" s="1"/>
  <c r="AK310" i="2"/>
  <c r="AL310" i="2"/>
  <c r="AM310" i="2"/>
  <c r="AN310" i="2"/>
  <c r="AK311" i="2"/>
  <c r="AF311" i="2" s="1"/>
  <c r="AL311" i="2"/>
  <c r="AG311" i="2" s="1"/>
  <c r="AM311" i="2"/>
  <c r="AH311" i="2" s="1"/>
  <c r="AN311" i="2"/>
  <c r="AI311" i="2" s="1"/>
  <c r="AK312" i="2"/>
  <c r="AF312" i="2" s="1"/>
  <c r="AL312" i="2"/>
  <c r="AG312" i="2" s="1"/>
  <c r="AM312" i="2"/>
  <c r="AH312" i="2" s="1"/>
  <c r="AN312" i="2"/>
  <c r="AI312" i="2" s="1"/>
  <c r="AK313" i="2"/>
  <c r="AL313" i="2"/>
  <c r="AM313" i="2"/>
  <c r="AN313" i="2"/>
  <c r="AK314" i="2"/>
  <c r="AF314" i="2" s="1"/>
  <c r="AL314" i="2"/>
  <c r="AG314" i="2" s="1"/>
  <c r="AM314" i="2"/>
  <c r="AH314" i="2" s="1"/>
  <c r="AN314" i="2"/>
  <c r="AI314" i="2" s="1"/>
  <c r="AK315" i="2"/>
  <c r="AF315" i="2" s="1"/>
  <c r="AL315" i="2"/>
  <c r="AG315" i="2" s="1"/>
  <c r="AM315" i="2"/>
  <c r="AH315" i="2" s="1"/>
  <c r="AN315" i="2"/>
  <c r="AI315" i="2" s="1"/>
  <c r="AK316" i="2"/>
  <c r="AF316" i="2" s="1"/>
  <c r="AL316" i="2"/>
  <c r="AG316" i="2" s="1"/>
  <c r="AM316" i="2"/>
  <c r="AH316" i="2" s="1"/>
  <c r="AN316" i="2"/>
  <c r="AI316" i="2" s="1"/>
  <c r="AK317" i="2"/>
  <c r="AF317" i="2" s="1"/>
  <c r="AL317" i="2"/>
  <c r="AG317" i="2" s="1"/>
  <c r="AM317" i="2"/>
  <c r="AH317" i="2" s="1"/>
  <c r="AN317" i="2"/>
  <c r="AI317" i="2" s="1"/>
  <c r="AK318" i="2"/>
  <c r="AF318" i="2" s="1"/>
  <c r="AL318" i="2"/>
  <c r="AG318" i="2" s="1"/>
  <c r="AM318" i="2"/>
  <c r="AH318" i="2" s="1"/>
  <c r="AN318" i="2"/>
  <c r="AI318" i="2" s="1"/>
  <c r="AK319" i="2"/>
  <c r="AF319" i="2" s="1"/>
  <c r="AL319" i="2"/>
  <c r="AG319" i="2" s="1"/>
  <c r="AM319" i="2"/>
  <c r="AH319" i="2" s="1"/>
  <c r="AN319" i="2"/>
  <c r="AI319" i="2" s="1"/>
  <c r="AK320" i="2"/>
  <c r="AF320" i="2" s="1"/>
  <c r="AL320" i="2"/>
  <c r="AG320" i="2" s="1"/>
  <c r="AM320" i="2"/>
  <c r="AH320" i="2" s="1"/>
  <c r="AN320" i="2"/>
  <c r="AI320" i="2" s="1"/>
  <c r="AK321" i="2"/>
  <c r="AL321" i="2"/>
  <c r="AM321" i="2"/>
  <c r="AN321" i="2"/>
  <c r="AK322" i="2"/>
  <c r="AL322" i="2"/>
  <c r="AM322" i="2"/>
  <c r="AN322" i="2"/>
  <c r="AK323" i="2"/>
  <c r="AL323" i="2"/>
  <c r="AM323" i="2"/>
  <c r="AN323" i="2"/>
  <c r="AK324" i="2"/>
  <c r="AL324" i="2"/>
  <c r="AM324" i="2"/>
  <c r="AN324" i="2"/>
  <c r="AK325" i="2"/>
  <c r="AF325" i="2" s="1"/>
  <c r="AL325" i="2"/>
  <c r="AG325" i="2" s="1"/>
  <c r="AM325" i="2"/>
  <c r="AH325" i="2" s="1"/>
  <c r="AN325" i="2"/>
  <c r="AI325" i="2" s="1"/>
  <c r="AK326" i="2"/>
  <c r="AL326" i="2"/>
  <c r="AM326" i="2"/>
  <c r="AN326" i="2"/>
  <c r="AK327" i="2"/>
  <c r="AL327" i="2"/>
  <c r="AM327" i="2"/>
  <c r="AN327" i="2"/>
  <c r="AK328" i="2"/>
  <c r="AF328" i="2" s="1"/>
  <c r="AL328" i="2"/>
  <c r="AG328" i="2" s="1"/>
  <c r="AM328" i="2"/>
  <c r="AH328" i="2" s="1"/>
  <c r="AN328" i="2"/>
  <c r="AI328" i="2" s="1"/>
  <c r="AK329" i="2"/>
  <c r="AF329" i="2" s="1"/>
  <c r="AL329" i="2"/>
  <c r="AG329" i="2" s="1"/>
  <c r="AM329" i="2"/>
  <c r="AH329" i="2" s="1"/>
  <c r="AN329" i="2"/>
  <c r="AI329" i="2" s="1"/>
  <c r="AK330" i="2"/>
  <c r="AF330" i="2" s="1"/>
  <c r="AL330" i="2"/>
  <c r="AG330" i="2" s="1"/>
  <c r="AM330" i="2"/>
  <c r="AH330" i="2" s="1"/>
  <c r="AN330" i="2"/>
  <c r="AI330" i="2" s="1"/>
  <c r="AK331" i="2"/>
  <c r="AL331" i="2"/>
  <c r="AM331" i="2"/>
  <c r="AN331" i="2"/>
  <c r="AK332" i="2"/>
  <c r="AL332" i="2"/>
  <c r="AM332" i="2"/>
  <c r="AN332" i="2"/>
  <c r="AK333" i="2"/>
  <c r="AL333" i="2"/>
  <c r="AM333" i="2"/>
  <c r="AN333" i="2"/>
  <c r="AK334" i="2"/>
  <c r="AL334" i="2"/>
  <c r="AM334" i="2"/>
  <c r="AN334" i="2"/>
  <c r="AK335" i="2"/>
  <c r="AL335" i="2"/>
  <c r="AM335" i="2"/>
  <c r="AN335" i="2"/>
  <c r="AK336" i="2"/>
  <c r="AL336" i="2"/>
  <c r="AM336" i="2"/>
  <c r="AN336" i="2"/>
  <c r="AK337" i="2"/>
  <c r="AL337" i="2"/>
  <c r="AM337" i="2"/>
  <c r="AN337" i="2"/>
  <c r="AK338" i="2"/>
  <c r="AL338" i="2"/>
  <c r="AM338" i="2"/>
  <c r="AN338" i="2"/>
  <c r="AK339" i="2"/>
  <c r="AL339" i="2"/>
  <c r="AM339" i="2"/>
  <c r="AN339" i="2"/>
  <c r="AK340" i="2"/>
  <c r="AL340" i="2"/>
  <c r="AM340" i="2"/>
  <c r="AN340" i="2"/>
  <c r="AK341" i="2"/>
  <c r="AL341" i="2"/>
  <c r="AM341" i="2"/>
  <c r="AN341" i="2"/>
  <c r="AK342" i="2"/>
  <c r="AL342" i="2"/>
  <c r="AM342" i="2"/>
  <c r="AN342" i="2"/>
  <c r="AK343" i="2"/>
  <c r="AL343" i="2"/>
  <c r="AM343" i="2"/>
  <c r="AN343" i="2"/>
  <c r="AK344" i="2"/>
  <c r="AL344" i="2"/>
  <c r="AM344" i="2"/>
  <c r="AN344" i="2"/>
  <c r="AK345" i="2"/>
  <c r="AL345" i="2"/>
  <c r="AM345" i="2"/>
  <c r="AN345" i="2"/>
  <c r="AK346" i="2"/>
  <c r="AL346" i="2"/>
  <c r="AM346" i="2"/>
  <c r="AN346" i="2"/>
  <c r="AK347" i="2"/>
  <c r="AL347" i="2"/>
  <c r="AM347" i="2"/>
  <c r="AN347" i="2"/>
  <c r="AK348" i="2"/>
  <c r="AL348" i="2"/>
  <c r="AM348" i="2"/>
  <c r="AN348" i="2"/>
  <c r="AK349" i="2"/>
  <c r="AL349" i="2"/>
  <c r="AM349" i="2"/>
  <c r="AN349" i="2"/>
  <c r="AK350" i="2"/>
  <c r="AL350" i="2"/>
  <c r="AM350" i="2"/>
  <c r="AN350" i="2"/>
  <c r="AK351" i="2"/>
  <c r="AL351" i="2"/>
  <c r="AM351" i="2"/>
  <c r="AN351" i="2"/>
  <c r="AK352" i="2"/>
  <c r="AL352" i="2"/>
  <c r="AM352" i="2"/>
  <c r="AN352" i="2"/>
  <c r="AK353" i="2"/>
  <c r="AF353" i="2" s="1"/>
  <c r="AL353" i="2"/>
  <c r="AG353" i="2" s="1"/>
  <c r="AM353" i="2"/>
  <c r="AH353" i="2" s="1"/>
  <c r="AN353" i="2"/>
  <c r="AI353" i="2" s="1"/>
  <c r="AK354" i="2"/>
  <c r="AF354" i="2" s="1"/>
  <c r="AL354" i="2"/>
  <c r="AG354" i="2" s="1"/>
  <c r="AM354" i="2"/>
  <c r="AH354" i="2" s="1"/>
  <c r="AN354" i="2"/>
  <c r="AI354" i="2" s="1"/>
  <c r="AK355" i="2"/>
  <c r="AF355" i="2" s="1"/>
  <c r="AL355" i="2"/>
  <c r="AG355" i="2" s="1"/>
  <c r="AM355" i="2"/>
  <c r="AH355" i="2" s="1"/>
  <c r="AN355" i="2"/>
  <c r="AI355" i="2" s="1"/>
  <c r="AK356" i="2"/>
  <c r="AF356" i="2" s="1"/>
  <c r="AL356" i="2"/>
  <c r="AG356" i="2" s="1"/>
  <c r="AM356" i="2"/>
  <c r="AH356" i="2" s="1"/>
  <c r="AN356" i="2"/>
  <c r="AI356" i="2" s="1"/>
  <c r="AK357" i="2"/>
  <c r="AL357" i="2"/>
  <c r="AM357" i="2"/>
  <c r="AN357" i="2"/>
  <c r="AK358" i="2"/>
  <c r="AL358" i="2"/>
  <c r="AM358" i="2"/>
  <c r="AN358" i="2"/>
  <c r="AK359" i="2"/>
  <c r="AL359" i="2"/>
  <c r="AM359" i="2"/>
  <c r="AN359" i="2"/>
  <c r="AK360" i="2"/>
  <c r="AL360" i="2"/>
  <c r="AM360" i="2"/>
  <c r="AN360" i="2"/>
  <c r="AK361" i="2"/>
  <c r="AL361" i="2"/>
  <c r="AM361" i="2"/>
  <c r="AN361" i="2"/>
  <c r="AK362" i="2"/>
  <c r="AL362" i="2"/>
  <c r="AM362" i="2"/>
  <c r="AN362" i="2"/>
  <c r="AK363" i="2"/>
  <c r="AF363" i="2" s="1"/>
  <c r="AL363" i="2"/>
  <c r="AG363" i="2" s="1"/>
  <c r="AM363" i="2"/>
  <c r="AH363" i="2" s="1"/>
  <c r="AN363" i="2"/>
  <c r="AI363" i="2" s="1"/>
  <c r="AK364" i="2"/>
  <c r="AF364" i="2" s="1"/>
  <c r="AL364" i="2"/>
  <c r="AG364" i="2" s="1"/>
  <c r="AM364" i="2"/>
  <c r="AH364" i="2" s="1"/>
  <c r="AN364" i="2"/>
  <c r="AI364" i="2" s="1"/>
  <c r="AK365" i="2"/>
  <c r="AL365" i="2"/>
  <c r="AM365" i="2"/>
  <c r="AN365" i="2"/>
  <c r="AK366" i="2"/>
  <c r="AL366" i="2"/>
  <c r="AM366" i="2"/>
  <c r="AN366" i="2"/>
  <c r="AK367" i="2"/>
  <c r="AL367" i="2"/>
  <c r="AM367" i="2"/>
  <c r="AN367" i="2"/>
  <c r="AK368" i="2"/>
  <c r="AL368" i="2"/>
  <c r="AM368" i="2"/>
  <c r="AN368" i="2"/>
  <c r="AK369" i="2"/>
  <c r="AL369" i="2"/>
  <c r="AM369" i="2"/>
  <c r="AN369" i="2"/>
  <c r="AK370" i="2"/>
  <c r="AF370" i="2" s="1"/>
  <c r="AL370" i="2"/>
  <c r="AG370" i="2" s="1"/>
  <c r="AM370" i="2"/>
  <c r="AH370" i="2" s="1"/>
  <c r="AN370" i="2"/>
  <c r="AI370" i="2" s="1"/>
  <c r="AK371" i="2"/>
  <c r="AF371" i="2" s="1"/>
  <c r="AL371" i="2"/>
  <c r="AG371" i="2" s="1"/>
  <c r="AM371" i="2"/>
  <c r="AH371" i="2" s="1"/>
  <c r="AN371" i="2"/>
  <c r="AI371" i="2" s="1"/>
  <c r="AK372" i="2"/>
  <c r="AL372" i="2"/>
  <c r="AM372" i="2"/>
  <c r="AN372" i="2"/>
  <c r="AK373" i="2"/>
  <c r="AF373" i="2" s="1"/>
  <c r="AL373" i="2"/>
  <c r="AG373" i="2" s="1"/>
  <c r="AM373" i="2"/>
  <c r="AH373" i="2" s="1"/>
  <c r="AN373" i="2"/>
  <c r="AI373" i="2" s="1"/>
  <c r="AK374" i="2"/>
  <c r="AF374" i="2" s="1"/>
  <c r="AL374" i="2"/>
  <c r="AG374" i="2" s="1"/>
  <c r="AM374" i="2"/>
  <c r="AH374" i="2" s="1"/>
  <c r="AN374" i="2"/>
  <c r="AI374" i="2" s="1"/>
  <c r="AK375" i="2"/>
  <c r="AF375" i="2" s="1"/>
  <c r="AL375" i="2"/>
  <c r="AG375" i="2" s="1"/>
  <c r="AM375" i="2"/>
  <c r="AH375" i="2" s="1"/>
  <c r="AN375" i="2"/>
  <c r="AI375" i="2" s="1"/>
  <c r="AK376" i="2"/>
  <c r="AL376" i="2"/>
  <c r="AM376" i="2"/>
  <c r="AN376" i="2"/>
  <c r="AK377" i="2"/>
  <c r="AL377" i="2"/>
  <c r="AM377" i="2"/>
  <c r="AN377" i="2"/>
  <c r="AK378" i="2"/>
  <c r="AL378" i="2"/>
  <c r="AM378" i="2"/>
  <c r="AN378" i="2"/>
  <c r="AK379" i="2"/>
  <c r="AF379" i="2" s="1"/>
  <c r="AL379" i="2"/>
  <c r="AG379" i="2" s="1"/>
  <c r="AM379" i="2"/>
  <c r="AH379" i="2" s="1"/>
  <c r="AN379" i="2"/>
  <c r="AI379" i="2" s="1"/>
  <c r="AK380" i="2"/>
  <c r="AL380" i="2"/>
  <c r="AM380" i="2"/>
  <c r="AN380" i="2"/>
  <c r="AK381" i="2"/>
  <c r="AF381" i="2" s="1"/>
  <c r="AL381" i="2"/>
  <c r="AG381" i="2" s="1"/>
  <c r="AM381" i="2"/>
  <c r="AH381" i="2" s="1"/>
  <c r="AN381" i="2"/>
  <c r="AI381" i="2" s="1"/>
  <c r="AK382" i="2"/>
  <c r="AL382" i="2"/>
  <c r="AM382" i="2"/>
  <c r="AN382" i="2"/>
  <c r="AK383" i="2"/>
  <c r="AL383" i="2"/>
  <c r="AM383" i="2"/>
  <c r="AN383" i="2"/>
  <c r="AK384" i="2"/>
  <c r="AL384" i="2"/>
  <c r="AM384" i="2"/>
  <c r="AN384" i="2"/>
  <c r="AK385" i="2"/>
  <c r="AL385" i="2"/>
  <c r="AM385" i="2"/>
  <c r="AN385" i="2"/>
  <c r="AK386" i="2"/>
  <c r="AL386" i="2"/>
  <c r="AM386" i="2"/>
  <c r="AN386" i="2"/>
  <c r="AK387" i="2"/>
  <c r="AL387" i="2"/>
  <c r="AM387" i="2"/>
  <c r="AN387" i="2"/>
  <c r="AK388" i="2"/>
  <c r="AL388" i="2"/>
  <c r="AM388" i="2"/>
  <c r="AN388" i="2"/>
  <c r="AK389" i="2"/>
  <c r="AL389" i="2"/>
  <c r="AM389" i="2"/>
  <c r="AN389" i="2"/>
  <c r="AK390" i="2"/>
  <c r="AL390" i="2"/>
  <c r="AM390" i="2"/>
  <c r="AN390" i="2"/>
  <c r="AK391" i="2"/>
  <c r="AL391" i="2"/>
  <c r="AM391" i="2"/>
  <c r="AN391" i="2"/>
  <c r="AK392" i="2"/>
  <c r="AF392" i="2" s="1"/>
  <c r="AL392" i="2"/>
  <c r="AG392" i="2" s="1"/>
  <c r="AM392" i="2"/>
  <c r="AH392" i="2" s="1"/>
  <c r="AN392" i="2"/>
  <c r="AI392" i="2" s="1"/>
  <c r="AK393" i="2"/>
  <c r="AL393" i="2"/>
  <c r="AM393" i="2"/>
  <c r="AN393" i="2"/>
  <c r="AK394" i="2"/>
  <c r="AL394" i="2"/>
  <c r="AM394" i="2"/>
  <c r="AN394" i="2"/>
  <c r="AK395" i="2"/>
  <c r="AL395" i="2"/>
  <c r="AM395" i="2"/>
  <c r="AN395" i="2"/>
  <c r="AK396" i="2"/>
  <c r="AL396" i="2"/>
  <c r="AM396" i="2"/>
  <c r="AN396" i="2"/>
  <c r="AK397" i="2"/>
  <c r="AL397" i="2"/>
  <c r="AM397" i="2"/>
  <c r="AN397" i="2"/>
  <c r="AK398" i="2"/>
  <c r="AL398" i="2"/>
  <c r="AM398" i="2"/>
  <c r="AN398" i="2"/>
  <c r="AK399" i="2"/>
  <c r="AL399" i="2"/>
  <c r="AM399" i="2"/>
  <c r="AN399" i="2"/>
  <c r="AK400" i="2"/>
  <c r="AL400" i="2"/>
  <c r="AM400" i="2"/>
  <c r="AN400" i="2"/>
  <c r="AK401" i="2"/>
  <c r="AL401" i="2"/>
  <c r="AM401" i="2"/>
  <c r="AN401" i="2"/>
  <c r="AK402" i="2"/>
  <c r="AF402" i="2" s="1"/>
  <c r="AL402" i="2"/>
  <c r="AG402" i="2" s="1"/>
  <c r="AM402" i="2"/>
  <c r="AH402" i="2" s="1"/>
  <c r="AN402" i="2"/>
  <c r="AI402" i="2" s="1"/>
  <c r="AK403" i="2"/>
  <c r="AL403" i="2"/>
  <c r="AM403" i="2"/>
  <c r="AN403" i="2"/>
  <c r="AK404" i="2"/>
  <c r="AL404" i="2"/>
  <c r="AM404" i="2"/>
  <c r="AN404" i="2"/>
  <c r="AK405" i="2"/>
  <c r="AL405" i="2"/>
  <c r="AM405" i="2"/>
  <c r="AN405" i="2"/>
  <c r="AK406" i="2"/>
  <c r="AL406" i="2"/>
  <c r="AM406" i="2"/>
  <c r="AN406" i="2"/>
  <c r="AK407" i="2"/>
  <c r="AL407" i="2"/>
  <c r="AM407" i="2"/>
  <c r="AN407" i="2"/>
  <c r="AK408" i="2"/>
  <c r="AF408" i="2" s="1"/>
  <c r="AL408" i="2"/>
  <c r="AG408" i="2" s="1"/>
  <c r="AM408" i="2"/>
  <c r="AH408" i="2" s="1"/>
  <c r="AN408" i="2"/>
  <c r="AI408" i="2" s="1"/>
  <c r="AK409" i="2"/>
  <c r="AF409" i="2" s="1"/>
  <c r="AL409" i="2"/>
  <c r="AG409" i="2" s="1"/>
  <c r="AM409" i="2"/>
  <c r="AH409" i="2" s="1"/>
  <c r="AN409" i="2"/>
  <c r="AI409" i="2" s="1"/>
  <c r="AK410" i="2"/>
  <c r="AF410" i="2" s="1"/>
  <c r="AL410" i="2"/>
  <c r="AG410" i="2" s="1"/>
  <c r="AM410" i="2"/>
  <c r="AH410" i="2" s="1"/>
  <c r="AN410" i="2"/>
  <c r="AI410" i="2" s="1"/>
  <c r="AK411" i="2"/>
  <c r="AK412" i="2"/>
  <c r="AF412" i="2" s="1"/>
  <c r="AL412" i="2"/>
  <c r="AG412" i="2" s="1"/>
  <c r="AM412" i="2"/>
  <c r="AH412" i="2" s="1"/>
  <c r="AN412" i="2"/>
  <c r="AI412" i="2" s="1"/>
  <c r="AK413" i="2"/>
  <c r="AF413" i="2" s="1"/>
  <c r="AL413" i="2"/>
  <c r="AG413" i="2" s="1"/>
  <c r="AM413" i="2"/>
  <c r="AH413" i="2" s="1"/>
  <c r="AN413" i="2"/>
  <c r="AI413" i="2" s="1"/>
  <c r="AK414" i="2"/>
  <c r="AF414" i="2" s="1"/>
  <c r="AL414" i="2"/>
  <c r="AG414" i="2" s="1"/>
  <c r="AM414" i="2"/>
  <c r="AH414" i="2" s="1"/>
  <c r="AN414" i="2"/>
  <c r="AI414" i="2" s="1"/>
  <c r="AK415" i="2"/>
  <c r="AK416" i="2"/>
  <c r="AF416" i="2" s="1"/>
  <c r="AL416" i="2"/>
  <c r="AG416" i="2" s="1"/>
  <c r="AM416" i="2"/>
  <c r="AH416" i="2" s="1"/>
  <c r="AN416" i="2"/>
  <c r="AI416" i="2" s="1"/>
  <c r="AK417" i="2"/>
  <c r="AF417" i="2" s="1"/>
  <c r="AL417" i="2"/>
  <c r="AG417" i="2" s="1"/>
  <c r="AM417" i="2"/>
  <c r="AH417" i="2" s="1"/>
  <c r="AN417" i="2"/>
  <c r="AI417" i="2" s="1"/>
  <c r="AK418" i="2"/>
  <c r="AL418" i="2"/>
  <c r="AM418" i="2"/>
  <c r="AN418" i="2"/>
  <c r="AK419" i="2"/>
  <c r="AL419" i="2"/>
  <c r="AM419" i="2"/>
  <c r="AN419" i="2"/>
  <c r="AK420" i="2"/>
  <c r="AF420" i="2" s="1"/>
  <c r="AL420" i="2"/>
  <c r="AG420" i="2" s="1"/>
  <c r="AM420" i="2"/>
  <c r="AH420" i="2" s="1"/>
  <c r="AN420" i="2"/>
  <c r="AI420" i="2" s="1"/>
  <c r="AK421" i="2"/>
  <c r="AF421" i="2" s="1"/>
  <c r="AL421" i="2"/>
  <c r="AG421" i="2" s="1"/>
  <c r="AM421" i="2"/>
  <c r="AH421" i="2" s="1"/>
  <c r="AN421" i="2"/>
  <c r="AI421" i="2" s="1"/>
  <c r="AK422" i="2"/>
  <c r="AF422" i="2" s="1"/>
  <c r="AL422" i="2"/>
  <c r="AG422" i="2" s="1"/>
  <c r="AM422" i="2"/>
  <c r="AH422" i="2" s="1"/>
  <c r="AN422" i="2"/>
  <c r="AI422" i="2" s="1"/>
  <c r="AK423" i="2"/>
  <c r="AF423" i="2" s="1"/>
  <c r="AL423" i="2"/>
  <c r="AG423" i="2" s="1"/>
  <c r="AM423" i="2"/>
  <c r="AH423" i="2" s="1"/>
  <c r="AN423" i="2"/>
  <c r="AI423" i="2" s="1"/>
  <c r="AK424" i="2"/>
  <c r="AF424" i="2" s="1"/>
  <c r="AL424" i="2"/>
  <c r="AG424" i="2" s="1"/>
  <c r="AM424" i="2"/>
  <c r="AH424" i="2" s="1"/>
  <c r="AN424" i="2"/>
  <c r="AI424" i="2" s="1"/>
  <c r="AK425" i="2"/>
  <c r="AF425" i="2" s="1"/>
  <c r="AL425" i="2"/>
  <c r="AG425" i="2" s="1"/>
  <c r="AM425" i="2"/>
  <c r="AH425" i="2" s="1"/>
  <c r="AN425" i="2"/>
  <c r="AI425" i="2" s="1"/>
  <c r="AK426" i="2"/>
  <c r="AL426" i="2"/>
  <c r="AM426" i="2"/>
  <c r="AN426" i="2"/>
  <c r="AK427" i="2"/>
  <c r="AF427" i="2" s="1"/>
  <c r="AL427" i="2"/>
  <c r="AG427" i="2" s="1"/>
  <c r="AM427" i="2"/>
  <c r="AH427" i="2" s="1"/>
  <c r="AN427" i="2"/>
  <c r="AI427" i="2" s="1"/>
  <c r="AK428" i="2"/>
  <c r="AF428" i="2" s="1"/>
  <c r="AL428" i="2"/>
  <c r="AG428" i="2" s="1"/>
  <c r="AM428" i="2"/>
  <c r="AH428" i="2" s="1"/>
  <c r="AN428" i="2"/>
  <c r="AI428" i="2" s="1"/>
  <c r="AK429" i="2"/>
  <c r="AF429" i="2" s="1"/>
  <c r="AL429" i="2"/>
  <c r="AG429" i="2" s="1"/>
  <c r="AM429" i="2"/>
  <c r="AH429" i="2" s="1"/>
  <c r="AN429" i="2"/>
  <c r="AI429" i="2" s="1"/>
  <c r="AK430" i="2"/>
  <c r="AF430" i="2" s="1"/>
  <c r="AL430" i="2"/>
  <c r="AG430" i="2" s="1"/>
  <c r="AM430" i="2"/>
  <c r="AH430" i="2" s="1"/>
  <c r="AN430" i="2"/>
  <c r="AI430" i="2" s="1"/>
  <c r="AK431" i="2"/>
  <c r="AL431" i="2"/>
  <c r="AM431" i="2"/>
  <c r="AN431" i="2"/>
  <c r="AK432" i="2"/>
  <c r="AL432" i="2"/>
  <c r="AM432" i="2"/>
  <c r="AN432" i="2"/>
  <c r="AK433" i="2"/>
  <c r="AF433" i="2" s="1"/>
  <c r="AL433" i="2"/>
  <c r="AG433" i="2" s="1"/>
  <c r="AM433" i="2"/>
  <c r="AH433" i="2" s="1"/>
  <c r="AN433" i="2"/>
  <c r="AI433" i="2" s="1"/>
  <c r="AK434" i="2"/>
  <c r="AF434" i="2" s="1"/>
  <c r="AL434" i="2"/>
  <c r="AG434" i="2" s="1"/>
  <c r="AM434" i="2"/>
  <c r="AH434" i="2" s="1"/>
  <c r="AN434" i="2"/>
  <c r="AI434" i="2" s="1"/>
  <c r="AK435" i="2"/>
  <c r="AL435" i="2"/>
  <c r="AM435" i="2"/>
  <c r="AN435" i="2"/>
  <c r="AK436" i="2"/>
  <c r="AL436" i="2"/>
  <c r="AM436" i="2"/>
  <c r="AN436" i="2"/>
  <c r="AK437" i="2"/>
  <c r="AL437" i="2"/>
  <c r="AM437" i="2"/>
  <c r="AN437" i="2"/>
  <c r="AK438" i="2"/>
  <c r="AL438" i="2"/>
  <c r="AM438" i="2"/>
  <c r="AN438" i="2"/>
  <c r="AK439" i="2"/>
  <c r="AL439" i="2"/>
  <c r="AM439" i="2"/>
  <c r="AN439" i="2"/>
  <c r="AK440" i="2"/>
  <c r="AF440" i="2" s="1"/>
  <c r="AL440" i="2"/>
  <c r="AG440" i="2" s="1"/>
  <c r="AM440" i="2"/>
  <c r="AH440" i="2" s="1"/>
  <c r="AN440" i="2"/>
  <c r="AI440" i="2" s="1"/>
  <c r="AK441" i="2"/>
  <c r="AF441" i="2" s="1"/>
  <c r="AL441" i="2"/>
  <c r="AG441" i="2" s="1"/>
  <c r="AM441" i="2"/>
  <c r="AH441" i="2" s="1"/>
  <c r="AN441" i="2"/>
  <c r="AI441" i="2" s="1"/>
  <c r="AK442" i="2"/>
  <c r="AF442" i="2" s="1"/>
  <c r="AL442" i="2"/>
  <c r="AG442" i="2" s="1"/>
  <c r="AM442" i="2"/>
  <c r="AH442" i="2" s="1"/>
  <c r="AN442" i="2"/>
  <c r="AI442" i="2" s="1"/>
  <c r="AK443" i="2"/>
  <c r="AL443" i="2"/>
  <c r="AM443" i="2"/>
  <c r="AN443" i="2"/>
  <c r="AK444" i="2"/>
  <c r="AL444" i="2"/>
  <c r="AM444" i="2"/>
  <c r="AN444" i="2"/>
  <c r="AK445" i="2"/>
  <c r="AF445" i="2" s="1"/>
  <c r="AL445" i="2"/>
  <c r="AG445" i="2" s="1"/>
  <c r="AM445" i="2"/>
  <c r="AH445" i="2" s="1"/>
  <c r="AN445" i="2"/>
  <c r="AI445" i="2" s="1"/>
  <c r="AK446" i="2"/>
  <c r="AL446" i="2"/>
  <c r="AM446" i="2"/>
  <c r="AN446" i="2"/>
  <c r="AK447" i="2"/>
  <c r="AL447" i="2"/>
  <c r="AM447" i="2"/>
  <c r="AN447" i="2"/>
  <c r="AK448" i="2"/>
  <c r="AL448" i="2"/>
  <c r="AM448" i="2"/>
  <c r="AN448" i="2"/>
  <c r="AK449" i="2"/>
  <c r="AL449" i="2"/>
  <c r="AM449" i="2"/>
  <c r="AN449" i="2"/>
  <c r="AK450" i="2"/>
  <c r="AL450" i="2"/>
  <c r="AM450" i="2"/>
  <c r="AN450" i="2"/>
  <c r="AK451" i="2"/>
  <c r="AF451" i="2" s="1"/>
  <c r="AL451" i="2"/>
  <c r="AG451" i="2" s="1"/>
  <c r="AM451" i="2"/>
  <c r="AH451" i="2" s="1"/>
  <c r="AN451" i="2"/>
  <c r="AI451" i="2" s="1"/>
  <c r="AK452" i="2"/>
  <c r="AF452" i="2" s="1"/>
  <c r="AL452" i="2"/>
  <c r="AG452" i="2" s="1"/>
  <c r="AM452" i="2"/>
  <c r="AH452" i="2" s="1"/>
  <c r="AN452" i="2"/>
  <c r="AI452" i="2" s="1"/>
  <c r="AK453" i="2"/>
  <c r="AF453" i="2" s="1"/>
  <c r="AL453" i="2"/>
  <c r="AG453" i="2" s="1"/>
  <c r="AM453" i="2"/>
  <c r="AH453" i="2" s="1"/>
  <c r="AN453" i="2"/>
  <c r="AI453" i="2" s="1"/>
  <c r="AK454" i="2"/>
  <c r="AF454" i="2" s="1"/>
  <c r="AL454" i="2"/>
  <c r="AG454" i="2" s="1"/>
  <c r="AM454" i="2"/>
  <c r="AH454" i="2" s="1"/>
  <c r="AN454" i="2"/>
  <c r="AI454" i="2" s="1"/>
  <c r="AK455" i="2"/>
  <c r="AF455" i="2" s="1"/>
  <c r="AL455" i="2"/>
  <c r="AG455" i="2" s="1"/>
  <c r="AM455" i="2"/>
  <c r="AH455" i="2" s="1"/>
  <c r="AN455" i="2"/>
  <c r="AI455" i="2" s="1"/>
  <c r="AK456" i="2"/>
  <c r="AF456" i="2" s="1"/>
  <c r="AL456" i="2"/>
  <c r="AG456" i="2" s="1"/>
  <c r="AM456" i="2"/>
  <c r="AH456" i="2" s="1"/>
  <c r="AN456" i="2"/>
  <c r="AI456" i="2" s="1"/>
  <c r="AK457" i="2"/>
  <c r="AF457" i="2" s="1"/>
  <c r="AL457" i="2"/>
  <c r="AG457" i="2" s="1"/>
  <c r="AM457" i="2"/>
  <c r="AH457" i="2" s="1"/>
  <c r="AN457" i="2"/>
  <c r="AI457" i="2" s="1"/>
  <c r="AK458" i="2"/>
  <c r="AF458" i="2" s="1"/>
  <c r="AL458" i="2"/>
  <c r="AG458" i="2" s="1"/>
  <c r="AM458" i="2"/>
  <c r="AH458" i="2" s="1"/>
  <c r="AN458" i="2"/>
  <c r="AI458" i="2" s="1"/>
  <c r="AK459" i="2"/>
  <c r="AF459" i="2" s="1"/>
  <c r="AL459" i="2"/>
  <c r="AG459" i="2" s="1"/>
  <c r="AM459" i="2"/>
  <c r="AH459" i="2" s="1"/>
  <c r="AN459" i="2"/>
  <c r="AI459" i="2" s="1"/>
  <c r="AK460" i="2"/>
  <c r="AF460" i="2" s="1"/>
  <c r="AL460" i="2"/>
  <c r="AG460" i="2" s="1"/>
  <c r="AM460" i="2"/>
  <c r="AH460" i="2" s="1"/>
  <c r="AN460" i="2"/>
  <c r="AI460" i="2" s="1"/>
  <c r="AK461" i="2"/>
  <c r="AF461" i="2" s="1"/>
  <c r="AL461" i="2"/>
  <c r="AG461" i="2" s="1"/>
  <c r="AM461" i="2"/>
  <c r="AH461" i="2" s="1"/>
  <c r="AN461" i="2"/>
  <c r="AI461" i="2" s="1"/>
  <c r="AK462" i="2"/>
  <c r="AF462" i="2" s="1"/>
  <c r="AL462" i="2"/>
  <c r="AG462" i="2" s="1"/>
  <c r="AM462" i="2"/>
  <c r="AH462" i="2" s="1"/>
  <c r="AN462" i="2"/>
  <c r="AI462" i="2" s="1"/>
  <c r="AK463" i="2"/>
  <c r="AF463" i="2" s="1"/>
  <c r="AL463" i="2"/>
  <c r="AG463" i="2" s="1"/>
  <c r="AM463" i="2"/>
  <c r="AH463" i="2" s="1"/>
  <c r="AN463" i="2"/>
  <c r="AI463" i="2" s="1"/>
  <c r="AK464" i="2"/>
  <c r="AF464" i="2" s="1"/>
  <c r="AL464" i="2"/>
  <c r="AG464" i="2" s="1"/>
  <c r="AM464" i="2"/>
  <c r="AH464" i="2" s="1"/>
  <c r="AN464" i="2"/>
  <c r="AI464" i="2" s="1"/>
  <c r="AK465" i="2"/>
  <c r="AF465" i="2" s="1"/>
  <c r="AL465" i="2"/>
  <c r="AG465" i="2" s="1"/>
  <c r="AM465" i="2"/>
  <c r="AH465" i="2" s="1"/>
  <c r="AN465" i="2"/>
  <c r="AI465" i="2" s="1"/>
  <c r="AK466" i="2"/>
  <c r="AF466" i="2" s="1"/>
  <c r="AL466" i="2"/>
  <c r="AG466" i="2" s="1"/>
  <c r="AM466" i="2"/>
  <c r="AH466" i="2" s="1"/>
  <c r="AN466" i="2"/>
  <c r="AI466" i="2" s="1"/>
  <c r="AK467" i="2"/>
  <c r="AF467" i="2" s="1"/>
  <c r="AL467" i="2"/>
  <c r="AG467" i="2" s="1"/>
  <c r="AM467" i="2"/>
  <c r="AH467" i="2" s="1"/>
  <c r="AN467" i="2"/>
  <c r="AI467" i="2" s="1"/>
  <c r="AK468" i="2"/>
  <c r="AF468" i="2" s="1"/>
  <c r="AL468" i="2"/>
  <c r="AG468" i="2" s="1"/>
  <c r="AM468" i="2"/>
  <c r="AH468" i="2" s="1"/>
  <c r="AN468" i="2"/>
  <c r="AI468" i="2" s="1"/>
  <c r="AK469" i="2"/>
  <c r="AF469" i="2" s="1"/>
  <c r="AL469" i="2"/>
  <c r="AG469" i="2" s="1"/>
  <c r="AM469" i="2"/>
  <c r="AH469" i="2" s="1"/>
  <c r="AN469" i="2"/>
  <c r="AI469" i="2" s="1"/>
  <c r="AK470" i="2"/>
  <c r="AF470" i="2" s="1"/>
  <c r="AL470" i="2"/>
  <c r="AG470" i="2" s="1"/>
  <c r="AM470" i="2"/>
  <c r="AH470" i="2" s="1"/>
  <c r="AN470" i="2"/>
  <c r="AI470" i="2" s="1"/>
  <c r="AK471" i="2"/>
  <c r="AF471" i="2" s="1"/>
  <c r="AL471" i="2"/>
  <c r="AG471" i="2" s="1"/>
  <c r="AM471" i="2"/>
  <c r="AH471" i="2" s="1"/>
  <c r="AN471" i="2"/>
  <c r="AI471" i="2" s="1"/>
  <c r="AK472" i="2"/>
  <c r="AF472" i="2" s="1"/>
  <c r="AL472" i="2"/>
  <c r="AG472" i="2" s="1"/>
  <c r="AM472" i="2"/>
  <c r="AH472" i="2" s="1"/>
  <c r="AN472" i="2"/>
  <c r="AI472" i="2" s="1"/>
  <c r="AK473" i="2"/>
  <c r="AF473" i="2" s="1"/>
  <c r="AL473" i="2"/>
  <c r="AG473" i="2" s="1"/>
  <c r="AM473" i="2"/>
  <c r="AH473" i="2" s="1"/>
  <c r="AN473" i="2"/>
  <c r="AI473" i="2" s="1"/>
  <c r="AK474" i="2"/>
  <c r="AF474" i="2" s="1"/>
  <c r="AL474" i="2"/>
  <c r="AG474" i="2" s="1"/>
  <c r="AM474" i="2"/>
  <c r="AH474" i="2" s="1"/>
  <c r="AN474" i="2"/>
  <c r="AI474" i="2" s="1"/>
  <c r="AK475" i="2"/>
  <c r="AL475" i="2"/>
  <c r="AM475" i="2"/>
  <c r="AN475" i="2"/>
  <c r="AK476" i="2"/>
  <c r="AL476" i="2"/>
  <c r="AM476" i="2"/>
  <c r="AN476" i="2"/>
  <c r="AK477" i="2"/>
  <c r="AF477" i="2" s="1"/>
  <c r="AL477" i="2"/>
  <c r="AG477" i="2" s="1"/>
  <c r="AM477" i="2"/>
  <c r="AH477" i="2" s="1"/>
  <c r="AN477" i="2"/>
  <c r="AI477" i="2" s="1"/>
  <c r="AK478" i="2"/>
  <c r="AF478" i="2" s="1"/>
  <c r="AL478" i="2"/>
  <c r="AG478" i="2" s="1"/>
  <c r="AM478" i="2"/>
  <c r="AH478" i="2" s="1"/>
  <c r="AN478" i="2"/>
  <c r="AI478" i="2" s="1"/>
  <c r="AK479" i="2"/>
  <c r="AF479" i="2" s="1"/>
  <c r="AL479" i="2"/>
  <c r="AG479" i="2" s="1"/>
  <c r="AM479" i="2"/>
  <c r="AH479" i="2" s="1"/>
  <c r="AN479" i="2"/>
  <c r="AI479" i="2" s="1"/>
  <c r="AK480" i="2"/>
  <c r="AL480" i="2"/>
  <c r="AM480" i="2"/>
  <c r="AN480" i="2"/>
  <c r="AK481" i="2"/>
  <c r="AF481" i="2" s="1"/>
  <c r="AL481" i="2"/>
  <c r="AG481" i="2" s="1"/>
  <c r="AM481" i="2"/>
  <c r="AH481" i="2" s="1"/>
  <c r="AN481" i="2"/>
  <c r="AI481" i="2" s="1"/>
  <c r="AK482" i="2"/>
  <c r="AF482" i="2" s="1"/>
  <c r="AL482" i="2"/>
  <c r="AG482" i="2" s="1"/>
  <c r="AM482" i="2"/>
  <c r="AH482" i="2" s="1"/>
  <c r="AN482" i="2"/>
  <c r="AI482" i="2" s="1"/>
  <c r="AK483" i="2"/>
  <c r="AL483" i="2"/>
  <c r="AM483" i="2"/>
  <c r="AN483" i="2"/>
  <c r="AK484" i="2"/>
  <c r="AF484" i="2" s="1"/>
  <c r="AL484" i="2"/>
  <c r="AG484" i="2" s="1"/>
  <c r="AM484" i="2"/>
  <c r="AH484" i="2" s="1"/>
  <c r="AN484" i="2"/>
  <c r="AI484" i="2" s="1"/>
  <c r="AK485" i="2"/>
  <c r="AF485" i="2" s="1"/>
  <c r="AL485" i="2"/>
  <c r="AG485" i="2" s="1"/>
  <c r="AM485" i="2"/>
  <c r="AH485" i="2" s="1"/>
  <c r="AN485" i="2"/>
  <c r="AI485" i="2" s="1"/>
  <c r="AK486" i="2"/>
  <c r="AF486" i="2" s="1"/>
  <c r="AL486" i="2"/>
  <c r="AG486" i="2" s="1"/>
  <c r="AM486" i="2"/>
  <c r="AH486" i="2" s="1"/>
  <c r="AN486" i="2"/>
  <c r="AI486" i="2" s="1"/>
  <c r="AK487" i="2"/>
  <c r="AF487" i="2" s="1"/>
  <c r="AL487" i="2"/>
  <c r="AG487" i="2" s="1"/>
  <c r="AM487" i="2"/>
  <c r="AH487" i="2" s="1"/>
  <c r="AN487" i="2"/>
  <c r="AI487" i="2" s="1"/>
  <c r="AK488" i="2"/>
  <c r="AF488" i="2" s="1"/>
  <c r="AL488" i="2"/>
  <c r="AG488" i="2" s="1"/>
  <c r="AM488" i="2"/>
  <c r="AH488" i="2" s="1"/>
  <c r="AN488" i="2"/>
  <c r="AI488" i="2" s="1"/>
  <c r="AK489" i="2"/>
  <c r="AF489" i="2" s="1"/>
  <c r="AL489" i="2"/>
  <c r="AG489" i="2" s="1"/>
  <c r="AM489" i="2"/>
  <c r="AH489" i="2" s="1"/>
  <c r="AN489" i="2"/>
  <c r="AI489" i="2" s="1"/>
  <c r="AK490" i="2"/>
  <c r="AF490" i="2" s="1"/>
  <c r="AL490" i="2"/>
  <c r="AG490" i="2" s="1"/>
  <c r="AM490" i="2"/>
  <c r="AH490" i="2" s="1"/>
  <c r="AN490" i="2"/>
  <c r="AI490" i="2" s="1"/>
  <c r="AK491" i="2"/>
  <c r="AL491" i="2"/>
  <c r="AM491" i="2"/>
  <c r="AN491" i="2"/>
  <c r="AK492" i="2"/>
  <c r="AL492" i="2"/>
  <c r="AM492" i="2"/>
  <c r="AN492" i="2"/>
  <c r="AK493" i="2"/>
  <c r="AL493" i="2"/>
  <c r="AM493" i="2"/>
  <c r="AN493" i="2"/>
  <c r="AK494" i="2"/>
  <c r="AL494" i="2"/>
  <c r="AM494" i="2"/>
  <c r="AN494" i="2"/>
  <c r="AK495" i="2"/>
  <c r="AL495" i="2"/>
  <c r="AM495" i="2"/>
  <c r="AN495" i="2"/>
  <c r="AK496" i="2"/>
  <c r="AL496" i="2"/>
  <c r="AM496" i="2"/>
  <c r="AN496" i="2"/>
  <c r="AK497" i="2"/>
  <c r="AF497" i="2" s="1"/>
  <c r="AL497" i="2"/>
  <c r="AG497" i="2" s="1"/>
  <c r="AM497" i="2"/>
  <c r="AH497" i="2" s="1"/>
  <c r="AN497" i="2"/>
  <c r="AI497" i="2" s="1"/>
  <c r="AK498" i="2"/>
  <c r="AF498" i="2" s="1"/>
  <c r="AL498" i="2"/>
  <c r="AG498" i="2" s="1"/>
  <c r="AM498" i="2"/>
  <c r="AH498" i="2" s="1"/>
  <c r="AN498" i="2"/>
  <c r="AI498" i="2" s="1"/>
  <c r="AK499" i="2"/>
  <c r="AF499" i="2" s="1"/>
  <c r="AL499" i="2"/>
  <c r="AG499" i="2" s="1"/>
  <c r="AM499" i="2"/>
  <c r="AH499" i="2" s="1"/>
  <c r="AN499" i="2"/>
  <c r="AI499" i="2" s="1"/>
  <c r="AK500" i="2"/>
  <c r="AF500" i="2" s="1"/>
  <c r="AL500" i="2"/>
  <c r="AG500" i="2" s="1"/>
  <c r="AM500" i="2"/>
  <c r="AH500" i="2" s="1"/>
  <c r="AN500" i="2"/>
  <c r="AI500" i="2" s="1"/>
  <c r="AK501" i="2"/>
  <c r="AF501" i="2" s="1"/>
  <c r="AL501" i="2"/>
  <c r="AG501" i="2" s="1"/>
  <c r="AM501" i="2"/>
  <c r="AH501" i="2" s="1"/>
  <c r="AN501" i="2"/>
  <c r="AI501" i="2" s="1"/>
  <c r="AK502" i="2"/>
  <c r="AF502" i="2" s="1"/>
  <c r="AL502" i="2"/>
  <c r="AG502" i="2" s="1"/>
  <c r="AM502" i="2"/>
  <c r="AH502" i="2" s="1"/>
  <c r="AN502" i="2"/>
  <c r="AI502" i="2" s="1"/>
  <c r="AK503" i="2"/>
  <c r="AL503" i="2"/>
  <c r="AM503" i="2"/>
  <c r="AN503" i="2"/>
  <c r="AK504" i="2"/>
  <c r="AF504" i="2" s="1"/>
  <c r="AL504" i="2"/>
  <c r="AG504" i="2" s="1"/>
  <c r="AM504" i="2"/>
  <c r="AH504" i="2" s="1"/>
  <c r="AN504" i="2"/>
  <c r="AI504" i="2" s="1"/>
  <c r="AK505" i="2"/>
  <c r="AF505" i="2" s="1"/>
  <c r="AL505" i="2"/>
  <c r="AG505" i="2" s="1"/>
  <c r="AM505" i="2"/>
  <c r="AH505" i="2" s="1"/>
  <c r="AN505" i="2"/>
  <c r="AI505" i="2" s="1"/>
  <c r="AK506" i="2"/>
  <c r="AF506" i="2" s="1"/>
  <c r="AL506" i="2"/>
  <c r="AG506" i="2" s="1"/>
  <c r="AM506" i="2"/>
  <c r="AH506" i="2" s="1"/>
  <c r="AN506" i="2"/>
  <c r="AI506" i="2" s="1"/>
  <c r="AK507" i="2"/>
  <c r="AF507" i="2" s="1"/>
  <c r="AL507" i="2"/>
  <c r="AG507" i="2" s="1"/>
  <c r="AM507" i="2"/>
  <c r="AH507" i="2" s="1"/>
  <c r="AN507" i="2"/>
  <c r="AI507" i="2" s="1"/>
  <c r="AK508" i="2"/>
  <c r="AF508" i="2" s="1"/>
  <c r="AL508" i="2"/>
  <c r="AG508" i="2" s="1"/>
  <c r="AM508" i="2"/>
  <c r="AH508" i="2" s="1"/>
  <c r="AN508" i="2"/>
  <c r="AI508" i="2" s="1"/>
  <c r="AK509" i="2"/>
  <c r="AF509" i="2" s="1"/>
  <c r="AL509" i="2"/>
  <c r="AG509" i="2" s="1"/>
  <c r="AM509" i="2"/>
  <c r="AH509" i="2" s="1"/>
  <c r="AN509" i="2"/>
  <c r="AI509" i="2" s="1"/>
  <c r="AK510" i="2"/>
  <c r="AF510" i="2" s="1"/>
  <c r="AL510" i="2"/>
  <c r="AG510" i="2" s="1"/>
  <c r="AM510" i="2"/>
  <c r="AH510" i="2" s="1"/>
  <c r="AN510" i="2"/>
  <c r="AI510" i="2" s="1"/>
  <c r="AK511" i="2"/>
  <c r="AF511" i="2" s="1"/>
  <c r="AL511" i="2"/>
  <c r="AG511" i="2" s="1"/>
  <c r="AM511" i="2"/>
  <c r="AH511" i="2" s="1"/>
  <c r="AN511" i="2"/>
  <c r="AI511" i="2" s="1"/>
  <c r="AK512" i="2"/>
  <c r="AF512" i="2" s="1"/>
  <c r="AL512" i="2"/>
  <c r="AG512" i="2" s="1"/>
  <c r="AM512" i="2"/>
  <c r="AH512" i="2" s="1"/>
  <c r="AN512" i="2"/>
  <c r="AI512" i="2" s="1"/>
  <c r="AK513" i="2"/>
  <c r="AF513" i="2" s="1"/>
  <c r="AL513" i="2"/>
  <c r="AG513" i="2" s="1"/>
  <c r="AM513" i="2"/>
  <c r="AH513" i="2" s="1"/>
  <c r="AN513" i="2"/>
  <c r="AI513" i="2" s="1"/>
  <c r="AK514" i="2"/>
  <c r="AF514" i="2" s="1"/>
  <c r="AL514" i="2"/>
  <c r="AG514" i="2" s="1"/>
  <c r="AM514" i="2"/>
  <c r="AH514" i="2" s="1"/>
  <c r="AN514" i="2"/>
  <c r="AI514" i="2" s="1"/>
  <c r="AK515" i="2"/>
  <c r="AL515" i="2"/>
  <c r="AM515" i="2"/>
  <c r="AN515" i="2"/>
  <c r="AK516" i="2"/>
  <c r="AF516" i="2" s="1"/>
  <c r="AL516" i="2"/>
  <c r="AG516" i="2" s="1"/>
  <c r="AM516" i="2"/>
  <c r="AH516" i="2" s="1"/>
  <c r="AN516" i="2"/>
  <c r="AI516" i="2" s="1"/>
  <c r="AK517" i="2"/>
  <c r="AF517" i="2" s="1"/>
  <c r="AL517" i="2"/>
  <c r="AG517" i="2" s="1"/>
  <c r="AM517" i="2"/>
  <c r="AH517" i="2" s="1"/>
  <c r="AN517" i="2"/>
  <c r="AI517" i="2" s="1"/>
  <c r="AK518" i="2"/>
  <c r="AL518" i="2"/>
  <c r="AM518" i="2"/>
  <c r="AN518" i="2"/>
  <c r="AK519" i="2"/>
  <c r="AF519" i="2" s="1"/>
  <c r="AL519" i="2"/>
  <c r="AG519" i="2" s="1"/>
  <c r="AM519" i="2"/>
  <c r="AH519" i="2" s="1"/>
  <c r="AN519" i="2"/>
  <c r="AI519" i="2" s="1"/>
  <c r="AK520" i="2"/>
  <c r="AL520" i="2"/>
  <c r="AM520" i="2"/>
  <c r="AN520" i="2"/>
  <c r="AK521" i="2"/>
  <c r="AL521" i="2"/>
  <c r="AM521" i="2"/>
  <c r="AN521" i="2"/>
  <c r="AK522" i="2"/>
  <c r="AF522" i="2" s="1"/>
  <c r="AL522" i="2"/>
  <c r="AG522" i="2" s="1"/>
  <c r="AM522" i="2"/>
  <c r="AH522" i="2" s="1"/>
  <c r="AN522" i="2"/>
  <c r="AI522" i="2" s="1"/>
  <c r="AK523" i="2"/>
  <c r="AF523" i="2" s="1"/>
  <c r="AL523" i="2"/>
  <c r="AG523" i="2" s="1"/>
  <c r="AM523" i="2"/>
  <c r="AH523" i="2" s="1"/>
  <c r="AN523" i="2"/>
  <c r="AI523" i="2" s="1"/>
  <c r="AK524" i="2"/>
  <c r="AL524" i="2"/>
  <c r="AM524" i="2"/>
  <c r="AN524" i="2"/>
  <c r="AK525" i="2"/>
  <c r="AF525" i="2" s="1"/>
  <c r="AL525" i="2"/>
  <c r="AG525" i="2" s="1"/>
  <c r="AM525" i="2"/>
  <c r="AH525" i="2" s="1"/>
  <c r="AN525" i="2"/>
  <c r="AI525" i="2" s="1"/>
  <c r="AK526" i="2"/>
  <c r="AL526" i="2"/>
  <c r="AM526" i="2"/>
  <c r="AN526" i="2"/>
  <c r="AK527" i="2"/>
  <c r="AF527" i="2" s="1"/>
  <c r="AL527" i="2"/>
  <c r="AG527" i="2" s="1"/>
  <c r="AM527" i="2"/>
  <c r="AH527" i="2" s="1"/>
  <c r="AN527" i="2"/>
  <c r="AI527" i="2" s="1"/>
  <c r="AK528" i="2"/>
  <c r="AF528" i="2" s="1"/>
  <c r="AL528" i="2"/>
  <c r="AG528" i="2" s="1"/>
  <c r="AM528" i="2"/>
  <c r="AH528" i="2" s="1"/>
  <c r="AN528" i="2"/>
  <c r="AI528" i="2" s="1"/>
  <c r="AK529" i="2"/>
  <c r="AF529" i="2" s="1"/>
  <c r="AL529" i="2"/>
  <c r="AG529" i="2" s="1"/>
  <c r="AM529" i="2"/>
  <c r="AH529" i="2" s="1"/>
  <c r="AN529" i="2"/>
  <c r="AI529" i="2" s="1"/>
  <c r="AK530" i="2"/>
  <c r="AL530" i="2"/>
  <c r="AM530" i="2"/>
  <c r="AN530" i="2"/>
  <c r="AK531" i="2"/>
  <c r="AL531" i="2"/>
  <c r="AM531" i="2"/>
  <c r="AN531" i="2"/>
  <c r="AK532" i="2"/>
  <c r="AL532" i="2"/>
  <c r="AM532" i="2"/>
  <c r="AN532" i="2"/>
  <c r="AK533" i="2"/>
  <c r="AL533" i="2"/>
  <c r="AM533" i="2"/>
  <c r="AN533" i="2"/>
  <c r="AK534" i="2"/>
  <c r="AL534" i="2"/>
  <c r="AM534" i="2"/>
  <c r="AN534" i="2"/>
  <c r="AK535" i="2"/>
  <c r="AL535" i="2"/>
  <c r="AM535" i="2"/>
  <c r="AN535" i="2"/>
  <c r="AK536" i="2"/>
  <c r="AL536" i="2"/>
  <c r="AM536" i="2"/>
  <c r="AN536" i="2"/>
  <c r="AK537" i="2"/>
  <c r="AL537" i="2"/>
  <c r="AM537" i="2"/>
  <c r="AN537" i="2"/>
  <c r="AK538" i="2"/>
  <c r="AL538" i="2"/>
  <c r="AM538" i="2"/>
  <c r="AN538" i="2"/>
  <c r="AK539" i="2"/>
  <c r="AL539" i="2"/>
  <c r="AM539" i="2"/>
  <c r="AN539" i="2"/>
  <c r="AK540" i="2"/>
  <c r="AL540" i="2"/>
  <c r="AM540" i="2"/>
  <c r="AN540" i="2"/>
  <c r="AK541" i="2"/>
  <c r="AL541" i="2"/>
  <c r="AM541" i="2"/>
  <c r="AN541" i="2"/>
  <c r="AK542" i="2"/>
  <c r="AL542" i="2"/>
  <c r="AM542" i="2"/>
  <c r="AN542" i="2"/>
  <c r="AK543" i="2"/>
  <c r="AL543" i="2"/>
  <c r="AM543" i="2"/>
  <c r="AN543" i="2"/>
  <c r="AK544" i="2"/>
  <c r="AL544" i="2"/>
  <c r="AM544" i="2"/>
  <c r="AN544" i="2"/>
  <c r="AK545" i="2"/>
  <c r="AL545" i="2"/>
  <c r="AM545" i="2"/>
  <c r="AN545" i="2"/>
  <c r="AK546" i="2"/>
  <c r="AL546" i="2"/>
  <c r="AM546" i="2"/>
  <c r="AN546" i="2"/>
  <c r="AK547" i="2"/>
  <c r="AL547" i="2"/>
  <c r="AM547" i="2"/>
  <c r="AN547" i="2"/>
  <c r="AK548" i="2"/>
  <c r="AL548" i="2"/>
  <c r="AM548" i="2"/>
  <c r="AN548" i="2"/>
  <c r="AK549" i="2"/>
  <c r="AL549" i="2"/>
  <c r="AM549" i="2"/>
  <c r="AN549" i="2"/>
  <c r="AK550" i="2"/>
  <c r="AL550" i="2"/>
  <c r="AM550" i="2"/>
  <c r="AN550" i="2"/>
  <c r="AK551" i="2"/>
  <c r="AL551" i="2"/>
  <c r="AM551" i="2"/>
  <c r="AN551" i="2"/>
  <c r="AK552" i="2"/>
  <c r="AL552" i="2"/>
  <c r="AM552" i="2"/>
  <c r="AN552" i="2"/>
  <c r="AK553" i="2"/>
  <c r="AL553" i="2"/>
  <c r="AM553" i="2"/>
  <c r="AN553" i="2"/>
  <c r="AK554" i="2"/>
  <c r="AL554" i="2"/>
  <c r="AM554" i="2"/>
  <c r="AN554" i="2"/>
  <c r="AK555" i="2"/>
  <c r="AL555" i="2"/>
  <c r="AM555" i="2"/>
  <c r="AN555" i="2"/>
  <c r="AK556" i="2"/>
  <c r="AL556" i="2"/>
  <c r="AM556" i="2"/>
  <c r="AN556" i="2"/>
  <c r="AK557" i="2"/>
  <c r="AF557" i="2" s="1"/>
  <c r="AL557" i="2"/>
  <c r="AG557" i="2" s="1"/>
  <c r="AM557" i="2"/>
  <c r="AH557" i="2" s="1"/>
  <c r="AN557" i="2"/>
  <c r="AI557" i="2" s="1"/>
  <c r="AK558" i="2"/>
  <c r="AF558" i="2" s="1"/>
  <c r="AL558" i="2"/>
  <c r="AG558" i="2" s="1"/>
  <c r="AM558" i="2"/>
  <c r="AH558" i="2" s="1"/>
  <c r="AN558" i="2"/>
  <c r="AI558" i="2" s="1"/>
  <c r="AK559" i="2"/>
  <c r="AF559" i="2" s="1"/>
  <c r="AL559" i="2"/>
  <c r="AG559" i="2" s="1"/>
  <c r="AM559" i="2"/>
  <c r="AH559" i="2" s="1"/>
  <c r="AN559" i="2"/>
  <c r="AI559" i="2" s="1"/>
  <c r="AK560" i="2"/>
  <c r="AF560" i="2" s="1"/>
  <c r="AL560" i="2"/>
  <c r="AG560" i="2" s="1"/>
  <c r="AM560" i="2"/>
  <c r="AH560" i="2" s="1"/>
  <c r="AN560" i="2"/>
  <c r="AI560" i="2" s="1"/>
  <c r="AK561" i="2"/>
  <c r="AL561" i="2"/>
  <c r="AM561" i="2"/>
  <c r="AN561" i="2"/>
  <c r="AK562" i="2"/>
  <c r="AL562" i="2"/>
  <c r="AM562" i="2"/>
  <c r="AN562" i="2"/>
  <c r="AK563" i="2"/>
  <c r="AL563" i="2"/>
  <c r="AM563" i="2"/>
  <c r="AN563" i="2"/>
  <c r="AK564" i="2"/>
  <c r="AF564" i="2" s="1"/>
  <c r="AL564" i="2"/>
  <c r="AG564" i="2" s="1"/>
  <c r="AM564" i="2"/>
  <c r="AH564" i="2" s="1"/>
  <c r="AN564" i="2"/>
  <c r="AI564" i="2" s="1"/>
  <c r="AK565" i="2"/>
  <c r="AL565" i="2"/>
  <c r="AM565" i="2"/>
  <c r="AN565" i="2"/>
  <c r="AK566" i="2"/>
  <c r="AL566" i="2"/>
  <c r="AM566" i="2"/>
  <c r="AN566" i="2"/>
  <c r="AK567" i="2"/>
  <c r="AF567" i="2" s="1"/>
  <c r="AL567" i="2"/>
  <c r="AG567" i="2" s="1"/>
  <c r="AM567" i="2"/>
  <c r="AH567" i="2" s="1"/>
  <c r="AN567" i="2"/>
  <c r="AI567" i="2" s="1"/>
  <c r="AK568" i="2"/>
  <c r="AL568" i="2"/>
  <c r="AM568" i="2"/>
  <c r="AN568" i="2"/>
  <c r="AK569" i="2"/>
  <c r="AL569" i="2"/>
  <c r="AM569" i="2"/>
  <c r="AN569" i="2"/>
  <c r="AK570" i="2"/>
  <c r="AL570" i="2"/>
  <c r="AM570" i="2"/>
  <c r="AN570" i="2"/>
  <c r="AK571" i="2"/>
  <c r="AL571" i="2"/>
  <c r="AM571" i="2"/>
  <c r="AN571" i="2"/>
  <c r="AK572" i="2"/>
  <c r="AL572" i="2"/>
  <c r="AM572" i="2"/>
  <c r="AN572" i="2"/>
  <c r="AK573" i="2"/>
  <c r="AL573" i="2"/>
  <c r="AM573" i="2"/>
  <c r="AN573" i="2"/>
  <c r="AK574" i="2"/>
  <c r="AF574" i="2" s="1"/>
  <c r="AL574" i="2"/>
  <c r="AG574" i="2" s="1"/>
  <c r="AM574" i="2"/>
  <c r="AH574" i="2" s="1"/>
  <c r="AN574" i="2"/>
  <c r="AI574" i="2" s="1"/>
  <c r="AK575" i="2"/>
  <c r="AF575" i="2" s="1"/>
  <c r="AL575" i="2"/>
  <c r="AG575" i="2" s="1"/>
  <c r="AM575" i="2"/>
  <c r="AH575" i="2" s="1"/>
  <c r="AN575" i="2"/>
  <c r="AI575" i="2" s="1"/>
  <c r="AK576" i="2"/>
  <c r="AF576" i="2" s="1"/>
  <c r="AL576" i="2"/>
  <c r="AG576" i="2" s="1"/>
  <c r="AM576" i="2"/>
  <c r="AH576" i="2" s="1"/>
  <c r="AN576" i="2"/>
  <c r="AI576" i="2" s="1"/>
  <c r="AK577" i="2"/>
  <c r="AL577" i="2"/>
  <c r="AM577" i="2"/>
  <c r="AN577" i="2"/>
  <c r="AK578" i="2"/>
  <c r="AL578" i="2"/>
  <c r="AM578" i="2"/>
  <c r="AN578" i="2"/>
  <c r="AK579" i="2"/>
  <c r="AF579" i="2" s="1"/>
  <c r="AL579" i="2"/>
  <c r="AG579" i="2" s="1"/>
  <c r="AM579" i="2"/>
  <c r="AH579" i="2" s="1"/>
  <c r="AN579" i="2"/>
  <c r="AI579" i="2" s="1"/>
  <c r="AK580" i="2"/>
  <c r="AF580" i="2" s="1"/>
  <c r="AL580" i="2"/>
  <c r="AG580" i="2" s="1"/>
  <c r="AM580" i="2"/>
  <c r="AH580" i="2" s="1"/>
  <c r="AN580" i="2"/>
  <c r="AI580" i="2" s="1"/>
  <c r="AK581" i="2"/>
  <c r="AL581" i="2"/>
  <c r="AM581" i="2"/>
  <c r="AN581" i="2"/>
  <c r="AK582" i="2"/>
  <c r="AF582" i="2" s="1"/>
  <c r="AL582" i="2"/>
  <c r="AG582" i="2" s="1"/>
  <c r="AM582" i="2"/>
  <c r="AH582" i="2" s="1"/>
  <c r="AN582" i="2"/>
  <c r="AI582" i="2" s="1"/>
  <c r="AK583" i="2"/>
  <c r="AF583" i="2" s="1"/>
  <c r="AL583" i="2"/>
  <c r="AG583" i="2" s="1"/>
  <c r="AM583" i="2"/>
  <c r="AH583" i="2" s="1"/>
  <c r="AN583" i="2"/>
  <c r="AI583" i="2" s="1"/>
  <c r="AK584" i="2"/>
  <c r="AF584" i="2" s="1"/>
  <c r="AL584" i="2"/>
  <c r="AG584" i="2" s="1"/>
  <c r="AM584" i="2"/>
  <c r="AH584" i="2" s="1"/>
  <c r="AN584" i="2"/>
  <c r="AI584" i="2" s="1"/>
  <c r="AK585" i="2"/>
  <c r="AF585" i="2" s="1"/>
  <c r="AL585" i="2"/>
  <c r="AG585" i="2" s="1"/>
  <c r="AM585" i="2"/>
  <c r="AH585" i="2" s="1"/>
  <c r="AN585" i="2"/>
  <c r="AI585" i="2" s="1"/>
  <c r="AK586" i="2"/>
  <c r="AF586" i="2" s="1"/>
  <c r="AL586" i="2"/>
  <c r="AG586" i="2" s="1"/>
  <c r="AM586" i="2"/>
  <c r="AH586" i="2" s="1"/>
  <c r="AN586" i="2"/>
  <c r="AI586" i="2" s="1"/>
  <c r="AK587" i="2"/>
  <c r="AF587" i="2" s="1"/>
  <c r="AL587" i="2"/>
  <c r="AG587" i="2" s="1"/>
  <c r="AM587" i="2"/>
  <c r="AH587" i="2" s="1"/>
  <c r="AN587" i="2"/>
  <c r="AI587" i="2" s="1"/>
  <c r="AK588" i="2"/>
  <c r="AL588" i="2"/>
  <c r="AM588" i="2"/>
  <c r="AN588" i="2"/>
  <c r="AK589" i="2"/>
  <c r="AF589" i="2" s="1"/>
  <c r="AL589" i="2"/>
  <c r="AG589" i="2" s="1"/>
  <c r="AM589" i="2"/>
  <c r="AH589" i="2" s="1"/>
  <c r="AN589" i="2"/>
  <c r="AI589" i="2" s="1"/>
  <c r="AK590" i="2"/>
  <c r="AF590" i="2" s="1"/>
  <c r="AL590" i="2"/>
  <c r="AG590" i="2" s="1"/>
  <c r="AM590" i="2"/>
  <c r="AH590" i="2" s="1"/>
  <c r="AN590" i="2"/>
  <c r="AI590" i="2" s="1"/>
  <c r="AK591" i="2"/>
  <c r="AL591" i="2"/>
  <c r="AM591" i="2"/>
  <c r="AN591" i="2"/>
  <c r="AK592" i="2"/>
  <c r="AL592" i="2"/>
  <c r="AM592" i="2"/>
  <c r="AN592" i="2"/>
  <c r="AK593" i="2"/>
  <c r="AF593" i="2" s="1"/>
  <c r="AL593" i="2"/>
  <c r="AG593" i="2" s="1"/>
  <c r="AM593" i="2"/>
  <c r="AH593" i="2" s="1"/>
  <c r="AN593" i="2"/>
  <c r="AI593" i="2" s="1"/>
  <c r="AK594" i="2"/>
  <c r="AF594" i="2" s="1"/>
  <c r="AL594" i="2"/>
  <c r="AG594" i="2" s="1"/>
  <c r="AM594" i="2"/>
  <c r="AH594" i="2" s="1"/>
  <c r="AN594" i="2"/>
  <c r="AI594" i="2" s="1"/>
  <c r="AK595" i="2"/>
  <c r="AF595" i="2" s="1"/>
  <c r="AL595" i="2"/>
  <c r="AG595" i="2" s="1"/>
  <c r="AM595" i="2"/>
  <c r="AH595" i="2" s="1"/>
  <c r="AN595" i="2"/>
  <c r="AI595" i="2" s="1"/>
  <c r="AK596" i="2"/>
  <c r="AK597" i="2"/>
  <c r="AF597" i="2" s="1"/>
  <c r="AL597" i="2"/>
  <c r="AG597" i="2" s="1"/>
  <c r="AM597" i="2"/>
  <c r="AH597" i="2" s="1"/>
  <c r="AN597" i="2"/>
  <c r="AI597" i="2" s="1"/>
  <c r="AK598" i="2"/>
  <c r="AF598" i="2" s="1"/>
  <c r="AL598" i="2"/>
  <c r="AG598" i="2" s="1"/>
  <c r="AM598" i="2"/>
  <c r="AH598" i="2" s="1"/>
  <c r="AN598" i="2"/>
  <c r="AI598" i="2" s="1"/>
  <c r="AK599" i="2"/>
  <c r="AL599" i="2"/>
  <c r="AM599" i="2"/>
  <c r="AN599" i="2"/>
  <c r="AK600" i="2"/>
  <c r="AL600" i="2"/>
  <c r="AM600" i="2"/>
  <c r="AN600" i="2"/>
  <c r="AK601" i="2"/>
  <c r="AL601" i="2"/>
  <c r="AM601" i="2"/>
  <c r="AN601" i="2"/>
  <c r="AK602" i="2"/>
  <c r="AL602" i="2"/>
  <c r="AM602" i="2"/>
  <c r="AN602" i="2"/>
  <c r="AK603" i="2"/>
  <c r="AL603" i="2"/>
  <c r="AM603" i="2"/>
  <c r="AN603" i="2"/>
  <c r="AK604" i="2"/>
  <c r="AL604" i="2"/>
  <c r="AM604" i="2"/>
  <c r="AN604" i="2"/>
  <c r="AK605" i="2"/>
  <c r="AL605" i="2"/>
  <c r="AM605" i="2"/>
  <c r="AN605" i="2"/>
  <c r="AK606" i="2"/>
  <c r="AL606" i="2"/>
  <c r="AM606" i="2"/>
  <c r="AN606" i="2"/>
  <c r="AK607" i="2"/>
  <c r="AL607" i="2"/>
  <c r="AM607" i="2"/>
  <c r="AN607" i="2"/>
  <c r="AK608" i="2"/>
  <c r="AL608" i="2"/>
  <c r="AM608" i="2"/>
  <c r="AN608" i="2"/>
  <c r="AK609" i="2"/>
  <c r="AL609" i="2"/>
  <c r="AM609" i="2"/>
  <c r="AN609" i="2"/>
  <c r="AK610" i="2"/>
  <c r="AL610" i="2"/>
  <c r="AM610" i="2"/>
  <c r="AN610" i="2"/>
  <c r="AK611" i="2"/>
  <c r="AL611" i="2"/>
  <c r="AM611" i="2"/>
  <c r="AN611" i="2"/>
  <c r="AK612" i="2"/>
  <c r="AF612" i="2" s="1"/>
  <c r="AL612" i="2"/>
  <c r="AG612" i="2" s="1"/>
  <c r="AM612" i="2"/>
  <c r="AH612" i="2" s="1"/>
  <c r="AN612" i="2"/>
  <c r="AI612" i="2" s="1"/>
  <c r="AK613" i="2"/>
  <c r="AL613" i="2"/>
  <c r="AM613" i="2"/>
  <c r="AN613" i="2"/>
  <c r="AK614" i="2"/>
  <c r="AL614" i="2"/>
  <c r="AM614" i="2"/>
  <c r="AN614" i="2"/>
  <c r="AK615" i="2"/>
  <c r="AL615" i="2"/>
  <c r="AM615" i="2"/>
  <c r="AN615" i="2"/>
  <c r="AK616" i="2"/>
  <c r="AL616" i="2"/>
  <c r="AM616" i="2"/>
  <c r="AN616" i="2"/>
  <c r="AK617" i="2"/>
  <c r="AL617" i="2"/>
  <c r="AM617" i="2"/>
  <c r="AN617" i="2"/>
  <c r="AK618" i="2"/>
  <c r="AL618" i="2"/>
  <c r="AM618" i="2"/>
  <c r="AN618" i="2"/>
  <c r="AK619" i="2"/>
  <c r="AF619" i="2" s="1"/>
  <c r="AL619" i="2"/>
  <c r="AG619" i="2" s="1"/>
  <c r="AM619" i="2"/>
  <c r="AH619" i="2" s="1"/>
  <c r="AN619" i="2"/>
  <c r="AI619" i="2" s="1"/>
  <c r="AK620" i="2"/>
  <c r="AF620" i="2" s="1"/>
  <c r="AL620" i="2"/>
  <c r="AG620" i="2" s="1"/>
  <c r="AM620" i="2"/>
  <c r="AH620" i="2" s="1"/>
  <c r="AN620" i="2"/>
  <c r="AI620" i="2" s="1"/>
  <c r="AK621" i="2"/>
  <c r="AF621" i="2" s="1"/>
  <c r="AL621" i="2"/>
  <c r="AG621" i="2" s="1"/>
  <c r="AM621" i="2"/>
  <c r="AH621" i="2" s="1"/>
  <c r="AN621" i="2"/>
  <c r="AI621" i="2" s="1"/>
  <c r="AK622" i="2"/>
  <c r="AF622" i="2" s="1"/>
  <c r="AL622" i="2"/>
  <c r="AG622" i="2" s="1"/>
  <c r="AM622" i="2"/>
  <c r="AH622" i="2" s="1"/>
  <c r="AN622" i="2"/>
  <c r="AI622" i="2" s="1"/>
  <c r="AK623" i="2"/>
  <c r="AF623" i="2" s="1"/>
  <c r="AL623" i="2"/>
  <c r="AG623" i="2" s="1"/>
  <c r="AM623" i="2"/>
  <c r="AH623" i="2" s="1"/>
  <c r="AN623" i="2"/>
  <c r="AI623" i="2" s="1"/>
  <c r="AK624" i="2"/>
  <c r="AF624" i="2" s="1"/>
  <c r="AL624" i="2"/>
  <c r="AG624" i="2" s="1"/>
  <c r="AM624" i="2"/>
  <c r="AH624" i="2" s="1"/>
  <c r="AN624" i="2"/>
  <c r="AI624" i="2" s="1"/>
  <c r="AK625" i="2"/>
  <c r="AF625" i="2" s="1"/>
  <c r="AL625" i="2"/>
  <c r="AG625" i="2" s="1"/>
  <c r="AM625" i="2"/>
  <c r="AH625" i="2" s="1"/>
  <c r="AN625" i="2"/>
  <c r="AI625" i="2" s="1"/>
  <c r="AK626" i="2"/>
  <c r="AF626" i="2" s="1"/>
  <c r="AL626" i="2"/>
  <c r="AG626" i="2" s="1"/>
  <c r="AM626" i="2"/>
  <c r="AH626" i="2" s="1"/>
  <c r="AN626" i="2"/>
  <c r="AI626" i="2" s="1"/>
  <c r="AK627" i="2"/>
  <c r="AF627" i="2" s="1"/>
  <c r="AL627" i="2"/>
  <c r="AG627" i="2" s="1"/>
  <c r="AM627" i="2"/>
  <c r="AH627" i="2" s="1"/>
  <c r="AN627" i="2"/>
  <c r="AI627" i="2" s="1"/>
  <c r="AK628" i="2"/>
  <c r="AL628" i="2"/>
  <c r="AM628" i="2"/>
  <c r="AN628" i="2"/>
  <c r="AK629" i="2"/>
  <c r="AF629" i="2" s="1"/>
  <c r="AL629" i="2"/>
  <c r="AG629" i="2" s="1"/>
  <c r="AM629" i="2"/>
  <c r="AH629" i="2" s="1"/>
  <c r="AN629" i="2"/>
  <c r="AI629" i="2" s="1"/>
  <c r="AK630" i="2"/>
  <c r="AL630" i="2"/>
  <c r="AM630" i="2"/>
  <c r="AN630" i="2"/>
  <c r="AK631" i="2"/>
  <c r="AF631" i="2" s="1"/>
  <c r="AL631" i="2"/>
  <c r="AG631" i="2" s="1"/>
  <c r="AM631" i="2"/>
  <c r="AH631" i="2" s="1"/>
  <c r="AN631" i="2"/>
  <c r="AI631" i="2" s="1"/>
  <c r="AK632" i="2"/>
  <c r="AF632" i="2" s="1"/>
  <c r="AL632" i="2"/>
  <c r="AG632" i="2" s="1"/>
  <c r="AM632" i="2"/>
  <c r="AH632" i="2" s="1"/>
  <c r="AN632" i="2"/>
  <c r="AI632" i="2" s="1"/>
  <c r="AK633" i="2"/>
  <c r="AF633" i="2" s="1"/>
  <c r="AL633" i="2"/>
  <c r="AG633" i="2" s="1"/>
  <c r="AM633" i="2"/>
  <c r="AH633" i="2" s="1"/>
  <c r="AN633" i="2"/>
  <c r="AI633" i="2" s="1"/>
  <c r="AK634" i="2"/>
  <c r="AF634" i="2" s="1"/>
  <c r="AL634" i="2"/>
  <c r="AG634" i="2" s="1"/>
  <c r="AM634" i="2"/>
  <c r="AH634" i="2" s="1"/>
  <c r="AN634" i="2"/>
  <c r="AI634" i="2" s="1"/>
  <c r="AK635" i="2"/>
  <c r="AF635" i="2" s="1"/>
  <c r="AL635" i="2"/>
  <c r="AG635" i="2" s="1"/>
  <c r="AM635" i="2"/>
  <c r="AH635" i="2" s="1"/>
  <c r="AN635" i="2"/>
  <c r="AI635" i="2" s="1"/>
  <c r="AK636" i="2"/>
  <c r="AF636" i="2" s="1"/>
  <c r="AL636" i="2"/>
  <c r="AG636" i="2" s="1"/>
  <c r="AM636" i="2"/>
  <c r="AH636" i="2" s="1"/>
  <c r="AN636" i="2"/>
  <c r="AI636" i="2" s="1"/>
  <c r="AK637" i="2"/>
  <c r="AF637" i="2" s="1"/>
  <c r="AL637" i="2"/>
  <c r="AG637" i="2" s="1"/>
  <c r="AM637" i="2"/>
  <c r="AH637" i="2" s="1"/>
  <c r="AN637" i="2"/>
  <c r="AI637" i="2" s="1"/>
  <c r="AK638" i="2"/>
  <c r="AF638" i="2" s="1"/>
  <c r="AL638" i="2"/>
  <c r="AG638" i="2" s="1"/>
  <c r="AM638" i="2"/>
  <c r="AH638" i="2" s="1"/>
  <c r="AN638" i="2"/>
  <c r="AI638" i="2" s="1"/>
  <c r="AK639" i="2"/>
  <c r="AF639" i="2" s="1"/>
  <c r="AL639" i="2"/>
  <c r="AG639" i="2" s="1"/>
  <c r="AM639" i="2"/>
  <c r="AH639" i="2" s="1"/>
  <c r="AN639" i="2"/>
  <c r="AI639" i="2" s="1"/>
  <c r="AK642" i="2"/>
  <c r="AF642" i="2" s="1"/>
  <c r="AL642" i="2"/>
  <c r="AG642" i="2" s="1"/>
  <c r="AM642" i="2"/>
  <c r="AH642" i="2" s="1"/>
  <c r="AN642" i="2"/>
  <c r="AI642" i="2" s="1"/>
  <c r="AK643" i="2"/>
  <c r="AF643" i="2" s="1"/>
  <c r="AL643" i="2"/>
  <c r="AG643" i="2" s="1"/>
  <c r="AM643" i="2"/>
  <c r="AH643" i="2" s="1"/>
  <c r="AN643" i="2"/>
  <c r="AI643" i="2" s="1"/>
  <c r="AK644" i="2"/>
  <c r="AF644" i="2" s="1"/>
  <c r="AL644" i="2"/>
  <c r="AG644" i="2" s="1"/>
  <c r="AM644" i="2"/>
  <c r="AH644" i="2" s="1"/>
  <c r="AN644" i="2"/>
  <c r="AI644" i="2" s="1"/>
  <c r="AK645" i="2"/>
  <c r="AF645" i="2" s="1"/>
  <c r="AL645" i="2"/>
  <c r="AG645" i="2" s="1"/>
  <c r="AM645" i="2"/>
  <c r="AH645" i="2" s="1"/>
  <c r="AN645" i="2"/>
  <c r="AI645" i="2" s="1"/>
  <c r="AK646" i="2"/>
  <c r="AF646" i="2" s="1"/>
  <c r="AL646" i="2"/>
  <c r="AG646" i="2" s="1"/>
  <c r="AM646" i="2"/>
  <c r="AH646" i="2" s="1"/>
  <c r="AN646" i="2"/>
  <c r="AI646" i="2" s="1"/>
  <c r="AK647" i="2"/>
  <c r="AF647" i="2" s="1"/>
  <c r="AL647" i="2"/>
  <c r="AG647" i="2" s="1"/>
  <c r="AM647" i="2"/>
  <c r="AH647" i="2" s="1"/>
  <c r="AN647" i="2"/>
  <c r="AI647" i="2" s="1"/>
  <c r="AK648" i="2"/>
  <c r="AF648" i="2" s="1"/>
  <c r="AL648" i="2"/>
  <c r="AG648" i="2" s="1"/>
  <c r="AM648" i="2"/>
  <c r="AH648" i="2" s="1"/>
  <c r="AN648" i="2"/>
  <c r="AI648" i="2" s="1"/>
  <c r="AK649" i="2"/>
  <c r="AF649" i="2" s="1"/>
  <c r="AL649" i="2"/>
  <c r="AG649" i="2" s="1"/>
  <c r="AM649" i="2"/>
  <c r="AH649" i="2" s="1"/>
  <c r="AN649" i="2"/>
  <c r="AI649" i="2" s="1"/>
  <c r="AK650" i="2"/>
  <c r="AF650" i="2" s="1"/>
  <c r="AL650" i="2"/>
  <c r="AG650" i="2" s="1"/>
  <c r="AM650" i="2"/>
  <c r="AH650" i="2" s="1"/>
  <c r="AN650" i="2"/>
  <c r="AI650" i="2" s="1"/>
  <c r="AK651" i="2"/>
  <c r="AF651" i="2" s="1"/>
  <c r="AL651" i="2"/>
  <c r="AG651" i="2" s="1"/>
  <c r="AM651" i="2"/>
  <c r="AH651" i="2" s="1"/>
  <c r="AN651" i="2"/>
  <c r="AI651" i="2" s="1"/>
  <c r="AK652" i="2"/>
  <c r="AF652" i="2" s="1"/>
  <c r="AL652" i="2"/>
  <c r="AG652" i="2" s="1"/>
  <c r="AM652" i="2"/>
  <c r="AH652" i="2" s="1"/>
  <c r="AN652" i="2"/>
  <c r="AI652" i="2" s="1"/>
  <c r="AK653" i="2"/>
  <c r="AF653" i="2" s="1"/>
  <c r="AL653" i="2"/>
  <c r="AG653" i="2" s="1"/>
  <c r="AM653" i="2"/>
  <c r="AH653" i="2" s="1"/>
  <c r="AN653" i="2"/>
  <c r="AI653" i="2" s="1"/>
  <c r="AK654" i="2"/>
  <c r="AF654" i="2" s="1"/>
  <c r="AL654" i="2"/>
  <c r="AG654" i="2" s="1"/>
  <c r="AM654" i="2"/>
  <c r="AH654" i="2" s="1"/>
  <c r="AN654" i="2"/>
  <c r="AI654" i="2" s="1"/>
  <c r="AK655" i="2"/>
  <c r="AF655" i="2" s="1"/>
  <c r="AL655" i="2"/>
  <c r="AG655" i="2" s="1"/>
  <c r="AM655" i="2"/>
  <c r="AH655" i="2" s="1"/>
  <c r="AN655" i="2"/>
  <c r="AI655" i="2" s="1"/>
  <c r="AK656" i="2"/>
  <c r="AF656" i="2" s="1"/>
  <c r="AL656" i="2"/>
  <c r="AG656" i="2" s="1"/>
  <c r="AM656" i="2"/>
  <c r="AH656" i="2" s="1"/>
  <c r="AN656" i="2"/>
  <c r="AI656" i="2" s="1"/>
  <c r="AK657" i="2"/>
  <c r="AF657" i="2" s="1"/>
  <c r="AL657" i="2"/>
  <c r="AG657" i="2" s="1"/>
  <c r="AM657" i="2"/>
  <c r="AH657" i="2" s="1"/>
  <c r="AN657" i="2"/>
  <c r="AI657" i="2" s="1"/>
  <c r="AK658" i="2"/>
  <c r="AF658" i="2" s="1"/>
  <c r="AL658" i="2"/>
  <c r="AG658" i="2" s="1"/>
  <c r="AM658" i="2"/>
  <c r="AH658" i="2" s="1"/>
  <c r="AN658" i="2"/>
  <c r="AI658" i="2" s="1"/>
  <c r="AK659" i="2"/>
  <c r="AF659" i="2" s="1"/>
  <c r="AL659" i="2"/>
  <c r="AG659" i="2" s="1"/>
  <c r="AM659" i="2"/>
  <c r="AH659" i="2" s="1"/>
  <c r="AN659" i="2"/>
  <c r="AI659" i="2" s="1"/>
  <c r="AK660" i="2"/>
  <c r="AF660" i="2" s="1"/>
  <c r="AL660" i="2"/>
  <c r="AG660" i="2" s="1"/>
  <c r="AM660" i="2"/>
  <c r="AH660" i="2" s="1"/>
  <c r="AN660" i="2"/>
  <c r="AI660" i="2" s="1"/>
  <c r="AK661" i="2"/>
  <c r="AF661" i="2" s="1"/>
  <c r="AL661" i="2"/>
  <c r="AG661" i="2" s="1"/>
  <c r="AM661" i="2"/>
  <c r="AH661" i="2" s="1"/>
  <c r="AN661" i="2"/>
  <c r="AI661" i="2" s="1"/>
  <c r="AK662" i="2"/>
  <c r="AF662" i="2" s="1"/>
  <c r="AL662" i="2"/>
  <c r="AG662" i="2" s="1"/>
  <c r="AM662" i="2"/>
  <c r="AH662" i="2" s="1"/>
  <c r="AN662" i="2"/>
  <c r="AI662" i="2" s="1"/>
  <c r="AK663" i="2"/>
  <c r="AF663" i="2" s="1"/>
  <c r="AL663" i="2"/>
  <c r="AG663" i="2" s="1"/>
  <c r="AM663" i="2"/>
  <c r="AH663" i="2" s="1"/>
  <c r="AN663" i="2"/>
  <c r="AI663" i="2" s="1"/>
  <c r="AK664" i="2"/>
  <c r="AF664" i="2" s="1"/>
  <c r="AL664" i="2"/>
  <c r="AG664" i="2" s="1"/>
  <c r="AM664" i="2"/>
  <c r="AH664" i="2" s="1"/>
  <c r="AN664" i="2"/>
  <c r="AI664" i="2" s="1"/>
  <c r="AK665" i="2"/>
  <c r="AF665" i="2" s="1"/>
  <c r="AL665" i="2"/>
  <c r="AG665" i="2" s="1"/>
  <c r="AM665" i="2"/>
  <c r="AH665" i="2" s="1"/>
  <c r="AN665" i="2"/>
  <c r="AI665" i="2" s="1"/>
  <c r="AK666" i="2"/>
  <c r="AF666" i="2" s="1"/>
  <c r="AL666" i="2"/>
  <c r="AG666" i="2" s="1"/>
  <c r="AM666" i="2"/>
  <c r="AH666" i="2" s="1"/>
  <c r="AN666" i="2"/>
  <c r="AI666" i="2" s="1"/>
  <c r="AK667" i="2"/>
  <c r="AF667" i="2" s="1"/>
  <c r="AL667" i="2"/>
  <c r="AG667" i="2" s="1"/>
  <c r="AM667" i="2"/>
  <c r="AH667" i="2" s="1"/>
  <c r="AN667" i="2"/>
  <c r="AI667" i="2" s="1"/>
  <c r="AK668" i="2"/>
  <c r="AF668" i="2" s="1"/>
  <c r="AL668" i="2"/>
  <c r="AG668" i="2" s="1"/>
  <c r="AM668" i="2"/>
  <c r="AH668" i="2" s="1"/>
  <c r="AN668" i="2"/>
  <c r="AI668" i="2" s="1"/>
  <c r="AK669" i="2"/>
  <c r="AF669" i="2" s="1"/>
  <c r="AL669" i="2"/>
  <c r="AG669" i="2" s="1"/>
  <c r="AM669" i="2"/>
  <c r="AH669" i="2" s="1"/>
  <c r="AN669" i="2"/>
  <c r="AI669" i="2" s="1"/>
  <c r="AK670" i="2"/>
  <c r="AF670" i="2" s="1"/>
  <c r="AL670" i="2"/>
  <c r="AG670" i="2" s="1"/>
  <c r="AM670" i="2"/>
  <c r="AH670" i="2" s="1"/>
  <c r="AN670" i="2"/>
  <c r="AI670" i="2" s="1"/>
  <c r="AK671" i="2"/>
  <c r="AF671" i="2" s="1"/>
  <c r="AL671" i="2"/>
  <c r="AG671" i="2" s="1"/>
  <c r="AM671" i="2"/>
  <c r="AH671" i="2" s="1"/>
  <c r="AN671" i="2"/>
  <c r="AI671" i="2" s="1"/>
  <c r="AK672" i="2"/>
  <c r="AF672" i="2" s="1"/>
  <c r="AL672" i="2"/>
  <c r="AG672" i="2" s="1"/>
  <c r="AM672" i="2"/>
  <c r="AH672" i="2" s="1"/>
  <c r="AN672" i="2"/>
  <c r="AI672" i="2" s="1"/>
  <c r="AK673" i="2"/>
  <c r="AF673" i="2" s="1"/>
  <c r="AL673" i="2"/>
  <c r="AG673" i="2" s="1"/>
  <c r="AM673" i="2"/>
  <c r="AH673" i="2" s="1"/>
  <c r="AN673" i="2"/>
  <c r="AI673" i="2" s="1"/>
  <c r="AK674" i="2"/>
  <c r="AF674" i="2" s="1"/>
  <c r="AL674" i="2"/>
  <c r="AG674" i="2" s="1"/>
  <c r="AM674" i="2"/>
  <c r="AH674" i="2" s="1"/>
  <c r="AN674" i="2"/>
  <c r="AI674" i="2" s="1"/>
  <c r="AK675" i="2"/>
  <c r="AF675" i="2" s="1"/>
  <c r="AL675" i="2"/>
  <c r="AG675" i="2" s="1"/>
  <c r="AM675" i="2"/>
  <c r="AH675" i="2" s="1"/>
  <c r="AN675" i="2"/>
  <c r="AI675" i="2" s="1"/>
  <c r="AK676" i="2"/>
  <c r="AF676" i="2" s="1"/>
  <c r="AL676" i="2"/>
  <c r="AG676" i="2" s="1"/>
  <c r="AM676" i="2"/>
  <c r="AH676" i="2" s="1"/>
  <c r="AN676" i="2"/>
  <c r="AI676" i="2" s="1"/>
  <c r="AK677" i="2"/>
  <c r="AF677" i="2" s="1"/>
  <c r="AL677" i="2"/>
  <c r="AG677" i="2" s="1"/>
  <c r="AM677" i="2"/>
  <c r="AH677" i="2" s="1"/>
  <c r="AN677" i="2"/>
  <c r="AI677" i="2" s="1"/>
  <c r="AK678" i="2"/>
  <c r="AF678" i="2" s="1"/>
  <c r="AL678" i="2"/>
  <c r="AG678" i="2" s="1"/>
  <c r="AM678" i="2"/>
  <c r="AH678" i="2" s="1"/>
  <c r="AN678" i="2"/>
  <c r="AI678" i="2" s="1"/>
  <c r="AK679" i="2"/>
  <c r="AF679" i="2" s="1"/>
  <c r="AL679" i="2"/>
  <c r="AG679" i="2" s="1"/>
  <c r="AM679" i="2"/>
  <c r="AH679" i="2" s="1"/>
  <c r="AN679" i="2"/>
  <c r="AI679" i="2" s="1"/>
  <c r="AK680" i="2"/>
  <c r="AF680" i="2" s="1"/>
  <c r="AL680" i="2"/>
  <c r="AG680" i="2" s="1"/>
  <c r="AM680" i="2"/>
  <c r="AH680" i="2" s="1"/>
  <c r="AN680" i="2"/>
  <c r="AI680" i="2" s="1"/>
  <c r="AK681" i="2"/>
  <c r="AF681" i="2" s="1"/>
  <c r="AL681" i="2"/>
  <c r="AG681" i="2" s="1"/>
  <c r="AM681" i="2"/>
  <c r="AH681" i="2" s="1"/>
  <c r="AN681" i="2"/>
  <c r="AI681" i="2" s="1"/>
  <c r="AK682" i="2"/>
  <c r="AF682" i="2" s="1"/>
  <c r="AL682" i="2"/>
  <c r="AG682" i="2" s="1"/>
  <c r="AM682" i="2"/>
  <c r="AH682" i="2" s="1"/>
  <c r="AN682" i="2"/>
  <c r="AI682" i="2" s="1"/>
  <c r="AK683" i="2"/>
  <c r="AF683" i="2" s="1"/>
  <c r="AL683" i="2"/>
  <c r="AG683" i="2" s="1"/>
  <c r="AM683" i="2"/>
  <c r="AH683" i="2" s="1"/>
  <c r="AN683" i="2"/>
  <c r="AI683" i="2" s="1"/>
  <c r="AK684" i="2"/>
  <c r="AF684" i="2" s="1"/>
  <c r="AL684" i="2"/>
  <c r="AG684" i="2" s="1"/>
  <c r="AM684" i="2"/>
  <c r="AH684" i="2" s="1"/>
  <c r="AN684" i="2"/>
  <c r="AI684" i="2" s="1"/>
  <c r="AK685" i="2"/>
  <c r="AF685" i="2" s="1"/>
  <c r="AL685" i="2"/>
  <c r="AG685" i="2" s="1"/>
  <c r="AM685" i="2"/>
  <c r="AH685" i="2" s="1"/>
  <c r="AN685" i="2"/>
  <c r="AI685" i="2" s="1"/>
  <c r="AK686" i="2"/>
  <c r="AF686" i="2" s="1"/>
  <c r="AL686" i="2"/>
  <c r="AG686" i="2" s="1"/>
  <c r="AM686" i="2"/>
  <c r="AH686" i="2" s="1"/>
  <c r="AN686" i="2"/>
  <c r="AI686" i="2" s="1"/>
  <c r="AK687" i="2"/>
  <c r="AF687" i="2" s="1"/>
  <c r="AL687" i="2"/>
  <c r="AG687" i="2" s="1"/>
  <c r="AM687" i="2"/>
  <c r="AH687" i="2" s="1"/>
  <c r="AN687" i="2"/>
  <c r="AI687" i="2" s="1"/>
  <c r="AK688" i="2"/>
  <c r="AF688" i="2" s="1"/>
  <c r="AL688" i="2"/>
  <c r="AG688" i="2" s="1"/>
  <c r="AM688" i="2"/>
  <c r="AH688" i="2" s="1"/>
  <c r="AN688" i="2"/>
  <c r="AI688" i="2" s="1"/>
  <c r="AK689" i="2"/>
  <c r="AF689" i="2" s="1"/>
  <c r="AL689" i="2"/>
  <c r="AG689" i="2" s="1"/>
  <c r="AM689" i="2"/>
  <c r="AH689" i="2" s="1"/>
  <c r="AN689" i="2"/>
  <c r="AI689" i="2" s="1"/>
  <c r="AK690" i="2"/>
  <c r="AF690" i="2" s="1"/>
  <c r="AL690" i="2"/>
  <c r="AG690" i="2" s="1"/>
  <c r="AM690" i="2"/>
  <c r="AH690" i="2" s="1"/>
  <c r="AN690" i="2"/>
  <c r="AI690" i="2" s="1"/>
  <c r="AK691" i="2"/>
  <c r="AF691" i="2" s="1"/>
  <c r="AL691" i="2"/>
  <c r="AG691" i="2" s="1"/>
  <c r="AM691" i="2"/>
  <c r="AH691" i="2" s="1"/>
  <c r="AN691" i="2"/>
  <c r="AI691" i="2" s="1"/>
  <c r="AK692" i="2"/>
  <c r="AF692" i="2" s="1"/>
  <c r="AL692" i="2"/>
  <c r="AG692" i="2" s="1"/>
  <c r="AM692" i="2"/>
  <c r="AH692" i="2" s="1"/>
  <c r="AN692" i="2"/>
  <c r="AI692" i="2" s="1"/>
  <c r="AK693" i="2"/>
  <c r="AF693" i="2" s="1"/>
  <c r="AL693" i="2"/>
  <c r="AG693" i="2" s="1"/>
  <c r="AM693" i="2"/>
  <c r="AH693" i="2" s="1"/>
  <c r="AN693" i="2"/>
  <c r="AI693" i="2" s="1"/>
  <c r="AK694" i="2"/>
  <c r="AF694" i="2" s="1"/>
  <c r="AL694" i="2"/>
  <c r="AG694" i="2" s="1"/>
  <c r="AM694" i="2"/>
  <c r="AH694" i="2" s="1"/>
  <c r="AN694" i="2"/>
  <c r="AI694" i="2" s="1"/>
  <c r="AK695" i="2"/>
  <c r="AF695" i="2" s="1"/>
  <c r="AL695" i="2"/>
  <c r="AG695" i="2" s="1"/>
  <c r="AM695" i="2"/>
  <c r="AH695" i="2" s="1"/>
  <c r="AN695" i="2"/>
  <c r="AI695" i="2" s="1"/>
  <c r="AK696" i="2"/>
  <c r="AF696" i="2" s="1"/>
  <c r="AL696" i="2"/>
  <c r="AG696" i="2" s="1"/>
  <c r="AM696" i="2"/>
  <c r="AH696" i="2" s="1"/>
  <c r="AN696" i="2"/>
  <c r="AI696" i="2" s="1"/>
  <c r="AK697" i="2"/>
  <c r="AF697" i="2" s="1"/>
  <c r="AL697" i="2"/>
  <c r="AG697" i="2" s="1"/>
  <c r="AM697" i="2"/>
  <c r="AH697" i="2" s="1"/>
  <c r="AN697" i="2"/>
  <c r="AI697" i="2" s="1"/>
  <c r="AK698" i="2"/>
  <c r="AF698" i="2" s="1"/>
  <c r="AL698" i="2"/>
  <c r="AG698" i="2" s="1"/>
  <c r="AM698" i="2"/>
  <c r="AH698" i="2" s="1"/>
  <c r="AN698" i="2"/>
  <c r="AI698" i="2" s="1"/>
  <c r="AK700" i="2"/>
  <c r="AF700" i="2" s="1"/>
  <c r="AL700" i="2"/>
  <c r="AG700" i="2" s="1"/>
  <c r="AM700" i="2"/>
  <c r="AH700" i="2" s="1"/>
  <c r="AN700" i="2"/>
  <c r="AI700" i="2" s="1"/>
  <c r="AK701" i="2"/>
  <c r="AF701" i="2" s="1"/>
  <c r="AL701" i="2"/>
  <c r="AG701" i="2" s="1"/>
  <c r="AM701" i="2"/>
  <c r="AH701" i="2" s="1"/>
  <c r="AN701" i="2"/>
  <c r="AI701" i="2" s="1"/>
  <c r="AK702" i="2"/>
  <c r="AF702" i="2" s="1"/>
  <c r="AL702" i="2"/>
  <c r="AG702" i="2" s="1"/>
  <c r="AM702" i="2"/>
  <c r="AH702" i="2" s="1"/>
  <c r="AN702" i="2"/>
  <c r="AI702" i="2" s="1"/>
  <c r="AK703" i="2"/>
  <c r="AF703" i="2" s="1"/>
  <c r="AL703" i="2"/>
  <c r="AG703" i="2" s="1"/>
  <c r="AM703" i="2"/>
  <c r="AH703" i="2" s="1"/>
  <c r="AN703" i="2"/>
  <c r="AI703" i="2" s="1"/>
  <c r="AK704" i="2"/>
  <c r="AF704" i="2" s="1"/>
  <c r="AL704" i="2"/>
  <c r="AG704" i="2" s="1"/>
  <c r="AM704" i="2"/>
  <c r="AH704" i="2" s="1"/>
  <c r="AN704" i="2"/>
  <c r="AI704" i="2" s="1"/>
  <c r="AK705" i="2"/>
  <c r="AF705" i="2" s="1"/>
  <c r="AL705" i="2"/>
  <c r="AG705" i="2" s="1"/>
  <c r="AM705" i="2"/>
  <c r="AH705" i="2" s="1"/>
  <c r="AN705" i="2"/>
  <c r="AI705" i="2" s="1"/>
  <c r="AK706" i="2"/>
  <c r="AF706" i="2" s="1"/>
  <c r="AL706" i="2"/>
  <c r="AG706" i="2" s="1"/>
  <c r="AM706" i="2"/>
  <c r="AH706" i="2" s="1"/>
  <c r="AN706" i="2"/>
  <c r="AI706" i="2" s="1"/>
  <c r="AK707" i="2"/>
  <c r="AF707" i="2" s="1"/>
  <c r="AL707" i="2"/>
  <c r="AG707" i="2" s="1"/>
  <c r="AM707" i="2"/>
  <c r="AH707" i="2" s="1"/>
  <c r="AN707" i="2"/>
  <c r="AI707" i="2" s="1"/>
  <c r="AK708" i="2"/>
  <c r="AF708" i="2" s="1"/>
  <c r="AL708" i="2"/>
  <c r="AG708" i="2" s="1"/>
  <c r="AM708" i="2"/>
  <c r="AH708" i="2" s="1"/>
  <c r="AN708" i="2"/>
  <c r="AI708" i="2" s="1"/>
  <c r="AK709" i="2"/>
  <c r="AF709" i="2" s="1"/>
  <c r="AL709" i="2"/>
  <c r="AG709" i="2" s="1"/>
  <c r="AM709" i="2"/>
  <c r="AH709" i="2" s="1"/>
  <c r="AN709" i="2"/>
  <c r="AI709" i="2" s="1"/>
  <c r="AK710" i="2"/>
  <c r="AF710" i="2" s="1"/>
  <c r="AL710" i="2"/>
  <c r="AG710" i="2" s="1"/>
  <c r="AM710" i="2"/>
  <c r="AH710" i="2" s="1"/>
  <c r="AN710" i="2"/>
  <c r="AI710" i="2" s="1"/>
  <c r="AK711" i="2"/>
  <c r="AF711" i="2" s="1"/>
  <c r="AL711" i="2"/>
  <c r="AG711" i="2" s="1"/>
  <c r="AM711" i="2"/>
  <c r="AH711" i="2" s="1"/>
  <c r="AN711" i="2"/>
  <c r="AI711" i="2" s="1"/>
  <c r="AK712" i="2"/>
  <c r="AF712" i="2" s="1"/>
  <c r="AL712" i="2"/>
  <c r="AG712" i="2" s="1"/>
  <c r="AM712" i="2"/>
  <c r="AH712" i="2" s="1"/>
  <c r="AN712" i="2"/>
  <c r="AI712" i="2" s="1"/>
  <c r="AK713" i="2"/>
  <c r="AF713" i="2" s="1"/>
  <c r="AL713" i="2"/>
  <c r="AG713" i="2" s="1"/>
  <c r="AM713" i="2"/>
  <c r="AH713" i="2" s="1"/>
  <c r="AN713" i="2"/>
  <c r="AI713" i="2" s="1"/>
  <c r="AK714" i="2"/>
  <c r="AF714" i="2" s="1"/>
  <c r="AL714" i="2"/>
  <c r="AG714" i="2" s="1"/>
  <c r="AM714" i="2"/>
  <c r="AH714" i="2" s="1"/>
  <c r="AN714" i="2"/>
  <c r="AI714" i="2" s="1"/>
  <c r="AK715" i="2"/>
  <c r="AF715" i="2" s="1"/>
  <c r="AL715" i="2"/>
  <c r="AG715" i="2" s="1"/>
  <c r="AM715" i="2"/>
  <c r="AH715" i="2" s="1"/>
  <c r="AN715" i="2"/>
  <c r="AI715" i="2" s="1"/>
  <c r="AK716" i="2"/>
  <c r="AF716" i="2" s="1"/>
  <c r="AL716" i="2"/>
  <c r="AG716" i="2" s="1"/>
  <c r="AM716" i="2"/>
  <c r="AH716" i="2" s="1"/>
  <c r="AN716" i="2"/>
  <c r="AI716" i="2" s="1"/>
  <c r="AK717" i="2"/>
  <c r="AF717" i="2" s="1"/>
  <c r="AL717" i="2"/>
  <c r="AG717" i="2" s="1"/>
  <c r="AM717" i="2"/>
  <c r="AH717" i="2" s="1"/>
  <c r="AN717" i="2"/>
  <c r="AI717" i="2" s="1"/>
  <c r="AK718" i="2"/>
  <c r="AF718" i="2" s="1"/>
  <c r="AL718" i="2"/>
  <c r="AG718" i="2" s="1"/>
  <c r="AM718" i="2"/>
  <c r="AH718" i="2" s="1"/>
  <c r="AN718" i="2"/>
  <c r="AI718" i="2" s="1"/>
  <c r="AK719" i="2"/>
  <c r="AF719" i="2" s="1"/>
  <c r="AL719" i="2"/>
  <c r="AG719" i="2" s="1"/>
  <c r="AM719" i="2"/>
  <c r="AH719" i="2" s="1"/>
  <c r="AN719" i="2"/>
  <c r="AI719" i="2" s="1"/>
  <c r="AK720" i="2"/>
  <c r="AF720" i="2" s="1"/>
  <c r="AL720" i="2"/>
  <c r="AG720" i="2" s="1"/>
  <c r="AM720" i="2"/>
  <c r="AH720" i="2" s="1"/>
  <c r="AN720" i="2"/>
  <c r="AI720" i="2" s="1"/>
  <c r="AK721" i="2"/>
  <c r="AF721" i="2" s="1"/>
  <c r="AL721" i="2"/>
  <c r="AG721" i="2" s="1"/>
  <c r="AM721" i="2"/>
  <c r="AH721" i="2" s="1"/>
  <c r="AN721" i="2"/>
  <c r="AI721" i="2" s="1"/>
  <c r="AK722" i="2"/>
  <c r="AF722" i="2" s="1"/>
  <c r="AL722" i="2"/>
  <c r="AG722" i="2" s="1"/>
  <c r="AM722" i="2"/>
  <c r="AH722" i="2" s="1"/>
  <c r="AN722" i="2"/>
  <c r="AI722" i="2" s="1"/>
  <c r="AK723" i="2"/>
  <c r="AF723" i="2" s="1"/>
  <c r="AL723" i="2"/>
  <c r="AG723" i="2" s="1"/>
  <c r="AM723" i="2"/>
  <c r="AH723" i="2" s="1"/>
  <c r="AN723" i="2"/>
  <c r="AI723" i="2" s="1"/>
  <c r="AK724" i="2"/>
  <c r="AF724" i="2" s="1"/>
  <c r="AL724" i="2"/>
  <c r="AG724" i="2" s="1"/>
  <c r="AM724" i="2"/>
  <c r="AH724" i="2" s="1"/>
  <c r="AN724" i="2"/>
  <c r="AI724" i="2" s="1"/>
  <c r="AK725" i="2"/>
  <c r="AF725" i="2" s="1"/>
  <c r="AL725" i="2"/>
  <c r="AG725" i="2" s="1"/>
  <c r="AM725" i="2"/>
  <c r="AH725" i="2" s="1"/>
  <c r="AN725" i="2"/>
  <c r="AI725" i="2" s="1"/>
  <c r="AK726" i="2"/>
  <c r="AF726" i="2" s="1"/>
  <c r="AL726" i="2"/>
  <c r="AG726" i="2" s="1"/>
  <c r="AM726" i="2"/>
  <c r="AH726" i="2" s="1"/>
  <c r="AN726" i="2"/>
  <c r="AI726" i="2" s="1"/>
  <c r="AK727" i="2"/>
  <c r="AF727" i="2" s="1"/>
  <c r="AL727" i="2"/>
  <c r="AG727" i="2" s="1"/>
  <c r="AM727" i="2"/>
  <c r="AH727" i="2" s="1"/>
  <c r="AN727" i="2"/>
  <c r="AI727" i="2" s="1"/>
  <c r="AK728" i="2"/>
  <c r="AF728" i="2" s="1"/>
  <c r="AL728" i="2"/>
  <c r="AG728" i="2" s="1"/>
  <c r="AM728" i="2"/>
  <c r="AH728" i="2" s="1"/>
  <c r="AN728" i="2"/>
  <c r="AI728" i="2" s="1"/>
  <c r="AK729" i="2"/>
  <c r="AF729" i="2" s="1"/>
  <c r="AL729" i="2"/>
  <c r="AG729" i="2" s="1"/>
  <c r="AM729" i="2"/>
  <c r="AH729" i="2" s="1"/>
  <c r="AN729" i="2"/>
  <c r="AI729" i="2" s="1"/>
  <c r="AK730" i="2"/>
  <c r="AF730" i="2" s="1"/>
  <c r="AL730" i="2"/>
  <c r="AG730" i="2" s="1"/>
  <c r="AM730" i="2"/>
  <c r="AH730" i="2" s="1"/>
  <c r="AN730" i="2"/>
  <c r="AI730" i="2" s="1"/>
  <c r="AK731" i="2"/>
  <c r="AF731" i="2" s="1"/>
  <c r="AL731" i="2"/>
  <c r="AG731" i="2" s="1"/>
  <c r="AM731" i="2"/>
  <c r="AH731" i="2" s="1"/>
  <c r="AN731" i="2"/>
  <c r="AI731" i="2" s="1"/>
  <c r="AK732" i="2"/>
  <c r="AF732" i="2" s="1"/>
  <c r="AL732" i="2"/>
  <c r="AG732" i="2" s="1"/>
  <c r="AM732" i="2"/>
  <c r="AH732" i="2" s="1"/>
  <c r="AN732" i="2"/>
  <c r="AI732" i="2" s="1"/>
  <c r="AK733" i="2"/>
  <c r="AF733" i="2" s="1"/>
  <c r="AL733" i="2"/>
  <c r="AG733" i="2" s="1"/>
  <c r="AM733" i="2"/>
  <c r="AH733" i="2" s="1"/>
  <c r="AN733" i="2"/>
  <c r="AI733" i="2" s="1"/>
  <c r="AK734" i="2"/>
  <c r="AF734" i="2" s="1"/>
  <c r="AL734" i="2"/>
  <c r="AG734" i="2" s="1"/>
  <c r="AM734" i="2"/>
  <c r="AH734" i="2" s="1"/>
  <c r="AN734" i="2"/>
  <c r="AI734" i="2" s="1"/>
  <c r="AK735" i="2"/>
  <c r="AF735" i="2" s="1"/>
  <c r="AL735" i="2"/>
  <c r="AG735" i="2" s="1"/>
  <c r="AM735" i="2"/>
  <c r="AH735" i="2" s="1"/>
  <c r="AN735" i="2"/>
  <c r="AI735" i="2" s="1"/>
  <c r="AK736" i="2"/>
  <c r="AL736" i="2"/>
  <c r="AM736" i="2"/>
  <c r="AN736" i="2"/>
  <c r="AK737" i="2"/>
  <c r="AF737" i="2" s="1"/>
  <c r="AL737" i="2"/>
  <c r="AG737" i="2" s="1"/>
  <c r="AM737" i="2"/>
  <c r="AH737" i="2" s="1"/>
  <c r="AN737" i="2"/>
  <c r="AI737" i="2" s="1"/>
  <c r="AK738" i="2"/>
  <c r="AF738" i="2" s="1"/>
  <c r="AL738" i="2"/>
  <c r="AG738" i="2" s="1"/>
  <c r="AM738" i="2"/>
  <c r="AH738" i="2" s="1"/>
  <c r="AN738" i="2"/>
  <c r="AI738" i="2" s="1"/>
  <c r="AK739" i="2"/>
  <c r="AF739" i="2" s="1"/>
  <c r="AL739" i="2"/>
  <c r="AG739" i="2" s="1"/>
  <c r="AM739" i="2"/>
  <c r="AH739" i="2" s="1"/>
  <c r="AN739" i="2"/>
  <c r="AI739" i="2" s="1"/>
  <c r="AK740" i="2"/>
  <c r="AF740" i="2" s="1"/>
  <c r="AL740" i="2"/>
  <c r="AG740" i="2" s="1"/>
  <c r="AM740" i="2"/>
  <c r="AH740" i="2" s="1"/>
  <c r="AN740" i="2"/>
  <c r="AI740" i="2" s="1"/>
  <c r="AK741" i="2"/>
  <c r="AF741" i="2" s="1"/>
  <c r="AL741" i="2"/>
  <c r="AG741" i="2" s="1"/>
  <c r="AM741" i="2"/>
  <c r="AH741" i="2" s="1"/>
  <c r="AN741" i="2"/>
  <c r="AI741" i="2" s="1"/>
  <c r="AK742" i="2"/>
  <c r="AF742" i="2" s="1"/>
  <c r="AL742" i="2"/>
  <c r="AG742" i="2" s="1"/>
  <c r="AM742" i="2"/>
  <c r="AH742" i="2" s="1"/>
  <c r="AN742" i="2"/>
  <c r="AI742" i="2" s="1"/>
  <c r="AK743" i="2"/>
  <c r="AF743" i="2" s="1"/>
  <c r="AL743" i="2"/>
  <c r="AG743" i="2" s="1"/>
  <c r="AM743" i="2"/>
  <c r="AH743" i="2" s="1"/>
  <c r="AN743" i="2"/>
  <c r="AI743" i="2" s="1"/>
  <c r="AK744" i="2"/>
  <c r="AF744" i="2" s="1"/>
  <c r="AL744" i="2"/>
  <c r="AG744" i="2" s="1"/>
  <c r="AM744" i="2"/>
  <c r="AH744" i="2" s="1"/>
  <c r="AN744" i="2"/>
  <c r="AI744" i="2" s="1"/>
  <c r="AK745" i="2"/>
  <c r="AF745" i="2" s="1"/>
  <c r="AL745" i="2"/>
  <c r="AG745" i="2" s="1"/>
  <c r="AM745" i="2"/>
  <c r="AH745" i="2" s="1"/>
  <c r="AN745" i="2"/>
  <c r="AI745" i="2" s="1"/>
  <c r="AK746" i="2"/>
  <c r="AF746" i="2" s="1"/>
  <c r="AL746" i="2"/>
  <c r="AG746" i="2" s="1"/>
  <c r="AM746" i="2"/>
  <c r="AH746" i="2" s="1"/>
  <c r="AN746" i="2"/>
  <c r="AI746" i="2" s="1"/>
  <c r="AK747" i="2"/>
  <c r="AF747" i="2" s="1"/>
  <c r="AL747" i="2"/>
  <c r="AG747" i="2" s="1"/>
  <c r="AM747" i="2"/>
  <c r="AH747" i="2" s="1"/>
  <c r="AN747" i="2"/>
  <c r="AI747" i="2" s="1"/>
  <c r="AK748" i="2"/>
  <c r="AF748" i="2" s="1"/>
  <c r="AL748" i="2"/>
  <c r="AG748" i="2" s="1"/>
  <c r="AM748" i="2"/>
  <c r="AH748" i="2" s="1"/>
  <c r="AN748" i="2"/>
  <c r="AI748" i="2" s="1"/>
  <c r="AK749" i="2"/>
  <c r="AF749" i="2" s="1"/>
  <c r="AL749" i="2"/>
  <c r="AG749" i="2" s="1"/>
  <c r="AM749" i="2"/>
  <c r="AH749" i="2" s="1"/>
  <c r="AN749" i="2"/>
  <c r="AI749" i="2" s="1"/>
  <c r="AK750" i="2"/>
  <c r="AL750" i="2"/>
  <c r="AM750" i="2"/>
  <c r="AN750" i="2"/>
  <c r="AK751" i="2"/>
  <c r="AL751" i="2"/>
  <c r="AM751" i="2"/>
  <c r="AN751" i="2"/>
  <c r="AK752" i="2"/>
  <c r="AL752" i="2"/>
  <c r="AM752" i="2"/>
  <c r="AN752" i="2"/>
  <c r="AK753" i="2"/>
  <c r="AL753" i="2"/>
  <c r="AM753" i="2"/>
  <c r="AN753" i="2"/>
  <c r="AK754" i="2"/>
  <c r="AL754" i="2"/>
  <c r="AM754" i="2"/>
  <c r="AN754" i="2"/>
  <c r="AK755" i="2"/>
  <c r="AF755" i="2" s="1"/>
  <c r="AL755" i="2"/>
  <c r="AG755" i="2" s="1"/>
  <c r="AM755" i="2"/>
  <c r="AH755" i="2" s="1"/>
  <c r="AN755" i="2"/>
  <c r="AI755" i="2" s="1"/>
  <c r="AK756" i="2"/>
  <c r="AF756" i="2" s="1"/>
  <c r="AL756" i="2"/>
  <c r="AG756" i="2" s="1"/>
  <c r="AM756" i="2"/>
  <c r="AH756" i="2" s="1"/>
  <c r="AN756" i="2"/>
  <c r="AI756" i="2" s="1"/>
  <c r="AK757" i="2"/>
  <c r="AF757" i="2" s="1"/>
  <c r="AL757" i="2"/>
  <c r="AG757" i="2" s="1"/>
  <c r="AM757" i="2"/>
  <c r="AH757" i="2" s="1"/>
  <c r="AN757" i="2"/>
  <c r="AI757" i="2" s="1"/>
  <c r="AK758" i="2"/>
  <c r="AF758" i="2" s="1"/>
  <c r="AL758" i="2"/>
  <c r="AG758" i="2" s="1"/>
  <c r="AM758" i="2"/>
  <c r="AH758" i="2" s="1"/>
  <c r="AN758" i="2"/>
  <c r="AI758" i="2" s="1"/>
  <c r="AK759" i="2"/>
  <c r="AF759" i="2" s="1"/>
  <c r="AL759" i="2"/>
  <c r="AG759" i="2" s="1"/>
  <c r="AM759" i="2"/>
  <c r="AH759" i="2" s="1"/>
  <c r="AN759" i="2"/>
  <c r="AI759" i="2" s="1"/>
  <c r="AK760" i="2"/>
  <c r="AF760" i="2" s="1"/>
  <c r="AL760" i="2"/>
  <c r="AG760" i="2" s="1"/>
  <c r="AM760" i="2"/>
  <c r="AH760" i="2" s="1"/>
  <c r="AN760" i="2"/>
  <c r="AI760" i="2" s="1"/>
  <c r="AK761" i="2"/>
  <c r="AF761" i="2" s="1"/>
  <c r="AL761" i="2"/>
  <c r="AG761" i="2" s="1"/>
  <c r="AM761" i="2"/>
  <c r="AH761" i="2" s="1"/>
  <c r="AN761" i="2"/>
  <c r="AI761" i="2" s="1"/>
  <c r="AK762" i="2"/>
  <c r="AF762" i="2" s="1"/>
  <c r="AL762" i="2"/>
  <c r="AG762" i="2" s="1"/>
  <c r="AM762" i="2"/>
  <c r="AH762" i="2" s="1"/>
  <c r="AN762" i="2"/>
  <c r="AI762" i="2" s="1"/>
  <c r="AK763" i="2"/>
  <c r="AF763" i="2" s="1"/>
  <c r="AL763" i="2"/>
  <c r="AG763" i="2" s="1"/>
  <c r="AM763" i="2"/>
  <c r="AH763" i="2" s="1"/>
  <c r="AN763" i="2"/>
  <c r="AI763" i="2" s="1"/>
  <c r="AK764" i="2"/>
  <c r="AF764" i="2" s="1"/>
  <c r="AL764" i="2"/>
  <c r="AG764" i="2" s="1"/>
  <c r="AM764" i="2"/>
  <c r="AH764" i="2" s="1"/>
  <c r="AN764" i="2"/>
  <c r="AI764" i="2" s="1"/>
  <c r="AK765" i="2"/>
  <c r="AF765" i="2" s="1"/>
  <c r="AL765" i="2"/>
  <c r="AG765" i="2" s="1"/>
  <c r="AM765" i="2"/>
  <c r="AH765" i="2" s="1"/>
  <c r="AN765" i="2"/>
  <c r="AI765" i="2" s="1"/>
  <c r="AK766" i="2"/>
  <c r="AF766" i="2" s="1"/>
  <c r="AL766" i="2"/>
  <c r="AG766" i="2" s="1"/>
  <c r="AM766" i="2"/>
  <c r="AH766" i="2" s="1"/>
  <c r="AN766" i="2"/>
  <c r="AI766" i="2" s="1"/>
  <c r="AK767" i="2"/>
  <c r="AF767" i="2" s="1"/>
  <c r="AL767" i="2"/>
  <c r="AG767" i="2" s="1"/>
  <c r="AM767" i="2"/>
  <c r="AH767" i="2" s="1"/>
  <c r="AN767" i="2"/>
  <c r="AI767" i="2" s="1"/>
  <c r="AK768" i="2"/>
  <c r="AF768" i="2" s="1"/>
  <c r="AL768" i="2"/>
  <c r="AG768" i="2" s="1"/>
  <c r="AM768" i="2"/>
  <c r="AH768" i="2" s="1"/>
  <c r="AN768" i="2"/>
  <c r="AI768" i="2" s="1"/>
  <c r="AK769" i="2"/>
  <c r="AF769" i="2" s="1"/>
  <c r="AL769" i="2"/>
  <c r="AG769" i="2" s="1"/>
  <c r="AM769" i="2"/>
  <c r="AH769" i="2" s="1"/>
  <c r="AN769" i="2"/>
  <c r="AI769" i="2" s="1"/>
  <c r="AK770" i="2"/>
  <c r="AF770" i="2" s="1"/>
  <c r="AL770" i="2"/>
  <c r="AG770" i="2" s="1"/>
  <c r="AM770" i="2"/>
  <c r="AH770" i="2" s="1"/>
  <c r="AN770" i="2"/>
  <c r="AI770" i="2" s="1"/>
  <c r="AK771" i="2"/>
  <c r="AF771" i="2" s="1"/>
  <c r="AL771" i="2"/>
  <c r="AG771" i="2" s="1"/>
  <c r="AM771" i="2"/>
  <c r="AH771" i="2" s="1"/>
  <c r="AN771" i="2"/>
  <c r="AI771" i="2" s="1"/>
  <c r="AK772" i="2"/>
  <c r="AF772" i="2" s="1"/>
  <c r="AL772" i="2"/>
  <c r="AG772" i="2" s="1"/>
  <c r="AM772" i="2"/>
  <c r="AH772" i="2" s="1"/>
  <c r="AN772" i="2"/>
  <c r="AI772" i="2" s="1"/>
  <c r="AK773" i="2"/>
  <c r="AF773" i="2" s="1"/>
  <c r="AL773" i="2"/>
  <c r="AG773" i="2" s="1"/>
  <c r="AM773" i="2"/>
  <c r="AH773" i="2" s="1"/>
  <c r="AN773" i="2"/>
  <c r="AI773" i="2" s="1"/>
  <c r="AK774" i="2"/>
  <c r="AF774" i="2" s="1"/>
  <c r="AL774" i="2"/>
  <c r="AG774" i="2" s="1"/>
  <c r="AM774" i="2"/>
  <c r="AH774" i="2" s="1"/>
  <c r="AN774" i="2"/>
  <c r="AI774" i="2" s="1"/>
  <c r="AK775" i="2"/>
  <c r="AF775" i="2" s="1"/>
  <c r="AL775" i="2"/>
  <c r="AG775" i="2" s="1"/>
  <c r="AM775" i="2"/>
  <c r="AH775" i="2" s="1"/>
  <c r="AN775" i="2"/>
  <c r="AI775" i="2" s="1"/>
  <c r="AK776" i="2"/>
  <c r="AF776" i="2" s="1"/>
  <c r="AL776" i="2"/>
  <c r="AG776" i="2" s="1"/>
  <c r="AM776" i="2"/>
  <c r="AH776" i="2" s="1"/>
  <c r="AN776" i="2"/>
  <c r="AI776" i="2" s="1"/>
  <c r="AK777" i="2"/>
  <c r="AF777" i="2" s="1"/>
  <c r="AL777" i="2"/>
  <c r="AG777" i="2" s="1"/>
  <c r="AM777" i="2"/>
  <c r="AH777" i="2" s="1"/>
  <c r="AN777" i="2"/>
  <c r="AI777" i="2" s="1"/>
  <c r="AK778" i="2"/>
  <c r="AF778" i="2" s="1"/>
  <c r="AL778" i="2"/>
  <c r="AG778" i="2" s="1"/>
  <c r="AM778" i="2"/>
  <c r="AH778" i="2" s="1"/>
  <c r="AN778" i="2"/>
  <c r="AI778" i="2" s="1"/>
  <c r="AK779" i="2"/>
  <c r="AF779" i="2" s="1"/>
  <c r="AL779" i="2"/>
  <c r="AG779" i="2" s="1"/>
  <c r="AM779" i="2"/>
  <c r="AH779" i="2" s="1"/>
  <c r="AN779" i="2"/>
  <c r="AI779" i="2" s="1"/>
  <c r="AK780" i="2"/>
  <c r="AF780" i="2" s="1"/>
  <c r="AL780" i="2"/>
  <c r="AG780" i="2" s="1"/>
  <c r="AM780" i="2"/>
  <c r="AH780" i="2" s="1"/>
  <c r="AN780" i="2"/>
  <c r="AI780" i="2" s="1"/>
  <c r="AK781" i="2"/>
  <c r="AF781" i="2" s="1"/>
  <c r="AL781" i="2"/>
  <c r="AG781" i="2" s="1"/>
  <c r="AM781" i="2"/>
  <c r="AH781" i="2" s="1"/>
  <c r="AN781" i="2"/>
  <c r="AI781" i="2" s="1"/>
  <c r="AK782" i="2"/>
  <c r="AF782" i="2" s="1"/>
  <c r="AL782" i="2"/>
  <c r="AG782" i="2" s="1"/>
  <c r="AM782" i="2"/>
  <c r="AH782" i="2" s="1"/>
  <c r="AN782" i="2"/>
  <c r="AI782" i="2" s="1"/>
  <c r="AK783" i="2"/>
  <c r="AF783" i="2" s="1"/>
  <c r="AL783" i="2"/>
  <c r="AG783" i="2" s="1"/>
  <c r="AM783" i="2"/>
  <c r="AH783" i="2" s="1"/>
  <c r="AN783" i="2"/>
  <c r="AI783" i="2" s="1"/>
  <c r="AK784" i="2"/>
  <c r="AF784" i="2" s="1"/>
  <c r="AL784" i="2"/>
  <c r="AG784" i="2" s="1"/>
  <c r="AM784" i="2"/>
  <c r="AH784" i="2" s="1"/>
  <c r="AN784" i="2"/>
  <c r="AI784" i="2" s="1"/>
  <c r="AK785" i="2"/>
  <c r="AF785" i="2" s="1"/>
  <c r="AL785" i="2"/>
  <c r="AG785" i="2" s="1"/>
  <c r="AM785" i="2"/>
  <c r="AH785" i="2" s="1"/>
  <c r="AN785" i="2"/>
  <c r="AI785" i="2" s="1"/>
  <c r="AK786" i="2"/>
  <c r="AF786" i="2" s="1"/>
  <c r="AL786" i="2"/>
  <c r="AG786" i="2" s="1"/>
  <c r="AM786" i="2"/>
  <c r="AH786" i="2" s="1"/>
  <c r="AN786" i="2"/>
  <c r="AI786" i="2" s="1"/>
  <c r="AK787" i="2"/>
  <c r="AF787" i="2" s="1"/>
  <c r="AL787" i="2"/>
  <c r="AG787" i="2" s="1"/>
  <c r="AM787" i="2"/>
  <c r="AH787" i="2" s="1"/>
  <c r="AN787" i="2"/>
  <c r="AI787" i="2" s="1"/>
  <c r="AK788" i="2"/>
  <c r="AF788" i="2" s="1"/>
  <c r="AL788" i="2"/>
  <c r="AG788" i="2" s="1"/>
  <c r="AM788" i="2"/>
  <c r="AH788" i="2" s="1"/>
  <c r="AN788" i="2"/>
  <c r="AI788" i="2" s="1"/>
  <c r="AK789" i="2"/>
  <c r="AF789" i="2" s="1"/>
  <c r="AL789" i="2"/>
  <c r="AG789" i="2" s="1"/>
  <c r="AM789" i="2"/>
  <c r="AH789" i="2" s="1"/>
  <c r="AN789" i="2"/>
  <c r="AI789" i="2" s="1"/>
  <c r="AK790" i="2"/>
  <c r="AF790" i="2" s="1"/>
  <c r="AK791" i="2"/>
  <c r="AF791" i="2" s="1"/>
  <c r="AL791" i="2"/>
  <c r="AG791" i="2" s="1"/>
  <c r="AM791" i="2"/>
  <c r="AH791" i="2" s="1"/>
  <c r="AN791" i="2"/>
  <c r="AI791" i="2" s="1"/>
  <c r="AK792" i="2"/>
  <c r="AF792" i="2" s="1"/>
  <c r="AL792" i="2"/>
  <c r="AG792" i="2" s="1"/>
  <c r="AM792" i="2"/>
  <c r="AH792" i="2" s="1"/>
  <c r="AN792" i="2"/>
  <c r="AI792" i="2" s="1"/>
  <c r="AK793" i="2"/>
  <c r="AL793" i="2"/>
  <c r="AM793" i="2"/>
  <c r="AN793" i="2"/>
  <c r="AK794" i="2"/>
  <c r="AL794" i="2"/>
  <c r="AM794" i="2"/>
  <c r="AN794" i="2"/>
  <c r="AK795" i="2"/>
  <c r="AF795" i="2" s="1"/>
  <c r="AK796" i="2"/>
  <c r="AF796" i="2" s="1"/>
  <c r="AL796" i="2"/>
  <c r="AG796" i="2" s="1"/>
  <c r="AM796" i="2"/>
  <c r="AH796" i="2" s="1"/>
  <c r="AN796" i="2"/>
  <c r="AI796" i="2" s="1"/>
  <c r="AK797" i="2"/>
  <c r="AF797" i="2" s="1"/>
  <c r="AL797" i="2"/>
  <c r="AG797" i="2" s="1"/>
  <c r="AM797" i="2"/>
  <c r="AH797" i="2" s="1"/>
  <c r="AN797" i="2"/>
  <c r="AI797" i="2" s="1"/>
  <c r="AK798" i="2"/>
  <c r="AF798" i="2" s="1"/>
  <c r="AL798" i="2"/>
  <c r="AG798" i="2" s="1"/>
  <c r="AM798" i="2"/>
  <c r="AH798" i="2" s="1"/>
  <c r="AN798" i="2"/>
  <c r="AI798" i="2" s="1"/>
  <c r="AK799" i="2"/>
  <c r="AF799" i="2" s="1"/>
  <c r="AL799" i="2"/>
  <c r="AG799" i="2" s="1"/>
  <c r="AM799" i="2"/>
  <c r="AH799" i="2" s="1"/>
  <c r="AN799" i="2"/>
  <c r="AI799" i="2" s="1"/>
  <c r="AK800" i="2"/>
  <c r="AF800" i="2" s="1"/>
  <c r="AL800" i="2"/>
  <c r="AG800" i="2" s="1"/>
  <c r="AM800" i="2"/>
  <c r="AH800" i="2" s="1"/>
  <c r="AN800" i="2"/>
  <c r="AI800" i="2" s="1"/>
  <c r="AK801" i="2"/>
  <c r="AF801" i="2" s="1"/>
  <c r="AL801" i="2"/>
  <c r="AG801" i="2" s="1"/>
  <c r="AM801" i="2"/>
  <c r="AH801" i="2" s="1"/>
  <c r="AN801" i="2"/>
  <c r="AI801" i="2" s="1"/>
  <c r="AK802" i="2"/>
  <c r="AF802" i="2" s="1"/>
  <c r="AL802" i="2"/>
  <c r="AG802" i="2" s="1"/>
  <c r="AM802" i="2"/>
  <c r="AH802" i="2" s="1"/>
  <c r="AN802" i="2"/>
  <c r="AI802" i="2" s="1"/>
  <c r="AK803" i="2"/>
  <c r="AF803" i="2" s="1"/>
  <c r="AL803" i="2"/>
  <c r="AG803" i="2" s="1"/>
  <c r="AM803" i="2"/>
  <c r="AH803" i="2" s="1"/>
  <c r="AN803" i="2"/>
  <c r="AI803" i="2" s="1"/>
  <c r="AK804" i="2"/>
  <c r="AF804" i="2" s="1"/>
  <c r="AL804" i="2"/>
  <c r="AG804" i="2" s="1"/>
  <c r="AM804" i="2"/>
  <c r="AH804" i="2" s="1"/>
  <c r="AN804" i="2"/>
  <c r="AI804" i="2" s="1"/>
  <c r="AK805" i="2"/>
  <c r="AF805" i="2" s="1"/>
  <c r="AL805" i="2"/>
  <c r="AG805" i="2" s="1"/>
  <c r="AM805" i="2"/>
  <c r="AH805" i="2" s="1"/>
  <c r="AN805" i="2"/>
  <c r="AI805" i="2" s="1"/>
  <c r="AK806" i="2"/>
  <c r="AF806" i="2" s="1"/>
  <c r="AL806" i="2"/>
  <c r="AG806" i="2" s="1"/>
  <c r="AM806" i="2"/>
  <c r="AH806" i="2" s="1"/>
  <c r="AN806" i="2"/>
  <c r="AI806" i="2" s="1"/>
  <c r="AK807" i="2"/>
  <c r="AF807" i="2" s="1"/>
  <c r="AL807" i="2"/>
  <c r="AG807" i="2" s="1"/>
  <c r="AM807" i="2"/>
  <c r="AH807" i="2" s="1"/>
  <c r="AN807" i="2"/>
  <c r="AI807" i="2" s="1"/>
  <c r="AK808" i="2"/>
  <c r="AF808" i="2" s="1"/>
  <c r="AL808" i="2"/>
  <c r="AG808" i="2" s="1"/>
  <c r="AM808" i="2"/>
  <c r="AH808" i="2" s="1"/>
  <c r="AN808" i="2"/>
  <c r="AI808" i="2" s="1"/>
  <c r="AK809" i="2"/>
  <c r="AF809" i="2" s="1"/>
  <c r="AL809" i="2"/>
  <c r="AG809" i="2" s="1"/>
  <c r="AM809" i="2"/>
  <c r="AH809" i="2" s="1"/>
  <c r="AN809" i="2"/>
  <c r="AI809" i="2" s="1"/>
  <c r="AK810" i="2"/>
  <c r="AF810" i="2" s="1"/>
  <c r="AL810" i="2"/>
  <c r="AG810" i="2" s="1"/>
  <c r="AM810" i="2"/>
  <c r="AH810" i="2" s="1"/>
  <c r="AN810" i="2"/>
  <c r="AI810" i="2" s="1"/>
  <c r="AK811" i="2"/>
  <c r="AF811" i="2" s="1"/>
  <c r="AL811" i="2"/>
  <c r="AG811" i="2" s="1"/>
  <c r="AM811" i="2"/>
  <c r="AH811" i="2" s="1"/>
  <c r="AN811" i="2"/>
  <c r="AI811" i="2" s="1"/>
  <c r="AK812" i="2"/>
  <c r="AF812" i="2" s="1"/>
  <c r="AL812" i="2"/>
  <c r="AG812" i="2" s="1"/>
  <c r="AM812" i="2"/>
  <c r="AH812" i="2" s="1"/>
  <c r="AN812" i="2"/>
  <c r="AI812" i="2" s="1"/>
  <c r="AK813" i="2"/>
  <c r="AF813" i="2" s="1"/>
  <c r="AL813" i="2"/>
  <c r="AG813" i="2" s="1"/>
  <c r="AM813" i="2"/>
  <c r="AH813" i="2" s="1"/>
  <c r="AN813" i="2"/>
  <c r="AI813" i="2" s="1"/>
  <c r="AK814" i="2"/>
  <c r="AF814" i="2" s="1"/>
  <c r="AL814" i="2"/>
  <c r="AG814" i="2" s="1"/>
  <c r="AM814" i="2"/>
  <c r="AH814" i="2" s="1"/>
  <c r="AN814" i="2"/>
  <c r="AI814" i="2" s="1"/>
  <c r="AK815" i="2"/>
  <c r="AF815" i="2" s="1"/>
  <c r="AL815" i="2"/>
  <c r="AG815" i="2" s="1"/>
  <c r="AM815" i="2"/>
  <c r="AH815" i="2" s="1"/>
  <c r="AN815" i="2"/>
  <c r="AI815" i="2" s="1"/>
  <c r="AK816" i="2"/>
  <c r="AF816" i="2" s="1"/>
  <c r="AL816" i="2"/>
  <c r="AG816" i="2" s="1"/>
  <c r="AM816" i="2"/>
  <c r="AH816" i="2" s="1"/>
  <c r="AN816" i="2"/>
  <c r="AI816" i="2" s="1"/>
  <c r="AK817" i="2"/>
  <c r="AF817" i="2" s="1"/>
  <c r="AL817" i="2"/>
  <c r="AG817" i="2" s="1"/>
  <c r="AM817" i="2"/>
  <c r="AH817" i="2" s="1"/>
  <c r="AN817" i="2"/>
  <c r="AI817" i="2" s="1"/>
  <c r="AK818" i="2"/>
  <c r="AF818" i="2" s="1"/>
  <c r="AL818" i="2"/>
  <c r="AG818" i="2" s="1"/>
  <c r="AM818" i="2"/>
  <c r="AH818" i="2" s="1"/>
  <c r="AN818" i="2"/>
  <c r="AI818" i="2" s="1"/>
  <c r="AK819" i="2"/>
  <c r="AF819" i="2" s="1"/>
  <c r="AL819" i="2"/>
  <c r="AG819" i="2" s="1"/>
  <c r="AM819" i="2"/>
  <c r="AH819" i="2" s="1"/>
  <c r="AN819" i="2"/>
  <c r="AI819" i="2" s="1"/>
  <c r="AK820" i="2"/>
  <c r="AF820" i="2" s="1"/>
  <c r="AL820" i="2"/>
  <c r="AG820" i="2" s="1"/>
  <c r="AM820" i="2"/>
  <c r="AH820" i="2" s="1"/>
  <c r="AN820" i="2"/>
  <c r="AI820" i="2" s="1"/>
  <c r="AK821" i="2"/>
  <c r="AF821" i="2" s="1"/>
  <c r="AL821" i="2"/>
  <c r="AG821" i="2" s="1"/>
  <c r="AM821" i="2"/>
  <c r="AH821" i="2" s="1"/>
  <c r="AN821" i="2"/>
  <c r="AI821" i="2" s="1"/>
  <c r="AK822" i="2"/>
  <c r="AF822" i="2" s="1"/>
  <c r="AL822" i="2"/>
  <c r="AG822" i="2" s="1"/>
  <c r="AM822" i="2"/>
  <c r="AH822" i="2" s="1"/>
  <c r="AN822" i="2"/>
  <c r="AI822" i="2" s="1"/>
  <c r="AK823" i="2"/>
  <c r="AF823" i="2" s="1"/>
  <c r="AL823" i="2"/>
  <c r="AG823" i="2" s="1"/>
  <c r="AM823" i="2"/>
  <c r="AH823" i="2" s="1"/>
  <c r="AN823" i="2"/>
  <c r="AI823" i="2" s="1"/>
  <c r="AK824" i="2"/>
  <c r="AF824" i="2" s="1"/>
  <c r="AL824" i="2"/>
  <c r="AG824" i="2" s="1"/>
  <c r="AM824" i="2"/>
  <c r="AH824" i="2" s="1"/>
  <c r="AN824" i="2"/>
  <c r="AI824" i="2" s="1"/>
  <c r="AK825" i="2"/>
  <c r="AF825" i="2" s="1"/>
  <c r="AL825" i="2"/>
  <c r="AG825" i="2" s="1"/>
  <c r="AM825" i="2"/>
  <c r="AH825" i="2" s="1"/>
  <c r="AN825" i="2"/>
  <c r="AI825" i="2" s="1"/>
  <c r="AK826" i="2"/>
  <c r="AF826" i="2" s="1"/>
  <c r="AL826" i="2"/>
  <c r="AG826" i="2" s="1"/>
  <c r="AM826" i="2"/>
  <c r="AH826" i="2" s="1"/>
  <c r="AN826" i="2"/>
  <c r="AI826" i="2" s="1"/>
  <c r="AK827" i="2"/>
  <c r="AF827" i="2" s="1"/>
  <c r="AL827" i="2"/>
  <c r="AG827" i="2" s="1"/>
  <c r="AM827" i="2"/>
  <c r="AH827" i="2" s="1"/>
  <c r="AN827" i="2"/>
  <c r="AI827" i="2" s="1"/>
  <c r="AK828" i="2"/>
  <c r="AF828" i="2" s="1"/>
  <c r="AL828" i="2"/>
  <c r="AG828" i="2" s="1"/>
  <c r="AM828" i="2"/>
  <c r="AH828" i="2" s="1"/>
  <c r="AN828" i="2"/>
  <c r="AI828" i="2" s="1"/>
  <c r="AK829" i="2"/>
  <c r="AF829" i="2" s="1"/>
  <c r="AL829" i="2"/>
  <c r="AG829" i="2" s="1"/>
  <c r="AM829" i="2"/>
  <c r="AH829" i="2" s="1"/>
  <c r="AN829" i="2"/>
  <c r="AI829" i="2" s="1"/>
  <c r="AK830" i="2"/>
  <c r="AF830" i="2" s="1"/>
  <c r="AL830" i="2"/>
  <c r="AG830" i="2" s="1"/>
  <c r="AM830" i="2"/>
  <c r="AH830" i="2" s="1"/>
  <c r="AN830" i="2"/>
  <c r="AI830" i="2" s="1"/>
  <c r="AK831" i="2"/>
  <c r="AF831" i="2" s="1"/>
  <c r="AL831" i="2"/>
  <c r="AG831" i="2" s="1"/>
  <c r="AM831" i="2"/>
  <c r="AH831" i="2" s="1"/>
  <c r="AN831" i="2"/>
  <c r="AI831" i="2" s="1"/>
  <c r="AK832" i="2"/>
  <c r="AF832" i="2" s="1"/>
  <c r="AL832" i="2"/>
  <c r="AG832" i="2" s="1"/>
  <c r="AM832" i="2"/>
  <c r="AH832" i="2" s="1"/>
  <c r="AN832" i="2"/>
  <c r="AI832" i="2" s="1"/>
  <c r="AK833" i="2"/>
  <c r="AF833" i="2" s="1"/>
  <c r="AL833" i="2"/>
  <c r="AG833" i="2" s="1"/>
  <c r="AM833" i="2"/>
  <c r="AH833" i="2" s="1"/>
  <c r="AN833" i="2"/>
  <c r="AI833" i="2" s="1"/>
  <c r="AK834" i="2"/>
  <c r="AF834" i="2" s="1"/>
  <c r="AL834" i="2"/>
  <c r="AG834" i="2" s="1"/>
  <c r="AM834" i="2"/>
  <c r="AH834" i="2" s="1"/>
  <c r="AN834" i="2"/>
  <c r="AI834" i="2" s="1"/>
  <c r="AK835" i="2"/>
  <c r="AF835" i="2" s="1"/>
  <c r="AL835" i="2"/>
  <c r="AG835" i="2" s="1"/>
  <c r="AM835" i="2"/>
  <c r="AH835" i="2" s="1"/>
  <c r="AN835" i="2"/>
  <c r="AI835" i="2" s="1"/>
  <c r="AK836" i="2"/>
  <c r="AF836" i="2" s="1"/>
  <c r="AL836" i="2"/>
  <c r="AG836" i="2" s="1"/>
  <c r="AM836" i="2"/>
  <c r="AH836" i="2" s="1"/>
  <c r="AN836" i="2"/>
  <c r="AI836" i="2" s="1"/>
  <c r="AK837" i="2"/>
  <c r="AF837" i="2" s="1"/>
  <c r="AL837" i="2"/>
  <c r="AG837" i="2" s="1"/>
  <c r="AM837" i="2"/>
  <c r="AH837" i="2" s="1"/>
  <c r="AN837" i="2"/>
  <c r="AI837" i="2" s="1"/>
  <c r="AK838" i="2"/>
  <c r="AF838" i="2" s="1"/>
  <c r="AL838" i="2"/>
  <c r="AG838" i="2" s="1"/>
  <c r="AM838" i="2"/>
  <c r="AH838" i="2" s="1"/>
  <c r="AN838" i="2"/>
  <c r="AI838" i="2" s="1"/>
  <c r="AK839" i="2"/>
  <c r="AF839" i="2" s="1"/>
  <c r="AL839" i="2"/>
  <c r="AG839" i="2" s="1"/>
  <c r="AM839" i="2"/>
  <c r="AH839" i="2" s="1"/>
  <c r="AN839" i="2"/>
  <c r="AI839" i="2" s="1"/>
  <c r="AK840" i="2"/>
  <c r="AF840" i="2" s="1"/>
  <c r="AL840" i="2"/>
  <c r="AG840" i="2" s="1"/>
  <c r="AM840" i="2"/>
  <c r="AH840" i="2" s="1"/>
  <c r="AN840" i="2"/>
  <c r="AI840" i="2" s="1"/>
  <c r="AK841" i="2"/>
  <c r="AF841" i="2" s="1"/>
  <c r="AL841" i="2"/>
  <c r="AG841" i="2" s="1"/>
  <c r="AM841" i="2"/>
  <c r="AH841" i="2" s="1"/>
  <c r="AN841" i="2"/>
  <c r="AI841" i="2" s="1"/>
  <c r="AK842" i="2"/>
  <c r="AF842" i="2" s="1"/>
  <c r="AL842" i="2"/>
  <c r="AG842" i="2" s="1"/>
  <c r="AM842" i="2"/>
  <c r="AH842" i="2" s="1"/>
  <c r="AN842" i="2"/>
  <c r="AI842" i="2" s="1"/>
  <c r="AK843" i="2"/>
  <c r="AF843" i="2" s="1"/>
  <c r="AL843" i="2"/>
  <c r="AG843" i="2" s="1"/>
  <c r="AM843" i="2"/>
  <c r="AH843" i="2" s="1"/>
  <c r="AN843" i="2"/>
  <c r="AI843" i="2" s="1"/>
  <c r="AK844" i="2"/>
  <c r="AF844" i="2" s="1"/>
  <c r="AL844" i="2"/>
  <c r="AG844" i="2" s="1"/>
  <c r="AM844" i="2"/>
  <c r="AH844" i="2" s="1"/>
  <c r="AN844" i="2"/>
  <c r="AI844" i="2" s="1"/>
  <c r="AK845" i="2"/>
  <c r="AF845" i="2" s="1"/>
  <c r="AL845" i="2"/>
  <c r="AG845" i="2" s="1"/>
  <c r="AM845" i="2"/>
  <c r="AH845" i="2" s="1"/>
  <c r="AN845" i="2"/>
  <c r="AI845" i="2" s="1"/>
  <c r="AK846" i="2"/>
  <c r="AF846" i="2" s="1"/>
  <c r="AL846" i="2"/>
  <c r="AG846" i="2" s="1"/>
  <c r="AM846" i="2"/>
  <c r="AH846" i="2" s="1"/>
  <c r="AN846" i="2"/>
  <c r="AI846" i="2" s="1"/>
  <c r="AK847" i="2"/>
  <c r="AF847" i="2" s="1"/>
  <c r="AL847" i="2"/>
  <c r="AG847" i="2" s="1"/>
  <c r="AM847" i="2"/>
  <c r="AH847" i="2" s="1"/>
  <c r="AN847" i="2"/>
  <c r="AI847" i="2" s="1"/>
  <c r="AK848" i="2"/>
  <c r="AF848" i="2" s="1"/>
  <c r="AL848" i="2"/>
  <c r="AG848" i="2" s="1"/>
  <c r="AM848" i="2"/>
  <c r="AH848" i="2" s="1"/>
  <c r="AN848" i="2"/>
  <c r="AI848" i="2" s="1"/>
  <c r="AK849" i="2"/>
  <c r="AF849" i="2" s="1"/>
  <c r="AL849" i="2"/>
  <c r="AG849" i="2" s="1"/>
  <c r="AM849" i="2"/>
  <c r="AH849" i="2" s="1"/>
  <c r="AN849" i="2"/>
  <c r="AI849" i="2" s="1"/>
  <c r="AK850" i="2"/>
  <c r="AF850" i="2" s="1"/>
  <c r="AL850" i="2"/>
  <c r="AG850" i="2" s="1"/>
  <c r="AM850" i="2"/>
  <c r="AH850" i="2" s="1"/>
  <c r="AN850" i="2"/>
  <c r="AI850" i="2" s="1"/>
  <c r="AK851" i="2"/>
  <c r="AF851" i="2" s="1"/>
  <c r="AL851" i="2"/>
  <c r="AG851" i="2" s="1"/>
  <c r="AM851" i="2"/>
  <c r="AH851" i="2" s="1"/>
  <c r="AN851" i="2"/>
  <c r="AI851" i="2" s="1"/>
  <c r="AK852" i="2"/>
  <c r="AF852" i="2" s="1"/>
  <c r="AL852" i="2"/>
  <c r="AG852" i="2" s="1"/>
  <c r="AM852" i="2"/>
  <c r="AH852" i="2" s="1"/>
  <c r="AN852" i="2"/>
  <c r="AI852" i="2" s="1"/>
  <c r="AK853" i="2"/>
  <c r="AF853" i="2" s="1"/>
  <c r="AL853" i="2"/>
  <c r="AG853" i="2" s="1"/>
  <c r="AM853" i="2"/>
  <c r="AH853" i="2" s="1"/>
  <c r="AN853" i="2"/>
  <c r="AI853" i="2" s="1"/>
  <c r="AK854" i="2"/>
  <c r="AF854" i="2" s="1"/>
  <c r="AL854" i="2"/>
  <c r="AG854" i="2" s="1"/>
  <c r="AM854" i="2"/>
  <c r="AH854" i="2" s="1"/>
  <c r="AN854" i="2"/>
  <c r="AI854" i="2" s="1"/>
  <c r="AK855" i="2"/>
  <c r="AF855" i="2" s="1"/>
  <c r="AL855" i="2"/>
  <c r="AG855" i="2" s="1"/>
  <c r="AM855" i="2"/>
  <c r="AH855" i="2" s="1"/>
  <c r="AN855" i="2"/>
  <c r="AI855" i="2" s="1"/>
  <c r="AK856" i="2"/>
  <c r="AF856" i="2" s="1"/>
  <c r="AL856" i="2"/>
  <c r="AG856" i="2" s="1"/>
  <c r="AM856" i="2"/>
  <c r="AH856" i="2" s="1"/>
  <c r="AN856" i="2"/>
  <c r="AI856" i="2" s="1"/>
  <c r="AK857" i="2"/>
  <c r="AF857" i="2" s="1"/>
  <c r="AL857" i="2"/>
  <c r="AG857" i="2" s="1"/>
  <c r="AM857" i="2"/>
  <c r="AH857" i="2" s="1"/>
  <c r="AN857" i="2"/>
  <c r="AI857" i="2" s="1"/>
  <c r="AK858" i="2"/>
  <c r="AF858" i="2" s="1"/>
  <c r="AL858" i="2"/>
  <c r="AG858" i="2" s="1"/>
  <c r="AM858" i="2"/>
  <c r="AH858" i="2" s="1"/>
  <c r="AN858" i="2"/>
  <c r="AI858" i="2" s="1"/>
  <c r="AK859" i="2"/>
  <c r="AF859" i="2" s="1"/>
  <c r="AK860" i="2"/>
  <c r="AF860" i="2" s="1"/>
  <c r="AL860" i="2"/>
  <c r="AG860" i="2" s="1"/>
  <c r="AM860" i="2"/>
  <c r="AH860" i="2" s="1"/>
  <c r="AN860" i="2"/>
  <c r="AI860" i="2" s="1"/>
  <c r="AK861" i="2"/>
  <c r="AF861" i="2" s="1"/>
  <c r="AL861" i="2"/>
  <c r="AG861" i="2" s="1"/>
  <c r="AM861" i="2"/>
  <c r="AH861" i="2" s="1"/>
  <c r="AN861" i="2"/>
  <c r="AI861" i="2" s="1"/>
  <c r="AK862" i="2"/>
  <c r="AF862" i="2" s="1"/>
  <c r="AL862" i="2"/>
  <c r="AG862" i="2" s="1"/>
  <c r="AM862" i="2"/>
  <c r="AH862" i="2" s="1"/>
  <c r="AN862" i="2"/>
  <c r="AI862" i="2" s="1"/>
  <c r="AK863" i="2"/>
  <c r="AF863" i="2" s="1"/>
  <c r="AL863" i="2"/>
  <c r="AG863" i="2" s="1"/>
  <c r="AM863" i="2"/>
  <c r="AH863" i="2" s="1"/>
  <c r="AN863" i="2"/>
  <c r="AI863" i="2" s="1"/>
  <c r="AK864" i="2"/>
  <c r="AF864" i="2" s="1"/>
  <c r="AL864" i="2"/>
  <c r="AG864" i="2" s="1"/>
  <c r="AM864" i="2"/>
  <c r="AH864" i="2" s="1"/>
  <c r="AN864" i="2"/>
  <c r="AI864" i="2" s="1"/>
  <c r="AK865" i="2"/>
  <c r="AF865" i="2" s="1"/>
  <c r="AL865" i="2"/>
  <c r="AG865" i="2" s="1"/>
  <c r="AM865" i="2"/>
  <c r="AH865" i="2" s="1"/>
  <c r="AN865" i="2"/>
  <c r="AI865" i="2" s="1"/>
  <c r="AK866" i="2"/>
  <c r="AF866" i="2" s="1"/>
  <c r="AL866" i="2"/>
  <c r="AG866" i="2" s="1"/>
  <c r="AM866" i="2"/>
  <c r="AH866" i="2" s="1"/>
  <c r="AN866" i="2"/>
  <c r="AI866" i="2" s="1"/>
  <c r="AK867" i="2"/>
  <c r="AF867" i="2" s="1"/>
  <c r="AL867" i="2"/>
  <c r="AG867" i="2" s="1"/>
  <c r="AM867" i="2"/>
  <c r="AH867" i="2" s="1"/>
  <c r="AN867" i="2"/>
  <c r="AI867" i="2" s="1"/>
  <c r="AK868" i="2"/>
  <c r="AF868" i="2" s="1"/>
  <c r="AL868" i="2"/>
  <c r="AG868" i="2" s="1"/>
  <c r="AM868" i="2"/>
  <c r="AH868" i="2" s="1"/>
  <c r="AN868" i="2"/>
  <c r="AI868" i="2" s="1"/>
  <c r="AK869" i="2"/>
  <c r="AF869" i="2" s="1"/>
  <c r="AL869" i="2"/>
  <c r="AG869" i="2" s="1"/>
  <c r="AM869" i="2"/>
  <c r="AH869" i="2" s="1"/>
  <c r="AN869" i="2"/>
  <c r="AI869" i="2" s="1"/>
  <c r="AK870" i="2"/>
  <c r="AF870" i="2" s="1"/>
  <c r="AL870" i="2"/>
  <c r="AG870" i="2" s="1"/>
  <c r="AM870" i="2"/>
  <c r="AH870" i="2" s="1"/>
  <c r="AN870" i="2"/>
  <c r="AI870" i="2" s="1"/>
  <c r="AK871" i="2"/>
  <c r="AF871" i="2" s="1"/>
  <c r="AL871" i="2"/>
  <c r="AG871" i="2" s="1"/>
  <c r="AM871" i="2"/>
  <c r="AH871" i="2" s="1"/>
  <c r="AN871" i="2"/>
  <c r="AI871" i="2" s="1"/>
  <c r="AK872" i="2"/>
  <c r="AF872" i="2" s="1"/>
  <c r="AL872" i="2"/>
  <c r="AG872" i="2" s="1"/>
  <c r="AM872" i="2"/>
  <c r="AH872" i="2" s="1"/>
  <c r="AN872" i="2"/>
  <c r="AI872" i="2" s="1"/>
  <c r="AK873" i="2"/>
  <c r="AF873" i="2" s="1"/>
  <c r="AL873" i="2"/>
  <c r="AG873" i="2" s="1"/>
  <c r="AM873" i="2"/>
  <c r="AH873" i="2" s="1"/>
  <c r="AN873" i="2"/>
  <c r="AI873" i="2" s="1"/>
  <c r="AK874" i="2"/>
  <c r="AF874" i="2" s="1"/>
  <c r="AL874" i="2"/>
  <c r="AG874" i="2" s="1"/>
  <c r="AM874" i="2"/>
  <c r="AH874" i="2" s="1"/>
  <c r="AN874" i="2"/>
  <c r="AI874" i="2" s="1"/>
  <c r="AK875" i="2"/>
  <c r="AF875" i="2" s="1"/>
  <c r="AL875" i="2"/>
  <c r="AG875" i="2" s="1"/>
  <c r="AM875" i="2"/>
  <c r="AH875" i="2" s="1"/>
  <c r="AN875" i="2"/>
  <c r="AI875" i="2" s="1"/>
  <c r="AK876" i="2"/>
  <c r="AF876" i="2" s="1"/>
  <c r="AL876" i="2"/>
  <c r="AG876" i="2" s="1"/>
  <c r="AM876" i="2"/>
  <c r="AH876" i="2" s="1"/>
  <c r="AN876" i="2"/>
  <c r="AI876" i="2" s="1"/>
  <c r="AK877" i="2"/>
  <c r="AF877" i="2" s="1"/>
  <c r="AL877" i="2"/>
  <c r="AG877" i="2" s="1"/>
  <c r="AM877" i="2"/>
  <c r="AH877" i="2" s="1"/>
  <c r="AN877" i="2"/>
  <c r="AI877" i="2" s="1"/>
  <c r="AK878" i="2"/>
  <c r="AF878" i="2" s="1"/>
  <c r="AL878" i="2"/>
  <c r="AG878" i="2" s="1"/>
  <c r="AM878" i="2"/>
  <c r="AH878" i="2" s="1"/>
  <c r="AN878" i="2"/>
  <c r="AI878" i="2" s="1"/>
  <c r="AK879" i="2"/>
  <c r="AF879" i="2" s="1"/>
  <c r="AL879" i="2"/>
  <c r="AG879" i="2" s="1"/>
  <c r="AM879" i="2"/>
  <c r="AH879" i="2" s="1"/>
  <c r="AN879" i="2"/>
  <c r="AI879" i="2" s="1"/>
  <c r="AK880" i="2"/>
  <c r="AF880" i="2" s="1"/>
  <c r="AL880" i="2"/>
  <c r="AG880" i="2" s="1"/>
  <c r="AM880" i="2"/>
  <c r="AH880" i="2" s="1"/>
  <c r="AN880" i="2"/>
  <c r="AI880" i="2" s="1"/>
  <c r="AK881" i="2"/>
  <c r="AF881" i="2" s="1"/>
  <c r="AL881" i="2"/>
  <c r="AG881" i="2" s="1"/>
  <c r="AM881" i="2"/>
  <c r="AH881" i="2" s="1"/>
  <c r="AN881" i="2"/>
  <c r="AI881" i="2" s="1"/>
  <c r="AK882" i="2"/>
  <c r="AF882" i="2" s="1"/>
  <c r="AL882" i="2"/>
  <c r="AG882" i="2" s="1"/>
  <c r="AM882" i="2"/>
  <c r="AH882" i="2" s="1"/>
  <c r="AN882" i="2"/>
  <c r="AI882" i="2" s="1"/>
  <c r="AK883" i="2"/>
  <c r="AF883" i="2" s="1"/>
  <c r="AL883" i="2"/>
  <c r="AG883" i="2" s="1"/>
  <c r="AM883" i="2"/>
  <c r="AH883" i="2" s="1"/>
  <c r="AN883" i="2"/>
  <c r="AI883" i="2" s="1"/>
  <c r="AK884" i="2"/>
  <c r="AF884" i="2" s="1"/>
  <c r="AL884" i="2"/>
  <c r="AG884" i="2" s="1"/>
  <c r="AM884" i="2"/>
  <c r="AH884" i="2" s="1"/>
  <c r="AN884" i="2"/>
  <c r="AI884" i="2" s="1"/>
  <c r="AK885" i="2"/>
  <c r="AF885" i="2" s="1"/>
  <c r="AL885" i="2"/>
  <c r="AG885" i="2" s="1"/>
  <c r="AM885" i="2"/>
  <c r="AH885" i="2" s="1"/>
  <c r="AN885" i="2"/>
  <c r="AI885" i="2" s="1"/>
  <c r="AK886" i="2"/>
  <c r="AF886" i="2" s="1"/>
  <c r="AL886" i="2"/>
  <c r="AG886" i="2" s="1"/>
  <c r="AM886" i="2"/>
  <c r="AH886" i="2" s="1"/>
  <c r="AN886" i="2"/>
  <c r="AI886" i="2" s="1"/>
  <c r="AK887" i="2"/>
  <c r="AF887" i="2" s="1"/>
  <c r="AL887" i="2"/>
  <c r="AG887" i="2" s="1"/>
  <c r="AM887" i="2"/>
  <c r="AH887" i="2" s="1"/>
  <c r="AN887" i="2"/>
  <c r="AI887" i="2" s="1"/>
  <c r="AK888" i="2"/>
  <c r="AF888" i="2" s="1"/>
  <c r="AL888" i="2"/>
  <c r="AG888" i="2" s="1"/>
  <c r="AM888" i="2"/>
  <c r="AH888" i="2" s="1"/>
  <c r="AN888" i="2"/>
  <c r="AI888" i="2" s="1"/>
  <c r="AK889" i="2"/>
  <c r="AF889" i="2" s="1"/>
  <c r="AL889" i="2"/>
  <c r="AG889" i="2" s="1"/>
  <c r="AM889" i="2"/>
  <c r="AH889" i="2" s="1"/>
  <c r="AN889" i="2"/>
  <c r="AI889" i="2" s="1"/>
  <c r="AK890" i="2"/>
  <c r="AF890" i="2" s="1"/>
  <c r="AL890" i="2"/>
  <c r="AG890" i="2" s="1"/>
  <c r="AM890" i="2"/>
  <c r="AH890" i="2" s="1"/>
  <c r="AN890" i="2"/>
  <c r="AI890" i="2" s="1"/>
  <c r="AK891" i="2"/>
  <c r="AF891" i="2" s="1"/>
  <c r="AL891" i="2"/>
  <c r="AG891" i="2" s="1"/>
  <c r="AM891" i="2"/>
  <c r="AH891" i="2" s="1"/>
  <c r="AN891" i="2"/>
  <c r="AI891" i="2" s="1"/>
  <c r="AK892" i="2"/>
  <c r="AF892" i="2" s="1"/>
  <c r="AL892" i="2"/>
  <c r="AG892" i="2" s="1"/>
  <c r="AM892" i="2"/>
  <c r="AH892" i="2" s="1"/>
  <c r="AN892" i="2"/>
  <c r="AI892" i="2" s="1"/>
  <c r="AK893" i="2"/>
  <c r="AF893" i="2" s="1"/>
  <c r="AL893" i="2"/>
  <c r="AG893" i="2" s="1"/>
  <c r="AM893" i="2"/>
  <c r="AH893" i="2" s="1"/>
  <c r="AN893" i="2"/>
  <c r="AI893" i="2" s="1"/>
  <c r="AK894" i="2"/>
  <c r="AF894" i="2" s="1"/>
  <c r="AL894" i="2"/>
  <c r="AG894" i="2" s="1"/>
  <c r="AM894" i="2"/>
  <c r="AH894" i="2" s="1"/>
  <c r="AN894" i="2"/>
  <c r="AI894" i="2" s="1"/>
  <c r="AK895" i="2"/>
  <c r="AF895" i="2" s="1"/>
  <c r="AL895" i="2"/>
  <c r="AG895" i="2" s="1"/>
  <c r="AM895" i="2"/>
  <c r="AH895" i="2" s="1"/>
  <c r="AN895" i="2"/>
  <c r="AI895" i="2" s="1"/>
  <c r="AK896" i="2"/>
  <c r="AF896" i="2" s="1"/>
  <c r="AL896" i="2"/>
  <c r="AG896" i="2" s="1"/>
  <c r="AM896" i="2"/>
  <c r="AH896" i="2" s="1"/>
  <c r="AN896" i="2"/>
  <c r="AI896" i="2" s="1"/>
  <c r="AK897" i="2"/>
  <c r="AL897" i="2"/>
  <c r="AM897" i="2"/>
  <c r="AN897" i="2"/>
  <c r="AK898" i="2"/>
  <c r="AF898" i="2" s="1"/>
  <c r="AL898" i="2"/>
  <c r="AG898" i="2" s="1"/>
  <c r="AM898" i="2"/>
  <c r="AH898" i="2" s="1"/>
  <c r="AN898" i="2"/>
  <c r="AI898" i="2" s="1"/>
  <c r="AK899" i="2"/>
  <c r="AF899" i="2" s="1"/>
  <c r="AL899" i="2"/>
  <c r="AG899" i="2" s="1"/>
  <c r="AM899" i="2"/>
  <c r="AH899" i="2" s="1"/>
  <c r="AN899" i="2"/>
  <c r="AI899" i="2" s="1"/>
  <c r="AK900" i="2"/>
  <c r="AF900" i="2" s="1"/>
  <c r="AL900" i="2"/>
  <c r="AG900" i="2" s="1"/>
  <c r="AM900" i="2"/>
  <c r="AH900" i="2" s="1"/>
  <c r="AN900" i="2"/>
  <c r="AI900" i="2" s="1"/>
  <c r="AK901" i="2"/>
  <c r="AF901" i="2" s="1"/>
  <c r="AL901" i="2"/>
  <c r="AG901" i="2" s="1"/>
  <c r="AM901" i="2"/>
  <c r="AH901" i="2" s="1"/>
  <c r="AN901" i="2"/>
  <c r="AI901" i="2" s="1"/>
  <c r="AK902" i="2"/>
  <c r="AF902" i="2" s="1"/>
  <c r="AL902" i="2"/>
  <c r="AG902" i="2" s="1"/>
  <c r="AM902" i="2"/>
  <c r="AH902" i="2" s="1"/>
  <c r="AN902" i="2"/>
  <c r="AI902" i="2" s="1"/>
  <c r="AK903" i="2"/>
  <c r="AF903" i="2" s="1"/>
  <c r="AL903" i="2"/>
  <c r="AG903" i="2" s="1"/>
  <c r="AM903" i="2"/>
  <c r="AH903" i="2" s="1"/>
  <c r="AN903" i="2"/>
  <c r="AI903" i="2" s="1"/>
  <c r="AK904" i="2"/>
  <c r="AF904" i="2" s="1"/>
  <c r="AL904" i="2"/>
  <c r="AG904" i="2" s="1"/>
  <c r="AM904" i="2"/>
  <c r="AH904" i="2" s="1"/>
  <c r="AN904" i="2"/>
  <c r="AI904" i="2" s="1"/>
  <c r="AK905" i="2"/>
  <c r="AF905" i="2" s="1"/>
  <c r="AL905" i="2"/>
  <c r="AG905" i="2" s="1"/>
  <c r="AM905" i="2"/>
  <c r="AH905" i="2" s="1"/>
  <c r="AN905" i="2"/>
  <c r="AI905" i="2" s="1"/>
  <c r="AK906" i="2"/>
  <c r="AF906" i="2" s="1"/>
  <c r="AL906" i="2"/>
  <c r="AG906" i="2" s="1"/>
  <c r="AM906" i="2"/>
  <c r="AH906" i="2" s="1"/>
  <c r="AN906" i="2"/>
  <c r="AI906" i="2" s="1"/>
  <c r="AK907" i="2"/>
  <c r="AF907" i="2" s="1"/>
  <c r="AL907" i="2"/>
  <c r="AG907" i="2" s="1"/>
  <c r="AM907" i="2"/>
  <c r="AH907" i="2" s="1"/>
  <c r="AN907" i="2"/>
  <c r="AI907" i="2" s="1"/>
  <c r="AK908" i="2"/>
  <c r="AF908" i="2" s="1"/>
  <c r="AL908" i="2"/>
  <c r="AG908" i="2" s="1"/>
  <c r="AM908" i="2"/>
  <c r="AH908" i="2" s="1"/>
  <c r="AN908" i="2"/>
  <c r="AI908" i="2" s="1"/>
  <c r="AK909" i="2"/>
  <c r="AF909" i="2" s="1"/>
  <c r="AL909" i="2"/>
  <c r="AG909" i="2" s="1"/>
  <c r="AM909" i="2"/>
  <c r="AH909" i="2" s="1"/>
  <c r="AN909" i="2"/>
  <c r="AI909" i="2" s="1"/>
  <c r="AK910" i="2"/>
  <c r="AF910" i="2" s="1"/>
  <c r="AL910" i="2"/>
  <c r="AG910" i="2" s="1"/>
  <c r="AM910" i="2"/>
  <c r="AH910" i="2" s="1"/>
  <c r="AN910" i="2"/>
  <c r="AI910" i="2" s="1"/>
  <c r="AK911" i="2"/>
  <c r="AF911" i="2" s="1"/>
  <c r="AL911" i="2"/>
  <c r="AG911" i="2" s="1"/>
  <c r="AM911" i="2"/>
  <c r="AH911" i="2" s="1"/>
  <c r="AN911" i="2"/>
  <c r="AI911" i="2" s="1"/>
  <c r="AK912" i="2"/>
  <c r="AF912" i="2" s="1"/>
  <c r="AL912" i="2"/>
  <c r="AG912" i="2" s="1"/>
  <c r="AM912" i="2"/>
  <c r="AH912" i="2" s="1"/>
  <c r="AN912" i="2"/>
  <c r="AI912" i="2" s="1"/>
  <c r="AK913" i="2"/>
  <c r="AF913" i="2" s="1"/>
  <c r="AL913" i="2"/>
  <c r="AG913" i="2" s="1"/>
  <c r="AM913" i="2"/>
  <c r="AH913" i="2" s="1"/>
  <c r="AN913" i="2"/>
  <c r="AI913" i="2" s="1"/>
  <c r="AK914" i="2"/>
  <c r="AF914" i="2" s="1"/>
  <c r="AL914" i="2"/>
  <c r="AG914" i="2" s="1"/>
  <c r="AM914" i="2"/>
  <c r="AH914" i="2" s="1"/>
  <c r="AN914" i="2"/>
  <c r="AI914" i="2" s="1"/>
  <c r="AK915" i="2"/>
  <c r="AF915" i="2" s="1"/>
  <c r="AL915" i="2"/>
  <c r="AG915" i="2" s="1"/>
  <c r="AM915" i="2"/>
  <c r="AH915" i="2" s="1"/>
  <c r="AN915" i="2"/>
  <c r="AI915" i="2" s="1"/>
  <c r="AK916" i="2"/>
  <c r="AF916" i="2" s="1"/>
  <c r="AL916" i="2"/>
  <c r="AG916" i="2" s="1"/>
  <c r="AM916" i="2"/>
  <c r="AH916" i="2" s="1"/>
  <c r="AN916" i="2"/>
  <c r="AI916" i="2" s="1"/>
  <c r="AK917" i="2"/>
  <c r="AF917" i="2" s="1"/>
  <c r="AL917" i="2"/>
  <c r="AG917" i="2" s="1"/>
  <c r="AM917" i="2"/>
  <c r="AH917" i="2" s="1"/>
  <c r="AN917" i="2"/>
  <c r="AI917" i="2" s="1"/>
  <c r="AK918" i="2"/>
  <c r="AF918" i="2" s="1"/>
  <c r="AL918" i="2"/>
  <c r="AG918" i="2" s="1"/>
  <c r="AM918" i="2"/>
  <c r="AH918" i="2" s="1"/>
  <c r="AN918" i="2"/>
  <c r="AI918" i="2" s="1"/>
  <c r="AK919" i="2"/>
  <c r="AF919" i="2" s="1"/>
  <c r="AL919" i="2"/>
  <c r="AG919" i="2" s="1"/>
  <c r="AM919" i="2"/>
  <c r="AH919" i="2" s="1"/>
  <c r="AN919" i="2"/>
  <c r="AI919" i="2" s="1"/>
  <c r="AK920" i="2"/>
  <c r="AF920" i="2" s="1"/>
  <c r="AL920" i="2"/>
  <c r="AG920" i="2" s="1"/>
  <c r="AM920" i="2"/>
  <c r="AH920" i="2" s="1"/>
  <c r="AN920" i="2"/>
  <c r="AI920" i="2" s="1"/>
  <c r="AK921" i="2"/>
  <c r="AF921" i="2" s="1"/>
  <c r="AL921" i="2"/>
  <c r="AG921" i="2" s="1"/>
  <c r="AM921" i="2"/>
  <c r="AH921" i="2" s="1"/>
  <c r="AN921" i="2"/>
  <c r="AI921" i="2" s="1"/>
  <c r="AK922" i="2"/>
  <c r="AF922" i="2" s="1"/>
  <c r="AL922" i="2"/>
  <c r="AG922" i="2" s="1"/>
  <c r="AM922" i="2"/>
  <c r="AH922" i="2" s="1"/>
  <c r="AN922" i="2"/>
  <c r="AI922" i="2" s="1"/>
  <c r="AK923" i="2"/>
  <c r="AF923" i="2" s="1"/>
  <c r="AL923" i="2"/>
  <c r="AG923" i="2" s="1"/>
  <c r="AM923" i="2"/>
  <c r="AH923" i="2" s="1"/>
  <c r="AN923" i="2"/>
  <c r="AI923" i="2" s="1"/>
  <c r="AK924" i="2"/>
  <c r="AF924" i="2" s="1"/>
  <c r="AL924" i="2"/>
  <c r="AG924" i="2" s="1"/>
  <c r="AM924" i="2"/>
  <c r="AH924" i="2" s="1"/>
  <c r="AN924" i="2"/>
  <c r="AI924" i="2" s="1"/>
  <c r="AK925" i="2"/>
  <c r="AF925" i="2" s="1"/>
  <c r="AL925" i="2"/>
  <c r="AG925" i="2" s="1"/>
  <c r="AM925" i="2"/>
  <c r="AH925" i="2" s="1"/>
  <c r="AN925" i="2"/>
  <c r="AI925" i="2" s="1"/>
  <c r="AK926" i="2"/>
  <c r="AF926" i="2" s="1"/>
  <c r="AL926" i="2"/>
  <c r="AG926" i="2" s="1"/>
  <c r="AM926" i="2"/>
  <c r="AH926" i="2" s="1"/>
  <c r="AN926" i="2"/>
  <c r="AI926" i="2" s="1"/>
  <c r="AK927" i="2"/>
  <c r="AF927" i="2" s="1"/>
  <c r="AL927" i="2"/>
  <c r="AG927" i="2" s="1"/>
  <c r="AM927" i="2"/>
  <c r="AH927" i="2" s="1"/>
  <c r="AN927" i="2"/>
  <c r="AI927" i="2" s="1"/>
  <c r="AK928" i="2"/>
  <c r="AF928" i="2" s="1"/>
  <c r="AL928" i="2"/>
  <c r="AG928" i="2" s="1"/>
  <c r="AM928" i="2"/>
  <c r="AH928" i="2" s="1"/>
  <c r="AN928" i="2"/>
  <c r="AI928" i="2" s="1"/>
  <c r="AK929" i="2"/>
  <c r="AF929" i="2" s="1"/>
  <c r="AL929" i="2"/>
  <c r="AG929" i="2" s="1"/>
  <c r="AM929" i="2"/>
  <c r="AH929" i="2" s="1"/>
  <c r="AN929" i="2"/>
  <c r="AI929" i="2" s="1"/>
  <c r="AK930" i="2"/>
  <c r="AF930" i="2" s="1"/>
  <c r="AL930" i="2"/>
  <c r="AG930" i="2" s="1"/>
  <c r="AM930" i="2"/>
  <c r="AH930" i="2" s="1"/>
  <c r="AN930" i="2"/>
  <c r="AI930" i="2" s="1"/>
  <c r="AK931" i="2"/>
  <c r="AF931" i="2" s="1"/>
  <c r="AL931" i="2"/>
  <c r="AG931" i="2" s="1"/>
  <c r="AM931" i="2"/>
  <c r="AH931" i="2" s="1"/>
  <c r="AN931" i="2"/>
  <c r="AI931" i="2" s="1"/>
  <c r="AK932" i="2"/>
  <c r="AF932" i="2" s="1"/>
  <c r="AL932" i="2"/>
  <c r="AG932" i="2" s="1"/>
  <c r="AM932" i="2"/>
  <c r="AH932" i="2" s="1"/>
  <c r="AN932" i="2"/>
  <c r="AI932" i="2" s="1"/>
  <c r="AK933" i="2"/>
  <c r="AF933" i="2" s="1"/>
  <c r="AL933" i="2"/>
  <c r="AG933" i="2" s="1"/>
  <c r="AM933" i="2"/>
  <c r="AH933" i="2" s="1"/>
  <c r="AN933" i="2"/>
  <c r="AI933" i="2" s="1"/>
  <c r="AK934" i="2"/>
  <c r="AF934" i="2" s="1"/>
  <c r="AL934" i="2"/>
  <c r="AG934" i="2" s="1"/>
  <c r="AM934" i="2"/>
  <c r="AH934" i="2" s="1"/>
  <c r="AN934" i="2"/>
  <c r="AI934" i="2" s="1"/>
  <c r="AK935" i="2"/>
  <c r="AF935" i="2" s="1"/>
  <c r="AL935" i="2"/>
  <c r="AG935" i="2" s="1"/>
  <c r="AM935" i="2"/>
  <c r="AH935" i="2" s="1"/>
  <c r="AN935" i="2"/>
  <c r="AI935" i="2" s="1"/>
  <c r="AK936" i="2"/>
  <c r="AF936" i="2" s="1"/>
  <c r="AL936" i="2"/>
  <c r="AG936" i="2" s="1"/>
  <c r="AM936" i="2"/>
  <c r="AH936" i="2" s="1"/>
  <c r="AN936" i="2"/>
  <c r="AI936" i="2" s="1"/>
  <c r="AK937" i="2"/>
  <c r="AF937" i="2" s="1"/>
  <c r="AL937" i="2"/>
  <c r="AG937" i="2" s="1"/>
  <c r="AM937" i="2"/>
  <c r="AH937" i="2" s="1"/>
  <c r="AN937" i="2"/>
  <c r="AI937" i="2" s="1"/>
  <c r="AK938" i="2"/>
  <c r="AF938" i="2" s="1"/>
  <c r="AL938" i="2"/>
  <c r="AG938" i="2" s="1"/>
  <c r="AM938" i="2"/>
  <c r="AH938" i="2" s="1"/>
  <c r="AN938" i="2"/>
  <c r="AI938" i="2" s="1"/>
  <c r="AK939" i="2"/>
  <c r="AF939" i="2" s="1"/>
  <c r="AL939" i="2"/>
  <c r="AG939" i="2" s="1"/>
  <c r="AM939" i="2"/>
  <c r="AH939" i="2" s="1"/>
  <c r="AN939" i="2"/>
  <c r="AI939" i="2" s="1"/>
  <c r="AK940" i="2"/>
  <c r="AF940" i="2" s="1"/>
  <c r="AL940" i="2"/>
  <c r="AG940" i="2" s="1"/>
  <c r="AM940" i="2"/>
  <c r="AH940" i="2" s="1"/>
  <c r="AN940" i="2"/>
  <c r="AI940" i="2" s="1"/>
  <c r="AK941" i="2"/>
  <c r="AF941" i="2" s="1"/>
  <c r="AL941" i="2"/>
  <c r="AG941" i="2" s="1"/>
  <c r="AM941" i="2"/>
  <c r="AH941" i="2" s="1"/>
  <c r="AN941" i="2"/>
  <c r="AI941" i="2" s="1"/>
  <c r="AK942" i="2"/>
  <c r="AF942" i="2" s="1"/>
  <c r="AL942" i="2"/>
  <c r="AG942" i="2" s="1"/>
  <c r="AM942" i="2"/>
  <c r="AH942" i="2" s="1"/>
  <c r="AN942" i="2"/>
  <c r="AI942" i="2" s="1"/>
  <c r="AK943" i="2"/>
  <c r="AF943" i="2" s="1"/>
  <c r="AL943" i="2"/>
  <c r="AG943" i="2" s="1"/>
  <c r="AM943" i="2"/>
  <c r="AH943" i="2" s="1"/>
  <c r="AN943" i="2"/>
  <c r="AI943" i="2" s="1"/>
  <c r="AK944" i="2"/>
  <c r="AF944" i="2" s="1"/>
  <c r="AL944" i="2"/>
  <c r="AG944" i="2" s="1"/>
  <c r="AM944" i="2"/>
  <c r="AH944" i="2" s="1"/>
  <c r="AN944" i="2"/>
  <c r="AI944" i="2" s="1"/>
  <c r="AK945" i="2"/>
  <c r="AF945" i="2" s="1"/>
  <c r="AL945" i="2"/>
  <c r="AG945" i="2" s="1"/>
  <c r="AM945" i="2"/>
  <c r="AH945" i="2" s="1"/>
  <c r="AN945" i="2"/>
  <c r="AI945" i="2" s="1"/>
  <c r="AK946" i="2"/>
  <c r="AF946" i="2" s="1"/>
  <c r="AL946" i="2"/>
  <c r="AG946" i="2" s="1"/>
  <c r="AM946" i="2"/>
  <c r="AH946" i="2" s="1"/>
  <c r="AN946" i="2"/>
  <c r="AI946" i="2" s="1"/>
  <c r="AK947" i="2"/>
  <c r="AF947" i="2" s="1"/>
  <c r="AL947" i="2"/>
  <c r="AG947" i="2" s="1"/>
  <c r="AM947" i="2"/>
  <c r="AH947" i="2" s="1"/>
  <c r="AN947" i="2"/>
  <c r="AI947" i="2" s="1"/>
  <c r="AK948" i="2"/>
  <c r="AF948" i="2" s="1"/>
  <c r="AL948" i="2"/>
  <c r="AG948" i="2" s="1"/>
  <c r="AM948" i="2"/>
  <c r="AH948" i="2" s="1"/>
  <c r="AN948" i="2"/>
  <c r="AI948" i="2" s="1"/>
  <c r="AK949" i="2"/>
  <c r="AF949" i="2" s="1"/>
  <c r="AL949" i="2"/>
  <c r="AG949" i="2" s="1"/>
  <c r="AM949" i="2"/>
  <c r="AH949" i="2" s="1"/>
  <c r="AN949" i="2"/>
  <c r="AI949" i="2" s="1"/>
  <c r="AK950" i="2"/>
  <c r="AF950" i="2" s="1"/>
  <c r="AL950" i="2"/>
  <c r="AG950" i="2" s="1"/>
  <c r="AM950" i="2"/>
  <c r="AH950" i="2" s="1"/>
  <c r="AN950" i="2"/>
  <c r="AI950" i="2" s="1"/>
  <c r="AK951" i="2"/>
  <c r="AF951" i="2" s="1"/>
  <c r="AL951" i="2"/>
  <c r="AG951" i="2" s="1"/>
  <c r="AM951" i="2"/>
  <c r="AH951" i="2" s="1"/>
  <c r="AN951" i="2"/>
  <c r="AI951" i="2" s="1"/>
  <c r="AK952" i="2"/>
  <c r="AF952" i="2" s="1"/>
  <c r="AL952" i="2"/>
  <c r="AG952" i="2" s="1"/>
  <c r="AM952" i="2"/>
  <c r="AH952" i="2" s="1"/>
  <c r="AN952" i="2"/>
  <c r="AI952" i="2" s="1"/>
  <c r="AK953" i="2"/>
  <c r="AF953" i="2" s="1"/>
  <c r="AL953" i="2"/>
  <c r="AG953" i="2" s="1"/>
  <c r="AM953" i="2"/>
  <c r="AH953" i="2" s="1"/>
  <c r="AN953" i="2"/>
  <c r="AI953" i="2" s="1"/>
  <c r="AK954" i="2"/>
  <c r="AF954" i="2" s="1"/>
  <c r="AL954" i="2"/>
  <c r="AG954" i="2" s="1"/>
  <c r="AM954" i="2"/>
  <c r="AH954" i="2" s="1"/>
  <c r="AN954" i="2"/>
  <c r="AI954" i="2" s="1"/>
  <c r="AK955" i="2"/>
  <c r="AF955" i="2" s="1"/>
  <c r="AL955" i="2"/>
  <c r="AG955" i="2" s="1"/>
  <c r="AM955" i="2"/>
  <c r="AH955" i="2" s="1"/>
  <c r="AN955" i="2"/>
  <c r="AI955" i="2" s="1"/>
  <c r="AK956" i="2"/>
  <c r="AF956" i="2" s="1"/>
  <c r="AL956" i="2"/>
  <c r="AG956" i="2" s="1"/>
  <c r="AM956" i="2"/>
  <c r="AH956" i="2" s="1"/>
  <c r="AN956" i="2"/>
  <c r="AI956" i="2" s="1"/>
  <c r="AK957" i="2"/>
  <c r="AF957" i="2" s="1"/>
  <c r="AL957" i="2"/>
  <c r="AG957" i="2" s="1"/>
  <c r="AM957" i="2"/>
  <c r="AH957" i="2" s="1"/>
  <c r="AN957" i="2"/>
  <c r="AI957" i="2" s="1"/>
  <c r="AK958" i="2"/>
  <c r="AF958" i="2" s="1"/>
  <c r="AL958" i="2"/>
  <c r="AG958" i="2" s="1"/>
  <c r="AM958" i="2"/>
  <c r="AH958" i="2" s="1"/>
  <c r="AN958" i="2"/>
  <c r="AI958" i="2" s="1"/>
  <c r="AK959" i="2"/>
  <c r="AF959" i="2" s="1"/>
  <c r="AL959" i="2"/>
  <c r="AG959" i="2" s="1"/>
  <c r="AM959" i="2"/>
  <c r="AH959" i="2" s="1"/>
  <c r="AN959" i="2"/>
  <c r="AI959" i="2" s="1"/>
  <c r="AK960" i="2"/>
  <c r="AF960" i="2" s="1"/>
  <c r="AL960" i="2"/>
  <c r="AG960" i="2" s="1"/>
  <c r="AM960" i="2"/>
  <c r="AH960" i="2" s="1"/>
  <c r="AN960" i="2"/>
  <c r="AI960" i="2" s="1"/>
  <c r="AK961" i="2"/>
  <c r="AF961" i="2" s="1"/>
  <c r="AL961" i="2"/>
  <c r="AG961" i="2" s="1"/>
  <c r="AM961" i="2"/>
  <c r="AH961" i="2" s="1"/>
  <c r="AN961" i="2"/>
  <c r="AI961" i="2" s="1"/>
  <c r="AK962" i="2"/>
  <c r="AF962" i="2" s="1"/>
  <c r="AL962" i="2"/>
  <c r="AG962" i="2" s="1"/>
  <c r="AM962" i="2"/>
  <c r="AH962" i="2" s="1"/>
  <c r="AN962" i="2"/>
  <c r="AI962" i="2" s="1"/>
  <c r="AK963" i="2"/>
  <c r="AF963" i="2" s="1"/>
  <c r="AL963" i="2"/>
  <c r="AG963" i="2" s="1"/>
  <c r="AM963" i="2"/>
  <c r="AH963" i="2" s="1"/>
  <c r="AN963" i="2"/>
  <c r="AI963" i="2" s="1"/>
  <c r="AK964" i="2"/>
  <c r="AF964" i="2" s="1"/>
  <c r="AL964" i="2"/>
  <c r="AG964" i="2" s="1"/>
  <c r="AM964" i="2"/>
  <c r="AH964" i="2" s="1"/>
  <c r="AN964" i="2"/>
  <c r="AI964" i="2" s="1"/>
  <c r="AK965" i="2"/>
  <c r="AF965" i="2" s="1"/>
  <c r="AL965" i="2"/>
  <c r="AG965" i="2" s="1"/>
  <c r="AM965" i="2"/>
  <c r="AH965" i="2" s="1"/>
  <c r="AN965" i="2"/>
  <c r="AI965" i="2" s="1"/>
  <c r="AK966" i="2"/>
  <c r="AF966" i="2" s="1"/>
  <c r="AL966" i="2"/>
  <c r="AG966" i="2" s="1"/>
  <c r="AM966" i="2"/>
  <c r="AH966" i="2" s="1"/>
  <c r="AN966" i="2"/>
  <c r="AI966" i="2" s="1"/>
  <c r="AK967" i="2"/>
  <c r="AF967" i="2" s="1"/>
  <c r="AL967" i="2"/>
  <c r="AG967" i="2" s="1"/>
  <c r="AM967" i="2"/>
  <c r="AH967" i="2" s="1"/>
  <c r="AN967" i="2"/>
  <c r="AI967" i="2" s="1"/>
  <c r="AK968" i="2"/>
  <c r="AF968" i="2" s="1"/>
  <c r="AL968" i="2"/>
  <c r="AG968" i="2" s="1"/>
  <c r="AM968" i="2"/>
  <c r="AH968" i="2" s="1"/>
  <c r="AN968" i="2"/>
  <c r="AI968" i="2" s="1"/>
  <c r="AK969" i="2"/>
  <c r="AF969" i="2" s="1"/>
  <c r="AL969" i="2"/>
  <c r="AG969" i="2" s="1"/>
  <c r="AM969" i="2"/>
  <c r="AH969" i="2" s="1"/>
  <c r="AN969" i="2"/>
  <c r="AI969" i="2" s="1"/>
  <c r="AK970" i="2"/>
  <c r="AF970" i="2" s="1"/>
  <c r="AL970" i="2"/>
  <c r="AG970" i="2" s="1"/>
  <c r="AM970" i="2"/>
  <c r="AH970" i="2" s="1"/>
  <c r="AN970" i="2"/>
  <c r="AI970" i="2" s="1"/>
  <c r="AK971" i="2"/>
  <c r="AF971" i="2" s="1"/>
  <c r="AL971" i="2"/>
  <c r="AG971" i="2" s="1"/>
  <c r="AM971" i="2"/>
  <c r="AH971" i="2" s="1"/>
  <c r="AN971" i="2"/>
  <c r="AI971" i="2" s="1"/>
  <c r="AK972" i="2"/>
  <c r="AF972" i="2" s="1"/>
  <c r="AL972" i="2"/>
  <c r="AG972" i="2" s="1"/>
  <c r="AM972" i="2"/>
  <c r="AH972" i="2" s="1"/>
  <c r="AN972" i="2"/>
  <c r="AI972" i="2" s="1"/>
  <c r="AK973" i="2"/>
  <c r="AF973" i="2" s="1"/>
  <c r="AL973" i="2"/>
  <c r="AG973" i="2" s="1"/>
  <c r="AM973" i="2"/>
  <c r="AH973" i="2" s="1"/>
  <c r="AN973" i="2"/>
  <c r="AI973" i="2" s="1"/>
  <c r="AK974" i="2"/>
  <c r="AF974" i="2" s="1"/>
  <c r="AL974" i="2"/>
  <c r="AG974" i="2" s="1"/>
  <c r="AM974" i="2"/>
  <c r="AH974" i="2" s="1"/>
  <c r="AN974" i="2"/>
  <c r="AI974" i="2" s="1"/>
  <c r="AK975" i="2"/>
  <c r="AF975" i="2" s="1"/>
  <c r="AL975" i="2"/>
  <c r="AG975" i="2" s="1"/>
  <c r="AM975" i="2"/>
  <c r="AH975" i="2" s="1"/>
  <c r="AN975" i="2"/>
  <c r="AI975" i="2" s="1"/>
  <c r="AK976" i="2"/>
  <c r="AF976" i="2" s="1"/>
  <c r="AL976" i="2"/>
  <c r="AG976" i="2" s="1"/>
  <c r="AM976" i="2"/>
  <c r="AH976" i="2" s="1"/>
  <c r="AN976" i="2"/>
  <c r="AI976" i="2" s="1"/>
  <c r="AK977" i="2"/>
  <c r="AF977" i="2" s="1"/>
  <c r="AL977" i="2"/>
  <c r="AG977" i="2" s="1"/>
  <c r="AM977" i="2"/>
  <c r="AH977" i="2" s="1"/>
  <c r="AN977" i="2"/>
  <c r="AI977" i="2" s="1"/>
  <c r="AK978" i="2"/>
  <c r="AF978" i="2" s="1"/>
  <c r="AL978" i="2"/>
  <c r="AG978" i="2" s="1"/>
  <c r="AM978" i="2"/>
  <c r="AH978" i="2" s="1"/>
  <c r="AN978" i="2"/>
  <c r="AI978" i="2" s="1"/>
  <c r="AK979" i="2"/>
  <c r="AF979" i="2" s="1"/>
  <c r="AL979" i="2"/>
  <c r="AG979" i="2" s="1"/>
  <c r="AM979" i="2"/>
  <c r="AH979" i="2" s="1"/>
  <c r="AN979" i="2"/>
  <c r="AI979" i="2" s="1"/>
  <c r="AK980" i="2"/>
  <c r="AF980" i="2" s="1"/>
  <c r="AL980" i="2"/>
  <c r="AG980" i="2" s="1"/>
  <c r="AM980" i="2"/>
  <c r="AH980" i="2" s="1"/>
  <c r="AN980" i="2"/>
  <c r="AI980" i="2" s="1"/>
  <c r="AK981" i="2"/>
  <c r="AF981" i="2" s="1"/>
  <c r="AL981" i="2"/>
  <c r="AG981" i="2" s="1"/>
  <c r="AM981" i="2"/>
  <c r="AH981" i="2" s="1"/>
  <c r="AN981" i="2"/>
  <c r="AI981" i="2" s="1"/>
  <c r="AK982" i="2"/>
  <c r="AF982" i="2" s="1"/>
  <c r="AL982" i="2"/>
  <c r="AG982" i="2" s="1"/>
  <c r="AM982" i="2"/>
  <c r="AH982" i="2" s="1"/>
  <c r="AN982" i="2"/>
  <c r="AI982" i="2" s="1"/>
  <c r="AK983" i="2"/>
  <c r="AF983" i="2" s="1"/>
  <c r="AL983" i="2"/>
  <c r="AG983" i="2" s="1"/>
  <c r="AM983" i="2"/>
  <c r="AH983" i="2" s="1"/>
  <c r="AN983" i="2"/>
  <c r="AI983" i="2" s="1"/>
  <c r="AK984" i="2"/>
  <c r="AF984" i="2" s="1"/>
  <c r="AL984" i="2"/>
  <c r="AG984" i="2" s="1"/>
  <c r="AM984" i="2"/>
  <c r="AH984" i="2" s="1"/>
  <c r="AN984" i="2"/>
  <c r="AI984" i="2" s="1"/>
  <c r="AK985" i="2"/>
  <c r="AF985" i="2" s="1"/>
  <c r="AL985" i="2"/>
  <c r="AG985" i="2" s="1"/>
  <c r="AM985" i="2"/>
  <c r="AH985" i="2" s="1"/>
  <c r="AN985" i="2"/>
  <c r="AI985" i="2" s="1"/>
  <c r="AK986" i="2"/>
  <c r="AF986" i="2" s="1"/>
  <c r="AL986" i="2"/>
  <c r="AG986" i="2" s="1"/>
  <c r="AM986" i="2"/>
  <c r="AH986" i="2" s="1"/>
  <c r="AN986" i="2"/>
  <c r="AI986" i="2" s="1"/>
  <c r="AK987" i="2"/>
  <c r="AF987" i="2" s="1"/>
  <c r="AL987" i="2"/>
  <c r="AG987" i="2" s="1"/>
  <c r="AM987" i="2"/>
  <c r="AH987" i="2" s="1"/>
  <c r="AN987" i="2"/>
  <c r="AI987" i="2" s="1"/>
  <c r="AK988" i="2"/>
  <c r="AF988" i="2" s="1"/>
  <c r="AL988" i="2"/>
  <c r="AG988" i="2" s="1"/>
  <c r="AM988" i="2"/>
  <c r="AH988" i="2" s="1"/>
  <c r="AN988" i="2"/>
  <c r="AI988" i="2" s="1"/>
  <c r="AK989" i="2"/>
  <c r="AF989" i="2" s="1"/>
  <c r="AL989" i="2"/>
  <c r="AG989" i="2" s="1"/>
  <c r="AM989" i="2"/>
  <c r="AH989" i="2" s="1"/>
  <c r="AN989" i="2"/>
  <c r="AI989" i="2" s="1"/>
  <c r="AK990" i="2"/>
  <c r="AF990" i="2" s="1"/>
  <c r="AL990" i="2"/>
  <c r="AG990" i="2" s="1"/>
  <c r="AM990" i="2"/>
  <c r="AH990" i="2" s="1"/>
  <c r="AN990" i="2"/>
  <c r="AI990" i="2" s="1"/>
  <c r="AK991" i="2"/>
  <c r="AF991" i="2" s="1"/>
  <c r="AL991" i="2"/>
  <c r="AG991" i="2" s="1"/>
  <c r="AM991" i="2"/>
  <c r="AH991" i="2" s="1"/>
  <c r="AN991" i="2"/>
  <c r="AI991" i="2" s="1"/>
  <c r="AK992" i="2"/>
  <c r="AF992" i="2" s="1"/>
  <c r="AL992" i="2"/>
  <c r="AG992" i="2" s="1"/>
  <c r="AM992" i="2"/>
  <c r="AH992" i="2" s="1"/>
  <c r="AN992" i="2"/>
  <c r="AI992" i="2" s="1"/>
  <c r="AK993" i="2"/>
  <c r="AF993" i="2" s="1"/>
  <c r="AL993" i="2"/>
  <c r="AG993" i="2" s="1"/>
  <c r="AM993" i="2"/>
  <c r="AH993" i="2" s="1"/>
  <c r="AN993" i="2"/>
  <c r="AI993" i="2" s="1"/>
  <c r="AK994" i="2"/>
  <c r="AF994" i="2" s="1"/>
  <c r="AL994" i="2"/>
  <c r="AG994" i="2" s="1"/>
  <c r="AM994" i="2"/>
  <c r="AH994" i="2" s="1"/>
  <c r="AN994" i="2"/>
  <c r="AI994" i="2" s="1"/>
  <c r="AK995" i="2"/>
  <c r="AF995" i="2" s="1"/>
  <c r="AL995" i="2"/>
  <c r="AG995" i="2" s="1"/>
  <c r="AM995" i="2"/>
  <c r="AH995" i="2" s="1"/>
  <c r="AN995" i="2"/>
  <c r="AI995" i="2" s="1"/>
  <c r="AK996" i="2"/>
  <c r="AF996" i="2" s="1"/>
  <c r="AL996" i="2"/>
  <c r="AG996" i="2" s="1"/>
  <c r="AM996" i="2"/>
  <c r="AH996" i="2" s="1"/>
  <c r="AN996" i="2"/>
  <c r="AI996" i="2" s="1"/>
  <c r="AK997" i="2"/>
  <c r="AF997" i="2" s="1"/>
  <c r="AL997" i="2"/>
  <c r="AG997" i="2" s="1"/>
  <c r="AM997" i="2"/>
  <c r="AH997" i="2" s="1"/>
  <c r="AN997" i="2"/>
  <c r="AI997" i="2" s="1"/>
  <c r="AK998" i="2"/>
  <c r="AF998" i="2" s="1"/>
  <c r="AL998" i="2"/>
  <c r="AG998" i="2" s="1"/>
  <c r="AM998" i="2"/>
  <c r="AH998" i="2" s="1"/>
  <c r="AN998" i="2"/>
  <c r="AI998" i="2" s="1"/>
  <c r="AK999" i="2"/>
  <c r="AF999" i="2" s="1"/>
  <c r="AL999" i="2"/>
  <c r="AG999" i="2" s="1"/>
  <c r="AM999" i="2"/>
  <c r="AH999" i="2" s="1"/>
  <c r="AN999" i="2"/>
  <c r="AI999" i="2" s="1"/>
  <c r="AK1000" i="2"/>
  <c r="AF1000" i="2" s="1"/>
  <c r="AL1000" i="2"/>
  <c r="AG1000" i="2" s="1"/>
  <c r="AM1000" i="2"/>
  <c r="AH1000" i="2" s="1"/>
  <c r="AN1000" i="2"/>
  <c r="AI1000" i="2" s="1"/>
  <c r="AK1001" i="2"/>
  <c r="AF1001" i="2" s="1"/>
  <c r="AL1001" i="2"/>
  <c r="AG1001" i="2" s="1"/>
  <c r="AM1001" i="2"/>
  <c r="AH1001" i="2" s="1"/>
  <c r="AN1001" i="2"/>
  <c r="AI1001" i="2" s="1"/>
  <c r="AK1002" i="2"/>
  <c r="AF1002" i="2" s="1"/>
  <c r="AL1002" i="2"/>
  <c r="AG1002" i="2" s="1"/>
  <c r="AM1002" i="2"/>
  <c r="AH1002" i="2" s="1"/>
  <c r="AN1002" i="2"/>
  <c r="AI1002" i="2" s="1"/>
  <c r="AK1003" i="2"/>
  <c r="AF1003" i="2" s="1"/>
  <c r="AL1003" i="2"/>
  <c r="AG1003" i="2" s="1"/>
  <c r="AM1003" i="2"/>
  <c r="AH1003" i="2" s="1"/>
  <c r="AN1003" i="2"/>
  <c r="AI1003" i="2" s="1"/>
  <c r="AK1004" i="2"/>
  <c r="AF1004" i="2" s="1"/>
  <c r="AL1004" i="2"/>
  <c r="AG1004" i="2" s="1"/>
  <c r="AM1004" i="2"/>
  <c r="AH1004" i="2" s="1"/>
  <c r="AN1004" i="2"/>
  <c r="AI1004" i="2" s="1"/>
  <c r="AK1005" i="2"/>
  <c r="AF1005" i="2" s="1"/>
  <c r="AL1005" i="2"/>
  <c r="AG1005" i="2" s="1"/>
  <c r="AM1005" i="2"/>
  <c r="AH1005" i="2" s="1"/>
  <c r="AN1005" i="2"/>
  <c r="AI1005" i="2" s="1"/>
  <c r="AK1006" i="2"/>
  <c r="AF1006" i="2" s="1"/>
  <c r="AL1006" i="2"/>
  <c r="AG1006" i="2" s="1"/>
  <c r="AM1006" i="2"/>
  <c r="AH1006" i="2" s="1"/>
  <c r="AN1006" i="2"/>
  <c r="AI1006" i="2" s="1"/>
  <c r="AK1007" i="2"/>
  <c r="AF1007" i="2" s="1"/>
  <c r="AL1007" i="2"/>
  <c r="AG1007" i="2" s="1"/>
  <c r="AM1007" i="2"/>
  <c r="AH1007" i="2" s="1"/>
  <c r="AN1007" i="2"/>
  <c r="AI1007" i="2" s="1"/>
  <c r="AK1008" i="2"/>
  <c r="AF1008" i="2" s="1"/>
  <c r="AL1008" i="2"/>
  <c r="AG1008" i="2" s="1"/>
  <c r="AM1008" i="2"/>
  <c r="AH1008" i="2" s="1"/>
  <c r="AN1008" i="2"/>
  <c r="AI1008" i="2" s="1"/>
  <c r="AK1009" i="2"/>
  <c r="AF1009" i="2" s="1"/>
  <c r="AL1009" i="2"/>
  <c r="AG1009" i="2" s="1"/>
  <c r="AM1009" i="2"/>
  <c r="AH1009" i="2" s="1"/>
  <c r="AN1009" i="2"/>
  <c r="AI1009" i="2" s="1"/>
  <c r="AK1010" i="2"/>
  <c r="AF1010" i="2" s="1"/>
  <c r="AL1010" i="2"/>
  <c r="AG1010" i="2" s="1"/>
  <c r="AM1010" i="2"/>
  <c r="AH1010" i="2" s="1"/>
  <c r="AN1010" i="2"/>
  <c r="AI1010" i="2" s="1"/>
  <c r="AK1011" i="2"/>
  <c r="AF1011" i="2" s="1"/>
  <c r="AL1011" i="2"/>
  <c r="AG1011" i="2" s="1"/>
  <c r="AM1011" i="2"/>
  <c r="AH1011" i="2" s="1"/>
  <c r="AN1011" i="2"/>
  <c r="AI1011" i="2" s="1"/>
  <c r="AK1012" i="2"/>
  <c r="AF1012" i="2" s="1"/>
  <c r="AL1012" i="2"/>
  <c r="AG1012" i="2" s="1"/>
  <c r="AM1012" i="2"/>
  <c r="AH1012" i="2" s="1"/>
  <c r="AN1012" i="2"/>
  <c r="AI1012" i="2" s="1"/>
  <c r="AK1013" i="2"/>
  <c r="AF1013" i="2" s="1"/>
  <c r="AL1013" i="2"/>
  <c r="AG1013" i="2" s="1"/>
  <c r="AM1013" i="2"/>
  <c r="AH1013" i="2" s="1"/>
  <c r="AN1013" i="2"/>
  <c r="AI1013" i="2" s="1"/>
  <c r="AK1014" i="2"/>
  <c r="AF1014" i="2" s="1"/>
  <c r="AL1014" i="2"/>
  <c r="AG1014" i="2" s="1"/>
  <c r="AM1014" i="2"/>
  <c r="AH1014" i="2" s="1"/>
  <c r="AN1014" i="2"/>
  <c r="AI1014" i="2" s="1"/>
  <c r="AK1015" i="2"/>
  <c r="AF1015" i="2" s="1"/>
  <c r="AL1015" i="2"/>
  <c r="AG1015" i="2" s="1"/>
  <c r="AM1015" i="2"/>
  <c r="AH1015" i="2" s="1"/>
  <c r="AN1015" i="2"/>
  <c r="AI1015" i="2" s="1"/>
  <c r="AK1016" i="2"/>
  <c r="AF1016" i="2" s="1"/>
  <c r="AL1016" i="2"/>
  <c r="AG1016" i="2" s="1"/>
  <c r="AM1016" i="2"/>
  <c r="AH1016" i="2" s="1"/>
  <c r="AN1016" i="2"/>
  <c r="AI1016" i="2" s="1"/>
  <c r="AK1017" i="2"/>
  <c r="AF1017" i="2" s="1"/>
  <c r="AK1018" i="2"/>
  <c r="AF1018" i="2" s="1"/>
  <c r="AL1018" i="2"/>
  <c r="AG1018" i="2" s="1"/>
  <c r="AM1018" i="2"/>
  <c r="AH1018" i="2" s="1"/>
  <c r="AN1018" i="2"/>
  <c r="AI1018" i="2" s="1"/>
  <c r="AK1019" i="2"/>
  <c r="AF1019" i="2" s="1"/>
  <c r="AL1019" i="2"/>
  <c r="AG1019" i="2" s="1"/>
  <c r="AM1019" i="2"/>
  <c r="AH1019" i="2" s="1"/>
  <c r="AN1019" i="2"/>
  <c r="AI1019" i="2" s="1"/>
  <c r="AK1020" i="2"/>
  <c r="AF1020" i="2" s="1"/>
  <c r="AL1020" i="2"/>
  <c r="AG1020" i="2" s="1"/>
  <c r="AM1020" i="2"/>
  <c r="AH1020" i="2" s="1"/>
  <c r="AN1020" i="2"/>
  <c r="AI1020" i="2" s="1"/>
  <c r="AK1021" i="2"/>
  <c r="AF1021" i="2" s="1"/>
  <c r="AL1021" i="2"/>
  <c r="AG1021" i="2" s="1"/>
  <c r="AM1021" i="2"/>
  <c r="AH1021" i="2" s="1"/>
  <c r="AN1021" i="2"/>
  <c r="AI1021" i="2" s="1"/>
  <c r="AK1022" i="2"/>
  <c r="AF1022" i="2" s="1"/>
  <c r="AL1022" i="2"/>
  <c r="AG1022" i="2" s="1"/>
  <c r="AM1022" i="2"/>
  <c r="AH1022" i="2" s="1"/>
  <c r="AN1022" i="2"/>
  <c r="AI1022" i="2" s="1"/>
  <c r="AK1023" i="2"/>
  <c r="AF1023" i="2" s="1"/>
  <c r="AL1023" i="2"/>
  <c r="AG1023" i="2" s="1"/>
  <c r="AM1023" i="2"/>
  <c r="AH1023" i="2" s="1"/>
  <c r="AN1023" i="2"/>
  <c r="AI1023" i="2" s="1"/>
  <c r="AK1024" i="2"/>
  <c r="AF1024" i="2" s="1"/>
  <c r="AL1024" i="2"/>
  <c r="AG1024" i="2" s="1"/>
  <c r="AM1024" i="2"/>
  <c r="AH1024" i="2" s="1"/>
  <c r="AN1024" i="2"/>
  <c r="AI1024" i="2" s="1"/>
  <c r="AK1025" i="2"/>
  <c r="AF1025" i="2" s="1"/>
  <c r="AL1025" i="2"/>
  <c r="AG1025" i="2" s="1"/>
  <c r="AM1025" i="2"/>
  <c r="AH1025" i="2" s="1"/>
  <c r="AN1025" i="2"/>
  <c r="AI1025" i="2" s="1"/>
  <c r="AK1026" i="2"/>
  <c r="AF1026" i="2" s="1"/>
  <c r="AL1026" i="2"/>
  <c r="AG1026" i="2" s="1"/>
  <c r="AM1026" i="2"/>
  <c r="AH1026" i="2" s="1"/>
  <c r="AN1026" i="2"/>
  <c r="AI1026" i="2" s="1"/>
  <c r="AK1027" i="2"/>
  <c r="AF1027" i="2" s="1"/>
  <c r="AL1027" i="2"/>
  <c r="AG1027" i="2" s="1"/>
  <c r="AM1027" i="2"/>
  <c r="AH1027" i="2" s="1"/>
  <c r="AN1027" i="2"/>
  <c r="AI1027" i="2" s="1"/>
  <c r="AK1028" i="2"/>
  <c r="AF1028" i="2" s="1"/>
  <c r="AL1028" i="2"/>
  <c r="AG1028" i="2" s="1"/>
  <c r="AM1028" i="2"/>
  <c r="AH1028" i="2" s="1"/>
  <c r="AN1028" i="2"/>
  <c r="AI1028" i="2" s="1"/>
  <c r="AK1029" i="2"/>
  <c r="AF1029" i="2" s="1"/>
  <c r="AL1029" i="2"/>
  <c r="AG1029" i="2" s="1"/>
  <c r="AM1029" i="2"/>
  <c r="AH1029" i="2" s="1"/>
  <c r="AN1029" i="2"/>
  <c r="AI1029" i="2" s="1"/>
  <c r="AK1030" i="2"/>
  <c r="AF1030" i="2" s="1"/>
  <c r="AL1030" i="2"/>
  <c r="AG1030" i="2" s="1"/>
  <c r="AM1030" i="2"/>
  <c r="AH1030" i="2" s="1"/>
  <c r="AN1030" i="2"/>
  <c r="AI1030" i="2" s="1"/>
  <c r="AK1031" i="2"/>
  <c r="AF1031" i="2" s="1"/>
  <c r="AL1031" i="2"/>
  <c r="AG1031" i="2" s="1"/>
  <c r="AM1031" i="2"/>
  <c r="AH1031" i="2" s="1"/>
  <c r="AN1031" i="2"/>
  <c r="AI1031" i="2" s="1"/>
  <c r="AK1032" i="2"/>
  <c r="AF1032" i="2" s="1"/>
  <c r="AL1032" i="2"/>
  <c r="AG1032" i="2" s="1"/>
  <c r="AM1032" i="2"/>
  <c r="AH1032" i="2" s="1"/>
  <c r="AN1032" i="2"/>
  <c r="AI1032" i="2" s="1"/>
  <c r="AK1033" i="2"/>
  <c r="AF1033" i="2" s="1"/>
  <c r="AL1033" i="2"/>
  <c r="AG1033" i="2" s="1"/>
  <c r="AM1033" i="2"/>
  <c r="AH1033" i="2" s="1"/>
  <c r="AN1033" i="2"/>
  <c r="AI1033" i="2" s="1"/>
  <c r="AK1034" i="2"/>
  <c r="AF1034" i="2" s="1"/>
  <c r="AL1034" i="2"/>
  <c r="AG1034" i="2" s="1"/>
  <c r="AM1034" i="2"/>
  <c r="AH1034" i="2" s="1"/>
  <c r="AN1034" i="2"/>
  <c r="AI1034" i="2" s="1"/>
  <c r="AK1035" i="2"/>
  <c r="AF1035" i="2" s="1"/>
  <c r="AL1035" i="2"/>
  <c r="AG1035" i="2" s="1"/>
  <c r="AM1035" i="2"/>
  <c r="AH1035" i="2" s="1"/>
  <c r="AN1035" i="2"/>
  <c r="AI1035" i="2" s="1"/>
  <c r="AK1036" i="2"/>
  <c r="AF1036" i="2" s="1"/>
  <c r="AL1036" i="2"/>
  <c r="AG1036" i="2" s="1"/>
  <c r="AM1036" i="2"/>
  <c r="AH1036" i="2" s="1"/>
  <c r="AN1036" i="2"/>
  <c r="AI1036" i="2" s="1"/>
  <c r="AK1037" i="2"/>
  <c r="AF1037" i="2" s="1"/>
  <c r="AL1037" i="2"/>
  <c r="AG1037" i="2" s="1"/>
  <c r="AM1037" i="2"/>
  <c r="AH1037" i="2" s="1"/>
  <c r="AN1037" i="2"/>
  <c r="AI1037" i="2" s="1"/>
  <c r="AK1038" i="2"/>
  <c r="AF1038" i="2" s="1"/>
  <c r="AL1038" i="2"/>
  <c r="AG1038" i="2" s="1"/>
  <c r="AM1038" i="2"/>
  <c r="AH1038" i="2" s="1"/>
  <c r="AN1038" i="2"/>
  <c r="AI1038" i="2" s="1"/>
  <c r="AK1039" i="2"/>
  <c r="AF1039" i="2" s="1"/>
  <c r="AL1039" i="2"/>
  <c r="AG1039" i="2" s="1"/>
  <c r="AM1039" i="2"/>
  <c r="AH1039" i="2" s="1"/>
  <c r="AN1039" i="2"/>
  <c r="AI1039" i="2" s="1"/>
  <c r="AK1040" i="2"/>
  <c r="AF1040" i="2" s="1"/>
  <c r="AL1040" i="2"/>
  <c r="AG1040" i="2" s="1"/>
  <c r="AM1040" i="2"/>
  <c r="AH1040" i="2" s="1"/>
  <c r="AN1040" i="2"/>
  <c r="AI1040" i="2" s="1"/>
  <c r="AK1041" i="2"/>
  <c r="AF1041" i="2" s="1"/>
  <c r="AL1041" i="2"/>
  <c r="AG1041" i="2" s="1"/>
  <c r="AM1041" i="2"/>
  <c r="AH1041" i="2" s="1"/>
  <c r="AN1041" i="2"/>
  <c r="AI1041" i="2" s="1"/>
  <c r="AK1042" i="2"/>
  <c r="AF1042" i="2" s="1"/>
  <c r="AL1042" i="2"/>
  <c r="AG1042" i="2" s="1"/>
  <c r="AM1042" i="2"/>
  <c r="AH1042" i="2" s="1"/>
  <c r="AN1042" i="2"/>
  <c r="AI1042" i="2" s="1"/>
  <c r="AK1043" i="2"/>
  <c r="AF1043" i="2" s="1"/>
  <c r="AL1043" i="2"/>
  <c r="AG1043" i="2" s="1"/>
  <c r="AM1043" i="2"/>
  <c r="AH1043" i="2" s="1"/>
  <c r="AN1043" i="2"/>
  <c r="AI1043" i="2" s="1"/>
  <c r="AK1044" i="2"/>
  <c r="AF1044" i="2" s="1"/>
  <c r="AL1044" i="2"/>
  <c r="AG1044" i="2" s="1"/>
  <c r="AM1044" i="2"/>
  <c r="AH1044" i="2" s="1"/>
  <c r="AN1044" i="2"/>
  <c r="AI1044" i="2" s="1"/>
  <c r="AK1045" i="2"/>
  <c r="AF1045" i="2" s="1"/>
  <c r="AL1045" i="2"/>
  <c r="AG1045" i="2" s="1"/>
  <c r="AM1045" i="2"/>
  <c r="AH1045" i="2" s="1"/>
  <c r="AN1045" i="2"/>
  <c r="AI1045" i="2" s="1"/>
  <c r="AK1046" i="2"/>
  <c r="AF1046" i="2" s="1"/>
  <c r="AL1046" i="2"/>
  <c r="AG1046" i="2" s="1"/>
  <c r="AM1046" i="2"/>
  <c r="AH1046" i="2" s="1"/>
  <c r="AN1046" i="2"/>
  <c r="AI1046" i="2" s="1"/>
  <c r="AK1047" i="2"/>
  <c r="AF1047" i="2" s="1"/>
  <c r="AL1047" i="2"/>
  <c r="AG1047" i="2" s="1"/>
  <c r="AM1047" i="2"/>
  <c r="AH1047" i="2" s="1"/>
  <c r="AN1047" i="2"/>
  <c r="AI1047" i="2" s="1"/>
  <c r="AK1048" i="2"/>
  <c r="AF1048" i="2" s="1"/>
  <c r="AL1048" i="2"/>
  <c r="AG1048" i="2" s="1"/>
  <c r="AM1048" i="2"/>
  <c r="AH1048" i="2" s="1"/>
  <c r="AN1048" i="2"/>
  <c r="AI1048" i="2" s="1"/>
  <c r="AK1049" i="2"/>
  <c r="AF1049" i="2" s="1"/>
  <c r="AL1049" i="2"/>
  <c r="AG1049" i="2" s="1"/>
  <c r="AM1049" i="2"/>
  <c r="AH1049" i="2" s="1"/>
  <c r="AN1049" i="2"/>
  <c r="AI1049" i="2" s="1"/>
  <c r="AK1050" i="2"/>
  <c r="AF1050" i="2" s="1"/>
  <c r="AL1050" i="2"/>
  <c r="AG1050" i="2" s="1"/>
  <c r="AM1050" i="2"/>
  <c r="AH1050" i="2" s="1"/>
  <c r="AN1050" i="2"/>
  <c r="AI1050" i="2" s="1"/>
  <c r="AK1051" i="2"/>
  <c r="AF1051" i="2" s="1"/>
  <c r="AL1051" i="2"/>
  <c r="AG1051" i="2" s="1"/>
  <c r="AM1051" i="2"/>
  <c r="AH1051" i="2" s="1"/>
  <c r="AN1051" i="2"/>
  <c r="AI1051" i="2" s="1"/>
  <c r="AK1052" i="2"/>
  <c r="AF1052" i="2" s="1"/>
  <c r="AL1052" i="2"/>
  <c r="AG1052" i="2" s="1"/>
  <c r="AM1052" i="2"/>
  <c r="AH1052" i="2" s="1"/>
  <c r="AN1052" i="2"/>
  <c r="AI1052" i="2" s="1"/>
  <c r="AK1053" i="2"/>
  <c r="AF1053" i="2" s="1"/>
  <c r="AL1053" i="2"/>
  <c r="AG1053" i="2" s="1"/>
  <c r="AM1053" i="2"/>
  <c r="AH1053" i="2" s="1"/>
  <c r="AN1053" i="2"/>
  <c r="AI1053" i="2" s="1"/>
  <c r="AK1054" i="2"/>
  <c r="AF1054" i="2" s="1"/>
  <c r="AL1054" i="2"/>
  <c r="AG1054" i="2" s="1"/>
  <c r="AM1054" i="2"/>
  <c r="AH1054" i="2" s="1"/>
  <c r="AN1054" i="2"/>
  <c r="AI1054" i="2" s="1"/>
  <c r="AK1055" i="2"/>
  <c r="AF1055" i="2" s="1"/>
  <c r="AL1055" i="2"/>
  <c r="AG1055" i="2" s="1"/>
  <c r="AM1055" i="2"/>
  <c r="AH1055" i="2" s="1"/>
  <c r="AN1055" i="2"/>
  <c r="AI1055" i="2" s="1"/>
  <c r="AK1056" i="2"/>
  <c r="AF1056" i="2" s="1"/>
  <c r="AL1056" i="2"/>
  <c r="AG1056" i="2" s="1"/>
  <c r="AM1056" i="2"/>
  <c r="AH1056" i="2" s="1"/>
  <c r="AN1056" i="2"/>
  <c r="AI1056" i="2" s="1"/>
  <c r="AK1057" i="2"/>
  <c r="AF1057" i="2" s="1"/>
  <c r="AL1057" i="2"/>
  <c r="AG1057" i="2" s="1"/>
  <c r="AM1057" i="2"/>
  <c r="AH1057" i="2" s="1"/>
  <c r="AN1057" i="2"/>
  <c r="AI1057" i="2" s="1"/>
  <c r="AK1058" i="2"/>
  <c r="AF1058" i="2" s="1"/>
  <c r="AL1058" i="2"/>
  <c r="AG1058" i="2" s="1"/>
  <c r="AM1058" i="2"/>
  <c r="AH1058" i="2" s="1"/>
  <c r="AN1058" i="2"/>
  <c r="AI1058" i="2" s="1"/>
  <c r="AK1059" i="2"/>
  <c r="AF1059" i="2" s="1"/>
  <c r="AL1059" i="2"/>
  <c r="AG1059" i="2" s="1"/>
  <c r="AM1059" i="2"/>
  <c r="AH1059" i="2" s="1"/>
  <c r="AN1059" i="2"/>
  <c r="AI1059" i="2" s="1"/>
  <c r="AK1060" i="2"/>
  <c r="AF1060" i="2" s="1"/>
  <c r="AL1060" i="2"/>
  <c r="AG1060" i="2" s="1"/>
  <c r="AM1060" i="2"/>
  <c r="AH1060" i="2" s="1"/>
  <c r="AN1060" i="2"/>
  <c r="AI1060" i="2" s="1"/>
  <c r="AK1061" i="2"/>
  <c r="AF1061" i="2" s="1"/>
  <c r="AL1061" i="2"/>
  <c r="AG1061" i="2" s="1"/>
  <c r="AM1061" i="2"/>
  <c r="AH1061" i="2" s="1"/>
  <c r="AN1061" i="2"/>
  <c r="AI1061" i="2" s="1"/>
  <c r="AK1062" i="2"/>
  <c r="AF1062" i="2" s="1"/>
  <c r="AL1062" i="2"/>
  <c r="AG1062" i="2" s="1"/>
  <c r="AM1062" i="2"/>
  <c r="AH1062" i="2" s="1"/>
  <c r="AN1062" i="2"/>
  <c r="AI1062" i="2" s="1"/>
  <c r="AK1063" i="2"/>
  <c r="AF1063" i="2" s="1"/>
  <c r="AL1063" i="2"/>
  <c r="AG1063" i="2" s="1"/>
  <c r="AM1063" i="2"/>
  <c r="AH1063" i="2" s="1"/>
  <c r="AN1063" i="2"/>
  <c r="AI1063" i="2" s="1"/>
  <c r="AK1064" i="2"/>
  <c r="AF1064" i="2" s="1"/>
  <c r="AL1064" i="2"/>
  <c r="AG1064" i="2" s="1"/>
  <c r="AM1064" i="2"/>
  <c r="AH1064" i="2" s="1"/>
  <c r="AN1064" i="2"/>
  <c r="AI1064" i="2" s="1"/>
  <c r="AK1065" i="2"/>
  <c r="AF1065" i="2" s="1"/>
  <c r="AL1065" i="2"/>
  <c r="AG1065" i="2" s="1"/>
  <c r="AM1065" i="2"/>
  <c r="AH1065" i="2" s="1"/>
  <c r="AN1065" i="2"/>
  <c r="AI1065" i="2" s="1"/>
  <c r="AK1066" i="2"/>
  <c r="AF1066" i="2" s="1"/>
  <c r="AL1066" i="2"/>
  <c r="AG1066" i="2" s="1"/>
  <c r="AM1066" i="2"/>
  <c r="AH1066" i="2" s="1"/>
  <c r="AN1066" i="2"/>
  <c r="AI1066" i="2" s="1"/>
  <c r="AK1067" i="2"/>
  <c r="AF1067" i="2" s="1"/>
  <c r="AL1067" i="2"/>
  <c r="AG1067" i="2" s="1"/>
  <c r="AM1067" i="2"/>
  <c r="AH1067" i="2" s="1"/>
  <c r="AN1067" i="2"/>
  <c r="AI1067" i="2" s="1"/>
  <c r="AK1068" i="2"/>
  <c r="AF1068" i="2" s="1"/>
  <c r="AL1068" i="2"/>
  <c r="AG1068" i="2" s="1"/>
  <c r="AM1068" i="2"/>
  <c r="AH1068" i="2" s="1"/>
  <c r="AN1068" i="2"/>
  <c r="AI1068" i="2" s="1"/>
  <c r="AK1069" i="2"/>
  <c r="AF1069" i="2" s="1"/>
  <c r="AL1069" i="2"/>
  <c r="AG1069" i="2" s="1"/>
  <c r="AM1069" i="2"/>
  <c r="AH1069" i="2" s="1"/>
  <c r="AN1069" i="2"/>
  <c r="AI1069" i="2" s="1"/>
  <c r="AK1070" i="2"/>
  <c r="AF1070" i="2" s="1"/>
  <c r="AL1070" i="2"/>
  <c r="AG1070" i="2" s="1"/>
  <c r="AM1070" i="2"/>
  <c r="AH1070" i="2" s="1"/>
  <c r="AN1070" i="2"/>
  <c r="AI1070" i="2" s="1"/>
  <c r="AK1071" i="2"/>
  <c r="AF1071" i="2" s="1"/>
  <c r="AL1071" i="2"/>
  <c r="AG1071" i="2" s="1"/>
  <c r="AM1071" i="2"/>
  <c r="AH1071" i="2" s="1"/>
  <c r="AN1071" i="2"/>
  <c r="AI1071" i="2" s="1"/>
  <c r="AK1072" i="2"/>
  <c r="AL1072" i="2"/>
  <c r="AM1072" i="2"/>
  <c r="AN1072" i="2"/>
  <c r="AK1073" i="2"/>
  <c r="AF1073" i="2" s="1"/>
  <c r="AL1073" i="2"/>
  <c r="AG1073" i="2" s="1"/>
  <c r="AM1073" i="2"/>
  <c r="AH1073" i="2" s="1"/>
  <c r="AN1073" i="2"/>
  <c r="AI1073" i="2" s="1"/>
  <c r="AK1074" i="2"/>
  <c r="AF1074" i="2" s="1"/>
  <c r="AL1074" i="2"/>
  <c r="AG1074" i="2" s="1"/>
  <c r="AM1074" i="2"/>
  <c r="AH1074" i="2" s="1"/>
  <c r="AN1074" i="2"/>
  <c r="AI1074" i="2" s="1"/>
  <c r="AK1075" i="2"/>
  <c r="AF1075" i="2" s="1"/>
  <c r="AL1075" i="2"/>
  <c r="AG1075" i="2" s="1"/>
  <c r="AM1075" i="2"/>
  <c r="AH1075" i="2" s="1"/>
  <c r="AN1075" i="2"/>
  <c r="AI1075" i="2" s="1"/>
  <c r="AK1076" i="2"/>
  <c r="AF1076" i="2" s="1"/>
  <c r="AL1076" i="2"/>
  <c r="AG1076" i="2" s="1"/>
  <c r="AM1076" i="2"/>
  <c r="AH1076" i="2" s="1"/>
  <c r="AN1076" i="2"/>
  <c r="AI1076" i="2" s="1"/>
  <c r="AK1077" i="2"/>
  <c r="AF1077" i="2" s="1"/>
  <c r="AL1077" i="2"/>
  <c r="AG1077" i="2" s="1"/>
  <c r="AM1077" i="2"/>
  <c r="AH1077" i="2" s="1"/>
  <c r="AN1077" i="2"/>
  <c r="AI1077" i="2" s="1"/>
  <c r="AK1078" i="2"/>
  <c r="AF1078" i="2" s="1"/>
  <c r="AL1078" i="2"/>
  <c r="AG1078" i="2" s="1"/>
  <c r="AM1078" i="2"/>
  <c r="AH1078" i="2" s="1"/>
  <c r="AN1078" i="2"/>
  <c r="AI1078" i="2" s="1"/>
  <c r="AK1079" i="2"/>
  <c r="AF1079" i="2" s="1"/>
  <c r="AL1079" i="2"/>
  <c r="AG1079" i="2" s="1"/>
  <c r="AM1079" i="2"/>
  <c r="AH1079" i="2" s="1"/>
  <c r="AN1079" i="2"/>
  <c r="AI1079" i="2" s="1"/>
  <c r="AK1080" i="2"/>
  <c r="AF1080" i="2" s="1"/>
  <c r="AL1080" i="2"/>
  <c r="AG1080" i="2" s="1"/>
  <c r="AM1080" i="2"/>
  <c r="AH1080" i="2" s="1"/>
  <c r="AN1080" i="2"/>
  <c r="AI1080" i="2" s="1"/>
  <c r="AK1081" i="2"/>
  <c r="AF1081" i="2" s="1"/>
  <c r="AL1081" i="2"/>
  <c r="AG1081" i="2" s="1"/>
  <c r="AM1081" i="2"/>
  <c r="AH1081" i="2" s="1"/>
  <c r="AN1081" i="2"/>
  <c r="AI1081" i="2" s="1"/>
  <c r="AK1082" i="2"/>
  <c r="AF1082" i="2" s="1"/>
  <c r="AL1082" i="2"/>
  <c r="AG1082" i="2" s="1"/>
  <c r="AM1082" i="2"/>
  <c r="AH1082" i="2" s="1"/>
  <c r="AN1082" i="2"/>
  <c r="AI1082" i="2" s="1"/>
  <c r="AK1083" i="2"/>
  <c r="AF1083" i="2" s="1"/>
  <c r="AL1083" i="2"/>
  <c r="AG1083" i="2" s="1"/>
  <c r="AM1083" i="2"/>
  <c r="AH1083" i="2" s="1"/>
  <c r="AN1083" i="2"/>
  <c r="AI1083" i="2" s="1"/>
  <c r="AK1084" i="2"/>
  <c r="AF1084" i="2" s="1"/>
  <c r="AL1084" i="2"/>
  <c r="AG1084" i="2" s="1"/>
  <c r="AM1084" i="2"/>
  <c r="AH1084" i="2" s="1"/>
  <c r="AN1084" i="2"/>
  <c r="AI1084" i="2" s="1"/>
  <c r="AK1085" i="2"/>
  <c r="AF1085" i="2" s="1"/>
  <c r="AL1085" i="2"/>
  <c r="AG1085" i="2" s="1"/>
  <c r="AM1085" i="2"/>
  <c r="AH1085" i="2" s="1"/>
  <c r="AN1085" i="2"/>
  <c r="AI1085" i="2" s="1"/>
  <c r="AK1086" i="2"/>
  <c r="AF1086" i="2" s="1"/>
  <c r="AL1086" i="2"/>
  <c r="AG1086" i="2" s="1"/>
  <c r="AM1086" i="2"/>
  <c r="AH1086" i="2" s="1"/>
  <c r="AN1086" i="2"/>
  <c r="AI1086" i="2" s="1"/>
  <c r="AK1087" i="2"/>
  <c r="AF1087" i="2" s="1"/>
  <c r="AL1087" i="2"/>
  <c r="AG1087" i="2" s="1"/>
  <c r="AM1087" i="2"/>
  <c r="AH1087" i="2" s="1"/>
  <c r="AN1087" i="2"/>
  <c r="AI1087" i="2" s="1"/>
  <c r="AK1088" i="2"/>
  <c r="AF1088" i="2" s="1"/>
  <c r="AL1088" i="2"/>
  <c r="AG1088" i="2" s="1"/>
  <c r="AM1088" i="2"/>
  <c r="AH1088" i="2" s="1"/>
  <c r="AN1088" i="2"/>
  <c r="AI1088" i="2" s="1"/>
  <c r="AK1089" i="2"/>
  <c r="AF1089" i="2" s="1"/>
  <c r="AL1089" i="2"/>
  <c r="AG1089" i="2" s="1"/>
  <c r="AM1089" i="2"/>
  <c r="AH1089" i="2" s="1"/>
  <c r="AN1089" i="2"/>
  <c r="AI1089" i="2" s="1"/>
  <c r="AK1090" i="2"/>
  <c r="AF1090" i="2" s="1"/>
  <c r="AL1090" i="2"/>
  <c r="AG1090" i="2" s="1"/>
  <c r="AM1090" i="2"/>
  <c r="AH1090" i="2" s="1"/>
  <c r="AN1090" i="2"/>
  <c r="AI1090" i="2" s="1"/>
  <c r="AK1091" i="2"/>
  <c r="AF1091" i="2" s="1"/>
  <c r="AL1091" i="2"/>
  <c r="AG1091" i="2" s="1"/>
  <c r="AM1091" i="2"/>
  <c r="AH1091" i="2" s="1"/>
  <c r="AN1091" i="2"/>
  <c r="AI1091" i="2" s="1"/>
  <c r="AK1092" i="2"/>
  <c r="AF1092" i="2" s="1"/>
  <c r="AL1092" i="2"/>
  <c r="AG1092" i="2" s="1"/>
  <c r="AM1092" i="2"/>
  <c r="AH1092" i="2" s="1"/>
  <c r="AN1092" i="2"/>
  <c r="AI1092" i="2" s="1"/>
  <c r="AK1093" i="2"/>
  <c r="AF1093" i="2" s="1"/>
  <c r="AL1093" i="2"/>
  <c r="AG1093" i="2" s="1"/>
  <c r="AM1093" i="2"/>
  <c r="AH1093" i="2" s="1"/>
  <c r="AN1093" i="2"/>
  <c r="AI1093" i="2" s="1"/>
  <c r="AK1094" i="2"/>
  <c r="AF1094" i="2" s="1"/>
  <c r="AL1094" i="2"/>
  <c r="AG1094" i="2" s="1"/>
  <c r="AM1094" i="2"/>
  <c r="AH1094" i="2" s="1"/>
  <c r="AN1094" i="2"/>
  <c r="AI1094" i="2" s="1"/>
  <c r="AK1095" i="2"/>
  <c r="AF1095" i="2" s="1"/>
  <c r="AL1095" i="2"/>
  <c r="AG1095" i="2" s="1"/>
  <c r="AM1095" i="2"/>
  <c r="AH1095" i="2" s="1"/>
  <c r="AN1095" i="2"/>
  <c r="AI1095" i="2" s="1"/>
  <c r="AK1096" i="2"/>
  <c r="AF1096" i="2" s="1"/>
  <c r="AL1096" i="2"/>
  <c r="AG1096" i="2" s="1"/>
  <c r="AM1096" i="2"/>
  <c r="AH1096" i="2" s="1"/>
  <c r="AN1096" i="2"/>
  <c r="AI1096" i="2" s="1"/>
  <c r="AK1097" i="2"/>
  <c r="AF1097" i="2" s="1"/>
  <c r="AL1097" i="2"/>
  <c r="AG1097" i="2" s="1"/>
  <c r="AM1097" i="2"/>
  <c r="AH1097" i="2" s="1"/>
  <c r="AN1097" i="2"/>
  <c r="AI1097" i="2" s="1"/>
  <c r="AK1098" i="2"/>
  <c r="AF1098" i="2" s="1"/>
  <c r="AL1098" i="2"/>
  <c r="AG1098" i="2" s="1"/>
  <c r="AM1098" i="2"/>
  <c r="AH1098" i="2" s="1"/>
  <c r="AN1098" i="2"/>
  <c r="AI1098" i="2" s="1"/>
  <c r="AK1099" i="2"/>
  <c r="AF1099" i="2" s="1"/>
  <c r="AL1099" i="2"/>
  <c r="AG1099" i="2" s="1"/>
  <c r="AM1099" i="2"/>
  <c r="AH1099" i="2" s="1"/>
  <c r="AN1099" i="2"/>
  <c r="AI1099" i="2" s="1"/>
  <c r="AK1100" i="2"/>
  <c r="AF1100" i="2" s="1"/>
  <c r="AL1100" i="2"/>
  <c r="AG1100" i="2" s="1"/>
  <c r="AM1100" i="2"/>
  <c r="AH1100" i="2" s="1"/>
  <c r="AN1100" i="2"/>
  <c r="AI1100" i="2" s="1"/>
  <c r="AK1101" i="2"/>
  <c r="AF1101" i="2" s="1"/>
  <c r="AL1101" i="2"/>
  <c r="AG1101" i="2" s="1"/>
  <c r="AM1101" i="2"/>
  <c r="AH1101" i="2" s="1"/>
  <c r="AN1101" i="2"/>
  <c r="AI1101" i="2" s="1"/>
  <c r="AK1102" i="2"/>
  <c r="AF1102" i="2" s="1"/>
  <c r="AL1102" i="2"/>
  <c r="AG1102" i="2" s="1"/>
  <c r="AM1102" i="2"/>
  <c r="AH1102" i="2" s="1"/>
  <c r="AN1102" i="2"/>
  <c r="AI1102" i="2" s="1"/>
  <c r="C3" i="39" l="1"/>
  <c r="C4" i="39"/>
  <c r="C5" i="39"/>
  <c r="C6" i="39"/>
  <c r="C7" i="39"/>
  <c r="C8" i="39"/>
  <c r="C9" i="39"/>
  <c r="D19" i="39"/>
  <c r="D20" i="39"/>
  <c r="D21" i="39"/>
  <c r="D22" i="39"/>
  <c r="D23" i="39"/>
  <c r="D26" i="39"/>
  <c r="D27" i="39"/>
  <c r="D29" i="39"/>
  <c r="D30" i="39"/>
  <c r="D31" i="39"/>
  <c r="D32" i="39"/>
  <c r="D33" i="39"/>
  <c r="D34" i="39"/>
  <c r="D35" i="39"/>
  <c r="B6" i="48"/>
  <c r="B6" i="45"/>
  <c r="D6" i="2"/>
  <c r="C7" i="44"/>
  <c r="C4" i="44" l="1"/>
  <c r="AM105" i="2" l="1"/>
  <c r="AH105" i="2" s="1"/>
  <c r="AM859" i="2"/>
  <c r="AH859" i="2" s="1"/>
  <c r="AM790" i="2"/>
  <c r="AH790" i="2" s="1"/>
  <c r="AM247" i="2"/>
  <c r="AM415" i="2"/>
  <c r="AM596" i="2"/>
  <c r="AM795" i="2"/>
  <c r="AH795" i="2" s="1"/>
  <c r="AM411" i="2"/>
  <c r="AM1017" i="2"/>
  <c r="AH1017" i="2" s="1"/>
  <c r="AL790" i="2"/>
  <c r="AG790" i="2" s="1"/>
  <c r="AL247" i="2"/>
  <c r="AL415" i="2"/>
  <c r="AL596" i="2"/>
  <c r="AL795" i="2"/>
  <c r="AG795" i="2" s="1"/>
  <c r="AL411" i="2"/>
  <c r="AL1017" i="2"/>
  <c r="AG1017" i="2" s="1"/>
  <c r="AL105" i="2"/>
  <c r="AG105" i="2" s="1"/>
  <c r="AL859" i="2"/>
  <c r="AG859" i="2" s="1"/>
  <c r="AN105" i="2" l="1"/>
  <c r="AI105" i="2" s="1"/>
  <c r="AN790" i="2"/>
  <c r="AI790" i="2" s="1"/>
  <c r="AN247" i="2"/>
  <c r="AN415" i="2"/>
  <c r="AN596" i="2"/>
  <c r="AN795" i="2"/>
  <c r="AI795" i="2" s="1"/>
  <c r="AN411" i="2"/>
  <c r="AN859" i="2"/>
  <c r="AI859" i="2" s="1"/>
  <c r="AN1017" i="2"/>
  <c r="AI1017" i="2" s="1"/>
  <c r="B9" i="42" l="1"/>
  <c r="B8" i="42"/>
  <c r="B7" i="42"/>
  <c r="B6" i="42"/>
  <c r="B5" i="42"/>
  <c r="B3" i="42"/>
  <c r="D9" i="2" l="1"/>
  <c r="D8" i="2"/>
  <c r="D7" i="2"/>
  <c r="D3" i="2"/>
  <c r="D5" i="2"/>
  <c r="C6" i="44" l="1"/>
  <c r="C5" i="44"/>
  <c r="C9" i="44"/>
  <c r="C8" i="44"/>
  <c r="C3" i="44"/>
  <c r="J16" i="42"/>
  <c r="J17" i="42"/>
  <c r="J18" i="42"/>
  <c r="J19" i="42"/>
  <c r="J22" i="42"/>
  <c r="J23" i="42"/>
  <c r="J26" i="42"/>
  <c r="J27" i="42"/>
  <c r="J29" i="42"/>
  <c r="J30" i="42"/>
  <c r="J33" i="42"/>
  <c r="J34" i="42"/>
  <c r="J35" i="42"/>
  <c r="J38" i="42"/>
  <c r="J39" i="42"/>
  <c r="J40" i="42"/>
  <c r="J41" i="42"/>
  <c r="J42" i="42"/>
  <c r="T1072" i="2" l="1"/>
  <c r="AB1063" i="2"/>
  <c r="AB1062" i="2"/>
  <c r="AB1060" i="2"/>
  <c r="AB1059" i="2"/>
  <c r="AB1058" i="2"/>
  <c r="AB1057" i="2"/>
  <c r="AB1056" i="2"/>
  <c r="AC1055" i="2"/>
  <c r="AB1054" i="2"/>
  <c r="AC1053" i="2"/>
  <c r="AC1052" i="2"/>
  <c r="AB1051" i="2"/>
  <c r="AA1050" i="2"/>
  <c r="AB1049" i="2"/>
  <c r="AA1048" i="2"/>
  <c r="AA1047" i="2"/>
  <c r="AA1046" i="2"/>
  <c r="AA1045" i="2"/>
  <c r="AA1044" i="2"/>
  <c r="AB1043" i="2"/>
  <c r="AB1042" i="2"/>
  <c r="AB1041" i="2"/>
  <c r="AB1040" i="2"/>
  <c r="AB1039" i="2"/>
  <c r="AB1033" i="2"/>
  <c r="AB1032" i="2"/>
  <c r="AB1031" i="2"/>
  <c r="AA1030" i="2"/>
  <c r="AA1029" i="2"/>
  <c r="AC1028" i="2"/>
  <c r="AA1027" i="2"/>
  <c r="AA1026" i="2"/>
  <c r="AA1025" i="2"/>
  <c r="AA1024" i="2"/>
  <c r="AA1023" i="2"/>
  <c r="AA1022" i="2"/>
  <c r="AA1021" i="2"/>
  <c r="AA1020" i="2"/>
  <c r="AB1019" i="2"/>
  <c r="AA1018" i="2"/>
  <c r="AA1016" i="2"/>
  <c r="AC1015" i="2"/>
  <c r="AC1014" i="2"/>
  <c r="AB1013" i="2"/>
  <c r="AB1012" i="2"/>
  <c r="AC1011" i="2"/>
  <c r="AC1010" i="2"/>
  <c r="AC1009" i="2"/>
  <c r="AC1008" i="2"/>
  <c r="AC1007" i="2"/>
  <c r="AC1006" i="2"/>
  <c r="AB1005" i="2"/>
  <c r="AA1004" i="2"/>
  <c r="AA1003" i="2"/>
  <c r="AB1002" i="2"/>
  <c r="AA1001" i="2"/>
  <c r="AC1000" i="2"/>
  <c r="AC999" i="2"/>
  <c r="AB998" i="2"/>
  <c r="AB997" i="2"/>
  <c r="AB996" i="2"/>
  <c r="AA994" i="2"/>
  <c r="AB993" i="2"/>
  <c r="AC992" i="2"/>
  <c r="AB991" i="2"/>
  <c r="AC990" i="2"/>
  <c r="AC989" i="2"/>
  <c r="AA988" i="2"/>
  <c r="AA987" i="2"/>
  <c r="AA986" i="2"/>
  <c r="AB985" i="2"/>
  <c r="AB984" i="2"/>
  <c r="AA983" i="2"/>
  <c r="AA982" i="2"/>
  <c r="AA981" i="2"/>
  <c r="AA980" i="2"/>
  <c r="AA979" i="2"/>
  <c r="AB978" i="2"/>
  <c r="AB977" i="2"/>
  <c r="AB976" i="2"/>
  <c r="AB975" i="2"/>
  <c r="AB974" i="2"/>
  <c r="AB973" i="2"/>
  <c r="AC972" i="2"/>
  <c r="AC971" i="2"/>
  <c r="AA969" i="2"/>
  <c r="AA968" i="2"/>
  <c r="AA967" i="2"/>
  <c r="AB966" i="2"/>
  <c r="AB965" i="2"/>
  <c r="AC964" i="2"/>
  <c r="AB963" i="2"/>
  <c r="AA962" i="2"/>
  <c r="AA961" i="2"/>
  <c r="AA960" i="2"/>
  <c r="AB959" i="2"/>
  <c r="AA958" i="2"/>
  <c r="AB957" i="2"/>
  <c r="AB956" i="2"/>
  <c r="AC955" i="2"/>
  <c r="AC954" i="2"/>
  <c r="AB953" i="2"/>
  <c r="AB952" i="2"/>
  <c r="AB951" i="2"/>
  <c r="AB950" i="2"/>
  <c r="AB949" i="2"/>
  <c r="AA948" i="2"/>
  <c r="AA947" i="2"/>
  <c r="AA946" i="2"/>
  <c r="AA945" i="2"/>
  <c r="AB944" i="2"/>
  <c r="AB943" i="2"/>
  <c r="AB942" i="2"/>
  <c r="AB941" i="2"/>
  <c r="AA940" i="2"/>
  <c r="AA939" i="2"/>
  <c r="AA938" i="2"/>
  <c r="AB937" i="2"/>
  <c r="AB936" i="2"/>
  <c r="AB935" i="2"/>
  <c r="AA933" i="2"/>
  <c r="AA932" i="2"/>
  <c r="AA931" i="2"/>
  <c r="AB930" i="2"/>
  <c r="AB929" i="2"/>
  <c r="AB928" i="2"/>
  <c r="AB927" i="2"/>
  <c r="AB926" i="2"/>
  <c r="AA925" i="2"/>
  <c r="AC924" i="2"/>
  <c r="AB923" i="2"/>
  <c r="AC922" i="2"/>
  <c r="AC921" i="2"/>
  <c r="AB920" i="2"/>
  <c r="AB919" i="2"/>
  <c r="AA918" i="2"/>
  <c r="AA917" i="2"/>
  <c r="AB916" i="2"/>
  <c r="AB915" i="2"/>
  <c r="AA914" i="2"/>
  <c r="AA913" i="2"/>
  <c r="AA912" i="2"/>
  <c r="AA911" i="2"/>
  <c r="AA910" i="2"/>
  <c r="AA909" i="2"/>
  <c r="AB908" i="2"/>
  <c r="AB907" i="2"/>
  <c r="AC906" i="2"/>
  <c r="AC905" i="2"/>
  <c r="AB904" i="2"/>
  <c r="AB901" i="2"/>
  <c r="AB899" i="2"/>
  <c r="T897" i="2"/>
  <c r="AB896" i="2"/>
  <c r="AA895" i="2"/>
  <c r="AA894" i="2"/>
  <c r="AA893" i="2"/>
  <c r="AA892" i="2"/>
  <c r="AA891" i="2"/>
  <c r="AA890" i="2"/>
  <c r="AA889" i="2"/>
  <c r="AB888" i="2"/>
  <c r="AB887" i="2"/>
  <c r="AC886" i="2"/>
  <c r="AC885" i="2"/>
  <c r="AB884" i="2"/>
  <c r="AA883" i="2"/>
  <c r="AA882" i="2"/>
  <c r="AA881" i="2"/>
  <c r="AA880" i="2"/>
  <c r="AA879" i="2"/>
  <c r="AA878" i="2"/>
  <c r="AB877" i="2"/>
  <c r="AA876" i="2"/>
  <c r="AA875" i="2"/>
  <c r="AA874" i="2"/>
  <c r="AB873" i="2"/>
  <c r="AB872" i="2"/>
  <c r="AB871" i="2"/>
  <c r="AB870" i="2"/>
  <c r="AB869" i="2"/>
  <c r="Z868" i="2"/>
  <c r="AA866" i="2"/>
  <c r="AB861" i="2"/>
  <c r="AB860" i="2"/>
  <c r="Z859" i="2"/>
  <c r="AA858" i="2"/>
  <c r="AB857" i="2"/>
  <c r="AC856" i="2"/>
  <c r="AB855" i="2"/>
  <c r="AB854" i="2"/>
  <c r="AA853" i="2"/>
  <c r="AB852" i="2"/>
  <c r="AC851" i="2"/>
  <c r="AA850" i="2"/>
  <c r="AA849" i="2"/>
  <c r="AC848" i="2"/>
  <c r="AA847" i="2"/>
  <c r="AA846" i="2"/>
  <c r="AC845" i="2"/>
  <c r="AC844" i="2"/>
  <c r="AA843" i="2"/>
  <c r="AA842" i="2"/>
  <c r="AA841" i="2"/>
  <c r="AB840" i="2"/>
  <c r="AA839" i="2"/>
  <c r="AB838" i="2"/>
  <c r="AA835" i="2"/>
  <c r="AA834" i="2"/>
  <c r="AA833" i="2"/>
  <c r="AA832" i="2"/>
  <c r="AC831" i="2"/>
  <c r="AA830" i="2"/>
  <c r="AC829" i="2"/>
  <c r="U829" i="2"/>
  <c r="AB826" i="2"/>
  <c r="AB825" i="2"/>
  <c r="AA823" i="2"/>
  <c r="AA822" i="2"/>
  <c r="AA821" i="2"/>
  <c r="AA819" i="2"/>
  <c r="AC818" i="2"/>
  <c r="AB817" i="2"/>
  <c r="AC814" i="2"/>
  <c r="AC813" i="2"/>
  <c r="AA809" i="2"/>
  <c r="AA808" i="2"/>
  <c r="AA807" i="2"/>
  <c r="AA803" i="2"/>
  <c r="AB801" i="2"/>
  <c r="AB800" i="2"/>
  <c r="Z795" i="2"/>
  <c r="T794" i="2"/>
  <c r="T793" i="2"/>
  <c r="Z790" i="2"/>
  <c r="AA789" i="2"/>
  <c r="AA788" i="2"/>
  <c r="Y788" i="2"/>
  <c r="AA787" i="2"/>
  <c r="AA786" i="2"/>
  <c r="Y786" i="2"/>
  <c r="Z785" i="2"/>
  <c r="Y785" i="2"/>
  <c r="AA784" i="2"/>
  <c r="Y784" i="2"/>
  <c r="AA783" i="2"/>
  <c r="AA782" i="2"/>
  <c r="Y782" i="2"/>
  <c r="Z781" i="2"/>
  <c r="Z780" i="2"/>
  <c r="W780" i="2"/>
  <c r="Z778" i="2"/>
  <c r="AB777" i="2"/>
  <c r="AA776" i="2"/>
  <c r="AA775" i="2"/>
  <c r="AA774" i="2"/>
  <c r="AB773" i="2"/>
  <c r="U773" i="2"/>
  <c r="AB772" i="2"/>
  <c r="U772" i="2"/>
  <c r="Z771" i="2"/>
  <c r="W771" i="2"/>
  <c r="AA770" i="2"/>
  <c r="Y770" i="2"/>
  <c r="Z769" i="2"/>
  <c r="Z768" i="2"/>
  <c r="W768" i="2"/>
  <c r="Z767" i="2"/>
  <c r="W767" i="2"/>
  <c r="Z766" i="2"/>
  <c r="W766" i="2"/>
  <c r="AA765" i="2"/>
  <c r="W765" i="2"/>
  <c r="AA764" i="2"/>
  <c r="Y764" i="2"/>
  <c r="Z763" i="2"/>
  <c r="Y763" i="2"/>
  <c r="AA762" i="2"/>
  <c r="Y762" i="2"/>
  <c r="Z761" i="2"/>
  <c r="Y761" i="2"/>
  <c r="Z760" i="2"/>
  <c r="W760" i="2"/>
  <c r="AA759" i="2"/>
  <c r="Y759" i="2"/>
  <c r="Y754" i="2"/>
  <c r="T754" i="2"/>
  <c r="X753" i="2"/>
  <c r="T753" i="2"/>
  <c r="T752" i="2"/>
  <c r="T751" i="2"/>
  <c r="T750" i="2"/>
  <c r="AA748" i="2"/>
  <c r="Y748" i="2"/>
  <c r="AA747" i="2"/>
  <c r="AA744" i="2"/>
  <c r="AA743" i="2"/>
  <c r="AA742" i="2"/>
  <c r="Y742" i="2"/>
  <c r="AA741" i="2"/>
  <c r="Y741" i="2"/>
  <c r="AA740" i="2"/>
  <c r="Y740" i="2"/>
  <c r="AA739" i="2"/>
  <c r="Y739" i="2"/>
  <c r="AA738" i="2"/>
  <c r="Y738" i="2"/>
  <c r="AA737" i="2"/>
  <c r="Y736" i="2"/>
  <c r="T736" i="2"/>
  <c r="Y735" i="2"/>
  <c r="AB731" i="2"/>
  <c r="AB730" i="2"/>
  <c r="AA728" i="2"/>
  <c r="AA727" i="2"/>
  <c r="AA726" i="2"/>
  <c r="AA724" i="2"/>
  <c r="AC723" i="2"/>
  <c r="AB722" i="2"/>
  <c r="AC719" i="2"/>
  <c r="AC718" i="2"/>
  <c r="AA714" i="2"/>
  <c r="AA713" i="2"/>
  <c r="AA712" i="2"/>
  <c r="AA708" i="2"/>
  <c r="AB706" i="2"/>
  <c r="AB705" i="2"/>
  <c r="Z700" i="2"/>
  <c r="AA693" i="2"/>
  <c r="AA692" i="2"/>
  <c r="AB691" i="2"/>
  <c r="AC690" i="2"/>
  <c r="AC689" i="2"/>
  <c r="AC688" i="2"/>
  <c r="AB687" i="2"/>
  <c r="AB686" i="2"/>
  <c r="AB685" i="2"/>
  <c r="AB684" i="2"/>
  <c r="AA683" i="2"/>
  <c r="AA682" i="2"/>
  <c r="AA681" i="2"/>
  <c r="AB680" i="2"/>
  <c r="AB679" i="2"/>
  <c r="AB678" i="2"/>
  <c r="AB677" i="2"/>
  <c r="AC675" i="2"/>
  <c r="AC674" i="2"/>
  <c r="AB673" i="2"/>
  <c r="AB672" i="2"/>
  <c r="AB671" i="2"/>
  <c r="AB670" i="2"/>
  <c r="AB669" i="2"/>
  <c r="Z664" i="2"/>
  <c r="Z663" i="2"/>
  <c r="AA662" i="2"/>
  <c r="AA661" i="2"/>
  <c r="AB660" i="2"/>
  <c r="AA659" i="2"/>
  <c r="AA658" i="2"/>
  <c r="AA657" i="2"/>
  <c r="AB656" i="2"/>
  <c r="AC655" i="2"/>
  <c r="AC654" i="2"/>
  <c r="AB653" i="2"/>
  <c r="AA652" i="2"/>
  <c r="AA651" i="2"/>
  <c r="AB650" i="2"/>
  <c r="AA649" i="2"/>
  <c r="AA648" i="2"/>
  <c r="AB647" i="2"/>
  <c r="Z639" i="2"/>
  <c r="Z638" i="2"/>
  <c r="Y630" i="2"/>
  <c r="T630" i="2"/>
  <c r="Y628" i="2"/>
  <c r="T628" i="2"/>
  <c r="W627" i="2"/>
  <c r="W626" i="2"/>
  <c r="AA623" i="2"/>
  <c r="W623" i="2"/>
  <c r="AA620" i="2"/>
  <c r="W618" i="2"/>
  <c r="T618" i="2"/>
  <c r="Y617" i="2"/>
  <c r="T617" i="2"/>
  <c r="Y616" i="2"/>
  <c r="T616" i="2"/>
  <c r="W615" i="2"/>
  <c r="T615" i="2"/>
  <c r="Y614" i="2"/>
  <c r="T614" i="2"/>
  <c r="W613" i="2"/>
  <c r="T613" i="2"/>
  <c r="W611" i="2"/>
  <c r="T611" i="2"/>
  <c r="W610" i="2"/>
  <c r="T610" i="2"/>
  <c r="Y609" i="2"/>
  <c r="T609" i="2"/>
  <c r="Y608" i="2"/>
  <c r="T608" i="2"/>
  <c r="W607" i="2"/>
  <c r="T607" i="2"/>
  <c r="W606" i="2"/>
  <c r="T606" i="2"/>
  <c r="Y605" i="2"/>
  <c r="T605" i="2"/>
  <c r="Y604" i="2"/>
  <c r="T604" i="2"/>
  <c r="Y603" i="2"/>
  <c r="T603" i="2"/>
  <c r="Y602" i="2"/>
  <c r="T602" i="2"/>
  <c r="W601" i="2"/>
  <c r="T601" i="2"/>
  <c r="W600" i="2"/>
  <c r="T600" i="2"/>
  <c r="Y599" i="2"/>
  <c r="T599" i="2"/>
  <c r="AB596" i="2"/>
  <c r="Y596" i="2"/>
  <c r="X596" i="2"/>
  <c r="T596" i="2"/>
  <c r="W592" i="2"/>
  <c r="T592" i="2"/>
  <c r="W591" i="2"/>
  <c r="T591" i="2"/>
  <c r="W588" i="2"/>
  <c r="T588" i="2"/>
  <c r="W581" i="2"/>
  <c r="T581" i="2"/>
  <c r="W580" i="2"/>
  <c r="W579" i="2"/>
  <c r="W578" i="2"/>
  <c r="T578" i="2"/>
  <c r="W577" i="2"/>
  <c r="T577" i="2"/>
  <c r="AA574" i="2"/>
  <c r="W574" i="2"/>
  <c r="W573" i="2"/>
  <c r="T573" i="2"/>
  <c r="W572" i="2"/>
  <c r="T572" i="2"/>
  <c r="W571" i="2"/>
  <c r="T571" i="2"/>
  <c r="Y570" i="2"/>
  <c r="T570" i="2"/>
  <c r="W569" i="2"/>
  <c r="T569" i="2"/>
  <c r="W568" i="2"/>
  <c r="T568" i="2"/>
  <c r="W566" i="2"/>
  <c r="T566" i="2"/>
  <c r="W565" i="2"/>
  <c r="T565" i="2"/>
  <c r="W563" i="2"/>
  <c r="T563" i="2"/>
  <c r="W562" i="2"/>
  <c r="T562" i="2"/>
  <c r="W561" i="2"/>
  <c r="T561" i="2"/>
  <c r="W558" i="2"/>
  <c r="W556" i="2"/>
  <c r="T556" i="2"/>
  <c r="Y555" i="2"/>
  <c r="T555" i="2"/>
  <c r="W554" i="2"/>
  <c r="T554" i="2"/>
  <c r="Y553" i="2"/>
  <c r="T553" i="2"/>
  <c r="Y552" i="2"/>
  <c r="T552" i="2"/>
  <c r="Y551" i="2"/>
  <c r="T551" i="2"/>
  <c r="Y550" i="2"/>
  <c r="T550" i="2"/>
  <c r="Y549" i="2"/>
  <c r="T549" i="2"/>
  <c r="W548" i="2"/>
  <c r="T548" i="2"/>
  <c r="W547" i="2"/>
  <c r="T547" i="2"/>
  <c r="W546" i="2"/>
  <c r="T546" i="2"/>
  <c r="W545" i="2"/>
  <c r="T545" i="2"/>
  <c r="U544" i="2"/>
  <c r="T544" i="2"/>
  <c r="U543" i="2"/>
  <c r="T543" i="2"/>
  <c r="U542" i="2"/>
  <c r="T542" i="2"/>
  <c r="U541" i="2"/>
  <c r="T541" i="2"/>
  <c r="U540" i="2"/>
  <c r="T540" i="2"/>
  <c r="U539" i="2"/>
  <c r="T539" i="2"/>
  <c r="U538" i="2"/>
  <c r="T538" i="2"/>
  <c r="U537" i="2"/>
  <c r="T537" i="2"/>
  <c r="U536" i="2"/>
  <c r="T536" i="2"/>
  <c r="W535" i="2"/>
  <c r="T535" i="2"/>
  <c r="W534" i="2"/>
  <c r="T534" i="2"/>
  <c r="W533" i="2"/>
  <c r="T533" i="2"/>
  <c r="Y532" i="2"/>
  <c r="T532" i="2"/>
  <c r="W531" i="2"/>
  <c r="T531" i="2"/>
  <c r="W530" i="2"/>
  <c r="T530" i="2"/>
  <c r="Y526" i="2"/>
  <c r="X526" i="2"/>
  <c r="T526" i="2"/>
  <c r="Y524" i="2"/>
  <c r="X524" i="2"/>
  <c r="T524" i="2"/>
  <c r="AB523" i="2"/>
  <c r="Y523" i="2"/>
  <c r="X523" i="2"/>
  <c r="T521" i="2"/>
  <c r="T520" i="2"/>
  <c r="Y518" i="2"/>
  <c r="X518" i="2"/>
  <c r="T518" i="2"/>
  <c r="AA516" i="2"/>
  <c r="Y516" i="2"/>
  <c r="X516" i="2"/>
  <c r="Y515" i="2"/>
  <c r="X515" i="2"/>
  <c r="T515" i="2"/>
  <c r="T503" i="2"/>
  <c r="T496" i="2"/>
  <c r="T495" i="2"/>
  <c r="T494" i="2"/>
  <c r="T493" i="2"/>
  <c r="T492" i="2"/>
  <c r="T491" i="2"/>
  <c r="W484" i="2"/>
  <c r="T483" i="2"/>
  <c r="T480" i="2"/>
  <c r="T476" i="2"/>
  <c r="T475" i="2"/>
  <c r="T450" i="2"/>
  <c r="T449" i="2"/>
  <c r="T448" i="2"/>
  <c r="T447" i="2"/>
  <c r="T446" i="2"/>
  <c r="T444" i="2"/>
  <c r="T443" i="2"/>
  <c r="W442" i="2"/>
  <c r="W441" i="2"/>
  <c r="W440" i="2"/>
  <c r="T439" i="2"/>
  <c r="T438" i="2"/>
  <c r="T437" i="2"/>
  <c r="T436" i="2"/>
  <c r="T435" i="2"/>
  <c r="T432" i="2"/>
  <c r="X431" i="2"/>
  <c r="W431" i="2"/>
  <c r="T431" i="2"/>
  <c r="W427" i="2"/>
  <c r="W426" i="2"/>
  <c r="T426" i="2"/>
  <c r="W424" i="2"/>
  <c r="T419" i="2"/>
  <c r="T418" i="2"/>
  <c r="T415" i="2"/>
  <c r="T411" i="2"/>
  <c r="T407" i="2"/>
  <c r="T406" i="2"/>
  <c r="T405" i="2"/>
  <c r="T404" i="2"/>
  <c r="T403" i="2"/>
  <c r="T401" i="2"/>
  <c r="T400" i="2"/>
  <c r="T399" i="2"/>
  <c r="T398" i="2"/>
  <c r="T397" i="2"/>
  <c r="T396" i="2"/>
  <c r="T395" i="2"/>
  <c r="T394" i="2"/>
  <c r="T393" i="2"/>
  <c r="T391" i="2"/>
  <c r="T390" i="2"/>
  <c r="T389" i="2"/>
  <c r="T388" i="2"/>
  <c r="T387" i="2"/>
  <c r="T386" i="2"/>
  <c r="T385" i="2"/>
  <c r="T384" i="2"/>
  <c r="T383" i="2"/>
  <c r="T382" i="2"/>
  <c r="T380" i="2"/>
  <c r="T378" i="2"/>
  <c r="T377" i="2"/>
  <c r="T376" i="2"/>
  <c r="T372" i="2"/>
  <c r="T369" i="2"/>
  <c r="T368" i="2"/>
  <c r="T367" i="2"/>
  <c r="T366" i="2"/>
  <c r="T365" i="2"/>
  <c r="W363" i="2"/>
  <c r="T362" i="2"/>
  <c r="T361" i="2"/>
  <c r="T360" i="2"/>
  <c r="T359" i="2"/>
  <c r="T358" i="2"/>
  <c r="T357" i="2"/>
  <c r="T352" i="2"/>
  <c r="T351" i="2"/>
  <c r="T350" i="2"/>
  <c r="T349" i="2"/>
  <c r="T348" i="2"/>
  <c r="T347" i="2"/>
  <c r="T346" i="2"/>
  <c r="T345" i="2"/>
  <c r="T344" i="2"/>
  <c r="T343" i="2"/>
  <c r="T342" i="2"/>
  <c r="T341" i="2"/>
  <c r="T340" i="2"/>
  <c r="T339" i="2"/>
  <c r="T338" i="2"/>
  <c r="T337" i="2"/>
  <c r="T336" i="2"/>
  <c r="T335" i="2"/>
  <c r="T334" i="2"/>
  <c r="T333" i="2"/>
  <c r="T332" i="2"/>
  <c r="T331" i="2"/>
  <c r="T327" i="2"/>
  <c r="T326" i="2"/>
  <c r="T324" i="2"/>
  <c r="T323" i="2"/>
  <c r="T322" i="2"/>
  <c r="T321" i="2"/>
  <c r="T313" i="2"/>
  <c r="V310" i="2"/>
  <c r="T310" i="2"/>
  <c r="V308" i="2"/>
  <c r="V307" i="2"/>
  <c r="V305" i="2"/>
  <c r="AB304" i="2"/>
  <c r="V304" i="2"/>
  <c r="T304" i="2"/>
  <c r="V303" i="2"/>
  <c r="Y276" i="2"/>
  <c r="T276" i="2"/>
  <c r="Y274" i="2"/>
  <c r="T274" i="2"/>
  <c r="T267" i="2"/>
  <c r="Y266" i="2"/>
  <c r="T266" i="2"/>
  <c r="W265" i="2"/>
  <c r="T265" i="2"/>
  <c r="Y264" i="2"/>
  <c r="T264" i="2"/>
  <c r="Y263" i="2"/>
  <c r="T263" i="2"/>
  <c r="Y262" i="2"/>
  <c r="T262" i="2"/>
  <c r="Y261" i="2"/>
  <c r="T261" i="2"/>
  <c r="W260" i="2"/>
  <c r="T260" i="2"/>
  <c r="Y258" i="2"/>
  <c r="T258" i="2"/>
  <c r="W256" i="2"/>
  <c r="T256" i="2"/>
  <c r="W255" i="2"/>
  <c r="T255" i="2"/>
  <c r="W254" i="2"/>
  <c r="T254" i="2"/>
  <c r="W253" i="2"/>
  <c r="T253" i="2"/>
  <c r="Y252" i="2"/>
  <c r="T252" i="2"/>
  <c r="AB247" i="2"/>
  <c r="Y247" i="2"/>
  <c r="X247" i="2"/>
  <c r="U247" i="2"/>
  <c r="T247" i="2"/>
  <c r="Y243" i="2"/>
  <c r="AB243" i="2" s="1"/>
  <c r="T243" i="2"/>
  <c r="Y241" i="2"/>
  <c r="W240" i="2"/>
  <c r="T240" i="2"/>
  <c r="W239" i="2"/>
  <c r="T239" i="2"/>
  <c r="W231" i="2"/>
  <c r="T231" i="2"/>
  <c r="Y230" i="2"/>
  <c r="T230" i="2"/>
  <c r="Y229" i="2"/>
  <c r="W228" i="2"/>
  <c r="T228" i="2"/>
  <c r="W226" i="2"/>
  <c r="T226" i="2"/>
  <c r="Y224" i="2"/>
  <c r="T224" i="2"/>
  <c r="Y223" i="2"/>
  <c r="T223" i="2"/>
  <c r="W222" i="2"/>
  <c r="T222" i="2"/>
  <c r="W204" i="2"/>
  <c r="T204" i="2"/>
  <c r="U203" i="2"/>
  <c r="T203" i="2"/>
  <c r="U202" i="2"/>
  <c r="T202" i="2"/>
  <c r="U201" i="2"/>
  <c r="T201" i="2"/>
  <c r="U200" i="2"/>
  <c r="T200" i="2"/>
  <c r="U199" i="2"/>
  <c r="T199" i="2"/>
  <c r="U198" i="2"/>
  <c r="T198" i="2"/>
  <c r="U197" i="2"/>
  <c r="T197" i="2"/>
  <c r="U196" i="2"/>
  <c r="T196" i="2"/>
  <c r="W180" i="2"/>
  <c r="T180" i="2"/>
  <c r="Y179" i="2"/>
  <c r="T179" i="2"/>
  <c r="Y178" i="2"/>
  <c r="T178" i="2"/>
  <c r="Y170" i="2"/>
  <c r="T170" i="2"/>
  <c r="T166" i="2"/>
  <c r="T164" i="2"/>
  <c r="Y162" i="2"/>
  <c r="X162" i="2"/>
  <c r="X153" i="2"/>
  <c r="U153" i="2"/>
  <c r="V24" i="2"/>
  <c r="AB22" i="2"/>
  <c r="V22" i="2"/>
  <c r="T22" i="2"/>
  <c r="V21" i="2"/>
  <c r="T21" i="2"/>
  <c r="D15" i="39" l="1"/>
  <c r="U162" i="2"/>
  <c r="AH179" i="2"/>
  <c r="AI179" i="2"/>
  <c r="AF179" i="2"/>
  <c r="AG179" i="2"/>
  <c r="AF198" i="2"/>
  <c r="AI198" i="2"/>
  <c r="AG198" i="2"/>
  <c r="AH198" i="2"/>
  <c r="AI202" i="2"/>
  <c r="AF202" i="2"/>
  <c r="AG202" i="2"/>
  <c r="AH202" i="2"/>
  <c r="AI226" i="2"/>
  <c r="AH226" i="2"/>
  <c r="AG226" i="2"/>
  <c r="AF226" i="2"/>
  <c r="AH254" i="2"/>
  <c r="AI254" i="2"/>
  <c r="AG254" i="2"/>
  <c r="AF254" i="2"/>
  <c r="AF260" i="2"/>
  <c r="AG260" i="2"/>
  <c r="AI260" i="2"/>
  <c r="AH260" i="2"/>
  <c r="AF264" i="2"/>
  <c r="AG264" i="2"/>
  <c r="AI264" i="2"/>
  <c r="AH264" i="2"/>
  <c r="AG331" i="2"/>
  <c r="AF331" i="2"/>
  <c r="AI331" i="2"/>
  <c r="AH331" i="2"/>
  <c r="AF343" i="2"/>
  <c r="AG343" i="2"/>
  <c r="AI343" i="2"/>
  <c r="AH343" i="2"/>
  <c r="AI387" i="2"/>
  <c r="AG387" i="2"/>
  <c r="AF387" i="2"/>
  <c r="AH387" i="2"/>
  <c r="AI400" i="2"/>
  <c r="AH400" i="2"/>
  <c r="AF400" i="2"/>
  <c r="AG400" i="2"/>
  <c r="AG405" i="2"/>
  <c r="AI405" i="2"/>
  <c r="AF405" i="2"/>
  <c r="AH405" i="2"/>
  <c r="AH432" i="2"/>
  <c r="AG432" i="2"/>
  <c r="AF432" i="2"/>
  <c r="AI432" i="2"/>
  <c r="AI475" i="2"/>
  <c r="AF475" i="2"/>
  <c r="AG475" i="2"/>
  <c r="AH475" i="2"/>
  <c r="AI493" i="2"/>
  <c r="AG493" i="2"/>
  <c r="AH493" i="2"/>
  <c r="AF493" i="2"/>
  <c r="AG565" i="2"/>
  <c r="AF565" i="2"/>
  <c r="AI565" i="2"/>
  <c r="AH565" i="2"/>
  <c r="AG570" i="2"/>
  <c r="AI570" i="2"/>
  <c r="AF570" i="2"/>
  <c r="AH570" i="2"/>
  <c r="AI572" i="2"/>
  <c r="AH572" i="2"/>
  <c r="AG572" i="2"/>
  <c r="AF572" i="2"/>
  <c r="AF604" i="2"/>
  <c r="AI604" i="2"/>
  <c r="AG604" i="2"/>
  <c r="AH604" i="2"/>
  <c r="AF608" i="2"/>
  <c r="AI608" i="2"/>
  <c r="AH608" i="2"/>
  <c r="AG608" i="2"/>
  <c r="AI613" i="2"/>
  <c r="AH613" i="2"/>
  <c r="AF613" i="2"/>
  <c r="AG613" i="2"/>
  <c r="AI617" i="2"/>
  <c r="AF617" i="2"/>
  <c r="AH617" i="2"/>
  <c r="AG617" i="2"/>
  <c r="AG754" i="2"/>
  <c r="AH754" i="2"/>
  <c r="AF754" i="2"/>
  <c r="AI754" i="2"/>
  <c r="AH22" i="2"/>
  <c r="AG22" i="2"/>
  <c r="AF22" i="2"/>
  <c r="AI22" i="2"/>
  <c r="AG164" i="2"/>
  <c r="AH164" i="2"/>
  <c r="AI164" i="2"/>
  <c r="AF164" i="2"/>
  <c r="AI230" i="2"/>
  <c r="AH230" i="2"/>
  <c r="AF230" i="2"/>
  <c r="AG230" i="2"/>
  <c r="AI276" i="2"/>
  <c r="AH276" i="2"/>
  <c r="AG276" i="2"/>
  <c r="AF276" i="2"/>
  <c r="AG326" i="2"/>
  <c r="AF326" i="2"/>
  <c r="AI326" i="2"/>
  <c r="AH326" i="2"/>
  <c r="AI340" i="2"/>
  <c r="AH340" i="2"/>
  <c r="AG340" i="2"/>
  <c r="AF340" i="2"/>
  <c r="AI348" i="2"/>
  <c r="AG348" i="2"/>
  <c r="AH348" i="2"/>
  <c r="AF348" i="2"/>
  <c r="AI360" i="2"/>
  <c r="AH360" i="2"/>
  <c r="AG360" i="2"/>
  <c r="AF360" i="2"/>
  <c r="AG369" i="2"/>
  <c r="AI369" i="2"/>
  <c r="AH369" i="2"/>
  <c r="AF369" i="2"/>
  <c r="AF384" i="2"/>
  <c r="AI384" i="2"/>
  <c r="AG384" i="2"/>
  <c r="AH384" i="2"/>
  <c r="AH393" i="2"/>
  <c r="AI393" i="2"/>
  <c r="AG393" i="2"/>
  <c r="AF393" i="2"/>
  <c r="AG406" i="2"/>
  <c r="AF406" i="2"/>
  <c r="AH406" i="2"/>
  <c r="AI406" i="2"/>
  <c r="AH431" i="2"/>
  <c r="AF431" i="2"/>
  <c r="AI431" i="2"/>
  <c r="AG431" i="2"/>
  <c r="AI443" i="2"/>
  <c r="AH443" i="2"/>
  <c r="AF443" i="2"/>
  <c r="AG443" i="2"/>
  <c r="AG533" i="2"/>
  <c r="AH533" i="2"/>
  <c r="AF533" i="2"/>
  <c r="AI533" i="2"/>
  <c r="AI539" i="2"/>
  <c r="AH539" i="2"/>
  <c r="AF539" i="2"/>
  <c r="AG539" i="2"/>
  <c r="AH545" i="2"/>
  <c r="AG545" i="2"/>
  <c r="AI545" i="2"/>
  <c r="AF545" i="2"/>
  <c r="AH551" i="2"/>
  <c r="AI551" i="2"/>
  <c r="AF551" i="2"/>
  <c r="AG551" i="2"/>
  <c r="AH555" i="2"/>
  <c r="AF555" i="2"/>
  <c r="AG555" i="2"/>
  <c r="AI555" i="2"/>
  <c r="AG591" i="2"/>
  <c r="AF591" i="2"/>
  <c r="AI591" i="2"/>
  <c r="AH591" i="2"/>
  <c r="AF596" i="2"/>
  <c r="AG596" i="2"/>
  <c r="AI596" i="2"/>
  <c r="AH596" i="2"/>
  <c r="AI628" i="2"/>
  <c r="AF628" i="2"/>
  <c r="AH628" i="2"/>
  <c r="AG628" i="2"/>
  <c r="AI752" i="2"/>
  <c r="AF752" i="2"/>
  <c r="AH752" i="2"/>
  <c r="AG752" i="2"/>
  <c r="D25" i="39"/>
  <c r="AI793" i="2"/>
  <c r="AH793" i="2"/>
  <c r="AG793" i="2"/>
  <c r="AF793" i="2"/>
  <c r="AF166" i="2"/>
  <c r="AG166" i="2"/>
  <c r="AI166" i="2"/>
  <c r="AH166" i="2"/>
  <c r="AI178" i="2"/>
  <c r="AH178" i="2"/>
  <c r="AF178" i="2"/>
  <c r="AG178" i="2"/>
  <c r="AH180" i="2"/>
  <c r="AI180" i="2"/>
  <c r="AG180" i="2"/>
  <c r="AF180" i="2"/>
  <c r="AI197" i="2"/>
  <c r="AG197" i="2"/>
  <c r="AH197" i="2"/>
  <c r="AF197" i="2"/>
  <c r="AF199" i="2"/>
  <c r="AH199" i="2"/>
  <c r="AI199" i="2"/>
  <c r="AG199" i="2"/>
  <c r="AG201" i="2"/>
  <c r="AF201" i="2"/>
  <c r="AI201" i="2"/>
  <c r="AH201" i="2"/>
  <c r="AI203" i="2"/>
  <c r="AF203" i="2"/>
  <c r="AH203" i="2"/>
  <c r="AG203" i="2"/>
  <c r="AF222" i="2"/>
  <c r="AH222" i="2"/>
  <c r="AI222" i="2"/>
  <c r="AG222" i="2"/>
  <c r="AH224" i="2"/>
  <c r="AI224" i="2"/>
  <c r="AG224" i="2"/>
  <c r="AF224" i="2"/>
  <c r="AG228" i="2"/>
  <c r="AF228" i="2"/>
  <c r="AI228" i="2"/>
  <c r="AH228" i="2"/>
  <c r="AF247" i="2"/>
  <c r="AI247" i="2"/>
  <c r="AH247" i="2"/>
  <c r="AG247" i="2"/>
  <c r="AH253" i="2"/>
  <c r="AI253" i="2"/>
  <c r="AF253" i="2"/>
  <c r="AG253" i="2"/>
  <c r="AG255" i="2"/>
  <c r="AF255" i="2"/>
  <c r="AI255" i="2"/>
  <c r="AH255" i="2"/>
  <c r="AG258" i="2"/>
  <c r="AI258" i="2"/>
  <c r="AH258" i="2"/>
  <c r="AF258" i="2"/>
  <c r="AH261" i="2"/>
  <c r="AG261" i="2"/>
  <c r="AF261" i="2"/>
  <c r="AI261" i="2"/>
  <c r="AG263" i="2"/>
  <c r="AF263" i="2"/>
  <c r="AH263" i="2"/>
  <c r="AI263" i="2"/>
  <c r="AH265" i="2"/>
  <c r="AG265" i="2"/>
  <c r="AI265" i="2"/>
  <c r="AF265" i="2"/>
  <c r="AF267" i="2"/>
  <c r="AG267" i="2"/>
  <c r="AH267" i="2"/>
  <c r="AI267" i="2"/>
  <c r="AG310" i="2"/>
  <c r="AF310" i="2"/>
  <c r="AH310" i="2"/>
  <c r="AI310" i="2"/>
  <c r="AF322" i="2"/>
  <c r="AI322" i="2"/>
  <c r="AG322" i="2"/>
  <c r="AH322" i="2"/>
  <c r="AH327" i="2"/>
  <c r="AF327" i="2"/>
  <c r="AG327" i="2"/>
  <c r="AI327" i="2"/>
  <c r="AH333" i="2"/>
  <c r="AG333" i="2"/>
  <c r="AF333" i="2"/>
  <c r="AI333" i="2"/>
  <c r="AH337" i="2"/>
  <c r="AF337" i="2"/>
  <c r="AI337" i="2"/>
  <c r="AG337" i="2"/>
  <c r="AG341" i="2"/>
  <c r="AF341" i="2"/>
  <c r="AI341" i="2"/>
  <c r="AH341" i="2"/>
  <c r="AF345" i="2"/>
  <c r="AH345" i="2"/>
  <c r="AI345" i="2"/>
  <c r="AG345" i="2"/>
  <c r="AG349" i="2"/>
  <c r="AH349" i="2"/>
  <c r="AF349" i="2"/>
  <c r="AI349" i="2"/>
  <c r="AH357" i="2"/>
  <c r="AG357" i="2"/>
  <c r="AF357" i="2"/>
  <c r="AI357" i="2"/>
  <c r="AG361" i="2"/>
  <c r="AF361" i="2"/>
  <c r="AH361" i="2"/>
  <c r="AI361" i="2"/>
  <c r="AG366" i="2"/>
  <c r="AF366" i="2"/>
  <c r="AI366" i="2"/>
  <c r="AH366" i="2"/>
  <c r="AI372" i="2"/>
  <c r="AH372" i="2"/>
  <c r="AG372" i="2"/>
  <c r="AF372" i="2"/>
  <c r="AI380" i="2"/>
  <c r="AH380" i="2"/>
  <c r="AG380" i="2"/>
  <c r="AF380" i="2"/>
  <c r="AH385" i="2"/>
  <c r="AG385" i="2"/>
  <c r="AF385" i="2"/>
  <c r="AI385" i="2"/>
  <c r="AG389" i="2"/>
  <c r="AH389" i="2"/>
  <c r="AF389" i="2"/>
  <c r="AI389" i="2"/>
  <c r="AF394" i="2"/>
  <c r="AI394" i="2"/>
  <c r="AG394" i="2"/>
  <c r="AH394" i="2"/>
  <c r="AG398" i="2"/>
  <c r="AI398" i="2"/>
  <c r="AH398" i="2"/>
  <c r="AF398" i="2"/>
  <c r="AH403" i="2"/>
  <c r="AF403" i="2"/>
  <c r="AG403" i="2"/>
  <c r="AI403" i="2"/>
  <c r="AF407" i="2"/>
  <c r="AI407" i="2"/>
  <c r="AH407" i="2"/>
  <c r="AG407" i="2"/>
  <c r="AG418" i="2"/>
  <c r="AI418" i="2"/>
  <c r="AF418" i="2"/>
  <c r="AH418" i="2"/>
  <c r="AG426" i="2"/>
  <c r="AH426" i="2"/>
  <c r="AF426" i="2"/>
  <c r="AI426" i="2"/>
  <c r="AH436" i="2"/>
  <c r="AG436" i="2"/>
  <c r="AI436" i="2"/>
  <c r="AF436" i="2"/>
  <c r="AH444" i="2"/>
  <c r="AG444" i="2"/>
  <c r="AF444" i="2"/>
  <c r="AI444" i="2"/>
  <c r="AG449" i="2"/>
  <c r="AI449" i="2"/>
  <c r="AF449" i="2"/>
  <c r="AH449" i="2"/>
  <c r="AG480" i="2"/>
  <c r="AH480" i="2"/>
  <c r="AF480" i="2"/>
  <c r="AI480" i="2"/>
  <c r="AG491" i="2"/>
  <c r="AH491" i="2"/>
  <c r="AI491" i="2"/>
  <c r="AF491" i="2"/>
  <c r="AG495" i="2"/>
  <c r="AF495" i="2"/>
  <c r="AH495" i="2"/>
  <c r="AI495" i="2"/>
  <c r="AF520" i="2"/>
  <c r="AI520" i="2"/>
  <c r="AH520" i="2"/>
  <c r="AG520" i="2"/>
  <c r="AH526" i="2"/>
  <c r="AI526" i="2"/>
  <c r="AG526" i="2"/>
  <c r="AF526" i="2"/>
  <c r="AH561" i="2"/>
  <c r="AF561" i="2"/>
  <c r="AG561" i="2"/>
  <c r="AI561" i="2"/>
  <c r="AI563" i="2"/>
  <c r="AF563" i="2"/>
  <c r="AH563" i="2"/>
  <c r="AG563" i="2"/>
  <c r="AF566" i="2"/>
  <c r="AG566" i="2"/>
  <c r="AI566" i="2"/>
  <c r="AH566" i="2"/>
  <c r="AG569" i="2"/>
  <c r="AH569" i="2"/>
  <c r="AF569" i="2"/>
  <c r="AI569" i="2"/>
  <c r="AI571" i="2"/>
  <c r="AF571" i="2"/>
  <c r="AG571" i="2"/>
  <c r="AH571" i="2"/>
  <c r="AG573" i="2"/>
  <c r="AH573" i="2"/>
  <c r="AF573" i="2"/>
  <c r="AI573" i="2"/>
  <c r="AG577" i="2"/>
  <c r="AH577" i="2"/>
  <c r="AF577" i="2"/>
  <c r="AI577" i="2"/>
  <c r="AG599" i="2"/>
  <c r="AF599" i="2"/>
  <c r="AH599" i="2"/>
  <c r="AI599" i="2"/>
  <c r="AG601" i="2"/>
  <c r="AI601" i="2"/>
  <c r="AH601" i="2"/>
  <c r="AF601" i="2"/>
  <c r="AF603" i="2"/>
  <c r="AG603" i="2"/>
  <c r="AI603" i="2"/>
  <c r="AH603" i="2"/>
  <c r="AI605" i="2"/>
  <c r="AF605" i="2"/>
  <c r="AG605" i="2"/>
  <c r="AH605" i="2"/>
  <c r="AF607" i="2"/>
  <c r="AG607" i="2"/>
  <c r="AI607" i="2"/>
  <c r="AH607" i="2"/>
  <c r="AG609" i="2"/>
  <c r="AH609" i="2"/>
  <c r="AI609" i="2"/>
  <c r="AF609" i="2"/>
  <c r="AF611" i="2"/>
  <c r="AG611" i="2"/>
  <c r="AI611" i="2"/>
  <c r="AH611" i="2"/>
  <c r="AG614" i="2"/>
  <c r="AH614" i="2"/>
  <c r="AI614" i="2"/>
  <c r="AF614" i="2"/>
  <c r="AF616" i="2"/>
  <c r="AH616" i="2"/>
  <c r="AI616" i="2"/>
  <c r="AG616" i="2"/>
  <c r="AG618" i="2"/>
  <c r="AH618" i="2"/>
  <c r="AF618" i="2"/>
  <c r="AI618" i="2"/>
  <c r="AF753" i="2"/>
  <c r="AI753" i="2"/>
  <c r="AG753" i="2"/>
  <c r="AH753" i="2"/>
  <c r="AG794" i="2"/>
  <c r="AH794" i="2"/>
  <c r="AF794" i="2"/>
  <c r="AI794" i="2"/>
  <c r="D28" i="39"/>
  <c r="AF897" i="2"/>
  <c r="AI897" i="2"/>
  <c r="AG897" i="2"/>
  <c r="AH897" i="2"/>
  <c r="AG196" i="2"/>
  <c r="AH196" i="2"/>
  <c r="AF196" i="2"/>
  <c r="AI196" i="2"/>
  <c r="AH200" i="2"/>
  <c r="AG200" i="2"/>
  <c r="AF200" i="2"/>
  <c r="AI200" i="2"/>
  <c r="AG204" i="2"/>
  <c r="AF204" i="2"/>
  <c r="AI204" i="2"/>
  <c r="AH204" i="2"/>
  <c r="AH223" i="2"/>
  <c r="AI223" i="2"/>
  <c r="AF223" i="2"/>
  <c r="AG223" i="2"/>
  <c r="AG243" i="2"/>
  <c r="AI243" i="2"/>
  <c r="AF243" i="2"/>
  <c r="AH243" i="2"/>
  <c r="AF252" i="2"/>
  <c r="AH252" i="2"/>
  <c r="AI252" i="2"/>
  <c r="AG252" i="2"/>
  <c r="AF256" i="2"/>
  <c r="AI256" i="2"/>
  <c r="AH256" i="2"/>
  <c r="AG256" i="2"/>
  <c r="AH262" i="2"/>
  <c r="AF262" i="2"/>
  <c r="AG262" i="2"/>
  <c r="AI262" i="2"/>
  <c r="AG266" i="2"/>
  <c r="AF266" i="2"/>
  <c r="AH266" i="2"/>
  <c r="AI266" i="2"/>
  <c r="AI304" i="2"/>
  <c r="AG304" i="2"/>
  <c r="AH304" i="2"/>
  <c r="AF304" i="2"/>
  <c r="AI313" i="2"/>
  <c r="AH313" i="2"/>
  <c r="AG313" i="2"/>
  <c r="AF313" i="2"/>
  <c r="AF324" i="2"/>
  <c r="AI324" i="2"/>
  <c r="AH324" i="2"/>
  <c r="AG324" i="2"/>
  <c r="AG335" i="2"/>
  <c r="AF335" i="2"/>
  <c r="AI335" i="2"/>
  <c r="AH335" i="2"/>
  <c r="AG339" i="2"/>
  <c r="AI339" i="2"/>
  <c r="AF339" i="2"/>
  <c r="AH339" i="2"/>
  <c r="AI347" i="2"/>
  <c r="AF347" i="2"/>
  <c r="AG347" i="2"/>
  <c r="AH347" i="2"/>
  <c r="AF351" i="2"/>
  <c r="AG351" i="2"/>
  <c r="AH351" i="2"/>
  <c r="AI351" i="2"/>
  <c r="AF359" i="2"/>
  <c r="AI359" i="2"/>
  <c r="AG359" i="2"/>
  <c r="AH359" i="2"/>
  <c r="AH368" i="2"/>
  <c r="AF368" i="2"/>
  <c r="AI368" i="2"/>
  <c r="AG368" i="2"/>
  <c r="AH377" i="2"/>
  <c r="AI377" i="2"/>
  <c r="AG377" i="2"/>
  <c r="AF377" i="2"/>
  <c r="AI383" i="2"/>
  <c r="AF383" i="2"/>
  <c r="AG383" i="2"/>
  <c r="AH383" i="2"/>
  <c r="AI391" i="2"/>
  <c r="AF391" i="2"/>
  <c r="AG391" i="2"/>
  <c r="AH391" i="2"/>
  <c r="AI396" i="2"/>
  <c r="AH396" i="2"/>
  <c r="AF396" i="2"/>
  <c r="AG396" i="2"/>
  <c r="AI415" i="2"/>
  <c r="AF415" i="2"/>
  <c r="AG415" i="2"/>
  <c r="AH415" i="2"/>
  <c r="AF438" i="2"/>
  <c r="AH438" i="2"/>
  <c r="AI438" i="2"/>
  <c r="AG438" i="2"/>
  <c r="AI447" i="2"/>
  <c r="AH447" i="2"/>
  <c r="AF447" i="2"/>
  <c r="AG447" i="2"/>
  <c r="AF483" i="2"/>
  <c r="AG483" i="2"/>
  <c r="AH483" i="2"/>
  <c r="AI483" i="2"/>
  <c r="AF503" i="2"/>
  <c r="AI503" i="2"/>
  <c r="AG503" i="2"/>
  <c r="AH503" i="2"/>
  <c r="AG562" i="2"/>
  <c r="AH562" i="2"/>
  <c r="AF562" i="2"/>
  <c r="AI562" i="2"/>
  <c r="AI568" i="2"/>
  <c r="AH568" i="2"/>
  <c r="AG568" i="2"/>
  <c r="AF568" i="2"/>
  <c r="AF578" i="2"/>
  <c r="AG578" i="2"/>
  <c r="AI578" i="2"/>
  <c r="AH578" i="2"/>
  <c r="AF600" i="2"/>
  <c r="AI600" i="2"/>
  <c r="AH600" i="2"/>
  <c r="AG600" i="2"/>
  <c r="AG602" i="2"/>
  <c r="AI602" i="2"/>
  <c r="AF602" i="2"/>
  <c r="AH602" i="2"/>
  <c r="AG606" i="2"/>
  <c r="AI606" i="2"/>
  <c r="AF606" i="2"/>
  <c r="AH606" i="2"/>
  <c r="AG610" i="2"/>
  <c r="AI610" i="2"/>
  <c r="AH610" i="2"/>
  <c r="AF610" i="2"/>
  <c r="AH615" i="2"/>
  <c r="AI615" i="2"/>
  <c r="AF615" i="2"/>
  <c r="AG615" i="2"/>
  <c r="AG751" i="2"/>
  <c r="AI751" i="2"/>
  <c r="AH751" i="2"/>
  <c r="AF751" i="2"/>
  <c r="AH240" i="2"/>
  <c r="AF240" i="2"/>
  <c r="AG240" i="2"/>
  <c r="AI240" i="2"/>
  <c r="AI332" i="2"/>
  <c r="AH332" i="2"/>
  <c r="AG332" i="2"/>
  <c r="AF332" i="2"/>
  <c r="AI336" i="2"/>
  <c r="AH336" i="2"/>
  <c r="AG336" i="2"/>
  <c r="AF336" i="2"/>
  <c r="AH344" i="2"/>
  <c r="AI344" i="2"/>
  <c r="AG344" i="2"/>
  <c r="AF344" i="2"/>
  <c r="AG352" i="2"/>
  <c r="AI352" i="2"/>
  <c r="AH352" i="2"/>
  <c r="AF352" i="2"/>
  <c r="AH365" i="2"/>
  <c r="AG365" i="2"/>
  <c r="AI365" i="2"/>
  <c r="AF365" i="2"/>
  <c r="AF378" i="2"/>
  <c r="AH378" i="2"/>
  <c r="AG378" i="2"/>
  <c r="AI378" i="2"/>
  <c r="AI388" i="2"/>
  <c r="AH388" i="2"/>
  <c r="AF388" i="2"/>
  <c r="AG388" i="2"/>
  <c r="AH397" i="2"/>
  <c r="AI397" i="2"/>
  <c r="AG397" i="2"/>
  <c r="AF397" i="2"/>
  <c r="AH401" i="2"/>
  <c r="AI401" i="2"/>
  <c r="AG401" i="2"/>
  <c r="AF401" i="2"/>
  <c r="AI435" i="2"/>
  <c r="AF435" i="2"/>
  <c r="AG435" i="2"/>
  <c r="AH435" i="2"/>
  <c r="AI439" i="2"/>
  <c r="AH439" i="2"/>
  <c r="AF439" i="2"/>
  <c r="AG439" i="2"/>
  <c r="AG448" i="2"/>
  <c r="AI448" i="2"/>
  <c r="AF448" i="2"/>
  <c r="AH448" i="2"/>
  <c r="AG476" i="2"/>
  <c r="AH476" i="2"/>
  <c r="AI476" i="2"/>
  <c r="AF476" i="2"/>
  <c r="AH494" i="2"/>
  <c r="AG494" i="2"/>
  <c r="AI494" i="2"/>
  <c r="AF494" i="2"/>
  <c r="D18" i="39"/>
  <c r="AG515" i="2"/>
  <c r="AH515" i="2"/>
  <c r="AF515" i="2"/>
  <c r="AI515" i="2"/>
  <c r="AA530" i="2"/>
  <c r="AI530" i="2"/>
  <c r="AH530" i="2"/>
  <c r="AG530" i="2"/>
  <c r="AF530" i="2"/>
  <c r="AI531" i="2"/>
  <c r="AF531" i="2"/>
  <c r="AH531" i="2"/>
  <c r="AG531" i="2"/>
  <c r="AI535" i="2"/>
  <c r="AF535" i="2"/>
  <c r="AG535" i="2"/>
  <c r="AH535" i="2"/>
  <c r="AH537" i="2"/>
  <c r="AG537" i="2"/>
  <c r="AF537" i="2"/>
  <c r="AI537" i="2"/>
  <c r="AH541" i="2"/>
  <c r="AG541" i="2"/>
  <c r="AF541" i="2"/>
  <c r="AI541" i="2"/>
  <c r="AH543" i="2"/>
  <c r="AI543" i="2"/>
  <c r="AF543" i="2"/>
  <c r="AG543" i="2"/>
  <c r="AH547" i="2"/>
  <c r="AF547" i="2"/>
  <c r="AI547" i="2"/>
  <c r="AG547" i="2"/>
  <c r="AG549" i="2"/>
  <c r="AH549" i="2"/>
  <c r="AI549" i="2"/>
  <c r="AF549" i="2"/>
  <c r="AG553" i="2"/>
  <c r="AH553" i="2"/>
  <c r="AF553" i="2"/>
  <c r="AI553" i="2"/>
  <c r="AF581" i="2"/>
  <c r="AI581" i="2"/>
  <c r="AG581" i="2"/>
  <c r="AH581" i="2"/>
  <c r="D24" i="39"/>
  <c r="AI736" i="2"/>
  <c r="AH736" i="2"/>
  <c r="AG736" i="2"/>
  <c r="AF736" i="2"/>
  <c r="AI21" i="2"/>
  <c r="AF21" i="2"/>
  <c r="AG21" i="2"/>
  <c r="AH21" i="2"/>
  <c r="AI170" i="2"/>
  <c r="AH170" i="2"/>
  <c r="AF170" i="2"/>
  <c r="AG170" i="2"/>
  <c r="AH231" i="2"/>
  <c r="AI231" i="2"/>
  <c r="AG231" i="2"/>
  <c r="AF231" i="2"/>
  <c r="AF239" i="2"/>
  <c r="AH239" i="2"/>
  <c r="AI239" i="2"/>
  <c r="AG239" i="2"/>
  <c r="AH274" i="2"/>
  <c r="AF274" i="2"/>
  <c r="AG274" i="2"/>
  <c r="AI274" i="2"/>
  <c r="AI321" i="2"/>
  <c r="AG321" i="2"/>
  <c r="AF321" i="2"/>
  <c r="AH321" i="2"/>
  <c r="AF323" i="2"/>
  <c r="AI323" i="2"/>
  <c r="AG323" i="2"/>
  <c r="AH323" i="2"/>
  <c r="AF334" i="2"/>
  <c r="AG334" i="2"/>
  <c r="AH334" i="2"/>
  <c r="AI334" i="2"/>
  <c r="AF338" i="2"/>
  <c r="AH338" i="2"/>
  <c r="AI338" i="2"/>
  <c r="AG338" i="2"/>
  <c r="AG342" i="2"/>
  <c r="AF342" i="2"/>
  <c r="AH342" i="2"/>
  <c r="AI342" i="2"/>
  <c r="AF346" i="2"/>
  <c r="AG346" i="2"/>
  <c r="AH346" i="2"/>
  <c r="AI346" i="2"/>
  <c r="AG350" i="2"/>
  <c r="AF350" i="2"/>
  <c r="AH350" i="2"/>
  <c r="AI350" i="2"/>
  <c r="AH358" i="2"/>
  <c r="AI358" i="2"/>
  <c r="AG358" i="2"/>
  <c r="AF358" i="2"/>
  <c r="AG362" i="2"/>
  <c r="AF362" i="2"/>
  <c r="AH362" i="2"/>
  <c r="AI362" i="2"/>
  <c r="AF367" i="2"/>
  <c r="AI367" i="2"/>
  <c r="AH367" i="2"/>
  <c r="AG367" i="2"/>
  <c r="AI376" i="2"/>
  <c r="AG376" i="2"/>
  <c r="AH376" i="2"/>
  <c r="AF376" i="2"/>
  <c r="AG382" i="2"/>
  <c r="AI382" i="2"/>
  <c r="AF382" i="2"/>
  <c r="AH382" i="2"/>
  <c r="AF386" i="2"/>
  <c r="AG386" i="2"/>
  <c r="AI386" i="2"/>
  <c r="AH386" i="2"/>
  <c r="AF390" i="2"/>
  <c r="AI390" i="2"/>
  <c r="AH390" i="2"/>
  <c r="AG390" i="2"/>
  <c r="AI395" i="2"/>
  <c r="AH395" i="2"/>
  <c r="AF395" i="2"/>
  <c r="AG395" i="2"/>
  <c r="AI399" i="2"/>
  <c r="AH399" i="2"/>
  <c r="AF399" i="2"/>
  <c r="AG399" i="2"/>
  <c r="AI404" i="2"/>
  <c r="AH404" i="2"/>
  <c r="AG404" i="2"/>
  <c r="AF404" i="2"/>
  <c r="AF411" i="2"/>
  <c r="AI411" i="2"/>
  <c r="AH411" i="2"/>
  <c r="AG411" i="2"/>
  <c r="AF419" i="2"/>
  <c r="AI419" i="2"/>
  <c r="AH419" i="2"/>
  <c r="AG419" i="2"/>
  <c r="AG437" i="2"/>
  <c r="AF437" i="2"/>
  <c r="AI437" i="2"/>
  <c r="AH437" i="2"/>
  <c r="AI446" i="2"/>
  <c r="AF446" i="2"/>
  <c r="AH446" i="2"/>
  <c r="AG446" i="2"/>
  <c r="AF450" i="2"/>
  <c r="AI450" i="2"/>
  <c r="AH450" i="2"/>
  <c r="AG450" i="2"/>
  <c r="AF492" i="2"/>
  <c r="AI492" i="2"/>
  <c r="AH492" i="2"/>
  <c r="AG492" i="2"/>
  <c r="AF496" i="2"/>
  <c r="AI496" i="2"/>
  <c r="AH496" i="2"/>
  <c r="AG496" i="2"/>
  <c r="AG518" i="2"/>
  <c r="AH518" i="2"/>
  <c r="AI518" i="2"/>
  <c r="AF518" i="2"/>
  <c r="AI521" i="2"/>
  <c r="AG521" i="2"/>
  <c r="AF521" i="2"/>
  <c r="AH521" i="2"/>
  <c r="AI524" i="2"/>
  <c r="AF524" i="2"/>
  <c r="AG524" i="2"/>
  <c r="AH524" i="2"/>
  <c r="AH532" i="2"/>
  <c r="AG532" i="2"/>
  <c r="AI532" i="2"/>
  <c r="AF532" i="2"/>
  <c r="AF534" i="2"/>
  <c r="AG534" i="2"/>
  <c r="AH534" i="2"/>
  <c r="AI534" i="2"/>
  <c r="AH536" i="2"/>
  <c r="AG536" i="2"/>
  <c r="AI536" i="2"/>
  <c r="AF536" i="2"/>
  <c r="AG538" i="2"/>
  <c r="AI538" i="2"/>
  <c r="AH538" i="2"/>
  <c r="AF538" i="2"/>
  <c r="AH540" i="2"/>
  <c r="AG540" i="2"/>
  <c r="AI540" i="2"/>
  <c r="AF540" i="2"/>
  <c r="AG542" i="2"/>
  <c r="AF542" i="2"/>
  <c r="AI542" i="2"/>
  <c r="AH542" i="2"/>
  <c r="AH544" i="2"/>
  <c r="AG544" i="2"/>
  <c r="AI544" i="2"/>
  <c r="AF544" i="2"/>
  <c r="AG546" i="2"/>
  <c r="AI546" i="2"/>
  <c r="AF546" i="2"/>
  <c r="AH546" i="2"/>
  <c r="AH548" i="2"/>
  <c r="AI548" i="2"/>
  <c r="AG548" i="2"/>
  <c r="AF548" i="2"/>
  <c r="AG550" i="2"/>
  <c r="AF550" i="2"/>
  <c r="AI550" i="2"/>
  <c r="AH550" i="2"/>
  <c r="AH552" i="2"/>
  <c r="AI552" i="2"/>
  <c r="AF552" i="2"/>
  <c r="AG552" i="2"/>
  <c r="AG554" i="2"/>
  <c r="AF554" i="2"/>
  <c r="AI554" i="2"/>
  <c r="AH554" i="2"/>
  <c r="AH556" i="2"/>
  <c r="AG556" i="2"/>
  <c r="AF556" i="2"/>
  <c r="AI556" i="2"/>
  <c r="AG588" i="2"/>
  <c r="AI588" i="2"/>
  <c r="AF588" i="2"/>
  <c r="AH588" i="2"/>
  <c r="AG592" i="2"/>
  <c r="AI592" i="2"/>
  <c r="AH592" i="2"/>
  <c r="AF592" i="2"/>
  <c r="AG630" i="2"/>
  <c r="AH630" i="2"/>
  <c r="AI630" i="2"/>
  <c r="AF630" i="2"/>
  <c r="AH750" i="2"/>
  <c r="AG750" i="2"/>
  <c r="AF750" i="2"/>
  <c r="AI750" i="2"/>
  <c r="D36" i="39"/>
  <c r="AH1072" i="2"/>
  <c r="AI1072" i="2"/>
  <c r="AG1072" i="2"/>
  <c r="AF1072" i="2"/>
  <c r="D17" i="39"/>
  <c r="D16" i="39"/>
  <c r="AA539" i="2"/>
  <c r="AA561" i="2"/>
  <c r="AA569" i="2"/>
  <c r="AA577" i="2"/>
  <c r="AB603" i="2"/>
  <c r="AB609" i="2"/>
  <c r="AB616" i="2"/>
  <c r="AB204" i="2"/>
  <c r="AA546" i="2"/>
  <c r="AB552" i="2"/>
  <c r="AB545" i="2"/>
  <c r="AA562" i="2"/>
  <c r="AA570" i="2"/>
  <c r="AA578" i="2"/>
  <c r="AB604" i="2"/>
  <c r="AA610" i="2"/>
  <c r="AB617" i="2"/>
  <c r="AC198" i="2"/>
  <c r="AB256" i="2"/>
  <c r="AB551" i="2"/>
  <c r="AB252" i="2"/>
  <c r="AA535" i="2"/>
  <c r="AA541" i="2"/>
  <c r="AA547" i="2"/>
  <c r="AA553" i="2"/>
  <c r="AB628" i="2"/>
  <c r="AA265" i="2"/>
  <c r="AB599" i="2"/>
  <c r="AB605" i="2"/>
  <c r="AA611" i="2"/>
  <c r="AA536" i="2"/>
  <c r="AB264" i="2"/>
  <c r="AB258" i="2"/>
  <c r="AB179" i="2"/>
  <c r="AB224" i="2"/>
  <c r="AA239" i="2"/>
  <c r="AA274" i="2"/>
  <c r="AA565" i="2"/>
  <c r="AA572" i="2"/>
  <c r="AA600" i="2"/>
  <c r="AB606" i="2"/>
  <c r="AA613" i="2"/>
  <c r="AC199" i="2"/>
  <c r="AB266" i="2"/>
  <c r="AB630" i="2"/>
  <c r="AC196" i="2"/>
  <c r="AA226" i="2"/>
  <c r="AA254" i="2"/>
  <c r="AB262" i="2"/>
  <c r="AA531" i="2"/>
  <c r="AA537" i="2"/>
  <c r="AA543" i="2"/>
  <c r="AB549" i="2"/>
  <c r="AB524" i="2"/>
  <c r="AA222" i="2"/>
  <c r="AA534" i="2"/>
  <c r="AB526" i="2"/>
  <c r="AB223" i="2"/>
  <c r="AB260" i="2"/>
  <c r="AA563" i="2"/>
  <c r="AB261" i="2"/>
  <c r="AA240" i="2"/>
  <c r="AA276" i="2"/>
  <c r="AB515" i="2"/>
  <c r="AA566" i="2"/>
  <c r="AA601" i="2"/>
  <c r="AA607" i="2"/>
  <c r="AB614" i="2"/>
  <c r="AA533" i="2"/>
  <c r="AA571" i="2"/>
  <c r="AB180" i="2"/>
  <c r="AB253" i="2"/>
  <c r="AB518" i="2"/>
  <c r="AA542" i="2"/>
  <c r="AB255" i="2"/>
  <c r="AA532" i="2"/>
  <c r="AA538" i="2"/>
  <c r="AA544" i="2"/>
  <c r="AB550" i="2"/>
  <c r="AA556" i="2"/>
  <c r="AB178" i="2"/>
  <c r="AA540" i="2"/>
  <c r="AA548" i="2"/>
  <c r="AC197" i="2"/>
  <c r="AA228" i="2"/>
  <c r="AA568" i="2"/>
  <c r="AB602" i="2"/>
  <c r="AB608" i="2"/>
  <c r="AB615" i="2"/>
  <c r="AA754" i="2"/>
  <c r="D65" i="39" l="1"/>
  <c r="F15" i="39"/>
  <c r="E15" i="39"/>
  <c r="H15" i="39"/>
  <c r="G15" i="39"/>
  <c r="E17" i="39"/>
  <c r="E28" i="39"/>
  <c r="A43" i="38"/>
  <c r="I15" i="39" l="1"/>
  <c r="B9" i="45" l="1"/>
  <c r="B8" i="45"/>
  <c r="B7" i="45"/>
  <c r="B5" i="45"/>
  <c r="B3" i="45"/>
  <c r="B9" i="48"/>
  <c r="B8" i="48"/>
  <c r="B7" i="48"/>
  <c r="B3" i="48" l="1"/>
  <c r="B4" i="48"/>
  <c r="B4" i="45" l="1"/>
  <c r="B4" i="38"/>
  <c r="B4" i="42"/>
  <c r="AQ699" i="2"/>
  <c r="A45" i="38" l="1"/>
  <c r="AQ1096" i="2"/>
  <c r="AQ1094" i="2"/>
  <c r="AQ1084" i="2"/>
  <c r="AQ1076" i="2"/>
  <c r="AQ1081" i="2"/>
  <c r="AQ1087" i="2"/>
  <c r="AQ1093" i="2"/>
  <c r="AQ1066" i="2"/>
  <c r="AQ1098" i="2"/>
  <c r="AQ1077" i="2"/>
  <c r="AQ1088" i="2"/>
  <c r="AQ1100" i="2"/>
  <c r="AQ1079" i="2"/>
  <c r="AQ1083" i="2"/>
  <c r="AQ1091" i="2"/>
  <c r="AQ1082" i="2"/>
  <c r="AQ1101" i="2"/>
  <c r="AQ1097" i="2"/>
  <c r="AQ1099" i="2"/>
  <c r="AQ1089" i="2"/>
  <c r="AQ1086" i="2"/>
  <c r="AQ1090" i="2"/>
  <c r="AQ1078" i="2"/>
  <c r="AQ1102" i="2"/>
  <c r="AQ1080" i="2"/>
  <c r="AQ1095" i="2"/>
  <c r="AQ1092" i="2"/>
  <c r="AQ1085" i="2"/>
  <c r="AQ1067" i="2"/>
  <c r="AQ1051" i="2"/>
  <c r="AQ963" i="2"/>
  <c r="AQ987" i="2"/>
  <c r="AQ988" i="2"/>
  <c r="AQ1047" i="2"/>
  <c r="AQ1025" i="2"/>
  <c r="AQ1050" i="2"/>
  <c r="AQ1005" i="2"/>
  <c r="AQ1071" i="2"/>
  <c r="AQ995" i="2"/>
  <c r="AQ1046" i="2"/>
  <c r="AQ968" i="2"/>
  <c r="AQ955" i="2"/>
  <c r="AQ993" i="2"/>
  <c r="AQ1042" i="2"/>
  <c r="AQ1062" i="2"/>
  <c r="AQ990" i="2"/>
  <c r="AQ1039" i="2"/>
  <c r="AQ982" i="2"/>
  <c r="AQ974" i="2"/>
  <c r="AQ947" i="2"/>
  <c r="AQ1034" i="2"/>
  <c r="AQ946" i="2"/>
  <c r="AQ1032" i="2"/>
  <c r="AQ960" i="2"/>
  <c r="AQ970" i="2"/>
  <c r="AQ1028" i="2"/>
  <c r="AQ1009" i="2"/>
  <c r="AQ1070" i="2"/>
  <c r="AQ1022" i="2"/>
  <c r="AQ1069" i="2"/>
  <c r="AQ1048" i="2"/>
  <c r="AQ994" i="2"/>
  <c r="AQ1065" i="2"/>
  <c r="AQ1020" i="2"/>
  <c r="AQ1068" i="2"/>
  <c r="AQ1056" i="2"/>
  <c r="AQ1072" i="2"/>
  <c r="AQ991" i="2"/>
  <c r="AQ961" i="2"/>
  <c r="AQ992" i="2"/>
  <c r="AQ1023" i="2"/>
  <c r="AQ1031" i="2"/>
  <c r="AQ1019" i="2"/>
  <c r="AQ1073" i="2"/>
  <c r="AQ1074" i="2"/>
  <c r="AQ1010" i="2"/>
  <c r="AQ1045" i="2"/>
  <c r="AQ957" i="2"/>
  <c r="AQ1063" i="2"/>
  <c r="AQ951" i="2"/>
  <c r="AQ979" i="2"/>
  <c r="AQ1013" i="2"/>
  <c r="AQ950" i="2"/>
  <c r="AQ959" i="2"/>
  <c r="AQ1015" i="2"/>
  <c r="AQ1058" i="2"/>
  <c r="AQ1043" i="2"/>
  <c r="AQ1054" i="2"/>
  <c r="AQ977" i="2"/>
  <c r="AQ1014" i="2"/>
  <c r="AQ1060" i="2"/>
  <c r="AQ1024" i="2"/>
  <c r="AQ1035" i="2"/>
  <c r="AQ1012" i="2"/>
  <c r="AQ1027" i="2"/>
  <c r="AQ1040" i="2"/>
  <c r="AQ1000" i="2"/>
  <c r="AQ1044" i="2"/>
  <c r="AQ1003" i="2"/>
  <c r="AQ1033" i="2"/>
  <c r="AQ944" i="2"/>
  <c r="AQ1018" i="2"/>
  <c r="AQ958" i="2"/>
  <c r="AQ996" i="2"/>
  <c r="AQ1004" i="2"/>
  <c r="AQ1006" i="2"/>
  <c r="AQ948" i="2"/>
  <c r="AQ1007" i="2"/>
  <c r="AQ999" i="2"/>
  <c r="AQ1064" i="2"/>
  <c r="AQ1075" i="2"/>
  <c r="AQ1001" i="2"/>
  <c r="AQ1008" i="2"/>
  <c r="AQ1061" i="2"/>
  <c r="AQ965" i="2"/>
  <c r="AQ952" i="2"/>
  <c r="AQ997" i="2"/>
  <c r="AQ1017" i="2"/>
  <c r="AQ981" i="2"/>
  <c r="AQ1038" i="2"/>
  <c r="AQ969" i="2"/>
  <c r="AQ1029" i="2"/>
  <c r="AQ1037" i="2"/>
  <c r="AQ967" i="2"/>
  <c r="K44" i="42" l="1"/>
  <c r="K27" i="42"/>
  <c r="K14" i="42"/>
  <c r="K29" i="42"/>
  <c r="K22" i="42"/>
  <c r="K23" i="42"/>
  <c r="K17" i="42"/>
  <c r="K38" i="42"/>
  <c r="K40" i="42"/>
  <c r="K43" i="42"/>
  <c r="K34" i="42"/>
  <c r="K41" i="42"/>
  <c r="K42" i="42"/>
  <c r="K39" i="42"/>
  <c r="K26" i="42"/>
  <c r="K18" i="42"/>
  <c r="K15" i="42"/>
  <c r="K19" i="42"/>
  <c r="K35" i="42"/>
  <c r="K30" i="42"/>
  <c r="K16" i="42"/>
  <c r="AQ984" i="2"/>
  <c r="AQ1057" i="2"/>
  <c r="AQ1016" i="2"/>
  <c r="AQ949" i="2"/>
  <c r="AQ1055" i="2"/>
  <c r="AQ956" i="2"/>
  <c r="AQ1030" i="2"/>
  <c r="AQ986" i="2"/>
  <c r="AQ962" i="2"/>
  <c r="AQ954" i="2"/>
  <c r="AQ975" i="2"/>
  <c r="AQ1026" i="2"/>
  <c r="AQ1036" i="2"/>
  <c r="AQ989" i="2"/>
  <c r="AQ978" i="2"/>
  <c r="AQ983" i="2"/>
  <c r="AQ953" i="2"/>
  <c r="AQ1052" i="2"/>
  <c r="AQ972" i="2"/>
  <c r="AQ945" i="2"/>
  <c r="AQ976" i="2"/>
  <c r="AQ998" i="2"/>
  <c r="AQ971" i="2"/>
  <c r="AQ966" i="2"/>
  <c r="AQ1021" i="2"/>
  <c r="AQ1049" i="2"/>
  <c r="AQ1041" i="2"/>
  <c r="AQ1053" i="2"/>
  <c r="AQ1059" i="2"/>
  <c r="AQ985" i="2"/>
  <c r="AQ973" i="2"/>
  <c r="AQ964" i="2"/>
  <c r="AQ1011" i="2"/>
  <c r="AQ1002" i="2"/>
  <c r="AQ980" i="2"/>
  <c r="AQ379" i="2"/>
  <c r="AQ319" i="2"/>
  <c r="AQ194" i="2"/>
  <c r="AQ583" i="2"/>
  <c r="AQ516" i="2"/>
  <c r="AQ465" i="2"/>
  <c r="AQ398" i="2"/>
  <c r="AQ818" i="2"/>
  <c r="AQ307" i="2"/>
  <c r="AQ467" i="2"/>
  <c r="AQ737" i="2"/>
  <c r="AQ345" i="2"/>
  <c r="AQ431" i="2"/>
  <c r="AQ549" i="2"/>
  <c r="AQ410" i="2"/>
  <c r="AQ367" i="2"/>
  <c r="AQ114" i="2"/>
  <c r="AQ84" i="2"/>
  <c r="AQ304" i="2"/>
  <c r="AQ248" i="2"/>
  <c r="AQ559" i="2"/>
  <c r="AQ573" i="2"/>
  <c r="AQ157" i="2"/>
  <c r="AQ520" i="2"/>
  <c r="AQ780" i="2"/>
  <c r="AQ251" i="2"/>
  <c r="AQ243" i="2"/>
  <c r="AQ215" i="2"/>
  <c r="AQ148" i="2"/>
  <c r="AQ405" i="2"/>
  <c r="AQ341" i="2"/>
  <c r="AQ199" i="2"/>
  <c r="AQ37" i="2"/>
  <c r="AQ529" i="2"/>
  <c r="AQ66" i="2"/>
  <c r="AQ778" i="2"/>
  <c r="AQ112" i="2"/>
  <c r="AQ934" i="2"/>
  <c r="AQ261" i="2"/>
  <c r="AQ224" i="2"/>
  <c r="AQ771" i="2"/>
  <c r="AQ291" i="2"/>
  <c r="AQ762" i="2"/>
  <c r="AQ327" i="2"/>
  <c r="AQ392" i="2"/>
  <c r="AQ197" i="2"/>
  <c r="AQ47" i="2"/>
  <c r="AQ452" i="2"/>
  <c r="AQ910" i="2"/>
  <c r="AQ88" i="2"/>
  <c r="AQ921" i="2"/>
  <c r="AQ182" i="2"/>
  <c r="AQ607" i="2"/>
  <c r="AQ830" i="2"/>
  <c r="AQ865" i="2"/>
  <c r="AQ710" i="2"/>
  <c r="AQ852" i="2"/>
  <c r="AQ434" i="2"/>
  <c r="AQ730" i="2"/>
  <c r="AQ178" i="2"/>
  <c r="AQ360" i="2"/>
  <c r="AQ188" i="2"/>
  <c r="AQ624" i="2"/>
  <c r="AQ876" i="2"/>
  <c r="AQ856" i="2"/>
  <c r="AQ163" i="2"/>
  <c r="AQ838" i="2"/>
  <c r="AQ870" i="2"/>
  <c r="AQ878" i="2"/>
  <c r="AQ892" i="2"/>
  <c r="AQ810" i="2"/>
  <c r="AQ257" i="2"/>
  <c r="AQ244" i="2"/>
  <c r="AQ708" i="2"/>
  <c r="AQ862" i="2"/>
  <c r="AQ126" i="2"/>
  <c r="AQ834" i="2"/>
  <c r="AQ786" i="2"/>
  <c r="AQ412" i="2"/>
  <c r="AQ880" i="2"/>
  <c r="AQ393" i="2"/>
  <c r="AQ813" i="2"/>
  <c r="AQ845" i="2"/>
  <c r="AQ399" i="2"/>
  <c r="AQ740" i="2"/>
  <c r="AQ745" i="2"/>
  <c r="AQ133" i="2"/>
  <c r="AQ43" i="2"/>
  <c r="AQ454" i="2"/>
  <c r="AQ316" i="2"/>
  <c r="AQ930" i="2"/>
  <c r="AQ357" i="2"/>
  <c r="AQ867" i="2"/>
  <c r="AQ123" i="2"/>
  <c r="AQ81" i="2"/>
  <c r="AQ598" i="2"/>
  <c r="AQ581" i="2"/>
  <c r="AQ249" i="2"/>
  <c r="AQ242" i="2"/>
  <c r="AQ213" i="2"/>
  <c r="AQ59" i="2"/>
  <c r="AQ422" i="2"/>
  <c r="AQ371" i="2"/>
  <c r="AQ39" i="2"/>
  <c r="AQ423" i="2"/>
  <c r="AQ499" i="2"/>
  <c r="AQ97" i="2"/>
  <c r="AQ711" i="2"/>
  <c r="AQ317" i="2"/>
  <c r="AQ14" i="2"/>
  <c r="AQ132" i="2"/>
  <c r="AQ315" i="2"/>
  <c r="AQ429" i="2"/>
  <c r="AQ462" i="2"/>
  <c r="AQ16" i="2"/>
  <c r="AQ302" i="2"/>
  <c r="AQ55" i="2"/>
  <c r="AQ466" i="2"/>
  <c r="AQ312" i="2"/>
  <c r="AQ473" i="2"/>
  <c r="AQ167" i="2"/>
  <c r="AQ370" i="2"/>
  <c r="AQ169" i="2"/>
  <c r="AQ420" i="2"/>
  <c r="AQ479" i="2"/>
  <c r="AQ416" i="2"/>
  <c r="AQ413" i="2"/>
  <c r="AQ472" i="2"/>
  <c r="AQ30" i="2"/>
  <c r="AQ160" i="2"/>
  <c r="AQ480" i="2"/>
  <c r="AQ478" i="2"/>
  <c r="AQ481" i="2"/>
  <c r="AQ161" i="2"/>
  <c r="AQ20" i="2"/>
  <c r="AQ409" i="2"/>
  <c r="AQ311" i="2"/>
  <c r="AQ17" i="2"/>
  <c r="AQ464" i="2"/>
  <c r="AQ474" i="2"/>
  <c r="AQ414" i="2"/>
  <c r="AQ168" i="2"/>
  <c r="AQ482" i="2"/>
  <c r="AQ417" i="2"/>
  <c r="AQ32" i="2"/>
  <c r="AQ469" i="2"/>
  <c r="AQ33" i="2"/>
  <c r="AQ12" i="2"/>
  <c r="AQ477" i="2"/>
  <c r="AQ421" i="2"/>
  <c r="AQ13" i="2"/>
  <c r="AQ23" i="2"/>
  <c r="AQ306" i="2"/>
  <c r="AQ453" i="2"/>
  <c r="AQ408" i="2"/>
  <c r="AQ15" i="2"/>
  <c r="AQ428" i="2"/>
  <c r="AQ28" i="2"/>
  <c r="AQ25" i="2"/>
  <c r="AQ329" i="2"/>
  <c r="AQ470" i="2"/>
  <c r="AQ165" i="2"/>
  <c r="AQ44" i="2"/>
  <c r="AQ328" i="2"/>
  <c r="AQ773" i="2"/>
  <c r="AQ885" i="2"/>
  <c r="AQ700" i="2"/>
  <c r="AQ907" i="2"/>
  <c r="AQ639" i="2"/>
  <c r="AQ54" i="2"/>
  <c r="AQ664" i="2"/>
  <c r="AQ179" i="2"/>
  <c r="AQ663" i="2"/>
  <c r="AQ262" i="2"/>
  <c r="AQ411" i="2"/>
  <c r="AQ772" i="2"/>
  <c r="AQ917" i="2"/>
  <c r="AQ201" i="2"/>
  <c r="AQ765" i="2"/>
  <c r="AQ386" i="2"/>
  <c r="AQ825" i="2"/>
  <c r="AQ57" i="2"/>
  <c r="AQ69" i="2"/>
  <c r="AQ928" i="2"/>
  <c r="AQ777" i="2"/>
  <c r="AQ202" i="2"/>
  <c r="AQ873" i="2"/>
  <c r="AQ348" i="2"/>
  <c r="AQ543" i="2"/>
  <c r="AQ789" i="2"/>
  <c r="AQ293" i="2"/>
  <c r="AQ326" i="2"/>
  <c r="AQ753" i="2"/>
  <c r="AQ859" i="2"/>
  <c r="AQ102" i="2"/>
  <c r="AQ349" i="2"/>
  <c r="AQ415" i="2"/>
  <c r="AQ52" i="2"/>
  <c r="AQ938" i="2"/>
  <c r="AQ301" i="2"/>
  <c r="AQ374" i="2"/>
  <c r="AQ837" i="2"/>
  <c r="AQ115" i="2"/>
  <c r="AQ149" i="2"/>
  <c r="AQ281" i="2"/>
  <c r="AQ336" i="2"/>
  <c r="AQ90" i="2"/>
  <c r="AQ540" i="2"/>
  <c r="AQ801" i="2"/>
  <c r="AQ359" i="2"/>
  <c r="AQ814" i="2"/>
  <c r="AQ226" i="2"/>
  <c r="AQ138" i="2"/>
  <c r="AQ849" i="2"/>
  <c r="AQ542" i="2"/>
  <c r="AQ741" i="2"/>
  <c r="AQ191" i="2"/>
  <c r="AQ203" i="2"/>
  <c r="AQ358" i="2"/>
  <c r="AQ127" i="2"/>
  <c r="AQ861" i="2"/>
  <c r="AQ848" i="2"/>
  <c r="AQ763" i="2"/>
  <c r="AQ897" i="2"/>
  <c r="AQ162" i="2"/>
  <c r="AQ824" i="2"/>
  <c r="AQ501" i="2"/>
  <c r="AQ908" i="2"/>
  <c r="AQ850" i="2"/>
  <c r="AQ739" i="2"/>
  <c r="AQ276" i="2"/>
  <c r="AQ724" i="2"/>
  <c r="AQ260" i="2"/>
  <c r="AQ896" i="2"/>
  <c r="AQ751" i="2"/>
  <c r="AQ190" i="2"/>
  <c r="AQ872" i="2"/>
  <c r="AQ822" i="2"/>
  <c r="AQ666" i="2"/>
  <c r="AQ676" i="2"/>
  <c r="AQ397" i="2"/>
  <c r="AQ125" i="2"/>
  <c r="AQ939" i="2"/>
  <c r="AQ137" i="2"/>
  <c r="AQ713" i="2"/>
  <c r="AQ128" i="2"/>
  <c r="AQ144" i="2"/>
  <c r="AQ916" i="2"/>
  <c r="AQ122" i="2"/>
  <c r="AQ844" i="2"/>
  <c r="AQ101" i="2"/>
  <c r="AQ620" i="2"/>
  <c r="AQ343" i="2"/>
  <c r="AQ145" i="2"/>
  <c r="AQ159" i="2"/>
  <c r="AQ136" i="2"/>
  <c r="AQ675" i="2"/>
  <c r="AQ361" i="2"/>
  <c r="AQ158" i="2"/>
  <c r="AQ874" i="2"/>
  <c r="AQ38" i="2"/>
  <c r="AQ851" i="2"/>
  <c r="AQ527" i="2"/>
  <c r="AQ64" i="2"/>
  <c r="AQ331" i="2"/>
  <c r="AQ744" i="2"/>
  <c r="AQ853" i="2"/>
  <c r="AQ605" i="2"/>
  <c r="AQ911" i="2"/>
  <c r="AQ267" i="2"/>
  <c r="AQ483" i="2"/>
  <c r="AQ673" i="2"/>
  <c r="AQ690" i="2"/>
  <c r="AQ820" i="2"/>
  <c r="AQ588" i="2"/>
  <c r="AQ768" i="2"/>
  <c r="AQ487" i="2"/>
  <c r="AQ564" i="2"/>
  <c r="AQ894" i="2"/>
  <c r="AQ895" i="2"/>
  <c r="AQ891" i="2"/>
  <c r="AQ877" i="2"/>
  <c r="AQ576" i="2"/>
  <c r="AQ799" i="2"/>
  <c r="AQ365" i="2"/>
  <c r="AQ539" i="2"/>
  <c r="AQ687" i="2"/>
  <c r="AQ925" i="2"/>
  <c r="AQ189" i="2"/>
  <c r="AQ493" i="2"/>
  <c r="AQ756" i="2"/>
  <c r="AQ757" i="2"/>
  <c r="AQ383" i="2"/>
  <c r="AQ156" i="2"/>
  <c r="AQ318" i="2"/>
  <c r="AQ292" i="2"/>
  <c r="AQ494" i="2"/>
  <c r="AQ912" i="2"/>
  <c r="AQ638" i="2"/>
  <c r="AQ266" i="2"/>
  <c r="AQ769" i="2"/>
  <c r="AQ259" i="2"/>
  <c r="AQ395" i="2"/>
  <c r="AQ665" i="2"/>
  <c r="AQ575" i="2"/>
  <c r="AQ609" i="2"/>
  <c r="AQ457" i="2"/>
  <c r="AQ280" i="2"/>
  <c r="AQ372" i="2"/>
  <c r="AQ214" i="2"/>
  <c r="AQ868" i="2"/>
  <c r="AQ300" i="2"/>
  <c r="AQ77" i="2"/>
  <c r="AQ565" i="2"/>
  <c r="AQ689" i="2"/>
  <c r="AQ76" i="2"/>
  <c r="AQ186" i="2"/>
  <c r="AQ597" i="2"/>
  <c r="AQ760" i="2"/>
  <c r="AQ924" i="2"/>
  <c r="AQ89" i="2"/>
  <c r="AQ211" i="2"/>
  <c r="AQ344" i="2"/>
  <c r="AQ629" i="2"/>
  <c r="AQ612" i="2"/>
  <c r="AQ396" i="2"/>
  <c r="AQ871" i="2"/>
  <c r="AQ335" i="2"/>
  <c r="AQ566" i="2"/>
  <c r="AQ704" i="2"/>
  <c r="AQ384" i="2"/>
  <c r="AQ886" i="2"/>
  <c r="AQ681" i="2"/>
  <c r="AQ62" i="2"/>
  <c r="AQ671" i="2"/>
  <c r="AQ439" i="2"/>
  <c r="AQ714" i="2"/>
  <c r="AQ210" i="2"/>
  <c r="AQ695" i="2"/>
  <c r="AQ840" i="2"/>
  <c r="AQ427" i="2"/>
  <c r="AQ362" i="2"/>
  <c r="AQ726" i="2"/>
  <c r="AQ80" i="2"/>
  <c r="AQ425" i="2"/>
  <c r="AQ628" i="2"/>
  <c r="AQ715" i="2"/>
  <c r="AQ775" i="2"/>
  <c r="AQ929" i="2"/>
  <c r="AQ310" i="2"/>
  <c r="AQ548" i="2"/>
  <c r="AQ616" i="2"/>
  <c r="AQ455" i="2"/>
  <c r="AQ881" i="2"/>
  <c r="AQ563" i="2"/>
  <c r="AQ432" i="2"/>
  <c r="AQ823" i="2"/>
  <c r="AQ175" i="2"/>
  <c r="AQ451" i="2"/>
  <c r="AQ738" i="2"/>
  <c r="AQ511" i="2"/>
  <c r="AQ725" i="2"/>
  <c r="AQ829" i="2"/>
  <c r="AQ277" i="2"/>
  <c r="AQ926" i="2"/>
  <c r="AQ732" i="2"/>
  <c r="AQ508" i="2"/>
  <c r="AQ721" i="2"/>
  <c r="AQ645" i="2"/>
  <c r="AQ433" i="2"/>
  <c r="AQ381" i="2"/>
  <c r="AQ654" i="2"/>
  <c r="AQ691" i="2"/>
  <c r="AQ826" i="2"/>
  <c r="AQ31" i="2"/>
  <c r="AQ99" i="2"/>
  <c r="AQ703" i="2"/>
  <c r="AQ594" i="2"/>
  <c r="AQ152" i="2"/>
  <c r="AQ536" i="2"/>
  <c r="AQ239" i="2"/>
  <c r="AQ346" i="2"/>
  <c r="AQ816" i="2"/>
  <c r="AQ441" i="2"/>
  <c r="AQ488" i="2"/>
  <c r="AQ875" i="2"/>
  <c r="AQ644" i="2"/>
  <c r="AQ373" i="2"/>
  <c r="AQ794" i="2"/>
  <c r="AQ36" i="2"/>
  <c r="AQ252" i="2"/>
  <c r="AQ582" i="2"/>
  <c r="AQ864" i="2"/>
  <c r="AQ899" i="2"/>
  <c r="AQ72" i="2"/>
  <c r="AQ173" i="2"/>
  <c r="AQ107" i="2"/>
  <c r="AQ842" i="2"/>
  <c r="AQ735" i="2"/>
  <c r="AQ458" i="2"/>
  <c r="AQ231" i="2"/>
  <c r="AQ766" i="2"/>
  <c r="AQ105" i="2"/>
  <c r="AQ658" i="2"/>
  <c r="AQ940" i="2"/>
  <c r="AQ746" i="2"/>
  <c r="AQ402" i="2"/>
  <c r="AQ932" i="2"/>
  <c r="AQ720" i="2"/>
  <c r="AQ518" i="2"/>
  <c r="AQ736" i="2"/>
  <c r="AQ430" i="2"/>
  <c r="AQ900" i="2"/>
  <c r="AQ828" i="2"/>
  <c r="AQ256" i="2"/>
  <c r="AQ698" i="2"/>
  <c r="AQ630" i="2"/>
  <c r="AQ904" i="2"/>
  <c r="AQ602" i="2"/>
  <c r="AQ909" i="2"/>
  <c r="AQ237" i="2"/>
  <c r="AQ835" i="2"/>
  <c r="AQ195" i="2"/>
  <c r="AQ569" i="2"/>
  <c r="AQ601" i="2"/>
  <c r="AQ626" i="2"/>
  <c r="AQ538" i="2"/>
  <c r="AQ807" i="2"/>
  <c r="AQ806" i="2"/>
  <c r="AQ884" i="2"/>
  <c r="AQ170" i="2"/>
  <c r="AQ693" i="2"/>
  <c r="AQ863" i="2"/>
  <c r="AQ321" i="2"/>
  <c r="AQ537" i="2"/>
  <c r="AQ574" i="2"/>
  <c r="AQ843" i="2"/>
  <c r="AQ683" i="2"/>
  <c r="AQ684" i="2"/>
  <c r="AQ456" i="2"/>
  <c r="AQ222" i="2"/>
  <c r="AQ497" i="2"/>
  <c r="AQ808" i="2"/>
  <c r="AQ111" i="2"/>
  <c r="AQ240" i="2"/>
  <c r="AQ382" i="2"/>
  <c r="AQ833" i="2"/>
  <c r="AQ524" i="2"/>
  <c r="AQ915" i="2"/>
  <c r="AQ678" i="2"/>
  <c r="AQ27" i="2"/>
  <c r="AQ196" i="2"/>
  <c r="AQ918" i="2"/>
  <c r="AQ227" i="2"/>
  <c r="AQ774" i="2"/>
  <c r="AQ287" i="2"/>
  <c r="AQ460" i="2"/>
  <c r="AQ406" i="2"/>
  <c r="AQ747" i="2"/>
  <c r="AQ606" i="2"/>
  <c r="AQ901" i="2"/>
  <c r="AQ177" i="2"/>
  <c r="AQ817" i="2"/>
  <c r="AQ733" i="2"/>
  <c r="AQ611" i="2"/>
  <c r="AQ846" i="2"/>
  <c r="AQ572" i="2"/>
  <c r="AQ662" i="2"/>
  <c r="AQ685" i="2"/>
  <c r="AQ933" i="2"/>
  <c r="AQ558" i="2"/>
  <c r="AQ193" i="2"/>
  <c r="AQ523" i="2"/>
  <c r="AQ139" i="2"/>
  <c r="AQ206" i="2"/>
  <c r="AQ50" i="2"/>
  <c r="AQ93" i="2"/>
  <c r="AQ923" i="2"/>
  <c r="AQ241" i="2"/>
  <c r="AQ643" i="2"/>
  <c r="AQ551" i="2"/>
  <c r="AQ727" i="2"/>
  <c r="AQ679" i="2"/>
  <c r="AQ759" i="2"/>
  <c r="AQ496" i="2"/>
  <c r="AQ229" i="2"/>
  <c r="AQ902" i="2"/>
  <c r="AQ627" i="2"/>
  <c r="AQ604" i="2"/>
  <c r="AQ888" i="2"/>
  <c r="AQ802" i="2"/>
  <c r="AQ289" i="2"/>
  <c r="AQ447" i="2"/>
  <c r="AQ617" i="2"/>
  <c r="AQ135" i="2"/>
  <c r="AQ29" i="2"/>
  <c r="AQ288" i="2"/>
  <c r="AQ65" i="2"/>
  <c r="AQ187" i="2"/>
  <c r="AQ322" i="2"/>
  <c r="AQ531" i="2"/>
  <c r="AQ279" i="2"/>
  <c r="AQ811" i="2"/>
  <c r="AQ728" i="2"/>
  <c r="AQ443" i="2"/>
  <c r="AQ388" i="2"/>
  <c r="AQ354" i="2"/>
  <c r="AQ636" i="2"/>
  <c r="AQ682" i="2"/>
  <c r="AQ507" i="2"/>
  <c r="AQ770" i="2"/>
  <c r="AQ649" i="2"/>
  <c r="AQ792" i="2"/>
  <c r="AQ931" i="2"/>
  <c r="AQ596" i="2"/>
  <c r="AQ787" i="2"/>
  <c r="AQ172" i="2"/>
  <c r="AQ712" i="2"/>
  <c r="AQ783" i="2"/>
  <c r="AQ515" i="2"/>
  <c r="AQ235" i="2"/>
  <c r="AQ505" i="2"/>
  <c r="AQ754" i="2"/>
  <c r="AQ590" i="2"/>
  <c r="AQ378" i="2"/>
  <c r="AQ541" i="2"/>
  <c r="AQ560" i="2"/>
  <c r="AQ697" i="2"/>
  <c r="AQ661" i="2"/>
  <c r="AQ314" i="2"/>
  <c r="AQ424" i="2"/>
  <c r="AQ797" i="2"/>
  <c r="AQ181" i="2"/>
  <c r="AQ309" i="2"/>
  <c r="AQ729" i="2"/>
  <c r="AQ118" i="2"/>
  <c r="AQ247" i="2"/>
  <c r="AQ376" i="2"/>
  <c r="AQ647" i="2"/>
  <c r="AQ790" i="2"/>
  <c r="AQ96" i="2"/>
  <c r="AQ221" i="2"/>
  <c r="AQ342" i="2"/>
  <c r="AQ506" i="2"/>
  <c r="AQ625" i="2"/>
  <c r="AQ546" i="2"/>
  <c r="AQ670" i="2"/>
  <c r="AQ154" i="2"/>
  <c r="AQ274" i="2"/>
  <c r="AQ495" i="2"/>
  <c r="AQ758" i="2"/>
  <c r="AQ922" i="2"/>
  <c r="AQ652" i="2"/>
  <c r="AQ795" i="2"/>
  <c r="AQ364" i="2"/>
  <c r="AQ517" i="2"/>
  <c r="AQ635" i="2"/>
  <c r="AQ920" i="2"/>
  <c r="AQ153" i="2"/>
  <c r="AQ273" i="2"/>
  <c r="AQ418" i="2"/>
  <c r="AQ942" i="2"/>
  <c r="AQ34" i="2"/>
  <c r="AQ146" i="2"/>
  <c r="AQ269" i="2"/>
  <c r="AQ407" i="2"/>
  <c r="AQ553" i="2"/>
  <c r="AQ677" i="2"/>
  <c r="AQ442" i="2"/>
  <c r="AQ748" i="2"/>
  <c r="AQ914" i="2"/>
  <c r="AQ332" i="2"/>
  <c r="AQ486" i="2"/>
  <c r="AQ785" i="2"/>
  <c r="AQ589" i="2"/>
  <c r="AQ324" i="2"/>
  <c r="AQ525" i="2"/>
  <c r="AQ512" i="2"/>
  <c r="AQ847" i="2"/>
  <c r="AQ305" i="2"/>
  <c r="AQ788" i="2"/>
  <c r="AQ869" i="2"/>
  <c r="AQ500" i="2"/>
  <c r="AQ632" i="2"/>
  <c r="AQ320" i="2"/>
  <c r="AQ58" i="2"/>
  <c r="AQ180" i="2"/>
  <c r="AQ308" i="2"/>
  <c r="AQ585" i="2"/>
  <c r="AQ927" i="2"/>
  <c r="AQ669" i="2"/>
  <c r="AQ48" i="2"/>
  <c r="AQ51" i="2"/>
  <c r="AQ356" i="2"/>
  <c r="AQ655" i="2"/>
  <c r="AQ667" i="2"/>
  <c r="AQ554" i="2"/>
  <c r="AQ347" i="2"/>
  <c r="AQ42" i="2"/>
  <c r="AQ445" i="2"/>
  <c r="AQ325" i="2"/>
  <c r="AQ82" i="2"/>
  <c r="AQ204" i="2"/>
  <c r="AQ898" i="2"/>
  <c r="AQ935" i="2"/>
  <c r="AQ613" i="2"/>
  <c r="AQ265" i="2"/>
  <c r="AQ545" i="2"/>
  <c r="AQ238" i="2"/>
  <c r="AQ570" i="2"/>
  <c r="AQ839" i="2"/>
  <c r="AQ637" i="2"/>
  <c r="AQ943" i="2"/>
  <c r="AQ550" i="2"/>
  <c r="AQ819" i="2"/>
  <c r="AQ389" i="2"/>
  <c r="AQ659" i="2"/>
  <c r="AQ941" i="2"/>
  <c r="AQ40" i="2"/>
  <c r="AQ109" i="2"/>
  <c r="AQ198" i="2"/>
  <c r="AQ461" i="2"/>
  <c r="AQ784" i="2"/>
  <c r="AQ98" i="2"/>
  <c r="AQ510" i="2"/>
  <c r="AQ642" i="2"/>
  <c r="AQ809" i="2"/>
  <c r="AQ860" i="2"/>
  <c r="AQ893" i="2"/>
  <c r="AQ41" i="2"/>
  <c r="AQ599" i="2"/>
  <c r="AQ798" i="2"/>
  <c r="AQ815" i="2"/>
  <c r="AQ205" i="2"/>
  <c r="AQ490" i="2"/>
  <c r="AQ140" i="2"/>
  <c r="AQ400" i="2"/>
  <c r="AQ366" i="2"/>
  <c r="AQ530" i="2"/>
  <c r="AQ650" i="2"/>
  <c r="AQ694" i="2"/>
  <c r="AQ49" i="2"/>
  <c r="AQ298" i="2"/>
  <c r="AQ519" i="2"/>
  <c r="AQ782" i="2"/>
  <c r="AQ404" i="2"/>
  <c r="AQ674" i="2"/>
  <c r="AQ535" i="2"/>
  <c r="AQ297" i="2"/>
  <c r="AQ438" i="2"/>
  <c r="AQ805" i="2"/>
  <c r="AQ290" i="2"/>
  <c r="AQ577" i="2"/>
  <c r="AQ702" i="2"/>
  <c r="AQ781" i="2"/>
  <c r="AQ618" i="2"/>
  <c r="AQ764" i="2"/>
  <c r="AQ804" i="2"/>
  <c r="AQ223" i="2"/>
  <c r="AQ380" i="2"/>
  <c r="AQ83" i="2"/>
  <c r="AQ419" i="2"/>
  <c r="AQ92" i="2"/>
  <c r="AQ217" i="2"/>
  <c r="AQ338" i="2"/>
  <c r="AQ557" i="2"/>
  <c r="AQ121" i="2"/>
  <c r="AQ250" i="2"/>
  <c r="AQ580" i="2"/>
  <c r="AQ707" i="2"/>
  <c r="AQ184" i="2"/>
  <c r="AQ562" i="2"/>
  <c r="AQ686" i="2"/>
  <c r="AQ831" i="2"/>
  <c r="AQ401" i="2"/>
  <c r="AQ547" i="2"/>
  <c r="AQ61" i="2"/>
  <c r="AQ183" i="2"/>
  <c r="AQ313" i="2"/>
  <c r="AQ53" i="2"/>
  <c r="AQ176" i="2"/>
  <c r="AQ444" i="2"/>
  <c r="AQ587" i="2"/>
  <c r="AQ485" i="2"/>
  <c r="AQ608" i="2"/>
  <c r="AQ796" i="2"/>
  <c r="AQ369" i="2"/>
  <c r="AQ821" i="2"/>
  <c r="AQ776" i="2"/>
  <c r="AQ468" i="2"/>
  <c r="AQ752" i="2"/>
  <c r="AQ578" i="2"/>
  <c r="AQ936" i="2"/>
  <c r="AQ56" i="2"/>
  <c r="AQ905" i="2"/>
  <c r="AQ79" i="2"/>
  <c r="AQ812" i="2"/>
  <c r="AQ91" i="2"/>
  <c r="AQ216" i="2"/>
  <c r="AQ337" i="2"/>
  <c r="AQ272" i="2"/>
  <c r="AQ653" i="2"/>
  <c r="AQ303" i="2"/>
  <c r="AQ651" i="2"/>
  <c r="AQ660" i="2"/>
  <c r="AQ502" i="2"/>
  <c r="AQ522" i="2"/>
  <c r="AQ701" i="2"/>
  <c r="AQ883" i="2"/>
  <c r="AQ234" i="2"/>
  <c r="AQ375" i="2"/>
  <c r="AQ526" i="2"/>
  <c r="AQ646" i="2"/>
  <c r="AQ296" i="2"/>
  <c r="AQ436" i="2"/>
  <c r="AQ579" i="2"/>
  <c r="AQ706" i="2"/>
  <c r="AQ143" i="2"/>
  <c r="AQ268" i="2"/>
  <c r="AQ403" i="2"/>
  <c r="AQ459" i="2"/>
  <c r="AQ731" i="2"/>
  <c r="AQ584" i="2"/>
  <c r="AQ571" i="2"/>
  <c r="AQ85" i="2"/>
  <c r="AQ207" i="2"/>
  <c r="AQ696" i="2"/>
  <c r="AQ78" i="2"/>
  <c r="AQ200" i="2"/>
  <c r="AQ323" i="2"/>
  <c r="AQ233" i="2"/>
  <c r="AQ355" i="2"/>
  <c r="AQ552" i="2"/>
  <c r="AQ688" i="2"/>
  <c r="AQ67" i="2"/>
  <c r="AQ471" i="2"/>
  <c r="AQ113" i="2"/>
  <c r="AQ225" i="2"/>
  <c r="AQ858" i="2"/>
  <c r="AQ117" i="2"/>
  <c r="AQ246" i="2"/>
  <c r="AQ387" i="2"/>
  <c r="AQ532" i="2"/>
  <c r="AQ656" i="2"/>
  <c r="AQ60" i="2"/>
  <c r="AQ448" i="2"/>
  <c r="AQ591" i="2"/>
  <c r="AQ718" i="2"/>
  <c r="AQ155" i="2"/>
  <c r="AQ603" i="2"/>
  <c r="AQ743" i="2"/>
  <c r="AQ887" i="2"/>
  <c r="AQ220" i="2"/>
  <c r="AQ561" i="2"/>
  <c r="AQ723" i="2"/>
  <c r="AQ437" i="2"/>
  <c r="AQ94" i="2"/>
  <c r="AQ219" i="2"/>
  <c r="AQ340" i="2"/>
  <c r="AQ212" i="2"/>
  <c r="AQ333" i="2"/>
  <c r="AQ610" i="2"/>
  <c r="AQ750" i="2"/>
  <c r="AQ110" i="2"/>
  <c r="AQ521" i="2"/>
  <c r="AQ258" i="2"/>
  <c r="AQ857" i="2"/>
  <c r="AQ68" i="2"/>
  <c r="AQ621" i="2"/>
  <c r="AQ937" i="2"/>
  <c r="AQ513" i="2"/>
  <c r="AQ147" i="2"/>
  <c r="AQ567" i="2"/>
  <c r="AQ18" i="2"/>
  <c r="AQ116" i="2"/>
  <c r="AQ509" i="2"/>
  <c r="AQ245" i="2"/>
  <c r="AQ208" i="2"/>
  <c r="AQ879" i="2"/>
  <c r="AQ368" i="2"/>
  <c r="AQ631" i="2"/>
  <c r="AQ672" i="2"/>
  <c r="AQ394" i="2"/>
  <c r="AQ385" i="2"/>
  <c r="AQ709" i="2"/>
  <c r="AQ275" i="2"/>
  <c r="AQ95" i="2"/>
  <c r="AQ832" i="2"/>
  <c r="AQ86" i="2"/>
  <c r="AQ218" i="2"/>
  <c r="AQ264" i="2"/>
  <c r="AQ556" i="2"/>
  <c r="AQ680" i="2"/>
  <c r="AQ476" i="2"/>
  <c r="AQ742" i="2"/>
  <c r="AQ299" i="2"/>
  <c r="AQ504" i="2"/>
  <c r="AQ623" i="2"/>
  <c r="AQ767" i="2"/>
  <c r="AQ440" i="2"/>
  <c r="AQ866" i="2"/>
  <c r="AQ484" i="2"/>
  <c r="AQ913" i="2"/>
  <c r="AQ151" i="2"/>
  <c r="AQ271" i="2"/>
  <c r="AQ568" i="2"/>
  <c r="AQ692" i="2"/>
  <c r="AQ491" i="2"/>
  <c r="AQ614" i="2"/>
  <c r="AQ63" i="2"/>
  <c r="AQ185" i="2"/>
  <c r="AQ634" i="2"/>
  <c r="AQ779" i="2"/>
  <c r="AQ919" i="2"/>
  <c r="AQ120" i="2"/>
  <c r="AQ595" i="2"/>
  <c r="AQ722" i="2"/>
  <c r="AQ619" i="2"/>
  <c r="AQ119" i="2"/>
  <c r="AQ166" i="2"/>
  <c r="AQ283" i="2"/>
  <c r="AQ435" i="2"/>
  <c r="AQ705" i="2"/>
  <c r="AQ351" i="2"/>
  <c r="AQ503" i="2"/>
  <c r="AQ75" i="2"/>
  <c r="AQ528" i="2"/>
  <c r="AQ648" i="2"/>
  <c r="AQ791" i="2"/>
  <c r="AQ255" i="2"/>
  <c r="AQ734" i="2"/>
  <c r="AQ339" i="2"/>
  <c r="AQ71" i="2"/>
  <c r="AQ475" i="2"/>
  <c r="AQ21" i="2"/>
  <c r="AQ130" i="2"/>
  <c r="AQ253" i="2"/>
  <c r="AQ533" i="2"/>
  <c r="AQ108" i="2"/>
  <c r="AQ232" i="2"/>
  <c r="AQ827" i="2"/>
  <c r="AQ286" i="2"/>
  <c r="AQ377" i="2"/>
  <c r="AQ171" i="2"/>
  <c r="AQ285" i="2"/>
  <c r="AQ793" i="2"/>
  <c r="AQ278" i="2"/>
  <c r="AQ498" i="2"/>
  <c r="AQ800" i="2"/>
  <c r="AQ70" i="2"/>
  <c r="AQ192" i="2"/>
  <c r="AQ104" i="2"/>
  <c r="AQ228" i="2"/>
  <c r="AQ350" i="2"/>
  <c r="AQ514" i="2"/>
  <c r="AQ633" i="2"/>
  <c r="AQ284" i="2"/>
  <c r="AQ134" i="2"/>
  <c r="AQ449" i="2"/>
  <c r="AQ592" i="2"/>
  <c r="AQ719" i="2"/>
  <c r="AQ74" i="2"/>
  <c r="AQ73" i="2"/>
  <c r="AQ35" i="2"/>
  <c r="AQ836" i="2"/>
  <c r="AQ100" i="2"/>
  <c r="AQ103" i="2"/>
  <c r="AQ391" i="2"/>
  <c r="AQ657" i="2"/>
  <c r="AQ19" i="2"/>
  <c r="AQ129" i="2"/>
  <c r="AQ544" i="2"/>
  <c r="AQ668" i="2"/>
  <c r="AQ426" i="2"/>
  <c r="AQ492" i="2"/>
  <c r="AQ615" i="2"/>
  <c r="AQ755" i="2"/>
  <c r="AQ353" i="2"/>
  <c r="AQ450" i="2"/>
  <c r="AQ593" i="2"/>
  <c r="AQ106" i="2"/>
  <c r="AQ230" i="2"/>
  <c r="AQ352" i="2"/>
  <c r="AQ600" i="2"/>
  <c r="AQ622" i="2"/>
  <c r="AQ236" i="2"/>
  <c r="AQ586" i="2"/>
  <c r="AQ263" i="2"/>
  <c r="AQ489" i="2"/>
  <c r="AQ150" i="2"/>
  <c r="AQ22" i="2"/>
  <c r="AQ131" i="2"/>
  <c r="AQ254" i="2"/>
  <c r="AQ390" i="2"/>
  <c r="AQ124" i="2"/>
  <c r="AQ749" i="2"/>
  <c r="AQ270" i="2"/>
  <c r="AQ446" i="2"/>
  <c r="AQ716" i="2"/>
  <c r="AQ334" i="2"/>
  <c r="AQ555" i="2"/>
  <c r="AQ164" i="2"/>
  <c r="AQ282" i="2"/>
  <c r="AQ46" i="2"/>
  <c r="AQ295" i="2"/>
  <c r="AQ717" i="2"/>
  <c r="AQ363" i="2"/>
  <c r="AQ87" i="2"/>
  <c r="AQ209" i="2"/>
  <c r="AQ330" i="2"/>
  <c r="AQ534" i="2"/>
  <c r="AQ803" i="2"/>
  <c r="AQ26" i="2"/>
  <c r="AQ142" i="2"/>
  <c r="AQ24" i="2"/>
  <c r="AQ141" i="2"/>
  <c r="AQ174" i="2"/>
  <c r="AQ463" i="2"/>
  <c r="AQ761" i="2"/>
  <c r="AQ45" i="2"/>
  <c r="AQ294" i="2"/>
  <c r="AQ882" i="2"/>
  <c r="AQ906" i="2"/>
  <c r="AQ903" i="2"/>
  <c r="AQ854" i="2"/>
  <c r="AQ841" i="2"/>
  <c r="AQ890" i="2"/>
  <c r="AQ889" i="2"/>
  <c r="AQ855" i="2"/>
  <c r="K45" i="42" l="1"/>
  <c r="E16" i="39"/>
  <c r="E21" i="39"/>
  <c r="E29" i="39"/>
  <c r="E34" i="39"/>
  <c r="E35" i="39"/>
  <c r="G22" i="39"/>
  <c r="E22" i="39"/>
  <c r="H22" i="39"/>
  <c r="G33" i="39"/>
  <c r="H20" i="39"/>
  <c r="H24" i="39"/>
  <c r="H16" i="39"/>
  <c r="H26" i="39"/>
  <c r="F34" i="39"/>
  <c r="G25" i="39"/>
  <c r="H31" i="39"/>
  <c r="H18" i="39"/>
  <c r="H35" i="39"/>
  <c r="H21" i="39"/>
  <c r="H23" i="39"/>
  <c r="F29" i="39"/>
  <c r="G16" i="39"/>
  <c r="G31" i="39"/>
  <c r="F27" i="39"/>
  <c r="G18" i="39"/>
  <c r="F32" i="39"/>
  <c r="F21" i="39"/>
  <c r="H27" i="39"/>
  <c r="H28" i="39"/>
  <c r="G28" i="39"/>
  <c r="H30" i="39"/>
  <c r="F16" i="39"/>
  <c r="G27" i="39"/>
  <c r="G29" i="39"/>
  <c r="H36" i="39"/>
  <c r="G36" i="39"/>
  <c r="F18" i="39"/>
  <c r="F30" i="39"/>
  <c r="F36" i="39"/>
  <c r="F19" i="39"/>
  <c r="F20" i="39"/>
  <c r="G20" i="39"/>
  <c r="F31" i="39"/>
  <c r="H32" i="39"/>
  <c r="F23" i="39"/>
  <c r="G17" i="39"/>
  <c r="G30" i="39"/>
  <c r="H19" i="39"/>
  <c r="H33" i="39"/>
  <c r="F35" i="39"/>
  <c r="E20" i="39"/>
  <c r="H17" i="39"/>
  <c r="G23" i="39"/>
  <c r="E33" i="39"/>
  <c r="F33" i="39"/>
  <c r="E19" i="39"/>
  <c r="H25" i="39"/>
  <c r="G19" i="39"/>
  <c r="H34" i="39"/>
  <c r="F25" i="39"/>
  <c r="F26" i="39"/>
  <c r="G34" i="39"/>
  <c r="F22" i="39"/>
  <c r="F24" i="39"/>
  <c r="G24" i="39"/>
  <c r="G26" i="39"/>
  <c r="E18" i="39"/>
  <c r="H29" i="39"/>
  <c r="G21" i="39"/>
  <c r="F28" i="39"/>
  <c r="F17" i="39"/>
  <c r="G32" i="39"/>
  <c r="H65" i="39" l="1"/>
  <c r="F65" i="39"/>
  <c r="E27" i="39"/>
  <c r="E24" i="39"/>
  <c r="E32" i="39"/>
  <c r="E31" i="39"/>
  <c r="E25" i="39"/>
  <c r="E26" i="39"/>
  <c r="E23" i="39"/>
  <c r="E36" i="39"/>
  <c r="E30" i="39"/>
  <c r="G35" i="39"/>
  <c r="G65" i="39" s="1"/>
  <c r="I34" i="39"/>
  <c r="I29" i="39"/>
  <c r="I33" i="39"/>
  <c r="I28" i="39"/>
  <c r="I20" i="39"/>
  <c r="I16" i="39"/>
  <c r="I22" i="39"/>
  <c r="I21" i="39"/>
  <c r="I19" i="39"/>
  <c r="I18" i="39"/>
  <c r="E65" i="39" l="1"/>
  <c r="F16" i="38" s="1"/>
  <c r="I26" i="39"/>
  <c r="I24" i="39"/>
  <c r="I32" i="39"/>
  <c r="I23" i="39"/>
  <c r="I36" i="39"/>
  <c r="I17" i="39"/>
  <c r="I27" i="39"/>
  <c r="I25" i="39"/>
  <c r="I31" i="39"/>
  <c r="I30" i="39"/>
  <c r="I35" i="39"/>
  <c r="F23" i="38" l="1"/>
  <c r="H16" i="38"/>
  <c r="F18" i="38"/>
  <c r="F19" i="38"/>
  <c r="I65" i="39"/>
  <c r="F30" i="38"/>
  <c r="H30" i="38" s="1"/>
  <c r="F29" i="38"/>
  <c r="H29" i="38" s="1"/>
  <c r="F15" i="38"/>
  <c r="F17" i="38"/>
  <c r="H19" i="38" l="1"/>
  <c r="F26" i="38"/>
  <c r="H26" i="38" s="1"/>
  <c r="H18" i="38"/>
  <c r="F25" i="38"/>
  <c r="H25" i="38" s="1"/>
  <c r="H17" i="38"/>
  <c r="F24" i="38"/>
  <c r="H24" i="38" s="1"/>
  <c r="F34" i="38"/>
  <c r="H34" i="38" s="1"/>
  <c r="G31" i="38"/>
  <c r="H15" i="38"/>
  <c r="F33" i="38"/>
  <c r="E31" i="38"/>
  <c r="AR1078" i="2"/>
  <c r="H23" i="38"/>
  <c r="G20" i="38" l="1"/>
  <c r="J51" i="39" s="1"/>
  <c r="K51" i="39"/>
  <c r="K46" i="39"/>
  <c r="K45" i="39"/>
  <c r="K49" i="39"/>
  <c r="K44" i="39"/>
  <c r="K48" i="39"/>
  <c r="K47" i="39"/>
  <c r="K50" i="39"/>
  <c r="K15" i="39"/>
  <c r="K54" i="39"/>
  <c r="K41" i="39"/>
  <c r="K38" i="39"/>
  <c r="K63" i="39"/>
  <c r="K60" i="39"/>
  <c r="K55" i="39"/>
  <c r="K59" i="39"/>
  <c r="K53" i="39"/>
  <c r="K52" i="39"/>
  <c r="K56" i="39"/>
  <c r="K40" i="39"/>
  <c r="K57" i="39"/>
  <c r="K62" i="39"/>
  <c r="K39" i="39"/>
  <c r="K61" i="39"/>
  <c r="K37" i="39"/>
  <c r="K58" i="39"/>
  <c r="K42" i="39"/>
  <c r="K43" i="39"/>
  <c r="K19" i="39"/>
  <c r="K30" i="39"/>
  <c r="K28" i="39"/>
  <c r="K35" i="39"/>
  <c r="K32" i="39"/>
  <c r="K27" i="39"/>
  <c r="K20" i="39"/>
  <c r="K25" i="39"/>
  <c r="K36" i="39"/>
  <c r="K34" i="39"/>
  <c r="K31" i="39"/>
  <c r="K18" i="39"/>
  <c r="K22" i="39"/>
  <c r="K29" i="39"/>
  <c r="K33" i="39"/>
  <c r="K24" i="39"/>
  <c r="K21" i="39"/>
  <c r="K26" i="39"/>
  <c r="K17" i="39"/>
  <c r="K16" i="39"/>
  <c r="K23" i="39"/>
  <c r="H33" i="38"/>
  <c r="G35" i="38" s="1"/>
  <c r="E35" i="38"/>
  <c r="F22" i="38"/>
  <c r="E27" i="38" s="1"/>
  <c r="J24" i="39" l="1"/>
  <c r="J37" i="39"/>
  <c r="J20" i="39"/>
  <c r="J35" i="39"/>
  <c r="J39" i="39"/>
  <c r="J17" i="39"/>
  <c r="J19" i="39"/>
  <c r="J57" i="39"/>
  <c r="J22" i="39"/>
  <c r="J58" i="39"/>
  <c r="J63" i="39"/>
  <c r="J44" i="39"/>
  <c r="J16" i="39"/>
  <c r="J38" i="39"/>
  <c r="J52" i="39"/>
  <c r="J46" i="39"/>
  <c r="J45" i="39"/>
  <c r="J33" i="39"/>
  <c r="J18" i="39"/>
  <c r="J60" i="39"/>
  <c r="J25" i="39"/>
  <c r="J30" i="39"/>
  <c r="J36" i="39"/>
  <c r="J15" i="39"/>
  <c r="J27" i="39"/>
  <c r="J41" i="39"/>
  <c r="J40" i="39"/>
  <c r="J55" i="39"/>
  <c r="J43" i="39"/>
  <c r="J62" i="39"/>
  <c r="J50" i="39"/>
  <c r="J47" i="39"/>
  <c r="J34" i="39"/>
  <c r="J31" i="39"/>
  <c r="J53" i="39"/>
  <c r="J32" i="39"/>
  <c r="J21" i="39"/>
  <c r="J26" i="39"/>
  <c r="J28" i="39"/>
  <c r="J29" i="39"/>
  <c r="J23" i="39"/>
  <c r="J59" i="39"/>
  <c r="J61" i="39"/>
  <c r="J42" i="39"/>
  <c r="J56" i="39"/>
  <c r="J54" i="39"/>
  <c r="J48" i="39"/>
  <c r="J49" i="39"/>
  <c r="M44" i="39"/>
  <c r="O44" i="39" s="1"/>
  <c r="M47" i="39"/>
  <c r="O47" i="39" s="1"/>
  <c r="M51" i="39"/>
  <c r="O51" i="39" s="1"/>
  <c r="M46" i="39"/>
  <c r="O46" i="39" s="1"/>
  <c r="M50" i="39"/>
  <c r="O50" i="39" s="1"/>
  <c r="M48" i="39"/>
  <c r="O48" i="39" s="1"/>
  <c r="M45" i="39"/>
  <c r="O45" i="39" s="1"/>
  <c r="M49" i="39"/>
  <c r="O49" i="39" s="1"/>
  <c r="M63" i="39"/>
  <c r="O63" i="39" s="1"/>
  <c r="M38" i="39"/>
  <c r="O38" i="39" s="1"/>
  <c r="M37" i="39"/>
  <c r="O37" i="39" s="1"/>
  <c r="M56" i="39"/>
  <c r="O56" i="39" s="1"/>
  <c r="M42" i="39"/>
  <c r="O42" i="39" s="1"/>
  <c r="M54" i="39"/>
  <c r="O54" i="39" s="1"/>
  <c r="M57" i="39"/>
  <c r="O57" i="39" s="1"/>
  <c r="M61" i="39"/>
  <c r="O61" i="39" s="1"/>
  <c r="M52" i="39"/>
  <c r="O52" i="39" s="1"/>
  <c r="M39" i="39"/>
  <c r="O39" i="39" s="1"/>
  <c r="M62" i="39"/>
  <c r="O62" i="39" s="1"/>
  <c r="M43" i="39"/>
  <c r="O43" i="39" s="1"/>
  <c r="M53" i="39"/>
  <c r="O53" i="39" s="1"/>
  <c r="M58" i="39"/>
  <c r="O58" i="39" s="1"/>
  <c r="M41" i="39"/>
  <c r="O41" i="39" s="1"/>
  <c r="M55" i="39"/>
  <c r="O55" i="39" s="1"/>
  <c r="M59" i="39"/>
  <c r="O59" i="39" s="1"/>
  <c r="M60" i="39"/>
  <c r="O60" i="39" s="1"/>
  <c r="M40" i="39"/>
  <c r="O40" i="39" s="1"/>
  <c r="M17" i="39"/>
  <c r="O17" i="39" s="1"/>
  <c r="M21" i="39"/>
  <c r="O21" i="39" s="1"/>
  <c r="M25" i="39"/>
  <c r="O25" i="39" s="1"/>
  <c r="M29" i="39"/>
  <c r="O29" i="39" s="1"/>
  <c r="M33" i="39"/>
  <c r="O33" i="39" s="1"/>
  <c r="M31" i="39"/>
  <c r="O31" i="39" s="1"/>
  <c r="M15" i="39"/>
  <c r="O15" i="39" s="1"/>
  <c r="M18" i="39"/>
  <c r="O18" i="39" s="1"/>
  <c r="M26" i="39"/>
  <c r="O26" i="39" s="1"/>
  <c r="M30" i="39"/>
  <c r="O30" i="39" s="1"/>
  <c r="M16" i="39"/>
  <c r="O16" i="39" s="1"/>
  <c r="M20" i="39"/>
  <c r="O20" i="39" s="1"/>
  <c r="M24" i="39"/>
  <c r="O24" i="39" s="1"/>
  <c r="M28" i="39"/>
  <c r="O28" i="39" s="1"/>
  <c r="M32" i="39"/>
  <c r="O32" i="39" s="1"/>
  <c r="M36" i="39"/>
  <c r="O36" i="39" s="1"/>
  <c r="M19" i="39"/>
  <c r="O19" i="39" s="1"/>
  <c r="M23" i="39"/>
  <c r="O23" i="39" s="1"/>
  <c r="M27" i="39"/>
  <c r="O27" i="39" s="1"/>
  <c r="M35" i="39"/>
  <c r="O35" i="39" s="1"/>
  <c r="M22" i="39"/>
  <c r="O22" i="39" s="1"/>
  <c r="M34" i="39"/>
  <c r="O34" i="39" s="1"/>
  <c r="H22" i="38"/>
  <c r="G27" i="38" s="1"/>
  <c r="L47" i="39" l="1"/>
  <c r="N47" i="39" s="1"/>
  <c r="P47" i="39" s="1"/>
  <c r="L49" i="39"/>
  <c r="N49" i="39" s="1"/>
  <c r="P49" i="39" s="1"/>
  <c r="L45" i="39"/>
  <c r="N45" i="39" s="1"/>
  <c r="P45" i="39" s="1"/>
  <c r="L51" i="39"/>
  <c r="N51" i="39" s="1"/>
  <c r="P51" i="39" s="1"/>
  <c r="L44" i="39"/>
  <c r="N44" i="39" s="1"/>
  <c r="P44" i="39" s="1"/>
  <c r="L48" i="39"/>
  <c r="N48" i="39" s="1"/>
  <c r="P48" i="39" s="1"/>
  <c r="L46" i="39"/>
  <c r="N46" i="39" s="1"/>
  <c r="P46" i="39" s="1"/>
  <c r="L50" i="39"/>
  <c r="N50" i="39" s="1"/>
  <c r="P50" i="39" s="1"/>
  <c r="O65" i="39"/>
  <c r="M65" i="39"/>
  <c r="L53" i="39"/>
  <c r="N53" i="39" s="1"/>
  <c r="P53" i="39" s="1"/>
  <c r="L40" i="39"/>
  <c r="N40" i="39" s="1"/>
  <c r="P40" i="39" s="1"/>
  <c r="L43" i="39"/>
  <c r="N43" i="39" s="1"/>
  <c r="P43" i="39" s="1"/>
  <c r="L39" i="39"/>
  <c r="N39" i="39" s="1"/>
  <c r="P39" i="39" s="1"/>
  <c r="L42" i="39"/>
  <c r="N42" i="39" s="1"/>
  <c r="P42" i="39" s="1"/>
  <c r="L60" i="39"/>
  <c r="N60" i="39" s="1"/>
  <c r="P60" i="39" s="1"/>
  <c r="L55" i="39"/>
  <c r="N55" i="39" s="1"/>
  <c r="P55" i="39" s="1"/>
  <c r="L61" i="39"/>
  <c r="N61" i="39" s="1"/>
  <c r="P61" i="39" s="1"/>
  <c r="L37" i="39"/>
  <c r="N37" i="39" s="1"/>
  <c r="P37" i="39" s="1"/>
  <c r="L54" i="39"/>
  <c r="N54" i="39" s="1"/>
  <c r="P54" i="39" s="1"/>
  <c r="L52" i="39"/>
  <c r="N52" i="39" s="1"/>
  <c r="P52" i="39" s="1"/>
  <c r="L63" i="39"/>
  <c r="N63" i="39" s="1"/>
  <c r="P63" i="39" s="1"/>
  <c r="L58" i="39"/>
  <c r="N58" i="39" s="1"/>
  <c r="P58" i="39" s="1"/>
  <c r="L62" i="39"/>
  <c r="N62" i="39" s="1"/>
  <c r="P62" i="39" s="1"/>
  <c r="L38" i="39"/>
  <c r="N38" i="39" s="1"/>
  <c r="P38" i="39" s="1"/>
  <c r="L41" i="39"/>
  <c r="N41" i="39" s="1"/>
  <c r="P41" i="39" s="1"/>
  <c r="L57" i="39"/>
  <c r="N57" i="39" s="1"/>
  <c r="P57" i="39" s="1"/>
  <c r="L56" i="39"/>
  <c r="N56" i="39" s="1"/>
  <c r="P56" i="39" s="1"/>
  <c r="L59" i="39"/>
  <c r="N59" i="39" s="1"/>
  <c r="P59" i="39" s="1"/>
  <c r="L16" i="39"/>
  <c r="N16" i="39" s="1"/>
  <c r="L20" i="39"/>
  <c r="N20" i="39" s="1"/>
  <c r="L24" i="39"/>
  <c r="N24" i="39" s="1"/>
  <c r="L28" i="39"/>
  <c r="N28" i="39" s="1"/>
  <c r="L32" i="39"/>
  <c r="N32" i="39" s="1"/>
  <c r="L36" i="39"/>
  <c r="N36" i="39" s="1"/>
  <c r="L15" i="39"/>
  <c r="N15" i="39" s="1"/>
  <c r="L18" i="39"/>
  <c r="N18" i="39" s="1"/>
  <c r="L22" i="39"/>
  <c r="N22" i="39" s="1"/>
  <c r="L26" i="39"/>
  <c r="N26" i="39" s="1"/>
  <c r="L34" i="39"/>
  <c r="N34" i="39" s="1"/>
  <c r="L21" i="39"/>
  <c r="N21" i="39" s="1"/>
  <c r="L33" i="39"/>
  <c r="N33" i="39" s="1"/>
  <c r="L19" i="39"/>
  <c r="N19" i="39" s="1"/>
  <c r="L23" i="39"/>
  <c r="N23" i="39" s="1"/>
  <c r="L27" i="39"/>
  <c r="N27" i="39" s="1"/>
  <c r="L31" i="39"/>
  <c r="N31" i="39" s="1"/>
  <c r="L35" i="39"/>
  <c r="N35" i="39" s="1"/>
  <c r="L30" i="39"/>
  <c r="N30" i="39" s="1"/>
  <c r="L17" i="39"/>
  <c r="N17" i="39" s="1"/>
  <c r="L25" i="39"/>
  <c r="N25" i="39" s="1"/>
  <c r="L29" i="39"/>
  <c r="N29" i="39" s="1"/>
  <c r="R46" i="39" l="1"/>
  <c r="R48" i="39"/>
  <c r="R44" i="39"/>
  <c r="R49" i="39"/>
  <c r="R51" i="39"/>
  <c r="R45" i="39"/>
  <c r="R50" i="39"/>
  <c r="R47" i="39"/>
  <c r="N65" i="39"/>
  <c r="L65" i="39"/>
  <c r="R63" i="39"/>
  <c r="R59" i="39"/>
  <c r="R38" i="39"/>
  <c r="R61" i="39"/>
  <c r="R60" i="39"/>
  <c r="R39" i="39"/>
  <c r="R53" i="39"/>
  <c r="R40" i="39"/>
  <c r="R56" i="39"/>
  <c r="R62" i="39"/>
  <c r="R52" i="39"/>
  <c r="R42" i="39"/>
  <c r="R43" i="39"/>
  <c r="R41" i="39"/>
  <c r="R37" i="39"/>
  <c r="R57" i="39"/>
  <c r="R58" i="39"/>
  <c r="R54" i="39"/>
  <c r="R55" i="39"/>
  <c r="K22" i="44" l="1"/>
  <c r="K19" i="44"/>
  <c r="K21" i="44"/>
  <c r="K23" i="44"/>
  <c r="K16" i="44"/>
  <c r="K18" i="44"/>
  <c r="K20" i="44"/>
  <c r="K17" i="44"/>
  <c r="P15" i="39" l="1"/>
  <c r="K65" i="39"/>
  <c r="P17" i="39"/>
  <c r="P34" i="39"/>
  <c r="P18" i="39"/>
  <c r="P19" i="39"/>
  <c r="P31" i="39"/>
  <c r="J65" i="39"/>
  <c r="P30" i="39"/>
  <c r="L22" i="44"/>
  <c r="M22" i="44" s="1"/>
  <c r="L23" i="44"/>
  <c r="M23" i="44" s="1"/>
  <c r="L21" i="44"/>
  <c r="M21" i="44" s="1"/>
  <c r="L17" i="44"/>
  <c r="M17" i="44" s="1"/>
  <c r="Q22" i="39" s="1"/>
  <c r="L16" i="44"/>
  <c r="M16" i="44" s="1"/>
  <c r="L20" i="44"/>
  <c r="M20" i="44" s="1"/>
  <c r="L18" i="44"/>
  <c r="M18" i="44" s="1"/>
  <c r="L19" i="44"/>
  <c r="M19" i="44" s="1"/>
  <c r="H37" i="38"/>
  <c r="Q19" i="39" l="1"/>
  <c r="M42" i="44"/>
  <c r="H43" i="38" s="1"/>
  <c r="P32" i="39"/>
  <c r="P29" i="39"/>
  <c r="P36" i="39"/>
  <c r="P20" i="39"/>
  <c r="P28" i="39"/>
  <c r="P33" i="39"/>
  <c r="P21" i="39"/>
  <c r="P23" i="39"/>
  <c r="P24" i="39"/>
  <c r="P26" i="39"/>
  <c r="P22" i="39"/>
  <c r="P25" i="39"/>
  <c r="P27" i="39"/>
  <c r="P16" i="39"/>
  <c r="P35" i="39"/>
  <c r="H38" i="38"/>
  <c r="H51" i="38" l="1"/>
  <c r="R36" i="39"/>
  <c r="Q65" i="39"/>
  <c r="P65" i="39"/>
  <c r="R35" i="39"/>
  <c r="H39" i="38"/>
  <c r="R30" i="39" l="1"/>
  <c r="R20" i="39"/>
  <c r="R16" i="39"/>
  <c r="R15" i="39" l="1"/>
  <c r="R33" i="39"/>
  <c r="R24" i="39"/>
  <c r="R21" i="39"/>
  <c r="R32" i="39"/>
  <c r="R17" i="39"/>
  <c r="R18" i="39"/>
  <c r="R31" i="39"/>
  <c r="R29" i="39"/>
  <c r="R34" i="39"/>
  <c r="R19" i="39"/>
  <c r="R25" i="39" l="1"/>
  <c r="R22" i="39"/>
  <c r="R27" i="39"/>
  <c r="R28" i="39"/>
  <c r="R23" i="39"/>
  <c r="R26" i="39"/>
  <c r="R65" i="39" l="1"/>
  <c r="H55" i="38" l="1"/>
  <c r="H52" i="38"/>
  <c r="H56" i="38" l="1"/>
  <c r="H53" i="38"/>
  <c r="H57" i="38" l="1"/>
</calcChain>
</file>

<file path=xl/sharedStrings.xml><?xml version="1.0" encoding="utf-8"?>
<sst xmlns="http://schemas.openxmlformats.org/spreadsheetml/2006/main" count="11232" uniqueCount="1592">
  <si>
    <t>Perceel</t>
  </si>
  <si>
    <t>UREN P/JR MA-VR REGULIERE BEURT</t>
  </si>
  <si>
    <t>UREN P/JR MA-VR NALOOP BEURT</t>
  </si>
  <si>
    <t>UREN P/JR ZA ZO FSTDG REGULIERE BEURT</t>
  </si>
  <si>
    <t>UREN P/JR ZA ZO FSTDG NALOOP BEURT</t>
  </si>
  <si>
    <t>LIJN</t>
  </si>
  <si>
    <t>lift</t>
  </si>
  <si>
    <t>VSR CODE</t>
  </si>
  <si>
    <t>M2 VLOER</t>
  </si>
  <si>
    <t>Invoervelden</t>
  </si>
  <si>
    <t>Naam opdrachtgever</t>
  </si>
  <si>
    <t>Gebouw/plaats</t>
  </si>
  <si>
    <t>Totaal</t>
  </si>
  <si>
    <t>Naam leverancier</t>
  </si>
  <si>
    <t>Prijspeil</t>
  </si>
  <si>
    <t>Calculatie onderdeel</t>
  </si>
  <si>
    <t>Besteknummer</t>
  </si>
  <si>
    <t>OPMERKING/ AANDACHTSPUNT</t>
  </si>
  <si>
    <t>beton</t>
  </si>
  <si>
    <t>Lijn</t>
  </si>
  <si>
    <t>M2 wand betegeld</t>
  </si>
  <si>
    <t>M2 wand gecoat</t>
  </si>
  <si>
    <t>M2 wand RVS</t>
  </si>
  <si>
    <t>M2 wand onbehandeld</t>
  </si>
  <si>
    <t>0 1001</t>
  </si>
  <si>
    <t>1 0102</t>
  </si>
  <si>
    <t>0 0201</t>
  </si>
  <si>
    <t>0 0301</t>
  </si>
  <si>
    <t>0 0401</t>
  </si>
  <si>
    <t>0 0501</t>
  </si>
  <si>
    <t>0 0601</t>
  </si>
  <si>
    <t>0 0602</t>
  </si>
  <si>
    <t>0 0801</t>
  </si>
  <si>
    <t>berging</t>
  </si>
  <si>
    <t>roltrap</t>
  </si>
  <si>
    <t>Beton</t>
  </si>
  <si>
    <t>0 1003</t>
  </si>
  <si>
    <t>gang</t>
  </si>
  <si>
    <t>Reigersbos</t>
  </si>
  <si>
    <t>Oostlijn bovengronds</t>
  </si>
  <si>
    <t>hal oost</t>
  </si>
  <si>
    <t>0.0101</t>
  </si>
  <si>
    <t>oost</t>
  </si>
  <si>
    <t>hal west</t>
  </si>
  <si>
    <t>0.0102</t>
  </si>
  <si>
    <t>west</t>
  </si>
  <si>
    <t>voorruimte toilet</t>
  </si>
  <si>
    <t>0.0201</t>
  </si>
  <si>
    <t>0.0202</t>
  </si>
  <si>
    <t>0.0203</t>
  </si>
  <si>
    <t>0.0204</t>
  </si>
  <si>
    <t>toegang kelder</t>
  </si>
  <si>
    <t>0.0205</t>
  </si>
  <si>
    <t>Steeg No</t>
  </si>
  <si>
    <t>0.0206</t>
  </si>
  <si>
    <t>Steeg Zo</t>
  </si>
  <si>
    <t>0.0207</t>
  </si>
  <si>
    <t>Telecomruimte</t>
  </si>
  <si>
    <t>0.0401</t>
  </si>
  <si>
    <t>UPS Ruimte</t>
  </si>
  <si>
    <t>0.0402</t>
  </si>
  <si>
    <t>Ook met nr: 0.05.201</t>
  </si>
  <si>
    <t>Telecomruimte/ BMK</t>
  </si>
  <si>
    <t>0.0403</t>
  </si>
  <si>
    <t>Laagspannings/ hoofdverdeelruimte</t>
  </si>
  <si>
    <t>0.0501</t>
  </si>
  <si>
    <t>Laagspanningsverdeelruimte</t>
  </si>
  <si>
    <t>0.0502</t>
  </si>
  <si>
    <t>Traforuimte</t>
  </si>
  <si>
    <t>0.0601</t>
  </si>
  <si>
    <t>Kantoor Schoonmaak (Pantry)</t>
  </si>
  <si>
    <t>0.0801</t>
  </si>
  <si>
    <t>Kantoor Schoonmaak</t>
  </si>
  <si>
    <t>0.0802</t>
  </si>
  <si>
    <t>Containerruimte</t>
  </si>
  <si>
    <t>0.0803</t>
  </si>
  <si>
    <t>Schoonmaakruimte</t>
  </si>
  <si>
    <t>0.0804</t>
  </si>
  <si>
    <t>Toilet (MIVA)</t>
  </si>
  <si>
    <t>0.0901</t>
  </si>
  <si>
    <t>Installatieruimte luchtbehandeling</t>
  </si>
  <si>
    <t>0.1001</t>
  </si>
  <si>
    <t>Coating</t>
  </si>
  <si>
    <t>Liftmachinekamer 34</t>
  </si>
  <si>
    <t>0.1002</t>
  </si>
  <si>
    <t>Lift 34</t>
  </si>
  <si>
    <t>34 (0.1003)</t>
  </si>
  <si>
    <t>Roltrapserviceruimte entree 34</t>
  </si>
  <si>
    <t>0.1004</t>
  </si>
  <si>
    <t>Ventilatieruimte</t>
  </si>
  <si>
    <t>0.1005</t>
  </si>
  <si>
    <t>Roltrapserviceruimte entree 31</t>
  </si>
  <si>
    <t>0.1006</t>
  </si>
  <si>
    <t>Liftmachinekamer 31</t>
  </si>
  <si>
    <t>0.1007</t>
  </si>
  <si>
    <t>Lift 31</t>
  </si>
  <si>
    <t>31 (0.1008)</t>
  </si>
  <si>
    <t>Roltrapserviceruimte boven 34</t>
  </si>
  <si>
    <t>0.1009</t>
  </si>
  <si>
    <t>Opslag (SB)</t>
  </si>
  <si>
    <t>0.1301</t>
  </si>
  <si>
    <t>Perron</t>
  </si>
  <si>
    <t>1.0103</t>
  </si>
  <si>
    <t>Roltrapserviceruimte 31</t>
  </si>
  <si>
    <t>1006</t>
  </si>
  <si>
    <t>Roltrapserviceruimte onder 34</t>
  </si>
  <si>
    <t>1009</t>
  </si>
  <si>
    <t>Trap oost</t>
  </si>
  <si>
    <t>?</t>
  </si>
  <si>
    <t>niet op plattegrond, m2 uit oud calculatiebestand</t>
  </si>
  <si>
    <t>Trap west</t>
  </si>
  <si>
    <t>Roltrap oost</t>
  </si>
  <si>
    <t>Roltrap west</t>
  </si>
  <si>
    <t>0 0101</t>
  </si>
  <si>
    <t>Trap</t>
  </si>
  <si>
    <t>liftmachinekamer</t>
  </si>
  <si>
    <t>0 1002</t>
  </si>
  <si>
    <t>perron</t>
  </si>
  <si>
    <t>steen</t>
  </si>
  <si>
    <t>0.0301</t>
  </si>
  <si>
    <t>telecomruimte</t>
  </si>
  <si>
    <t>0.0602</t>
  </si>
  <si>
    <t>schoonmaakruimte</t>
  </si>
  <si>
    <t>hal</t>
  </si>
  <si>
    <t>linoleum</t>
  </si>
  <si>
    <t>M2 wand
schilder werk</t>
  </si>
  <si>
    <t>Gein</t>
  </si>
  <si>
    <t>Oostlijn Bovengronds</t>
  </si>
  <si>
    <t>Hallen</t>
  </si>
  <si>
    <t>0.0103</t>
  </si>
  <si>
    <t>Perrons</t>
  </si>
  <si>
    <t>nvt</t>
  </si>
  <si>
    <t>garderobe</t>
  </si>
  <si>
    <t>Gangen</t>
  </si>
  <si>
    <t>hoofd</t>
  </si>
  <si>
    <t>accuruimte S en T</t>
  </si>
  <si>
    <t>0.03.704</t>
  </si>
  <si>
    <t>relaisruimte</t>
  </si>
  <si>
    <t>rekenmachinekamer</t>
  </si>
  <si>
    <t>0.0302</t>
  </si>
  <si>
    <t>gelijkrichtersruimte</t>
  </si>
  <si>
    <t>0.0303</t>
  </si>
  <si>
    <t>0.05.201</t>
  </si>
  <si>
    <t>laagspanningsverdeelruimte</t>
  </si>
  <si>
    <t>traforuimte</t>
  </si>
  <si>
    <t>vuilopslag</t>
  </si>
  <si>
    <t>Berging/opslag/magazijn</t>
  </si>
  <si>
    <t>berging exploitatie</t>
  </si>
  <si>
    <t>toilet heren</t>
  </si>
  <si>
    <t>Sanitair</t>
  </si>
  <si>
    <t>toilet dames</t>
  </si>
  <si>
    <t>0.0902</t>
  </si>
  <si>
    <t>roltrap serviceruimte</t>
  </si>
  <si>
    <t>0.1003</t>
  </si>
  <si>
    <t>ruimte werktuigen</t>
  </si>
  <si>
    <t>luchtbehandelingsruimte</t>
  </si>
  <si>
    <t>Berging werktuigen</t>
  </si>
  <si>
    <t>0.1302</t>
  </si>
  <si>
    <t>Berging exploitatie 2</t>
  </si>
  <si>
    <t>0.1303</t>
  </si>
  <si>
    <t>Sektie Schakelruimte E.I.</t>
  </si>
  <si>
    <t>0.15.201</t>
  </si>
  <si>
    <t>werkplaats S en T</t>
  </si>
  <si>
    <t>0.18.302</t>
  </si>
  <si>
    <t>pvr</t>
  </si>
  <si>
    <t>0.1911</t>
  </si>
  <si>
    <t>Kantoren/spreekkamers</t>
  </si>
  <si>
    <t>trap naar perron</t>
  </si>
  <si>
    <t>1.0104</t>
  </si>
  <si>
    <t>Trappen</t>
  </si>
  <si>
    <t>1.0105</t>
  </si>
  <si>
    <t>1.1001</t>
  </si>
  <si>
    <t>1.1002</t>
  </si>
  <si>
    <t>1.1003</t>
  </si>
  <si>
    <t>roltrap naar perron</t>
  </si>
  <si>
    <t>1.1008</t>
  </si>
  <si>
    <t>Roltrappen(inclusief aangrenzende bouwdelen)</t>
  </si>
  <si>
    <t>1.1301</t>
  </si>
  <si>
    <t>lift 31</t>
  </si>
  <si>
    <t>31 (0.1005)</t>
  </si>
  <si>
    <t>Liften</t>
  </si>
  <si>
    <t>lift 34</t>
  </si>
  <si>
    <t>34</t>
  </si>
  <si>
    <t>niet op plattegrond, m2 uit MJOB</t>
  </si>
  <si>
    <t>Strandvliet</t>
  </si>
  <si>
    <t>2.0103</t>
  </si>
  <si>
    <t>Trap noordzijde</t>
  </si>
  <si>
    <t>2.0104</t>
  </si>
  <si>
    <t>Trap zuidzijde</t>
  </si>
  <si>
    <t>2.0105</t>
  </si>
  <si>
    <t>Roltrap noordzijde</t>
  </si>
  <si>
    <t>2.1009</t>
  </si>
  <si>
    <t>Roltrap zuidzijde</t>
  </si>
  <si>
    <t>2.1010</t>
  </si>
  <si>
    <t>Hal zuid</t>
  </si>
  <si>
    <t>Tegels</t>
  </si>
  <si>
    <t>Hal noord</t>
  </si>
  <si>
    <t>Gang</t>
  </si>
  <si>
    <t>Voorportaal E.I.</t>
  </si>
  <si>
    <t>Beton (coating)</t>
  </si>
  <si>
    <t>Signaleringsruimte + UPS</t>
  </si>
  <si>
    <t>Telecommunicatieruimte</t>
  </si>
  <si>
    <t>Accuruimte E.I.</t>
  </si>
  <si>
    <t>Laagspanningsverdeeltuimte 1</t>
  </si>
  <si>
    <t>Laagspanningsverdeeltuimte 2</t>
  </si>
  <si>
    <t>0.0503</t>
  </si>
  <si>
    <t>Vuilopslag</t>
  </si>
  <si>
    <t>Toilet dames</t>
  </si>
  <si>
    <t>Toilet heren</t>
  </si>
  <si>
    <t>Toegang roltrapserviceruimte</t>
  </si>
  <si>
    <t>Liftmachinekamer</t>
  </si>
  <si>
    <t xml:space="preserve">Lift </t>
  </si>
  <si>
    <t>Lift</t>
  </si>
  <si>
    <t>Magazijn E.I.</t>
  </si>
  <si>
    <t>Berging SB</t>
  </si>
  <si>
    <t>Berging</t>
  </si>
  <si>
    <t>Personeelsverblijfruimte</t>
  </si>
  <si>
    <t>0.1902</t>
  </si>
  <si>
    <t>Bovenste roltrapserviceruimte</t>
  </si>
  <si>
    <t>1.1007</t>
  </si>
  <si>
    <t>Onderste roltrapserviceruimte</t>
  </si>
  <si>
    <t>Noord</t>
  </si>
  <si>
    <t>Zuid</t>
  </si>
  <si>
    <t xml:space="preserve">Zuid Er staat ook nog 48m2 metselwerk in de MJOB, al het metselwerk is geschilderd. </t>
  </si>
  <si>
    <t>Zuid, staat vol lichtbakken? Staan geen accu's</t>
  </si>
  <si>
    <t>Zuid. Er staat een afwijkend nummer op de deur 348?</t>
  </si>
  <si>
    <t xml:space="preserve">LMK is er wel, maar er is geen lift aan deze zijde. Geen apparatuur of afwerking in deze ruimte.  </t>
  </si>
  <si>
    <t xml:space="preserve">Noord, geen lift aanwezig. </t>
  </si>
  <si>
    <t xml:space="preserve">Zuid. Er staat 0.1301 op de plattegrond. Betreft een accuruimte. </t>
  </si>
  <si>
    <t>Bullewijk</t>
  </si>
  <si>
    <t xml:space="preserve">Onderste roltrapservice ruimte </t>
  </si>
  <si>
    <t>beton (coating)</t>
  </si>
  <si>
    <t>Hal</t>
  </si>
  <si>
    <t>Garderobe</t>
  </si>
  <si>
    <t>Voorportaal</t>
  </si>
  <si>
    <t>Telecommunicatie ruimte</t>
  </si>
  <si>
    <t>Gelijkrichter ruimte</t>
  </si>
  <si>
    <t>epoxy</t>
  </si>
  <si>
    <t>Roltrapserviceruimte (voorportaal)</t>
  </si>
  <si>
    <t>Liftmachinekamer (leeg, geen lift)</t>
  </si>
  <si>
    <t>Lift (geen lift aanwezig)</t>
  </si>
  <si>
    <t>Personeelsverblijf</t>
  </si>
  <si>
    <t>leeg (ruimte bij entree)</t>
  </si>
  <si>
    <t>0.1903</t>
  </si>
  <si>
    <t>Voorportaal S en T 3</t>
  </si>
  <si>
    <t>1.0204</t>
  </si>
  <si>
    <t>Accuruimte S en T</t>
  </si>
  <si>
    <t>1.0301</t>
  </si>
  <si>
    <t>Relaisruimte</t>
  </si>
  <si>
    <t>1.0302</t>
  </si>
  <si>
    <t>Bovenste roltrapserviceruimte 1</t>
  </si>
  <si>
    <t>Bovenste roltrapserviceruimte 2</t>
  </si>
  <si>
    <t>Luchtbehandelingsruimte</t>
  </si>
  <si>
    <t>1.1009</t>
  </si>
  <si>
    <t>coating</t>
  </si>
  <si>
    <t>Trap noord</t>
  </si>
  <si>
    <t>Trap zuid</t>
  </si>
  <si>
    <t xml:space="preserve">Roltrap </t>
  </si>
  <si>
    <t>Roltrap</t>
  </si>
  <si>
    <t>2.1011</t>
  </si>
  <si>
    <t>Weesperplein</t>
  </si>
  <si>
    <t>Staal (rooster)</t>
  </si>
  <si>
    <t>Vluchtweg</t>
  </si>
  <si>
    <t>Roltrapserviceruimte</t>
  </si>
  <si>
    <t>geen</t>
  </si>
  <si>
    <t>1-1901</t>
  </si>
  <si>
    <t>1-1902</t>
  </si>
  <si>
    <t>1-1903</t>
  </si>
  <si>
    <t>1-1904</t>
  </si>
  <si>
    <t>Geen</t>
  </si>
  <si>
    <t>Marmoleum</t>
  </si>
  <si>
    <t>Laagspanningsruimte</t>
  </si>
  <si>
    <t>Gelijkrichtersruimte</t>
  </si>
  <si>
    <t>Stations deel</t>
  </si>
  <si>
    <t>Oostlijn ondergronds</t>
  </si>
  <si>
    <t>Gaasperplas</t>
  </si>
  <si>
    <t>0 0202</t>
  </si>
  <si>
    <t>0 0302</t>
  </si>
  <si>
    <t>0 0303</t>
  </si>
  <si>
    <t>Accuruimte</t>
  </si>
  <si>
    <t>0 0304</t>
  </si>
  <si>
    <t>Laagspanning onderverdeelruimte</t>
  </si>
  <si>
    <t>0 0502</t>
  </si>
  <si>
    <t>Sektie schakelruimte</t>
  </si>
  <si>
    <t>Berging schoonmaak</t>
  </si>
  <si>
    <t>0 0802</t>
  </si>
  <si>
    <t>0 0803</t>
  </si>
  <si>
    <t>0 0901</t>
  </si>
  <si>
    <t>0 0902</t>
  </si>
  <si>
    <t>Roltrap ruimte</t>
  </si>
  <si>
    <t>Liftmachine ruimte</t>
  </si>
  <si>
    <t>0 1004</t>
  </si>
  <si>
    <t>Werkplaats E.I.</t>
  </si>
  <si>
    <t>0 1801</t>
  </si>
  <si>
    <t>Personeelsverblijf ruimte</t>
  </si>
  <si>
    <t>0 1901</t>
  </si>
  <si>
    <t>Opslag S&amp;C</t>
  </si>
  <si>
    <t>0 1905</t>
  </si>
  <si>
    <t>1 0103</t>
  </si>
  <si>
    <t>Verrijn Stuartweg</t>
  </si>
  <si>
    <t>Liftmachineruimte</t>
  </si>
  <si>
    <t>1-1001</t>
  </si>
  <si>
    <t>Onderste Roltrapserviceruimte</t>
  </si>
  <si>
    <t>1-1002</t>
  </si>
  <si>
    <t xml:space="preserve">0 0501 </t>
  </si>
  <si>
    <t>Accu- en opslagruimte</t>
  </si>
  <si>
    <t>Damestoilet</t>
  </si>
  <si>
    <t>Herentoilet</t>
  </si>
  <si>
    <t>Toegang Roltrapserviceruimten</t>
  </si>
  <si>
    <t>0 1907</t>
  </si>
  <si>
    <t>Werkkast</t>
  </si>
  <si>
    <t>0 1908</t>
  </si>
  <si>
    <t>Trap hal/perron</t>
  </si>
  <si>
    <t>onbekend</t>
  </si>
  <si>
    <t>Bovenste Roltrapserviceruimte</t>
  </si>
  <si>
    <t>1 1005</t>
  </si>
  <si>
    <t>1-0202</t>
  </si>
  <si>
    <t>Signaleringsruimte</t>
  </si>
  <si>
    <t>1-0301</t>
  </si>
  <si>
    <t>Telecom ruimte</t>
  </si>
  <si>
    <t>1-0401</t>
  </si>
  <si>
    <t>1-0501</t>
  </si>
  <si>
    <t>1-0502</t>
  </si>
  <si>
    <t>1-0601</t>
  </si>
  <si>
    <t>1-1003</t>
  </si>
  <si>
    <t>Container opslag</t>
  </si>
  <si>
    <t>1-1301</t>
  </si>
  <si>
    <t>Watermeterput</t>
  </si>
  <si>
    <t>1-1401</t>
  </si>
  <si>
    <t>Kruipruimte hal</t>
  </si>
  <si>
    <t>Kelder traforuimte</t>
  </si>
  <si>
    <t>Kelder laagspanningsruimte</t>
  </si>
  <si>
    <t>Fietsenstalling</t>
  </si>
  <si>
    <t>0 0102</t>
  </si>
  <si>
    <t>Rekenmachineruimte</t>
  </si>
  <si>
    <t xml:space="preserve">Liftmachineruimte </t>
  </si>
  <si>
    <t>0 1006</t>
  </si>
  <si>
    <t>ventilatieruimte</t>
  </si>
  <si>
    <t>0 1007</t>
  </si>
  <si>
    <t xml:space="preserve">Roltrapserviceruimte midden </t>
  </si>
  <si>
    <t>0 1008</t>
  </si>
  <si>
    <t>Personeelsruimte</t>
  </si>
  <si>
    <t>Bordes</t>
  </si>
  <si>
    <t>0 1906</t>
  </si>
  <si>
    <t>Leeg</t>
  </si>
  <si>
    <t>Opslag S&amp;B</t>
  </si>
  <si>
    <t>1 0202</t>
  </si>
  <si>
    <t>1 0302</t>
  </si>
  <si>
    <t>1 0303</t>
  </si>
  <si>
    <t>Bovenste roltrapmachineruimte</t>
  </si>
  <si>
    <t>1 1009</t>
  </si>
  <si>
    <t>1 1011</t>
  </si>
  <si>
    <t>Kruipruimte perron</t>
  </si>
  <si>
    <t>1 1909</t>
  </si>
  <si>
    <t>Kruipruimte Trap</t>
  </si>
  <si>
    <t>1 1910</t>
  </si>
  <si>
    <t>1 1911</t>
  </si>
  <si>
    <t>2 0103</t>
  </si>
  <si>
    <t>Venserpolder</t>
  </si>
  <si>
    <t>Kelder 3</t>
  </si>
  <si>
    <t>Kelder 1</t>
  </si>
  <si>
    <t>Kabelschacht 1</t>
  </si>
  <si>
    <t>Kruipruimte onder hal</t>
  </si>
  <si>
    <t>1-1905</t>
  </si>
  <si>
    <t>Kelder 4</t>
  </si>
  <si>
    <t>1-1906</t>
  </si>
  <si>
    <t>Vuilopslagruimte</t>
  </si>
  <si>
    <t>Heren toilet</t>
  </si>
  <si>
    <t>Dames toilet</t>
  </si>
  <si>
    <t>Kruipruimte 2</t>
  </si>
  <si>
    <t>Trappenhuis</t>
  </si>
  <si>
    <t>1 0203</t>
  </si>
  <si>
    <t>1 0401</t>
  </si>
  <si>
    <t>1 1006</t>
  </si>
  <si>
    <t>Kast</t>
  </si>
  <si>
    <t>Kabelschacht 2</t>
  </si>
  <si>
    <t>2 0104</t>
  </si>
  <si>
    <t>Zuid (Plafond geschilderd 5,4 m2)</t>
  </si>
  <si>
    <t>Noord (Plafond geschilderd 13,1m2)</t>
  </si>
  <si>
    <t>Zuid (Plafond geschilderd 13,1m2)</t>
  </si>
  <si>
    <t>Landhoofd</t>
  </si>
  <si>
    <t>Van der Madeweg</t>
  </si>
  <si>
    <t>Perron Oost</t>
  </si>
  <si>
    <t>2.0102</t>
  </si>
  <si>
    <t>Perron West</t>
  </si>
  <si>
    <t>Trap Oost</t>
  </si>
  <si>
    <t>Trap West</t>
  </si>
  <si>
    <t>Roltrap Oost</t>
  </si>
  <si>
    <t>Roltrap West</t>
  </si>
  <si>
    <t>1.0101</t>
  </si>
  <si>
    <t>1.0202</t>
  </si>
  <si>
    <t>1.0801</t>
  </si>
  <si>
    <t>1.0802</t>
  </si>
  <si>
    <t>Kantine</t>
  </si>
  <si>
    <t>1.0901</t>
  </si>
  <si>
    <t>1.0902</t>
  </si>
  <si>
    <t>1.0903</t>
  </si>
  <si>
    <t>1.1302</t>
  </si>
  <si>
    <t>Kaartverkoop</t>
  </si>
  <si>
    <t>1.1905</t>
  </si>
  <si>
    <t>Signaleringsruimte 1</t>
  </si>
  <si>
    <t>Sectieschakelruimte</t>
  </si>
  <si>
    <t>Roltrap Serviceruimte</t>
  </si>
  <si>
    <t>Liftpompruimte 1</t>
  </si>
  <si>
    <t>Roltrap Serviceruimte 2</t>
  </si>
  <si>
    <t>Liftpompruimte 2</t>
  </si>
  <si>
    <t>Lift 1</t>
  </si>
  <si>
    <t>Lift 13</t>
  </si>
  <si>
    <t>Lift 2</t>
  </si>
  <si>
    <t>Lift 14</t>
  </si>
  <si>
    <t>Lift 3</t>
  </si>
  <si>
    <t>Lift 23</t>
  </si>
  <si>
    <t>Liftpompruimte 3</t>
  </si>
  <si>
    <t>0.1008</t>
  </si>
  <si>
    <t>Opslag Otis</t>
  </si>
  <si>
    <t>Watermeterkast</t>
  </si>
  <si>
    <t>0.1401</t>
  </si>
  <si>
    <t>Toegangstrap</t>
  </si>
  <si>
    <t>Luik</t>
  </si>
  <si>
    <t>m2 wand niet nagemeten, uit MJOB.</t>
  </si>
  <si>
    <t>Ruimte is opgesplitst. Bereikbare gedeelte 48,8 m2 vloer en 36,0 m2 wand onbehandeld</t>
  </si>
  <si>
    <t>Perron oost</t>
  </si>
  <si>
    <t>1.0102</t>
  </si>
  <si>
    <t>Perron west</t>
  </si>
  <si>
    <t>1.1004</t>
  </si>
  <si>
    <t>Vuilopslag/schoonmakersruimte</t>
  </si>
  <si>
    <t>Lift 12</t>
  </si>
  <si>
    <t>Lift 22</t>
  </si>
  <si>
    <t>Opslag EV</t>
  </si>
  <si>
    <t>0.13.201</t>
  </si>
  <si>
    <t>Magazijn SB</t>
  </si>
  <si>
    <t>0.1801</t>
  </si>
  <si>
    <t>0.1901</t>
  </si>
  <si>
    <t>Kabelschacht</t>
  </si>
  <si>
    <t>Niet makkelijk toegankelijk, doet schoonmaak niks mee</t>
  </si>
  <si>
    <t>m2 wand uit MJOB, compleet?</t>
  </si>
  <si>
    <t>Oude toiletten niet meegerekend enkel voorportaal + ticket. Toilet: V=1,2 m2 lino *2 W=11,5 m2 tegel *2</t>
  </si>
  <si>
    <t>Spaklerweg</t>
  </si>
  <si>
    <t>Station nummer</t>
  </si>
  <si>
    <t xml:space="preserve"> </t>
  </si>
  <si>
    <t>Station</t>
  </si>
  <si>
    <t>telecom</t>
  </si>
  <si>
    <t>M2 plafond
panelen</t>
  </si>
  <si>
    <t>M2 plafond
kaal</t>
  </si>
  <si>
    <t>M2 plafond
geschilderd</t>
  </si>
  <si>
    <t>M2 perron kap</t>
  </si>
  <si>
    <t>0 0402 / 0 0301</t>
  </si>
  <si>
    <t>0 0503 / 0 05.203</t>
  </si>
  <si>
    <t>0 0602 / 0 15.201</t>
  </si>
  <si>
    <t>0 1004 / geen nr.</t>
  </si>
  <si>
    <t>0 1905 / 0 1802</t>
  </si>
  <si>
    <t>RT 33</t>
  </si>
  <si>
    <t>RT 31</t>
  </si>
  <si>
    <t>Diemen Zuid</t>
  </si>
  <si>
    <t>31</t>
  </si>
  <si>
    <t>onbekend N</t>
  </si>
  <si>
    <t>onbekend Z</t>
  </si>
  <si>
    <t>Traanplaat</t>
  </si>
  <si>
    <t>Verbindingstrap roltrapserviceruimte</t>
  </si>
  <si>
    <t>Kraaiennest</t>
  </si>
  <si>
    <t>Noodtrappenhuis</t>
  </si>
  <si>
    <t>0 05.101</t>
  </si>
  <si>
    <t>UPS ruimte</t>
  </si>
  <si>
    <t>0 05.302</t>
  </si>
  <si>
    <t>Hoogspanningsruimte</t>
  </si>
  <si>
    <t>Schoonmaak ruimte</t>
  </si>
  <si>
    <t>0 08.101</t>
  </si>
  <si>
    <t>Opslag SB</t>
  </si>
  <si>
    <t>0 13.101</t>
  </si>
  <si>
    <t>1 04.101</t>
  </si>
  <si>
    <t>Ventilatie ruimte</t>
  </si>
  <si>
    <t>1 10.302</t>
  </si>
  <si>
    <t>2 0202</t>
  </si>
  <si>
    <t>2 0901</t>
  </si>
  <si>
    <t>Toilet</t>
  </si>
  <si>
    <t>2 0902</t>
  </si>
  <si>
    <t>3 0102</t>
  </si>
  <si>
    <t>RT 13</t>
  </si>
  <si>
    <t>RT 23</t>
  </si>
  <si>
    <t>Ganzenhoef</t>
  </si>
  <si>
    <t>Roltrap 14</t>
  </si>
  <si>
    <t>Roltrap 34</t>
  </si>
  <si>
    <t>Roltrap 24</t>
  </si>
  <si>
    <t>0 1005</t>
  </si>
  <si>
    <t>1 1903</t>
  </si>
  <si>
    <t>2 1006</t>
  </si>
  <si>
    <t>3 1007</t>
  </si>
  <si>
    <t>Liftmachinekamer 1 (34)</t>
  </si>
  <si>
    <t xml:space="preserve">Ruimte is dichtgezet. </t>
  </si>
  <si>
    <t>wand afwerking zit in gang/hal</t>
  </si>
  <si>
    <t>houten plafond</t>
  </si>
  <si>
    <t>hout</t>
  </si>
  <si>
    <t>leeg</t>
  </si>
  <si>
    <t>Kelder trap en relaisruimte</t>
  </si>
  <si>
    <t>Kelder laagspanningsverdeelruimte</t>
  </si>
  <si>
    <t>Kelder accuruimte</t>
  </si>
  <si>
    <t>Kelder natte ruimte</t>
  </si>
  <si>
    <t>m2 verwerkt in de onder en bovenste roltrapruimte 1-1001 en 1 1005</t>
  </si>
  <si>
    <t>Glas in glasstaat</t>
  </si>
  <si>
    <t>Tussen niveau</t>
  </si>
  <si>
    <t>Vluchttrap tussenniveau - Zuidstuw</t>
  </si>
  <si>
    <t>Vluchttrap maaiveld - Tussenniveau</t>
  </si>
  <si>
    <t>Vluchttrap Tussenniveau - Zuidstuw</t>
  </si>
  <si>
    <t>RWA-Regelkastruimte</t>
  </si>
  <si>
    <t>RWA- Ruimte</t>
  </si>
  <si>
    <t>RWA-Ruimte</t>
  </si>
  <si>
    <t>Fietsenmaker</t>
  </si>
  <si>
    <t>Fietsenmaker (trap)</t>
  </si>
  <si>
    <t>Overig (zaagloods S&amp;B)</t>
  </si>
  <si>
    <t>Overig (zaagloods S&amp;B) toiletruimte 1-1902</t>
  </si>
  <si>
    <t>1-1801</t>
  </si>
  <si>
    <t>1-0253</t>
  </si>
  <si>
    <t>1-0254</t>
  </si>
  <si>
    <t>1-0255</t>
  </si>
  <si>
    <t>1-0256</t>
  </si>
  <si>
    <t>1-10.514</t>
  </si>
  <si>
    <t>1-10.515</t>
  </si>
  <si>
    <t>1-10.516</t>
  </si>
  <si>
    <t>1-10.517</t>
  </si>
  <si>
    <t>1-10.518</t>
  </si>
  <si>
    <t>1-10.601</t>
  </si>
  <si>
    <t>1-1701</t>
  </si>
  <si>
    <t>1-1702</t>
  </si>
  <si>
    <t>1-1703</t>
  </si>
  <si>
    <t>1-1704</t>
  </si>
  <si>
    <t>1-1705</t>
  </si>
  <si>
    <t>1-1706</t>
  </si>
  <si>
    <t>roosters als dak</t>
  </si>
  <si>
    <t>geen geboden toegang</t>
  </si>
  <si>
    <t>houten separatiewanden niet opgenomen</t>
  </si>
  <si>
    <t>Hal niveau</t>
  </si>
  <si>
    <t>Publieksroltrap Uitgang Sarphatistraat - Hal</t>
  </si>
  <si>
    <t>2-0101</t>
  </si>
  <si>
    <t>Publiekstrap Uitgang Sarphatistraat - Hal</t>
  </si>
  <si>
    <t>2-0103</t>
  </si>
  <si>
    <t>2-0102</t>
  </si>
  <si>
    <t>Verdeelhal</t>
  </si>
  <si>
    <t>Publiekltrap Uitgang Stadstimmertuin - Hal</t>
  </si>
  <si>
    <t>2-0104</t>
  </si>
  <si>
    <t>2-0105</t>
  </si>
  <si>
    <t>2-0106</t>
  </si>
  <si>
    <t>Publiekstrap Sarphatistraat</t>
  </si>
  <si>
    <t>2-0107</t>
  </si>
  <si>
    <t>2-0108</t>
  </si>
  <si>
    <t>2-0109</t>
  </si>
  <si>
    <t>2-0110</t>
  </si>
  <si>
    <t>Publieksroltrap Hal - Perron</t>
  </si>
  <si>
    <t>2-0111</t>
  </si>
  <si>
    <t>Publiekstrap Hal - Perron</t>
  </si>
  <si>
    <t>2-0112</t>
  </si>
  <si>
    <t>Vluchttrap Hal - Perron</t>
  </si>
  <si>
    <t>2-0113</t>
  </si>
  <si>
    <t>Publiekstroltrap Hal - Perron</t>
  </si>
  <si>
    <t>2-0115</t>
  </si>
  <si>
    <t>2-0116</t>
  </si>
  <si>
    <t>2-0117</t>
  </si>
  <si>
    <t>Lift 02 Uitgang Sarphatistraat - Hal</t>
  </si>
  <si>
    <t>02</t>
  </si>
  <si>
    <t>Lift 13 Hal - Perron</t>
  </si>
  <si>
    <t>13</t>
  </si>
  <si>
    <t>Lift 23 Hal - Perron</t>
  </si>
  <si>
    <t>23</t>
  </si>
  <si>
    <t>Vluchttrap Perron - Noordstuw</t>
  </si>
  <si>
    <t>2-0220</t>
  </si>
  <si>
    <t>2-1908</t>
  </si>
  <si>
    <t>2-0223</t>
  </si>
  <si>
    <t>Vluchttrap Maaiveld - Noordstuw</t>
  </si>
  <si>
    <t>2-0224</t>
  </si>
  <si>
    <t>2-0225</t>
  </si>
  <si>
    <t>2-0226</t>
  </si>
  <si>
    <t>Vluchttrap Hal - Noordstuw</t>
  </si>
  <si>
    <t>2-0227</t>
  </si>
  <si>
    <t>Vluchttrap Zuidstuw - Perron</t>
  </si>
  <si>
    <t>2-0251</t>
  </si>
  <si>
    <t>2-0253</t>
  </si>
  <si>
    <t>2-0256</t>
  </si>
  <si>
    <t>2-0258</t>
  </si>
  <si>
    <t>Rekenmachinekamer</t>
  </si>
  <si>
    <t>2-03.101</t>
  </si>
  <si>
    <t>2-03.102</t>
  </si>
  <si>
    <t>Telecommunicatie</t>
  </si>
  <si>
    <t>2-04.101</t>
  </si>
  <si>
    <t>Laagspannings- / Hoofdverdeelruimte</t>
  </si>
  <si>
    <t>2-05.101</t>
  </si>
  <si>
    <t>2-05.102</t>
  </si>
  <si>
    <t>UPS</t>
  </si>
  <si>
    <t>2-05.301</t>
  </si>
  <si>
    <t>UPS, accu</t>
  </si>
  <si>
    <t>2-05.302</t>
  </si>
  <si>
    <t>2-05.303</t>
  </si>
  <si>
    <t>2-05.304</t>
  </si>
  <si>
    <t>Voorruimte Traforuimtes</t>
  </si>
  <si>
    <t>2-0601</t>
  </si>
  <si>
    <t>Traforuimte 1</t>
  </si>
  <si>
    <t>2-0602</t>
  </si>
  <si>
    <t>Traforuimte 2</t>
  </si>
  <si>
    <t>2-0603</t>
  </si>
  <si>
    <t>TR2000 Ruimte</t>
  </si>
  <si>
    <t>2-07.201</t>
  </si>
  <si>
    <t>2-0801</t>
  </si>
  <si>
    <t>2-0803</t>
  </si>
  <si>
    <t>2-0802</t>
  </si>
  <si>
    <t>2-0804</t>
  </si>
  <si>
    <t>2-08.101</t>
  </si>
  <si>
    <t>Toiletruimte</t>
  </si>
  <si>
    <t>2-0901</t>
  </si>
  <si>
    <t>2-0902</t>
  </si>
  <si>
    <t>2-0903</t>
  </si>
  <si>
    <t>2-0904</t>
  </si>
  <si>
    <t>2-0905</t>
  </si>
  <si>
    <t>2-0906</t>
  </si>
  <si>
    <t>2-0907</t>
  </si>
  <si>
    <t>2-0908</t>
  </si>
  <si>
    <t>2-1711</t>
  </si>
  <si>
    <t>2-0909</t>
  </si>
  <si>
    <t>2-1712</t>
  </si>
  <si>
    <t>2-0910</t>
  </si>
  <si>
    <t>2-1713</t>
  </si>
  <si>
    <t>2-0911</t>
  </si>
  <si>
    <t>Klimaatruimte</t>
  </si>
  <si>
    <t>2-10.301</t>
  </si>
  <si>
    <t>Waterkerende Schuif</t>
  </si>
  <si>
    <t>2-10.401</t>
  </si>
  <si>
    <t>2-10.402</t>
  </si>
  <si>
    <t>2-10.504</t>
  </si>
  <si>
    <t>2-10.505</t>
  </si>
  <si>
    <t>2-10.602</t>
  </si>
  <si>
    <t>2-1002</t>
  </si>
  <si>
    <t>2-10.603</t>
  </si>
  <si>
    <t>2-10.701</t>
  </si>
  <si>
    <t>2-1003</t>
  </si>
  <si>
    <t>2-10.702</t>
  </si>
  <si>
    <t>Watermeteruimte</t>
  </si>
  <si>
    <t>2-1401</t>
  </si>
  <si>
    <t>Fiestenmaker</t>
  </si>
  <si>
    <t>2-1706</t>
  </si>
  <si>
    <t>Winkelruimte</t>
  </si>
  <si>
    <t>2-1901</t>
  </si>
  <si>
    <t>2-1707</t>
  </si>
  <si>
    <t>2-1703</t>
  </si>
  <si>
    <t>2-1708</t>
  </si>
  <si>
    <t>2-1704</t>
  </si>
  <si>
    <t>2-1709</t>
  </si>
  <si>
    <t>2-1710</t>
  </si>
  <si>
    <t>2-1705</t>
  </si>
  <si>
    <t>2-1714</t>
  </si>
  <si>
    <t>Overig</t>
  </si>
  <si>
    <t>2-1905</t>
  </si>
  <si>
    <t>2-1201</t>
  </si>
  <si>
    <t>2-1906</t>
  </si>
  <si>
    <t>2-1907</t>
  </si>
  <si>
    <t>2-1202</t>
  </si>
  <si>
    <t>2-1909</t>
  </si>
  <si>
    <t>2-1910</t>
  </si>
  <si>
    <t>2-1911</t>
  </si>
  <si>
    <t>2-1912</t>
  </si>
  <si>
    <t>2-1913</t>
  </si>
  <si>
    <t>2-1914</t>
  </si>
  <si>
    <t>2-1915</t>
  </si>
  <si>
    <t>2-1916</t>
  </si>
  <si>
    <t>2-1917</t>
  </si>
  <si>
    <t>2-1918</t>
  </si>
  <si>
    <t>2-1919</t>
  </si>
  <si>
    <t>2-1920</t>
  </si>
  <si>
    <t>2-1921</t>
  </si>
  <si>
    <t>2-1922</t>
  </si>
  <si>
    <t>2-1923</t>
  </si>
  <si>
    <t>2-1924</t>
  </si>
  <si>
    <t>2-1925</t>
  </si>
  <si>
    <t>2-1926</t>
  </si>
  <si>
    <t>2-1904</t>
  </si>
  <si>
    <t>2-1927</t>
  </si>
  <si>
    <t>2-1928</t>
  </si>
  <si>
    <t>2-1949</t>
  </si>
  <si>
    <t>Overig, schacht naast vluchttrap 2-0113</t>
  </si>
  <si>
    <t>Overig, schacht naast vluchttrap 2-0117</t>
  </si>
  <si>
    <t xml:space="preserve">Tegels / beton trap </t>
  </si>
  <si>
    <t xml:space="preserve">Coating </t>
  </si>
  <si>
    <t>? (beveiligd)</t>
  </si>
  <si>
    <t>HWC-plafond</t>
  </si>
  <si>
    <t>opgenomen als trap 1-0253</t>
  </si>
  <si>
    <t>opgenomen als trap 1-0256</t>
  </si>
  <si>
    <t>stuc + saus</t>
  </si>
  <si>
    <t>Volkern plafond</t>
  </si>
  <si>
    <t>HWC-plafond, -wand</t>
  </si>
  <si>
    <t>geen opname</t>
  </si>
  <si>
    <t>opgenomen in 1-1706</t>
  </si>
  <si>
    <t>HWC-en verlaagd plafond</t>
  </si>
  <si>
    <t>Houten plafond</t>
  </si>
  <si>
    <t>HWC-plafond, bezemkast in gang 2-0205</t>
  </si>
  <si>
    <t>HWC-plafond, boven 4-05.103</t>
  </si>
  <si>
    <t>3-0111</t>
  </si>
  <si>
    <t>3-0112</t>
  </si>
  <si>
    <t>3-0113</t>
  </si>
  <si>
    <t>3-0114</t>
  </si>
  <si>
    <t>3-0115</t>
  </si>
  <si>
    <t>3-0116</t>
  </si>
  <si>
    <t>3-0117</t>
  </si>
  <si>
    <t>3-0118</t>
  </si>
  <si>
    <t>3-0214</t>
  </si>
  <si>
    <t>3-0217</t>
  </si>
  <si>
    <t>Vluchttrap Noordstuw - Perron</t>
  </si>
  <si>
    <t>3-0220</t>
  </si>
  <si>
    <t>3-0227</t>
  </si>
  <si>
    <t>Vluchttrap</t>
  </si>
  <si>
    <t>3-0228</t>
  </si>
  <si>
    <t>3-0229</t>
  </si>
  <si>
    <t>3-0230</t>
  </si>
  <si>
    <t>3-0240</t>
  </si>
  <si>
    <t>3-0248</t>
  </si>
  <si>
    <t>3-0249</t>
  </si>
  <si>
    <t>3-0251</t>
  </si>
  <si>
    <t>3-0258</t>
  </si>
  <si>
    <t>3-0259</t>
  </si>
  <si>
    <t>3-0261</t>
  </si>
  <si>
    <t>Serverruimte</t>
  </si>
  <si>
    <t>3-04.201</t>
  </si>
  <si>
    <t>3-05.103</t>
  </si>
  <si>
    <t>3-05.104</t>
  </si>
  <si>
    <t>3-05.105</t>
  </si>
  <si>
    <t>3-05.106</t>
  </si>
  <si>
    <t>3-05.107</t>
  </si>
  <si>
    <t>Sectie Schakelaarsruimte</t>
  </si>
  <si>
    <t>3-0604</t>
  </si>
  <si>
    <t>3-0605</t>
  </si>
  <si>
    <t>Tractie Traforuimte 1</t>
  </si>
  <si>
    <t>3-0606</t>
  </si>
  <si>
    <t>Tractie Traforuimte 2</t>
  </si>
  <si>
    <t>3-0607</t>
  </si>
  <si>
    <t>Tractie Traforuimte 3</t>
  </si>
  <si>
    <t>3-0608</t>
  </si>
  <si>
    <t>10KV Schakelruimte</t>
  </si>
  <si>
    <t>3-0609</t>
  </si>
  <si>
    <t>SVS-Ruimte</t>
  </si>
  <si>
    <t>3-0610</t>
  </si>
  <si>
    <t>3-07.202</t>
  </si>
  <si>
    <t>Pompenruimte</t>
  </si>
  <si>
    <t>3-10.201</t>
  </si>
  <si>
    <t>3-10.302</t>
  </si>
  <si>
    <t>3-10.303</t>
  </si>
  <si>
    <t>3-10.604</t>
  </si>
  <si>
    <t>3-10.605</t>
  </si>
  <si>
    <t>3-1915</t>
  </si>
  <si>
    <t>3-1954</t>
  </si>
  <si>
    <t>3-1914</t>
  </si>
  <si>
    <t>3-1955</t>
  </si>
  <si>
    <t>Coating / Beton</t>
  </si>
  <si>
    <t>Beton / stalen (rooster)</t>
  </si>
  <si>
    <t>opgenomen als trap 2-0112</t>
  </si>
  <si>
    <t>opgenomen als trap 2-0113</t>
  </si>
  <si>
    <t>opgenomen als trap 2-0116</t>
  </si>
  <si>
    <t>opgenomen als trap 2-0117</t>
  </si>
  <si>
    <t>opgenomen als lift verdeelhal</t>
  </si>
  <si>
    <t>opgenomen als trap 2-0220</t>
  </si>
  <si>
    <t>opgenomen als trap 2-0227</t>
  </si>
  <si>
    <t>vermacel beplating</t>
  </si>
  <si>
    <t>opgenomen als trap 2-0251</t>
  </si>
  <si>
    <t>opgenomen als trap 2-0258</t>
  </si>
  <si>
    <t>stalen trap l=2,4 m¹</t>
  </si>
  <si>
    <t>Kelder</t>
  </si>
  <si>
    <t>Lift 31 Schacht</t>
  </si>
  <si>
    <t>Lift 23 Schacht</t>
  </si>
  <si>
    <t>Servicegang Kelder</t>
  </si>
  <si>
    <t>4-0215</t>
  </si>
  <si>
    <t>4-0216</t>
  </si>
  <si>
    <t>Kabelkelder</t>
  </si>
  <si>
    <t>4-0218</t>
  </si>
  <si>
    <t>4-0238</t>
  </si>
  <si>
    <t>4-0239</t>
  </si>
  <si>
    <t>4-0250</t>
  </si>
  <si>
    <t>4-0260</t>
  </si>
  <si>
    <t>4-05.104</t>
  </si>
  <si>
    <t>Kelder Hoogspanningsruimtes</t>
  </si>
  <si>
    <t>4-0611</t>
  </si>
  <si>
    <t>4-10.201</t>
  </si>
  <si>
    <t>Vuilwaterberging</t>
  </si>
  <si>
    <t>4-10.202</t>
  </si>
  <si>
    <t>4-10.303</t>
  </si>
  <si>
    <t>RWA-Kanaal</t>
  </si>
  <si>
    <t>4-10.501</t>
  </si>
  <si>
    <t>4-10.502</t>
  </si>
  <si>
    <t>4-10.503</t>
  </si>
  <si>
    <t>4-10.511</t>
  </si>
  <si>
    <t>4-10.512</t>
  </si>
  <si>
    <t>4-10.513</t>
  </si>
  <si>
    <t>4-10.604</t>
  </si>
  <si>
    <t>4-10.605</t>
  </si>
  <si>
    <t>Opslag WTB</t>
  </si>
  <si>
    <t>4-13.401</t>
  </si>
  <si>
    <t>4-13.402</t>
  </si>
  <si>
    <t>4-1929</t>
  </si>
  <si>
    <t>4-1948</t>
  </si>
  <si>
    <t>4-1952</t>
  </si>
  <si>
    <t>4-1953</t>
  </si>
  <si>
    <t>4-1954</t>
  </si>
  <si>
    <t>4-1955</t>
  </si>
  <si>
    <t>opgenomen in ruimte 3-1021</t>
  </si>
  <si>
    <t>opgenomen in ruimte 3-10.604</t>
  </si>
  <si>
    <t>opgenomen in ruimte 3-10.605</t>
  </si>
  <si>
    <t>Singellijn</t>
  </si>
  <si>
    <t>5-0234</t>
  </si>
  <si>
    <t>5-10.203</t>
  </si>
  <si>
    <t>5-10.204</t>
  </si>
  <si>
    <t>5-10.505</t>
  </si>
  <si>
    <t>5-10.506</t>
  </si>
  <si>
    <t>5-10.507</t>
  </si>
  <si>
    <t>5-10.508</t>
  </si>
  <si>
    <t>5-10.510</t>
  </si>
  <si>
    <t>5-10.509</t>
  </si>
  <si>
    <t>5-10.703</t>
  </si>
  <si>
    <t>5-10.704</t>
  </si>
  <si>
    <t>5-1930</t>
  </si>
  <si>
    <t>5-1931</t>
  </si>
  <si>
    <t>5-1932</t>
  </si>
  <si>
    <t>5-1933</t>
  </si>
  <si>
    <t>5-1934</t>
  </si>
  <si>
    <t>5-1935</t>
  </si>
  <si>
    <t>5-1936</t>
  </si>
  <si>
    <t>5-1937</t>
  </si>
  <si>
    <t>5-1938</t>
  </si>
  <si>
    <t>5-1939</t>
  </si>
  <si>
    <t>5-1940</t>
  </si>
  <si>
    <t>5-1941</t>
  </si>
  <si>
    <t>5-1942</t>
  </si>
  <si>
    <t>5-1943</t>
  </si>
  <si>
    <t>5-1944</t>
  </si>
  <si>
    <t>5-1945</t>
  </si>
  <si>
    <t>5-1946</t>
  </si>
  <si>
    <t>5-1947</t>
  </si>
  <si>
    <t>5-1950</t>
  </si>
  <si>
    <t>5-1951</t>
  </si>
  <si>
    <t>5-1954</t>
  </si>
  <si>
    <t>stalen trap l=2,2 m¹</t>
  </si>
  <si>
    <t>isolatieplaten</t>
  </si>
  <si>
    <t>Maaiveld</t>
  </si>
  <si>
    <t>Waterlooplein</t>
  </si>
  <si>
    <t>Publieksroltrap Uitgang Stadhuis - Hal</t>
  </si>
  <si>
    <t>0-0101</t>
  </si>
  <si>
    <t>Publiekstrap Uitgang Stadhuis - Hal</t>
  </si>
  <si>
    <t>0-0102</t>
  </si>
  <si>
    <t>Lift 02 Uitgang Stadhuis - Hal</t>
  </si>
  <si>
    <t>MacBike</t>
  </si>
  <si>
    <t>0-1710</t>
  </si>
  <si>
    <t>0-1719</t>
  </si>
  <si>
    <t>1-1711</t>
  </si>
  <si>
    <t>1-1712</t>
  </si>
  <si>
    <t>Publieksroltrap Uitgang Waterlooplein - Hal</t>
  </si>
  <si>
    <t>Publiekstrap Uitgang Waterlooplein - Hal</t>
  </si>
  <si>
    <t>Publiekstrap Uitgang Hortus Plantsoen - Hal</t>
  </si>
  <si>
    <t>Publiekstrap Uitgang Nieuwe Herengracht - Hal</t>
  </si>
  <si>
    <t>2-0114</t>
  </si>
  <si>
    <t>Lift 31 Hal - Perron</t>
  </si>
  <si>
    <t>2-07.203</t>
  </si>
  <si>
    <t>1-0801</t>
  </si>
  <si>
    <t>2-0912</t>
  </si>
  <si>
    <t>2-0913</t>
  </si>
  <si>
    <t>2-0914</t>
  </si>
  <si>
    <t>2-0915</t>
  </si>
  <si>
    <t>2-0916</t>
  </si>
  <si>
    <t>2-0917</t>
  </si>
  <si>
    <t>2-0918</t>
  </si>
  <si>
    <t>2-0919</t>
  </si>
  <si>
    <t>2-0920</t>
  </si>
  <si>
    <t>2-0921</t>
  </si>
  <si>
    <t>2-0922</t>
  </si>
  <si>
    <t>2-0923</t>
  </si>
  <si>
    <t>2-10.501</t>
  </si>
  <si>
    <t>2-10.502</t>
  </si>
  <si>
    <t>2-10.503</t>
  </si>
  <si>
    <t>2-10.601</t>
  </si>
  <si>
    <t>Brandmeldcentrale</t>
  </si>
  <si>
    <t>2-11.201</t>
  </si>
  <si>
    <t>2-13.101</t>
  </si>
  <si>
    <t>Opslag EB</t>
  </si>
  <si>
    <t>2-13.201</t>
  </si>
  <si>
    <t>2-1701</t>
  </si>
  <si>
    <t>Magazijn Winkelruimte</t>
  </si>
  <si>
    <t>2-1702</t>
  </si>
  <si>
    <t>2-1715</t>
  </si>
  <si>
    <t>2-1716</t>
  </si>
  <si>
    <t>2-1718</t>
  </si>
  <si>
    <t>2-1902</t>
  </si>
  <si>
    <t>2-1903</t>
  </si>
  <si>
    <t>opgenomen als roltrap 0-0101</t>
  </si>
  <si>
    <t>opgenomen als trap 0-0102</t>
  </si>
  <si>
    <t>opgenomen bij 3-10.601</t>
  </si>
  <si>
    <t>Fermacell plafond</t>
  </si>
  <si>
    <t>Lift 02 Schacht</t>
  </si>
  <si>
    <t>3-05.301</t>
  </si>
  <si>
    <t>3-05.302</t>
  </si>
  <si>
    <t>3-05.303</t>
  </si>
  <si>
    <t>3-05.304</t>
  </si>
  <si>
    <t>3-10.504</t>
  </si>
  <si>
    <t>3-10.505</t>
  </si>
  <si>
    <t>3-10.506</t>
  </si>
  <si>
    <t>3-10.601</t>
  </si>
  <si>
    <t>3-10.602</t>
  </si>
  <si>
    <t>3-10.701</t>
  </si>
  <si>
    <t>4-0106</t>
  </si>
  <si>
    <t>4-0107</t>
  </si>
  <si>
    <t>4-0108</t>
  </si>
  <si>
    <t>4-0109</t>
  </si>
  <si>
    <t>4-0110</t>
  </si>
  <si>
    <t>4-0111</t>
  </si>
  <si>
    <t>4-04.102</t>
  </si>
  <si>
    <t>4-05.102</t>
  </si>
  <si>
    <t>4-05.103</t>
  </si>
  <si>
    <t>4-0601</t>
  </si>
  <si>
    <t>4-0602</t>
  </si>
  <si>
    <t>Voorruimte TR2000</t>
  </si>
  <si>
    <t>4-07.201</t>
  </si>
  <si>
    <t>4-07.202</t>
  </si>
  <si>
    <t>4-10.203</t>
  </si>
  <si>
    <t>4-10.301</t>
  </si>
  <si>
    <t>4-10.302</t>
  </si>
  <si>
    <t>4-10.603</t>
  </si>
  <si>
    <t>4-10.702</t>
  </si>
  <si>
    <t>4-1904</t>
  </si>
  <si>
    <t>4-1905</t>
  </si>
  <si>
    <t>4-1906</t>
  </si>
  <si>
    <t>Staal</t>
  </si>
  <si>
    <t>opgenomen bij dienstgang 4-0213</t>
  </si>
  <si>
    <t>opgenomen als ruimte 5-10.203</t>
  </si>
  <si>
    <t>Geen plafond afwerking</t>
  </si>
  <si>
    <t>multiplex plafond</t>
  </si>
  <si>
    <t>3-1921</t>
  </si>
  <si>
    <t>5-0217</t>
  </si>
  <si>
    <t>5-0218</t>
  </si>
  <si>
    <t>Kelder Telecommunicatie</t>
  </si>
  <si>
    <t>5-04.102</t>
  </si>
  <si>
    <t>Kelder Laagspanningsverdeelruimte</t>
  </si>
  <si>
    <t>5-05.103</t>
  </si>
  <si>
    <t>Kelder Traforuimtes</t>
  </si>
  <si>
    <t>5-0603</t>
  </si>
  <si>
    <t>5-10.201</t>
  </si>
  <si>
    <t>5-10.202</t>
  </si>
  <si>
    <t>Kelder Klimaatruimte</t>
  </si>
  <si>
    <t>5-10.302</t>
  </si>
  <si>
    <t>5-10.603</t>
  </si>
  <si>
    <t>5-10.604</t>
  </si>
  <si>
    <t>opgenomen als ruimte 4-10.603</t>
  </si>
  <si>
    <t>opgenomen als ruimte 4-10.604</t>
  </si>
  <si>
    <t>Nieuwmarkt</t>
  </si>
  <si>
    <t>Wibautstraat</t>
  </si>
  <si>
    <t>Duivendrecht</t>
  </si>
  <si>
    <t>Bijlmer</t>
  </si>
  <si>
    <t>Holendrecht</t>
  </si>
  <si>
    <t>Halniveau</t>
  </si>
  <si>
    <t>Publieksroltrap Uitgang Nieuwmarkt - Hal</t>
  </si>
  <si>
    <t>0-0104</t>
  </si>
  <si>
    <t>Publiekstrap Uitgang Koffiehuis - Tussenniveau</t>
  </si>
  <si>
    <t>0-0105</t>
  </si>
  <si>
    <t>Publieksroltrap Uitgang Nieuwe Hoogstraat - Hal</t>
  </si>
  <si>
    <t>0-0112</t>
  </si>
  <si>
    <t>Publiekstrap Uitgang Nieuwe Hoogstraat - Hal</t>
  </si>
  <si>
    <t>0-0113</t>
  </si>
  <si>
    <t>0-1001</t>
  </si>
  <si>
    <t>Berging Schuifdeur</t>
  </si>
  <si>
    <t>0-1924</t>
  </si>
  <si>
    <t>Lift 01 Uitgang Nieuwmarkt - Hal</t>
  </si>
  <si>
    <t>01</t>
  </si>
  <si>
    <t>Lift 03 Uitgang Nieuwe Hoogstraat - Hal</t>
  </si>
  <si>
    <t>03</t>
  </si>
  <si>
    <t>Publieksroltrap Uitgang Koningsstraat - Hal</t>
  </si>
  <si>
    <t>Publiekstrap Uitgang Koningsstraat - Hal</t>
  </si>
  <si>
    <t>Publiekstrap Uitgang Nieuwmarkt - Hal</t>
  </si>
  <si>
    <t>Lift 34 Hal - Perron</t>
  </si>
  <si>
    <t>Opstellingsruimte Providers</t>
  </si>
  <si>
    <t>2-04.201</t>
  </si>
  <si>
    <t>Leidingschacht Hoogspanning</t>
  </si>
  <si>
    <t>2-0604</t>
  </si>
  <si>
    <t>Ventilatiekast</t>
  </si>
  <si>
    <t>Werktuig</t>
  </si>
  <si>
    <t>2-10.604</t>
  </si>
  <si>
    <t>Tickets &amp; Info</t>
  </si>
  <si>
    <t>2-1203</t>
  </si>
  <si>
    <t>2-1204</t>
  </si>
  <si>
    <t>Watermeterruimte</t>
  </si>
  <si>
    <t>Winkelruimte (naast 2-1702)</t>
  </si>
  <si>
    <t>3-10.503</t>
  </si>
  <si>
    <t>RWA-Regelkastuimte</t>
  </si>
  <si>
    <t>3-10.507</t>
  </si>
  <si>
    <t>3-10.703</t>
  </si>
  <si>
    <t>3-1911</t>
  </si>
  <si>
    <t>3-1912</t>
  </si>
  <si>
    <t>3-1913</t>
  </si>
  <si>
    <t>3-1916</t>
  </si>
  <si>
    <t>4-05.101</t>
  </si>
  <si>
    <t>4-0605</t>
  </si>
  <si>
    <t>4-0606</t>
  </si>
  <si>
    <t>Tractietraforuimte 3</t>
  </si>
  <si>
    <t>4-0608</t>
  </si>
  <si>
    <t>Tractietraforuimte 2</t>
  </si>
  <si>
    <t>4-0609</t>
  </si>
  <si>
    <t>Tractietraforuimte 1</t>
  </si>
  <si>
    <t>4-0610</t>
  </si>
  <si>
    <t>4-0612</t>
  </si>
  <si>
    <t>4-0613</t>
  </si>
  <si>
    <t>4-10.704</t>
  </si>
  <si>
    <t>4-1907</t>
  </si>
  <si>
    <t>4-1908</t>
  </si>
  <si>
    <t>4-1909</t>
  </si>
  <si>
    <t>4-1910</t>
  </si>
  <si>
    <t>4-1925</t>
  </si>
  <si>
    <t>Lift 34 Schacht</t>
  </si>
  <si>
    <t>5-0220</t>
  </si>
  <si>
    <t>5-0221</t>
  </si>
  <si>
    <t>5-0222</t>
  </si>
  <si>
    <t>3-1917</t>
  </si>
  <si>
    <t>5-0239</t>
  </si>
  <si>
    <t>Kelder Telecommunicatieruimte</t>
  </si>
  <si>
    <t>5-0607</t>
  </si>
  <si>
    <t>Kelder Tractie Traforuimtes</t>
  </si>
  <si>
    <t>5-0611</t>
  </si>
  <si>
    <t>Kelder Sectie Schakelaars- &amp; 10KV Schakelruimte</t>
  </si>
  <si>
    <t>5-0614</t>
  </si>
  <si>
    <t>Kelder TR2000 Ruimte</t>
  </si>
  <si>
    <t>5-07.202</t>
  </si>
  <si>
    <t>(nabij pompenruimte 5-10.201) Noordzijde</t>
  </si>
  <si>
    <t>5-10.303</t>
  </si>
  <si>
    <t>5-10.605</t>
  </si>
  <si>
    <t>Kelder Laagspanningsruimten</t>
  </si>
  <si>
    <t>Coating / Tegels</t>
  </si>
  <si>
    <t>opgenomen als trap 2-0105</t>
  </si>
  <si>
    <t>Hout, beton, HWC en mdf-plafonds</t>
  </si>
  <si>
    <t>HWC- en houten plafond. glazen plafond vide lift 24 m²</t>
  </si>
  <si>
    <t>HWC-plafond, gecoat houten plafond</t>
  </si>
  <si>
    <t>HWC-plafond, betonnen plafond</t>
  </si>
  <si>
    <t>Isolatie-panelen</t>
  </si>
  <si>
    <t>HWC-plafond / beton geschilderd</t>
  </si>
  <si>
    <t>gedeeltelijk HWC-plafond</t>
  </si>
  <si>
    <t>opgenomen in ruimte 2-10.602</t>
  </si>
  <si>
    <t>opgenomen als trap 2-0107</t>
  </si>
  <si>
    <t>opgenomen als trap 2-0109</t>
  </si>
  <si>
    <t>Stalen plafond</t>
  </si>
  <si>
    <t>opgenomen in ruimte 4-10.603</t>
  </si>
  <si>
    <t>opgenomen in ruimte 4-10.605</t>
  </si>
  <si>
    <t>Publieksroltrap Uitgang Vrolikstraat - Hal</t>
  </si>
  <si>
    <t>Publiekstrap Uitgang Vrolikstraat - Hal</t>
  </si>
  <si>
    <t>Publieksroltrap Uitgang Grensstraat - Hal</t>
  </si>
  <si>
    <t>Publiekstrap Uitgang Grensstraat - Hal</t>
  </si>
  <si>
    <t>Publiekstrap Uitgang Platanenweg - Hal</t>
  </si>
  <si>
    <t>Publieksroltrap Uitgang Platanenweg - Hal</t>
  </si>
  <si>
    <t>Publiekstrap Uitgang Gijsbrecht van Aemstelstraat - Hal</t>
  </si>
  <si>
    <t>Publieksroltrap Uitgang Gijsbrecht van Aemstelstraat - Hal</t>
  </si>
  <si>
    <t>Lift 31 Uitgang Vrolikstraat - Hal</t>
  </si>
  <si>
    <t>Lift 02 Hal - Perron</t>
  </si>
  <si>
    <t>2-10.508</t>
  </si>
  <si>
    <t>2-10.509</t>
  </si>
  <si>
    <t>2-10.605</t>
  </si>
  <si>
    <t>2-1929</t>
  </si>
  <si>
    <t>2-1930</t>
  </si>
  <si>
    <t>3-1918</t>
  </si>
  <si>
    <t>3-1919</t>
  </si>
  <si>
    <t>3-1920</t>
  </si>
  <si>
    <t>3-1922</t>
  </si>
  <si>
    <t>4-04.101</t>
  </si>
  <si>
    <t>Laagspanningsverdeelrruimte</t>
  </si>
  <si>
    <t>4-05.301</t>
  </si>
  <si>
    <t>4-05.302</t>
  </si>
  <si>
    <t>4-05.303</t>
  </si>
  <si>
    <t>4-05.304</t>
  </si>
  <si>
    <t>4-0805</t>
  </si>
  <si>
    <t>4-10.606</t>
  </si>
  <si>
    <t>4-10.703</t>
  </si>
  <si>
    <t>4-1913</t>
  </si>
  <si>
    <t>4-1931</t>
  </si>
  <si>
    <t>5-0209</t>
  </si>
  <si>
    <t>5-0210</t>
  </si>
  <si>
    <t>5-0211</t>
  </si>
  <si>
    <t>5-0224</t>
  </si>
  <si>
    <t>5-04.101</t>
  </si>
  <si>
    <t>Kelder UPS Ruimtes</t>
  </si>
  <si>
    <t>5-05.305</t>
  </si>
  <si>
    <t>5-10.606</t>
  </si>
  <si>
    <t>Plafond: HWC</t>
  </si>
  <si>
    <t>Plafond: volkern</t>
  </si>
  <si>
    <t>Dezelfde trap als 2-0107</t>
  </si>
  <si>
    <t>Dezelfde trap als 2-0109</t>
  </si>
  <si>
    <t>opgenomen als trap 2-0106</t>
  </si>
  <si>
    <t>opgenomen als roltrap 2-0109</t>
  </si>
  <si>
    <t>opgenomen als trap 2-0110</t>
  </si>
  <si>
    <t>Amstel</t>
  </si>
  <si>
    <t>signaleringsruimte s en t</t>
  </si>
  <si>
    <t>ruimte voor luchtbehandeling</t>
  </si>
  <si>
    <t>magazijnruimte s en t</t>
  </si>
  <si>
    <t>0 1301</t>
  </si>
  <si>
    <t>Bim Huis</t>
  </si>
  <si>
    <t>laagspanning</t>
  </si>
  <si>
    <t>lgsp</t>
  </si>
  <si>
    <t xml:space="preserve">0 0402 </t>
  </si>
  <si>
    <t>telecom gvb</t>
  </si>
  <si>
    <t>Ijtram</t>
  </si>
  <si>
    <t>Schoonmaak opslag</t>
  </si>
  <si>
    <t>Voorportaal liftmachinekamer</t>
  </si>
  <si>
    <t>Voorportaal technischeruimte</t>
  </si>
  <si>
    <t>1.0501</t>
  </si>
  <si>
    <t>Hoogspanning / tractieruimte</t>
  </si>
  <si>
    <t>1.0602</t>
  </si>
  <si>
    <t>1.0601</t>
  </si>
  <si>
    <t>1.0401</t>
  </si>
  <si>
    <t>Sanitaire ruimte</t>
  </si>
  <si>
    <t>0.1201</t>
  </si>
  <si>
    <t>Lege ruimte</t>
  </si>
  <si>
    <t>1.19.101</t>
  </si>
  <si>
    <t>Roltrap 1</t>
  </si>
  <si>
    <t>Roltrap 2</t>
  </si>
  <si>
    <t>Roltrap 3</t>
  </si>
  <si>
    <t>MER ruimte</t>
  </si>
  <si>
    <t>traanplaat</t>
  </si>
  <si>
    <t>RVS</t>
  </si>
  <si>
    <t>Wanden zijn meegenomen bij de hallen</t>
  </si>
  <si>
    <t>Zuid RVS</t>
  </si>
  <si>
    <t>Wanden meegenomen bij roltrapserviceruimte, kelder niveau</t>
  </si>
  <si>
    <t xml:space="preserve">Ruimte niet betreedbaar. </t>
  </si>
  <si>
    <t>oost RVS</t>
  </si>
  <si>
    <t>west RVS</t>
  </si>
  <si>
    <t xml:space="preserve">west </t>
  </si>
  <si>
    <t>west, wordt gebruikt als vuilopslag</t>
  </si>
  <si>
    <t>west, wordt niet gebruikt als vuilopslag</t>
  </si>
  <si>
    <t>oost, Is eigenlijks een gang</t>
  </si>
  <si>
    <t>oost, Hago? Werkkast?</t>
  </si>
  <si>
    <t>oost (m2 wand van kelder tot aan 2 verdiepingen daarboven (1 aaneengesloten ruimte)</t>
  </si>
  <si>
    <t>Rietlandpark</t>
  </si>
  <si>
    <t>Liftmachine</t>
  </si>
  <si>
    <t>opslag</t>
  </si>
  <si>
    <t>Schakelruimte</t>
  </si>
  <si>
    <t>Meterkast</t>
  </si>
  <si>
    <t>nb</t>
  </si>
  <si>
    <t>Ruimteomschrijving GVB</t>
  </si>
  <si>
    <t>Ruimte categorie</t>
  </si>
  <si>
    <t>Vloer soort</t>
  </si>
  <si>
    <t>Oplever code</t>
  </si>
  <si>
    <t>Frequentie per jaar</t>
  </si>
  <si>
    <t>ma</t>
  </si>
  <si>
    <t>di</t>
  </si>
  <si>
    <t>wo</t>
  </si>
  <si>
    <t>do</t>
  </si>
  <si>
    <t>vr</t>
  </si>
  <si>
    <t>za</t>
  </si>
  <si>
    <t>zo</t>
  </si>
  <si>
    <t>Diverse</t>
  </si>
  <si>
    <t>Categorie/medewerker</t>
  </si>
  <si>
    <t>Percentage</t>
  </si>
  <si>
    <t>Aantal uren per jaar</t>
  </si>
  <si>
    <t>Tarief</t>
  </si>
  <si>
    <t>Prijs per jaar</t>
  </si>
  <si>
    <t>Medewerker schoonmaak</t>
  </si>
  <si>
    <t>maandag t/m vrijdag</t>
  </si>
  <si>
    <t>Medewerker leiding</t>
  </si>
  <si>
    <t>B.T.W.</t>
  </si>
  <si>
    <t>Totale kosten per jaar inclusief B.T.W.</t>
  </si>
  <si>
    <t>0-100m2</t>
  </si>
  <si>
    <t>101-500m2</t>
  </si>
  <si>
    <t>Kosten per locatie</t>
  </si>
  <si>
    <t>Bijzonderheden</t>
  </si>
  <si>
    <t>m2 vloer</t>
  </si>
  <si>
    <t>Uren per jaar ma-vr reguliere beurt</t>
  </si>
  <si>
    <t>Uren per jaar ma-vr naloop beurt</t>
  </si>
  <si>
    <t>Uren per jaar za-zo-fe reguliere beurt</t>
  </si>
  <si>
    <t>Uren per jaar za-zo-fe naloop beurt</t>
  </si>
  <si>
    <t>Totaal uren per jaar per station</t>
  </si>
  <si>
    <t>Toezicht uren ma-vr</t>
  </si>
  <si>
    <t>Toezicht uren za-zo-fe</t>
  </si>
  <si>
    <t>Toezicht kosten ma-vr</t>
  </si>
  <si>
    <t>Toezicht kosten za-zo-fe</t>
  </si>
  <si>
    <t>Totaal kosten per jaar</t>
  </si>
  <si>
    <t>Verklaring verschillende klasse's</t>
  </si>
  <si>
    <t>KENGETAL ZA ZO FSTDG NALOOP</t>
  </si>
  <si>
    <t>VSR</t>
  </si>
  <si>
    <t>Klasse 1</t>
  </si>
  <si>
    <t>Klasse 2</t>
  </si>
  <si>
    <t>Niet van toepassing</t>
  </si>
  <si>
    <t>Omschrijving opdracht</t>
  </si>
  <si>
    <t>reinigen cico</t>
  </si>
  <si>
    <t xml:space="preserve">reinigen gates </t>
  </si>
  <si>
    <t>reinigen tvm</t>
  </si>
  <si>
    <t xml:space="preserve">De leverancier dient aan te geven voor welke merk en productlijn onderstaande prijzen gelden. </t>
  </si>
  <si>
    <t>Merk en productlijn</t>
  </si>
  <si>
    <t>Papieren handdoekjes</t>
  </si>
  <si>
    <t>Toiletrollen</t>
  </si>
  <si>
    <t>Handzeep</t>
  </si>
  <si>
    <t>Toiletbrilreiniger</t>
  </si>
  <si>
    <t>Dames hygiëne zakjes</t>
  </si>
  <si>
    <t>universeel</t>
  </si>
  <si>
    <t>Kosten</t>
  </si>
  <si>
    <t>(indicatie)</t>
  </si>
  <si>
    <t>per jaar</t>
  </si>
  <si>
    <t>totaal per jaar</t>
  </si>
  <si>
    <t xml:space="preserve">Alle prijzen zijn all-in, inclusief loonkosten, materiaal, reis- en verblijfskosten, sociale lasten, voorrijkosten, parkeerkosten, reserveringskosten, transportkosten, aflever- en (de)montagekosten, verpakkingen, milieubelastingen, administratie, andere belastingen dan btw, verzekeringpremies e.d. </t>
  </si>
  <si>
    <t>Prijs p/m2  excl. btw</t>
  </si>
  <si>
    <t>Activiteit</t>
  </si>
  <si>
    <t>Toelichting</t>
  </si>
  <si>
    <t>Lino-/marmoleum conserveren</t>
  </si>
  <si>
    <t>2 lagen</t>
  </si>
  <si>
    <t>Lino-/marmoleum sprayen</t>
  </si>
  <si>
    <t>geheel</t>
  </si>
  <si>
    <t>Steen/PVC schrobben</t>
  </si>
  <si>
    <t>Tapijt sproeiextraheren</t>
  </si>
  <si>
    <t>Opmerking:</t>
  </si>
  <si>
    <t>Alle prijzen inclusief materialen en middelen, voorrijkosten en overige bijkomende kosten.</t>
  </si>
  <si>
    <t>Alle prijzen exclusief btw</t>
  </si>
  <si>
    <t>Medewerker leidinggevend</t>
  </si>
  <si>
    <t>Zie Freq</t>
  </si>
  <si>
    <t>NVT</t>
  </si>
  <si>
    <t>Kosten per jaar ma-vr schoonmaak</t>
  </si>
  <si>
    <t>Kosten per jaar za-zo-fe schoonmaak</t>
  </si>
  <si>
    <t>2 x per jaar</t>
  </si>
  <si>
    <t>PER.365.1</t>
  </si>
  <si>
    <t>PER.365.2</t>
  </si>
  <si>
    <t>SAN.365.1</t>
  </si>
  <si>
    <t>SAN.365.2</t>
  </si>
  <si>
    <t>LIF.365.1</t>
  </si>
  <si>
    <t>LIF.365.2</t>
  </si>
  <si>
    <t>TRA.365.1</t>
  </si>
  <si>
    <t>TRA.365.2</t>
  </si>
  <si>
    <t>HAL.365.2</t>
  </si>
  <si>
    <t>ROL.365.1</t>
  </si>
  <si>
    <t>ROL.365.2</t>
  </si>
  <si>
    <t>KAN.365.1</t>
  </si>
  <si>
    <t>KAN.365.2</t>
  </si>
  <si>
    <t>NVT.0000</t>
  </si>
  <si>
    <t>GAN.365.1</t>
  </si>
  <si>
    <t>naloop</t>
  </si>
  <si>
    <t>Volledig</t>
  </si>
  <si>
    <t>Stations klasse of aparte frequentie</t>
  </si>
  <si>
    <t>Wand gevel</t>
  </si>
  <si>
    <t>opgenomen als roltrap 0-0104</t>
  </si>
  <si>
    <t>HWC-plafond Wandgevel 27 m2</t>
  </si>
  <si>
    <t>Schacht, geen vloer, - wand</t>
  </si>
  <si>
    <t>valt buiten station</t>
  </si>
  <si>
    <t>valt buiten station, wand gevel</t>
  </si>
  <si>
    <t>Systeemplafond</t>
  </si>
  <si>
    <t>opgenomen als roltrap 2-0106</t>
  </si>
  <si>
    <t>opgenomen als roltrap 2-0110</t>
  </si>
  <si>
    <t>opgenomen als roltrap 2-0111</t>
  </si>
  <si>
    <t>inlc. 80 m2 wand gevel</t>
  </si>
  <si>
    <t>inlc. 108 m2 wand gevel</t>
  </si>
  <si>
    <t>inlc. 31 m2 wand gevel</t>
  </si>
  <si>
    <t>inlc. 78 m2 wand gevel</t>
  </si>
  <si>
    <t>opgenomen als roltrap 2-0115</t>
  </si>
  <si>
    <t>vanaf tekening</t>
  </si>
  <si>
    <t>opgenomen als ruimte 3-10.303</t>
  </si>
  <si>
    <t>Wand:gevel</t>
  </si>
  <si>
    <t>geen vloer en plafond aanwezig</t>
  </si>
  <si>
    <t>Betton</t>
  </si>
  <si>
    <t>Prijsvorming Regie werkzaamheden  ( Vloeronderhoud is inclusief uit-/inruimen van het meubilair)</t>
  </si>
  <si>
    <t>nee</t>
  </si>
  <si>
    <t>ja</t>
  </si>
  <si>
    <t>TOTAAL KOSTEN PER JAAR EXCLUSIEF BTW (REGULIER ONDERHOUD)</t>
  </si>
  <si>
    <t xml:space="preserve">Tegels / beton </t>
  </si>
  <si>
    <t>staal</t>
  </si>
  <si>
    <t>computervloer</t>
  </si>
  <si>
    <t>beton / tegels</t>
  </si>
  <si>
    <t>betontegel</t>
  </si>
  <si>
    <t>klasse 1</t>
  </si>
  <si>
    <t>stoeptegel</t>
  </si>
  <si>
    <t>asfalt</t>
  </si>
  <si>
    <t>geen ruimte van GVB</t>
  </si>
  <si>
    <t>Achter expositie, gaat weg?</t>
  </si>
  <si>
    <t>input diederick</t>
  </si>
  <si>
    <t>kelder hier hoeft niks te gebeuren</t>
  </si>
  <si>
    <t>Op afroep</t>
  </si>
  <si>
    <t>o.a.</t>
  </si>
  <si>
    <t>BER.0002</t>
  </si>
  <si>
    <t>GAN.365.2</t>
  </si>
  <si>
    <t>3 x per jaar</t>
  </si>
  <si>
    <t>BER.365.1</t>
  </si>
  <si>
    <t>O.A.0000</t>
  </si>
  <si>
    <t>BER.0003</t>
  </si>
  <si>
    <t>Bestrating</t>
  </si>
  <si>
    <t>BES.365.1</t>
  </si>
  <si>
    <t>V</t>
  </si>
  <si>
    <t>S</t>
  </si>
  <si>
    <t>B</t>
  </si>
  <si>
    <t>SUPPLETIEKOSTEN OVERNAME PERSONEEL</t>
  </si>
  <si>
    <t>NORM FACTOR</t>
  </si>
  <si>
    <t>opgenomen in andere ruimte</t>
  </si>
  <si>
    <t>Kosten regulier totaal per jaar</t>
  </si>
  <si>
    <t>Eind totaal</t>
  </si>
  <si>
    <t>M² per jaar</t>
  </si>
  <si>
    <t>Gemiddelde norm</t>
  </si>
  <si>
    <t>Perron A</t>
  </si>
  <si>
    <t>Steen</t>
  </si>
  <si>
    <t>metaal</t>
  </si>
  <si>
    <t xml:space="preserve">gang  </t>
  </si>
  <si>
    <t xml:space="preserve">technische ruimte </t>
  </si>
  <si>
    <t xml:space="preserve">berging </t>
  </si>
  <si>
    <t>Perron B</t>
  </si>
  <si>
    <t xml:space="preserve">toilet </t>
  </si>
  <si>
    <t xml:space="preserve">trap </t>
  </si>
  <si>
    <t>rooster</t>
  </si>
  <si>
    <t>EINDTOTAAL KOSTEN PER JAAR VAST ONDERHOUD EXCLUSIEF BTW</t>
  </si>
  <si>
    <t>TOTAAL KOSTEN PER JAAR EXCLUSIEF BTW (AANVULLENDE WERKZAAMHEDEN / EXTRA KOSTEN)</t>
  </si>
  <si>
    <t>Reken Eenheid</t>
  </si>
  <si>
    <t>2-laags, flushable Z vouw</t>
  </si>
  <si>
    <t>2-laags, flushable</t>
  </si>
  <si>
    <t>vloeibaar, Huidvriendelijk en PH neutraal</t>
  </si>
  <si>
    <t xml:space="preserve"> 1 ltr.</t>
  </si>
  <si>
    <t>Alcoholreiniger</t>
  </si>
  <si>
    <t>Toiletverfrisser</t>
  </si>
  <si>
    <t xml:space="preserve">luchtverfrisser navulling pearl white 3000 sprays </t>
  </si>
  <si>
    <t>100 ml</t>
  </si>
  <si>
    <t>per eenheid</t>
  </si>
  <si>
    <t>Aantal eenheden per jaar</t>
  </si>
  <si>
    <t>rol, 200 vel per rol</t>
  </si>
  <si>
    <t>pakket 250 handdoekjes</t>
  </si>
  <si>
    <t>per 100 stuks</t>
  </si>
  <si>
    <t>Aan de opgegeven indicatie eenheden kunnen geen rechten worden ontleent.</t>
  </si>
  <si>
    <t>JAARPRIJS AANVULLENDE WERKZAAMHEDEN / EXTRA KOSTEN</t>
  </si>
  <si>
    <t>bijvullen dienstregeling dispenser</t>
  </si>
  <si>
    <t>TRANSFER RUIMTE</t>
  </si>
  <si>
    <t>Datum:</t>
  </si>
  <si>
    <t>Handtekening rechtsgeldig vertegenwoordiger:</t>
  </si>
  <si>
    <t>Naam:</t>
  </si>
  <si>
    <t>Functie:</t>
  </si>
  <si>
    <t>Organisatie:</t>
  </si>
  <si>
    <t>% t.o.v. productie</t>
  </si>
  <si>
    <t>Buitenruimte tourniquets</t>
  </si>
  <si>
    <t>bestrating</t>
  </si>
  <si>
    <t>BES.0012</t>
  </si>
  <si>
    <t>12 x per jaar</t>
  </si>
  <si>
    <t>Prijs p/uur  excl. btw</t>
  </si>
  <si>
    <t>Medewerker regulier onderhoud</t>
  </si>
  <si>
    <t>Medewerker specialistisch onderhoud</t>
  </si>
  <si>
    <t>Veiligheidspersoon / leider lokale veiligheid</t>
  </si>
  <si>
    <t>Mutatiedatum</t>
  </si>
  <si>
    <t>Omschrijving mutatie</t>
  </si>
  <si>
    <t>Doorgevoerd</t>
  </si>
  <si>
    <t>Aanvullende opmerking</t>
  </si>
  <si>
    <t>Rai</t>
  </si>
  <si>
    <t>Ringlijn</t>
  </si>
  <si>
    <t>Lelylaan</t>
  </si>
  <si>
    <t>Sloterdijk</t>
  </si>
  <si>
    <t>Amstelveenseweg</t>
  </si>
  <si>
    <t>Jan van Galenstraat</t>
  </si>
  <si>
    <t>De Vluchtlaan</t>
  </si>
  <si>
    <t>Henk Sneevlietweg</t>
  </si>
  <si>
    <t>Heemstedestraat</t>
  </si>
  <si>
    <t>Postjesweg</t>
  </si>
  <si>
    <t>Amstelveenlijn</t>
  </si>
  <si>
    <t>Van Boshuizenstraat</t>
  </si>
  <si>
    <t>Uilenstede</t>
  </si>
  <si>
    <t>Kronenburg</t>
  </si>
  <si>
    <t>Zonnestein</t>
  </si>
  <si>
    <t>Onderuit</t>
  </si>
  <si>
    <t>Oranjebaan</t>
  </si>
  <si>
    <t>Overamstel</t>
  </si>
  <si>
    <t>Isolatorweg</t>
  </si>
  <si>
    <t>T&amp;I</t>
  </si>
  <si>
    <t>A.J. Ernsstraat</t>
  </si>
  <si>
    <t>trappen</t>
  </si>
  <si>
    <t>0 0101 / 0 0102</t>
  </si>
  <si>
    <t xml:space="preserve">0 0101 </t>
  </si>
  <si>
    <t>0.0101/0.0102</t>
  </si>
  <si>
    <t>Trappen incl bordes</t>
  </si>
  <si>
    <t xml:space="preserve">zie tunnelwand </t>
  </si>
  <si>
    <t>0 0103</t>
  </si>
  <si>
    <t>trap</t>
  </si>
  <si>
    <t xml:space="preserve">perron </t>
  </si>
  <si>
    <t>1 0101</t>
  </si>
  <si>
    <t>T-ruimte</t>
  </si>
  <si>
    <t>LSP-ruimte</t>
  </si>
  <si>
    <t>service kast</t>
  </si>
  <si>
    <t>binnen areeal mv</t>
  </si>
  <si>
    <t>lift  mv (Talud zijde)</t>
  </si>
  <si>
    <t>ri itw</t>
  </si>
  <si>
    <t>lift mv (midden)</t>
  </si>
  <si>
    <t>ri centr</t>
  </si>
  <si>
    <t>Ticket &amp;info (incl sanitair)</t>
  </si>
  <si>
    <t>tegelvloer toilet 5m2 ….wordt gerenoveerd 2017</t>
  </si>
  <si>
    <t>1 1002</t>
  </si>
  <si>
    <t>gang/hal</t>
  </si>
  <si>
    <t>vloer oppbinn poortjes is 52 m2</t>
  </si>
  <si>
    <t>e/S&amp;T ruimte</t>
  </si>
  <si>
    <t>roltrapserviceruimte</t>
  </si>
  <si>
    <t>liftmachine kamer bordes</t>
  </si>
  <si>
    <t xml:space="preserve">lift </t>
  </si>
  <si>
    <t>trap (2x)</t>
  </si>
  <si>
    <t>tegels/coating alles in gang hal opgenomen</t>
  </si>
  <si>
    <t>richting lift</t>
  </si>
  <si>
    <t>aluminium met coating</t>
  </si>
  <si>
    <t>1 0105</t>
  </si>
  <si>
    <t>Kaartverkoop ticket en info</t>
  </si>
  <si>
    <t>??</t>
  </si>
  <si>
    <t>gang/hal mv gvb terrein  (trap)</t>
  </si>
  <si>
    <t>wand 17 m2 golplaat</t>
  </si>
  <si>
    <t>accu</t>
  </si>
  <si>
    <t>0 03.7</t>
  </si>
  <si>
    <t>roltrap/lift machineruimte</t>
  </si>
  <si>
    <t>onbenoemde lege ruimte</t>
  </si>
  <si>
    <t>lift richt itw</t>
  </si>
  <si>
    <t>golfplaten wand hal en perron</t>
  </si>
  <si>
    <t>2 trappen 76  in tot</t>
  </si>
  <si>
    <t>composiet / gietasfalt</t>
  </si>
  <si>
    <t>perron (onder luifel)</t>
  </si>
  <si>
    <t>hardsteen / betontegel</t>
  </si>
  <si>
    <t>perron (randen)</t>
  </si>
  <si>
    <t>Kaartverkoop rvs huisje</t>
  </si>
  <si>
    <t>1 1901</t>
  </si>
  <si>
    <t>2 roltrap 31  in tota</t>
  </si>
  <si>
    <t>HSP ruimte</t>
  </si>
  <si>
    <t>hal achter gateline</t>
  </si>
  <si>
    <t>2 x 45  in totaal</t>
  </si>
  <si>
    <t>straattegels</t>
  </si>
  <si>
    <t>1. 0101</t>
  </si>
  <si>
    <t>hal (mv-straat)</t>
  </si>
  <si>
    <t>wandafwerking staat onder perron</t>
  </si>
  <si>
    <t>1. 0102</t>
  </si>
  <si>
    <t>1. 0103</t>
  </si>
  <si>
    <t>perron cabine</t>
  </si>
  <si>
    <t>1. 1901</t>
  </si>
  <si>
    <t>0. 1001</t>
  </si>
  <si>
    <t>0. 0201</t>
  </si>
  <si>
    <t>0. 0401</t>
  </si>
  <si>
    <t>0. 0801</t>
  </si>
  <si>
    <t>laagspanningsruimte</t>
  </si>
  <si>
    <t>0. 0501</t>
  </si>
  <si>
    <t xml:space="preserve">roltrap </t>
  </si>
  <si>
    <t>0. 0202</t>
  </si>
  <si>
    <t>s-ruimte</t>
  </si>
  <si>
    <t>0. 0301</t>
  </si>
  <si>
    <t xml:space="preserve">bestrating </t>
  </si>
  <si>
    <t>1  0102</t>
  </si>
  <si>
    <t>0 1201</t>
  </si>
  <si>
    <t>liftroltrapmachinekmr</t>
  </si>
  <si>
    <t>toilet</t>
  </si>
  <si>
    <t>werkkast</t>
  </si>
  <si>
    <t>vluchtgang</t>
  </si>
  <si>
    <t xml:space="preserve">0 0201 </t>
  </si>
  <si>
    <t>lsp</t>
  </si>
  <si>
    <t>roltrappen</t>
  </si>
  <si>
    <t>3 st</t>
  </si>
  <si>
    <t>4 st</t>
  </si>
  <si>
    <t>(perron (randen)</t>
  </si>
  <si>
    <t>gang / hal</t>
  </si>
  <si>
    <t>1 1003</t>
  </si>
  <si>
    <t>perron ( onder luifel)</t>
  </si>
  <si>
    <t>S-ruimte</t>
  </si>
  <si>
    <t>1 0102 + 1 0101</t>
  </si>
  <si>
    <t>staal met antislipcoating</t>
  </si>
  <si>
    <t>perron excl gla\en bouwsteen</t>
  </si>
  <si>
    <t>perron incl glazen bwsteen</t>
  </si>
  <si>
    <t>1 0101 en 1 0102</t>
  </si>
  <si>
    <t>1 0201</t>
  </si>
  <si>
    <t>1 0801</t>
  </si>
  <si>
    <t>1 0901</t>
  </si>
  <si>
    <t>stalen platen</t>
  </si>
  <si>
    <t>1-0501-1 en 2</t>
  </si>
  <si>
    <t>perron verlenging tegelwerk straat</t>
  </si>
  <si>
    <t>lift machineruimte</t>
  </si>
  <si>
    <t>Stadshart</t>
  </si>
  <si>
    <t>Ouderkerkerlaan</t>
  </si>
  <si>
    <t>Sportlaan</t>
  </si>
  <si>
    <t>Meent</t>
  </si>
  <si>
    <t>Brink</t>
  </si>
  <si>
    <t>Poortwachter</t>
  </si>
  <si>
    <t>Sacharovlaan</t>
  </si>
  <si>
    <t>Westwijk</t>
  </si>
  <si>
    <t>klinker/straattegel</t>
  </si>
  <si>
    <t>Gele klinker</t>
  </si>
  <si>
    <t>RVS vloerplaat</t>
  </si>
  <si>
    <t>klinker</t>
  </si>
  <si>
    <t>Klinker</t>
  </si>
  <si>
    <t>Uurtarieven</t>
  </si>
  <si>
    <t>Tijdstip</t>
  </si>
  <si>
    <t>Prijs per uur</t>
  </si>
  <si>
    <t>Medewerker uitvoering</t>
  </si>
  <si>
    <t>Dag, ma-vr</t>
  </si>
  <si>
    <t>Dag, weekend,feest</t>
  </si>
  <si>
    <t>BES.365.2</t>
  </si>
  <si>
    <t>Ruimte nummer</t>
  </si>
  <si>
    <t>PER.365.1a</t>
  </si>
  <si>
    <t>PER.365.2a</t>
  </si>
  <si>
    <t>LIF.365.1a</t>
  </si>
  <si>
    <t>LIF.365.2a</t>
  </si>
  <si>
    <t>TRA.365.1a</t>
  </si>
  <si>
    <t>TRA.365.2a</t>
  </si>
  <si>
    <t>HAL.365.1a</t>
  </si>
  <si>
    <t>HAL.365.2a</t>
  </si>
  <si>
    <t>ROL.365.1a</t>
  </si>
  <si>
    <t>ROL.365.2a</t>
  </si>
  <si>
    <t>KENGETAL MA-VR REGULIER</t>
  </si>
  <si>
    <t>KENGETAL MA-VR NALOOP</t>
  </si>
  <si>
    <t>KENGETAL ZA ZO FSTDG REGULIER</t>
  </si>
  <si>
    <t>STATION</t>
  </si>
  <si>
    <t>Totale m² per beurt</t>
  </si>
  <si>
    <t>P2</t>
  </si>
  <si>
    <t>RAI</t>
  </si>
  <si>
    <t>P1</t>
  </si>
  <si>
    <t>B-BEURT</t>
  </si>
  <si>
    <t>A-BEURT</t>
  </si>
  <si>
    <t xml:space="preserve">Perceel </t>
  </si>
  <si>
    <t>STATION NUMMER</t>
  </si>
  <si>
    <t>M2 PERRON EN TRAPPEN</t>
  </si>
  <si>
    <t>kg.</t>
  </si>
  <si>
    <t>prijs per verpakking</t>
  </si>
  <si>
    <t>ureum</t>
  </si>
  <si>
    <t>zout</t>
  </si>
  <si>
    <t>per uur</t>
  </si>
  <si>
    <t>tarief feestdagen</t>
  </si>
  <si>
    <t>tarief za-zo</t>
  </si>
  <si>
    <r>
      <t>tarief ma-vr nacht</t>
    </r>
    <r>
      <rPr>
        <sz val="8"/>
        <rFont val="Century Gothic"/>
        <family val="2"/>
      </rPr>
      <t xml:space="preserve"> (21.30-06.00 uur)</t>
    </r>
  </si>
  <si>
    <r>
      <t xml:space="preserve">tarief ma-vr </t>
    </r>
    <r>
      <rPr>
        <sz val="8"/>
        <rFont val="Century Gothic"/>
        <family val="2"/>
      </rPr>
      <t>(06.00-21.30 uur)</t>
    </r>
  </si>
  <si>
    <t>Tarief (Incl. toezicht)</t>
  </si>
  <si>
    <t>Totale kosten gladheidsbestrijding per jaar op basis van opgegeven aantal beurten</t>
  </si>
  <si>
    <t>consignatietoeslag</t>
  </si>
  <si>
    <t>afschrijving karretjes (over 3 jaar)</t>
  </si>
  <si>
    <t>VASTE KOSTEN PER JAAR</t>
  </si>
  <si>
    <t>*het opgegeven aantal beurten is indicatief. Hier kunnen geen rechten aan worden ontleent.</t>
  </si>
  <si>
    <t>B-beurt feestdagen</t>
  </si>
  <si>
    <t>B-beurt za-zo</t>
  </si>
  <si>
    <t>B-beurt nacht ma-vr</t>
  </si>
  <si>
    <t>B-beurt ma-vr</t>
  </si>
  <si>
    <t>A-beurt feestdagen</t>
  </si>
  <si>
    <t>A-beurt za-zo</t>
  </si>
  <si>
    <t>A-beurt nacht ma-vr</t>
  </si>
  <si>
    <t>A-beurt ma-vr</t>
  </si>
  <si>
    <t>TOTALE KOSTEN VOOR DE GEHELE LIJN</t>
  </si>
  <si>
    <t>AANTAL ZAKKEN UREUM PER BEURT VOOR DE GEHELE LIJN</t>
  </si>
  <si>
    <t>AANTAL ZAKKEN ZOUT PER BEURT VOOR DE GEHELE LIJN</t>
  </si>
  <si>
    <t>UREN STROOIMIDD. VERDELEN PER BEURT VOOR DE GEHELE LIJN</t>
  </si>
  <si>
    <t>UREN OPSTART PER BEURT VOOR DE GEHELE LIJN</t>
  </si>
  <si>
    <t>AANTAL BEURTEN PER JAAR*</t>
  </si>
  <si>
    <t>BEURT</t>
  </si>
  <si>
    <t>KOSTEN PER BEURT</t>
  </si>
  <si>
    <t>Uitvoering conform cao tijden en cao toeslag matrix</t>
  </si>
  <si>
    <t>1 Comfort schoonmaak</t>
  </si>
  <si>
    <t>MAXIMALE BOVENGRENS PLAFONDBEDRAG</t>
  </si>
  <si>
    <t>* De inschrijver draagt er zorg voor dat de totstandkoming van het inschrijvingsbedrag overeenkomt met de onderliggende tabbladen. Indien dit niet het geval is wordt de inschrijving ongeldig verklaard.</t>
  </si>
  <si>
    <t>* Het door de inschrijver ingediende inschrijfbedrag is de maximale vergoeding voor het gevraagde in de aanbestedingsdocumenten.</t>
  </si>
  <si>
    <t>Oplevercode</t>
  </si>
  <si>
    <t>Freq. per jaar</t>
  </si>
  <si>
    <t>Ruimtecategorie</t>
  </si>
  <si>
    <t>Frequentie
omschrijving</t>
  </si>
  <si>
    <t>Kengetal
basisbeurt</t>
  </si>
  <si>
    <t>Kengetal
naloopbeurt</t>
  </si>
  <si>
    <t>Kengetal
za zo fstdg</t>
  </si>
  <si>
    <t>Kengetal
za zo fstdg
naloop</t>
  </si>
  <si>
    <t>Kengetal
totaal
uur/m2/jr</t>
  </si>
  <si>
    <t>Prestatie
norm
m2/uur</t>
  </si>
  <si>
    <t>Aantal m2</t>
  </si>
  <si>
    <t>Transfer
ruimte</t>
  </si>
  <si>
    <t>Uurtarief
ma-vr</t>
  </si>
  <si>
    <t>Kosten totaal</t>
  </si>
  <si>
    <t>Stationnummer</t>
  </si>
  <si>
    <t>Frequentie
omschrijving
ma-vr</t>
  </si>
  <si>
    <t>Frequentie
omschrijving
za zo fe</t>
  </si>
  <si>
    <t>Uren per beurt</t>
  </si>
  <si>
    <t>Reistijd 
per beurt 
ma-vr 
in uren</t>
  </si>
  <si>
    <t>Reistijd
per beurt
za zo fe
in uren</t>
  </si>
  <si>
    <t>Uurtarief
za zo fe</t>
  </si>
  <si>
    <t>Levering verbruiksartikelen</t>
  </si>
  <si>
    <t>AFVLOEIÏNGSKOSTEN OVERNAME PERSONEEL</t>
  </si>
  <si>
    <t>Inschrijvingsbedrag *</t>
  </si>
  <si>
    <t>MAXIMALE ONDERGRENS</t>
  </si>
  <si>
    <t>M² Oostlijn ondergronds en IJ tram</t>
  </si>
  <si>
    <t>Specificatie</t>
  </si>
  <si>
    <t>M² Oostlijn bovengronds, Ringlijn, Amstelveenlijn</t>
  </si>
  <si>
    <t>JAARPRIJS COMFORT SCHOONMAAK</t>
  </si>
  <si>
    <t>(exclusief sanitaire voorzieningen en gladheidsbestrijding)</t>
  </si>
  <si>
    <t>1 juni 2021</t>
  </si>
  <si>
    <t>Naam dienstverlener</t>
  </si>
  <si>
    <t>Kosten aanvullende werkzaamheden</t>
  </si>
  <si>
    <t>00:00 - 06:00 uur</t>
  </si>
  <si>
    <t>21:30 - 24:00 uur</t>
  </si>
  <si>
    <t>00:06 - 21:30 uur</t>
  </si>
  <si>
    <t>Maandag</t>
  </si>
  <si>
    <t>maandag t/m donderdag</t>
  </si>
  <si>
    <t>Vrijdag</t>
  </si>
  <si>
    <t>Gemiddeld</t>
  </si>
  <si>
    <t>dinsdag t/m vrijdag</t>
  </si>
  <si>
    <t>zaterdag en Zondag</t>
  </si>
  <si>
    <t>feestdag</t>
  </si>
  <si>
    <t>00:00 - 24:00 uur</t>
  </si>
  <si>
    <t>Versie</t>
  </si>
  <si>
    <t>Omde dag Vol/Nal.</t>
  </si>
  <si>
    <t>Omde dag Nal./Vol</t>
  </si>
  <si>
    <t>Klasse 1: 2 WD volledige beurt 3 WD naloopbeurt WKND 2WD naloopbeurt</t>
  </si>
  <si>
    <t>Klasse 2: om de dag volledige beurt en naloopbeurt</t>
  </si>
  <si>
    <t>Medewerker</t>
  </si>
  <si>
    <t>Dag van de week</t>
  </si>
  <si>
    <t>Tijdstip tussen</t>
  </si>
  <si>
    <t>2021-03</t>
  </si>
  <si>
    <t>GVB Infra B.V.</t>
  </si>
  <si>
    <t>ledigen afvalbakken en verwijderen losse vervuiling*</t>
  </si>
  <si>
    <t xml:space="preserve">* Deze werkzaamheden worden op werkdagen (maandag t/m vrijdag) door de SROI organisatie uitgevoerd (zie PVE paragraaf 9.4) In het weekend en op feestdagen vallen deze werkzaamheden onder de verantwoordelijkheid van de dienstverlener. </t>
  </si>
  <si>
    <t>Prijs per beurt</t>
  </si>
  <si>
    <t>Ledigen afvalbakken en verwijderen losse vervuiling t.v.v. medewerkers SROI organisatie</t>
  </si>
  <si>
    <t>8</t>
  </si>
  <si>
    <t>Aantal stuks / stations</t>
  </si>
  <si>
    <t>NVI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</si>
</sst>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_-;_-@_-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_(* #,##0.00_);_(* \(#,##0.00\);_(* &quot;-&quot;??_);_(@_)"/>
    <numFmt numFmtId="168" formatCode="_-* #,##0_-;_-* #,##0\-;_-* &quot;-&quot;??_-;_-@_-"/>
    <numFmt numFmtId="169" formatCode="000"/>
    <numFmt numFmtId="170" formatCode="_-&quot;ƒ&quot;\ * #,##0.00_-;_-&quot;ƒ&quot;\ * #,##0.00\-;_-&quot;ƒ&quot;\ * &quot;-&quot;??_-;_-@_-"/>
    <numFmt numFmtId="171" formatCode="_-&quot;€&quot;* #,##0.00_-;\-&quot;€&quot;* #,##0.00_-;_-&quot;€&quot;* &quot;-&quot;??_-;_-@_-"/>
    <numFmt numFmtId="172" formatCode="_-* #,##0.0_-;_-* #,##0.0\-;_-* &quot;-&quot;??_-;_-@_-"/>
    <numFmt numFmtId="173" formatCode="_-[$€-2]\ * #,##0.00_ ;_-[$€-2]\ * \-#,##0.00\ ;_-[$€-2]\ * &quot;-&quot;??_ ;_-@_ "/>
    <numFmt numFmtId="174" formatCode="_(&quot;ƒ&quot;* #,##0.00_);_(&quot;ƒ&quot;* \(#,##0.00\);_(&quot;ƒ&quot;* &quot;-&quot;??_);_(@_)"/>
    <numFmt numFmtId="175" formatCode="0.0%"/>
    <numFmt numFmtId="176" formatCode="_([$€-2]\ * #,##0.00_);_([$€-2]\ * \(#,##0.00\);_([$€-2]\ * &quot;-&quot;??_);_(@_)"/>
    <numFmt numFmtId="177" formatCode="0.000"/>
    <numFmt numFmtId="178" formatCode="0.00_)"/>
    <numFmt numFmtId="179" formatCode="General_)"/>
    <numFmt numFmtId="180" formatCode="00,000"/>
    <numFmt numFmtId="181" formatCode="_ [$€-413]\ * #,##0.00_ ;_ [$€-413]\ * \-#,##0.00_ ;_ [$€-413]\ * &quot;-&quot;??_ ;_ @_ "/>
    <numFmt numFmtId="182" formatCode="#,##0_ ;\-#,##0\ "/>
    <numFmt numFmtId="183" formatCode="_-[$€]\ * #,##0.00_-;_-[$€]\ * #,##0.00\-;_-[$€]\ * &quot;-&quot;??_-;_-@_-"/>
    <numFmt numFmtId="184" formatCode="_-[$€-2]\ * #,##0.00_-;_-[$€-2]\ * #,##0.00\-;_-[$€-2]\ * &quot;-&quot;??_-;_-@_-"/>
    <numFmt numFmtId="185" formatCode="_-* #,##0.0000_-;_-* #,##0.0000\-;_-* &quot;-&quot;??_-;_-@_-"/>
    <numFmt numFmtId="186" formatCode="&quot;fl&quot;\ #,##0_-;[Red]&quot;fl&quot;\ #,##0\-"/>
    <numFmt numFmtId="187" formatCode="0\ &quot;m2&quot;"/>
    <numFmt numFmtId="188" formatCode="[$-409]d/mmm/yy;@"/>
    <numFmt numFmtId="189" formatCode="[$-413]d\ mmmm\ yyyy;@"/>
    <numFmt numFmtId="190" formatCode="_ * #,##0.000_ ;_ * \-#,##0.000_ ;_ * &quot;-&quot;???_ ;_ @_ "/>
    <numFmt numFmtId="191" formatCode="_ [$€-2]\ * #,##0.00_ ;_ [$€-2]\ * \-#,##0.00_ ;_ [$€-2]\ * &quot;-&quot;??_ ;_ @_ "/>
  </numFmts>
  <fonts count="73">
    <font>
      <sz val="10"/>
      <name val="MS Sans Serif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Helvetica"/>
    </font>
    <font>
      <sz val="10"/>
      <name val="Geneva"/>
    </font>
    <font>
      <sz val="10"/>
      <name val="Arial"/>
      <family val="2"/>
    </font>
    <font>
      <sz val="10"/>
      <name val="Courier"/>
      <family val="3"/>
    </font>
    <font>
      <sz val="8"/>
      <name val="MS Sans Serif"/>
      <family val="2"/>
    </font>
    <font>
      <sz val="9"/>
      <name val="Geneva"/>
    </font>
    <font>
      <sz val="10"/>
      <name val="Verdana"/>
      <family val="2"/>
    </font>
    <font>
      <u/>
      <sz val="10"/>
      <color indexed="36"/>
      <name val="Arial"/>
      <family val="2"/>
      <charset val="204"/>
    </font>
    <font>
      <sz val="10"/>
      <color indexed="12"/>
      <name val="Times New Roman"/>
      <family val="1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name val="Helv"/>
    </font>
    <font>
      <sz val="12"/>
      <name val="Arial Narrow"/>
      <family val="2"/>
    </font>
    <font>
      <b/>
      <sz val="8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sz val="10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0"/>
      <color indexed="10"/>
      <name val="Century Gothic"/>
      <family val="2"/>
    </font>
    <font>
      <b/>
      <sz val="10"/>
      <color indexed="10"/>
      <name val="Century Gothic"/>
      <family val="2"/>
    </font>
    <font>
      <sz val="10"/>
      <name val="Century Gothic"/>
      <family val="2"/>
    </font>
    <font>
      <sz val="10"/>
      <color indexed="62"/>
      <name val="Century Gothic"/>
      <family val="2"/>
    </font>
    <font>
      <b/>
      <sz val="12"/>
      <color indexed="18"/>
      <name val="Century Gothic"/>
      <family val="2"/>
    </font>
    <font>
      <sz val="12"/>
      <color indexed="18"/>
      <name val="Century Gothic"/>
      <family val="2"/>
    </font>
    <font>
      <b/>
      <sz val="12"/>
      <color indexed="10"/>
      <name val="Century Gothic"/>
      <family val="2"/>
    </font>
    <font>
      <sz val="10"/>
      <color indexed="18"/>
      <name val="Century Gothic"/>
      <family val="2"/>
    </font>
    <font>
      <b/>
      <sz val="10"/>
      <color indexed="18"/>
      <name val="Century Gothic"/>
      <family val="2"/>
    </font>
    <font>
      <b/>
      <sz val="10"/>
      <name val="Century Gothic"/>
      <family val="2"/>
    </font>
    <font>
      <sz val="10"/>
      <color indexed="8"/>
      <name val="Century Gothic"/>
      <family val="2"/>
    </font>
    <font>
      <b/>
      <sz val="10"/>
      <color rgb="FFFF0000"/>
      <name val="Century Gothic"/>
      <family val="2"/>
    </font>
    <font>
      <b/>
      <sz val="11"/>
      <name val="Century Gothic"/>
      <family val="2"/>
    </font>
    <font>
      <sz val="10"/>
      <name val="Helvetica"/>
      <family val="2"/>
    </font>
    <font>
      <sz val="12"/>
      <name val="Century Gothic"/>
      <family val="2"/>
    </font>
    <font>
      <b/>
      <sz val="12"/>
      <color theme="0"/>
      <name val="Century Gothic"/>
      <family val="2"/>
    </font>
    <font>
      <b/>
      <sz val="12"/>
      <name val="Century Gothic"/>
      <family val="2"/>
    </font>
    <font>
      <sz val="9"/>
      <name val="Century Gothic"/>
      <family val="2"/>
    </font>
    <font>
      <b/>
      <sz val="10"/>
      <color theme="0"/>
      <name val="Century Gothic"/>
      <family val="2"/>
    </font>
    <font>
      <sz val="10"/>
      <color rgb="FFFF0000"/>
      <name val="Century Gothic"/>
      <family val="2"/>
    </font>
    <font>
      <sz val="10"/>
      <color theme="3" tint="-0.249977111117893"/>
      <name val="Century Gothic"/>
      <family val="2"/>
    </font>
    <font>
      <b/>
      <sz val="10"/>
      <color theme="3" tint="-0.249977111117893"/>
      <name val="Century Gothic"/>
      <family val="2"/>
    </font>
    <font>
      <b/>
      <sz val="12"/>
      <color rgb="FFFF0000"/>
      <name val="Century Gothic"/>
      <family val="2"/>
    </font>
    <font>
      <sz val="10"/>
      <color theme="1"/>
      <name val="Century Gothic"/>
      <family val="2"/>
    </font>
    <font>
      <b/>
      <sz val="10"/>
      <color indexed="8"/>
      <name val="Century Gothic"/>
      <family val="2"/>
    </font>
    <font>
      <b/>
      <i/>
      <sz val="9"/>
      <color indexed="8"/>
      <name val="Century Gothic"/>
      <family val="2"/>
    </font>
    <font>
      <b/>
      <sz val="9"/>
      <name val="Century Gothic"/>
      <family val="2"/>
    </font>
    <font>
      <b/>
      <sz val="9"/>
      <color rgb="FFFF0000"/>
      <name val="Century Gothic"/>
      <family val="2"/>
    </font>
    <font>
      <b/>
      <sz val="11"/>
      <color theme="0"/>
      <name val="Century Gothic"/>
      <family val="2"/>
    </font>
    <font>
      <sz val="8"/>
      <name val="Century Gothic"/>
      <family val="2"/>
    </font>
    <font>
      <b/>
      <sz val="9"/>
      <color indexed="10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5"/>
        <bgColor indexed="64"/>
      </patternFill>
    </fill>
    <fill>
      <patternFill patternType="solid">
        <fgColor theme="2" tint="-0.249977111117893"/>
        <bgColor indexed="2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AAAFF"/>
        <bgColor indexed="64"/>
      </patternFill>
    </fill>
    <fill>
      <patternFill patternType="solid">
        <fgColor theme="0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208">
    <xf numFmtId="0" fontId="0" fillId="0" borderId="0"/>
    <xf numFmtId="16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7" fillId="3" borderId="0"/>
    <xf numFmtId="0" fontId="14" fillId="0" borderId="0"/>
    <xf numFmtId="0" fontId="9" fillId="0" borderId="0"/>
    <xf numFmtId="0" fontId="9" fillId="0" borderId="0"/>
    <xf numFmtId="0" fontId="12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11" fillId="0" borderId="0"/>
    <xf numFmtId="0" fontId="8" fillId="0" borderId="0"/>
    <xf numFmtId="0" fontId="15" fillId="0" borderId="0"/>
    <xf numFmtId="0" fontId="10" fillId="0" borderId="0"/>
    <xf numFmtId="165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19" fillId="0" borderId="0"/>
    <xf numFmtId="44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14" fillId="0" borderId="0"/>
    <xf numFmtId="0" fontId="9" fillId="0" borderId="0"/>
    <xf numFmtId="0" fontId="9" fillId="0" borderId="0"/>
    <xf numFmtId="0" fontId="6" fillId="0" borderId="0"/>
    <xf numFmtId="0" fontId="8" fillId="0" borderId="0"/>
    <xf numFmtId="166" fontId="8" fillId="0" borderId="0" applyFont="0" applyFill="0" applyBorder="0" applyAlignment="0" applyProtection="0"/>
    <xf numFmtId="183" fontId="22" fillId="0" borderId="0" applyFont="0" applyFill="0" applyBorder="0" applyAlignment="0" applyProtection="0"/>
    <xf numFmtId="184" fontId="8" fillId="0" borderId="0"/>
    <xf numFmtId="0" fontId="11" fillId="0" borderId="0"/>
    <xf numFmtId="183" fontId="22" fillId="0" borderId="0" applyFont="0" applyFill="0" applyBorder="0" applyAlignment="0" applyProtection="0"/>
    <xf numFmtId="0" fontId="21" fillId="0" borderId="0"/>
    <xf numFmtId="0" fontId="5" fillId="0" borderId="0"/>
    <xf numFmtId="43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2" fillId="0" borderId="0"/>
    <xf numFmtId="0" fontId="11" fillId="0" borderId="0"/>
    <xf numFmtId="18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4" fillId="7" borderId="0" applyNumberFormat="0" applyBorder="0" applyAlignment="0" applyProtection="0"/>
    <xf numFmtId="0" fontId="25" fillId="8" borderId="20" applyNumberFormat="0" applyAlignment="0" applyProtection="0"/>
    <xf numFmtId="0" fontId="26" fillId="9" borderId="21" applyNumberFormat="0" applyAlignment="0" applyProtection="0"/>
    <xf numFmtId="186" fontId="1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29" fillId="0" borderId="22" applyNumberFormat="0" applyFill="0" applyAlignment="0" applyProtection="0"/>
    <xf numFmtId="0" fontId="30" fillId="0" borderId="23" applyNumberFormat="0" applyFill="0" applyAlignment="0" applyProtection="0"/>
    <xf numFmtId="0" fontId="31" fillId="0" borderId="24" applyNumberFormat="0" applyFill="0" applyAlignment="0" applyProtection="0"/>
    <xf numFmtId="0" fontId="31" fillId="0" borderId="0" applyNumberFormat="0" applyFill="0" applyBorder="0" applyAlignment="0" applyProtection="0"/>
    <xf numFmtId="0" fontId="32" fillId="11" borderId="20" applyNumberFormat="0" applyAlignment="0" applyProtection="0"/>
    <xf numFmtId="166" fontId="23" fillId="0" borderId="0">
      <alignment horizontal="center" vertical="center" textRotation="90" wrapText="1"/>
    </xf>
    <xf numFmtId="0" fontId="33" fillId="12" borderId="25"/>
    <xf numFmtId="0" fontId="34" fillId="0" borderId="26" applyNumberFormat="0" applyFill="0" applyAlignment="0" applyProtection="0"/>
    <xf numFmtId="187" fontId="33" fillId="0" borderId="0"/>
    <xf numFmtId="0" fontId="35" fillId="13" borderId="0" applyNumberFormat="0" applyBorder="0" applyAlignment="0" applyProtection="0"/>
    <xf numFmtId="0" fontId="36" fillId="14" borderId="27" applyNumberFormat="0" applyFont="0" applyAlignment="0" applyProtection="0"/>
    <xf numFmtId="0" fontId="37" fillId="8" borderId="28" applyNumberFormat="0" applyAlignment="0" applyProtection="0"/>
    <xf numFmtId="0" fontId="33" fillId="15" borderId="29" applyNumberFormat="0" applyFont="0" applyBorder="0">
      <alignment horizontal="center"/>
    </xf>
    <xf numFmtId="0" fontId="8" fillId="0" borderId="0"/>
    <xf numFmtId="0" fontId="38" fillId="0" borderId="0" applyNumberFormat="0" applyFill="0" applyBorder="0" applyAlignment="0" applyProtection="0"/>
    <xf numFmtId="0" fontId="39" fillId="0" borderId="30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83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184" fontId="8" fillId="0" borderId="0"/>
    <xf numFmtId="184" fontId="8" fillId="0" borderId="0"/>
    <xf numFmtId="0" fontId="41" fillId="0" borderId="0" applyFill="0" applyBorder="0"/>
    <xf numFmtId="184" fontId="8" fillId="0" borderId="0"/>
    <xf numFmtId="184" fontId="5" fillId="0" borderId="0"/>
    <xf numFmtId="44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8" borderId="34" applyNumberFormat="0" applyAlignment="0" applyProtection="0"/>
    <xf numFmtId="0" fontId="25" fillId="8" borderId="34" applyNumberFormat="0" applyAlignment="0" applyProtection="0"/>
    <xf numFmtId="0" fontId="25" fillId="8" borderId="34" applyNumberFormat="0" applyAlignment="0" applyProtection="0"/>
    <xf numFmtId="0" fontId="25" fillId="8" borderId="34" applyNumberFormat="0" applyAlignment="0" applyProtection="0"/>
    <xf numFmtId="0" fontId="25" fillId="8" borderId="34" applyNumberFormat="0" applyAlignment="0" applyProtection="0"/>
    <xf numFmtId="0" fontId="25" fillId="8" borderId="34" applyNumberFormat="0" applyAlignment="0" applyProtection="0"/>
    <xf numFmtId="0" fontId="25" fillId="8" borderId="34" applyNumberFormat="0" applyAlignment="0" applyProtection="0"/>
    <xf numFmtId="0" fontId="25" fillId="8" borderId="34" applyNumberFormat="0" applyAlignment="0" applyProtection="0"/>
    <xf numFmtId="0" fontId="25" fillId="8" borderId="34" applyNumberFormat="0" applyAlignment="0" applyProtection="0"/>
    <xf numFmtId="0" fontId="25" fillId="8" borderId="34" applyNumberFormat="0" applyAlignment="0" applyProtection="0"/>
    <xf numFmtId="0" fontId="25" fillId="8" borderId="34" applyNumberFormat="0" applyAlignment="0" applyProtection="0"/>
    <xf numFmtId="0" fontId="25" fillId="8" borderId="34" applyNumberFormat="0" applyAlignment="0" applyProtection="0"/>
    <xf numFmtId="0" fontId="25" fillId="8" borderId="34" applyNumberFormat="0" applyAlignment="0" applyProtection="0"/>
    <xf numFmtId="0" fontId="25" fillId="8" borderId="34" applyNumberFormat="0" applyAlignment="0" applyProtection="0"/>
    <xf numFmtId="0" fontId="25" fillId="8" borderId="34" applyNumberFormat="0" applyAlignment="0" applyProtection="0"/>
    <xf numFmtId="0" fontId="32" fillId="11" borderId="34" applyNumberFormat="0" applyAlignment="0" applyProtection="0"/>
    <xf numFmtId="0" fontId="32" fillId="11" borderId="34" applyNumberFormat="0" applyAlignment="0" applyProtection="0"/>
    <xf numFmtId="0" fontId="32" fillId="11" borderId="34" applyNumberFormat="0" applyAlignment="0" applyProtection="0"/>
    <xf numFmtId="0" fontId="32" fillId="11" borderId="34" applyNumberFormat="0" applyAlignment="0" applyProtection="0"/>
    <xf numFmtId="0" fontId="32" fillId="11" borderId="34" applyNumberFormat="0" applyAlignment="0" applyProtection="0"/>
    <xf numFmtId="0" fontId="32" fillId="11" borderId="34" applyNumberFormat="0" applyAlignment="0" applyProtection="0"/>
    <xf numFmtId="0" fontId="32" fillId="11" borderId="34" applyNumberFormat="0" applyAlignment="0" applyProtection="0"/>
    <xf numFmtId="0" fontId="32" fillId="11" borderId="34" applyNumberFormat="0" applyAlignment="0" applyProtection="0"/>
    <xf numFmtId="0" fontId="32" fillId="11" borderId="34" applyNumberFormat="0" applyAlignment="0" applyProtection="0"/>
    <xf numFmtId="0" fontId="32" fillId="11" borderId="34" applyNumberFormat="0" applyAlignment="0" applyProtection="0"/>
    <xf numFmtId="0" fontId="32" fillId="11" borderId="34" applyNumberFormat="0" applyAlignment="0" applyProtection="0"/>
    <xf numFmtId="0" fontId="32" fillId="11" borderId="34" applyNumberFormat="0" applyAlignment="0" applyProtection="0"/>
    <xf numFmtId="0" fontId="32" fillId="11" borderId="34" applyNumberFormat="0" applyAlignment="0" applyProtection="0"/>
    <xf numFmtId="0" fontId="32" fillId="11" borderId="34" applyNumberFormat="0" applyAlignment="0" applyProtection="0"/>
    <xf numFmtId="0" fontId="32" fillId="11" borderId="34" applyNumberFormat="0" applyAlignment="0" applyProtection="0"/>
    <xf numFmtId="0" fontId="36" fillId="14" borderId="35" applyNumberFormat="0" applyFont="0" applyAlignment="0" applyProtection="0"/>
    <xf numFmtId="0" fontId="36" fillId="14" borderId="35" applyNumberFormat="0" applyFont="0" applyAlignment="0" applyProtection="0"/>
    <xf numFmtId="0" fontId="36" fillId="14" borderId="35" applyNumberFormat="0" applyFont="0" applyAlignment="0" applyProtection="0"/>
    <xf numFmtId="0" fontId="36" fillId="14" borderId="35" applyNumberFormat="0" applyFont="0" applyAlignment="0" applyProtection="0"/>
    <xf numFmtId="0" fontId="36" fillId="14" borderId="35" applyNumberFormat="0" applyFont="0" applyAlignment="0" applyProtection="0"/>
    <xf numFmtId="0" fontId="36" fillId="14" borderId="35" applyNumberFormat="0" applyFont="0" applyAlignment="0" applyProtection="0"/>
    <xf numFmtId="0" fontId="36" fillId="14" borderId="35" applyNumberFormat="0" applyFont="0" applyAlignment="0" applyProtection="0"/>
    <xf numFmtId="0" fontId="36" fillId="14" borderId="35" applyNumberFormat="0" applyFont="0" applyAlignment="0" applyProtection="0"/>
    <xf numFmtId="0" fontId="36" fillId="14" borderId="35" applyNumberFormat="0" applyFont="0" applyAlignment="0" applyProtection="0"/>
    <xf numFmtId="0" fontId="36" fillId="14" borderId="35" applyNumberFormat="0" applyFont="0" applyAlignment="0" applyProtection="0"/>
    <xf numFmtId="0" fontId="36" fillId="14" borderId="35" applyNumberFormat="0" applyFont="0" applyAlignment="0" applyProtection="0"/>
    <xf numFmtId="0" fontId="36" fillId="14" borderId="35" applyNumberFormat="0" applyFont="0" applyAlignment="0" applyProtection="0"/>
    <xf numFmtId="0" fontId="36" fillId="14" borderId="35" applyNumberFormat="0" applyFont="0" applyAlignment="0" applyProtection="0"/>
    <xf numFmtId="0" fontId="36" fillId="14" borderId="35" applyNumberFormat="0" applyFont="0" applyAlignment="0" applyProtection="0"/>
    <xf numFmtId="0" fontId="36" fillId="14" borderId="35" applyNumberFormat="0" applyFont="0" applyAlignment="0" applyProtection="0"/>
    <xf numFmtId="0" fontId="36" fillId="14" borderId="35" applyNumberFormat="0" applyFont="0" applyAlignment="0" applyProtection="0"/>
    <xf numFmtId="0" fontId="36" fillId="14" borderId="35" applyNumberFormat="0" applyFont="0" applyAlignment="0" applyProtection="0"/>
    <xf numFmtId="0" fontId="36" fillId="14" borderId="35" applyNumberFormat="0" applyFont="0" applyAlignment="0" applyProtection="0"/>
    <xf numFmtId="0" fontId="36" fillId="14" borderId="35" applyNumberFormat="0" applyFont="0" applyAlignment="0" applyProtection="0"/>
    <xf numFmtId="0" fontId="37" fillId="8" borderId="36" applyNumberFormat="0" applyAlignment="0" applyProtection="0"/>
    <xf numFmtId="0" fontId="37" fillId="8" borderId="36" applyNumberFormat="0" applyAlignment="0" applyProtection="0"/>
    <xf numFmtId="0" fontId="37" fillId="8" borderId="36" applyNumberFormat="0" applyAlignment="0" applyProtection="0"/>
    <xf numFmtId="0" fontId="37" fillId="8" borderId="36" applyNumberFormat="0" applyAlignment="0" applyProtection="0"/>
    <xf numFmtId="0" fontId="37" fillId="8" borderId="36" applyNumberFormat="0" applyAlignment="0" applyProtection="0"/>
    <xf numFmtId="0" fontId="37" fillId="8" borderId="36" applyNumberFormat="0" applyAlignment="0" applyProtection="0"/>
    <xf numFmtId="0" fontId="37" fillId="8" borderId="36" applyNumberFormat="0" applyAlignment="0" applyProtection="0"/>
    <xf numFmtId="0" fontId="37" fillId="8" borderId="36" applyNumberFormat="0" applyAlignment="0" applyProtection="0"/>
    <xf numFmtId="0" fontId="37" fillId="8" borderId="36" applyNumberFormat="0" applyAlignment="0" applyProtection="0"/>
    <xf numFmtId="0" fontId="37" fillId="8" borderId="36" applyNumberFormat="0" applyAlignment="0" applyProtection="0"/>
    <xf numFmtId="0" fontId="37" fillId="8" borderId="36" applyNumberFormat="0" applyAlignment="0" applyProtection="0"/>
    <xf numFmtId="0" fontId="37" fillId="8" borderId="36" applyNumberFormat="0" applyAlignment="0" applyProtection="0"/>
    <xf numFmtId="0" fontId="37" fillId="8" borderId="36" applyNumberFormat="0" applyAlignment="0" applyProtection="0"/>
    <xf numFmtId="0" fontId="37" fillId="8" borderId="36" applyNumberFormat="0" applyAlignment="0" applyProtection="0"/>
    <xf numFmtId="0" fontId="37" fillId="8" borderId="36" applyNumberFormat="0" applyAlignment="0" applyProtection="0"/>
    <xf numFmtId="0" fontId="37" fillId="8" borderId="36" applyNumberFormat="0" applyAlignment="0" applyProtection="0"/>
    <xf numFmtId="0" fontId="37" fillId="8" borderId="36" applyNumberFormat="0" applyAlignment="0" applyProtection="0"/>
    <xf numFmtId="0" fontId="37" fillId="8" borderId="36" applyNumberFormat="0" applyAlignment="0" applyProtection="0"/>
    <xf numFmtId="0" fontId="37" fillId="8" borderId="36" applyNumberFormat="0" applyAlignment="0" applyProtection="0"/>
    <xf numFmtId="0" fontId="19" fillId="0" borderId="0"/>
    <xf numFmtId="0" fontId="19" fillId="0" borderId="0"/>
    <xf numFmtId="0" fontId="19" fillId="0" borderId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37" fillId="8" borderId="45" applyNumberFormat="0" applyAlignment="0" applyProtection="0"/>
    <xf numFmtId="0" fontId="37" fillId="8" borderId="49" applyNumberFormat="0" applyAlignment="0" applyProtection="0"/>
    <xf numFmtId="0" fontId="39" fillId="0" borderId="50" applyNumberFormat="0" applyFill="0" applyAlignment="0" applyProtection="0"/>
    <xf numFmtId="0" fontId="1" fillId="0" borderId="0"/>
    <xf numFmtId="0" fontId="32" fillId="11" borderId="47" applyNumberFormat="0" applyAlignment="0" applyProtection="0"/>
    <xf numFmtId="0" fontId="39" fillId="0" borderId="46" applyNumberFormat="0" applyFill="0" applyAlignment="0" applyProtection="0"/>
    <xf numFmtId="0" fontId="25" fillId="8" borderId="43" applyNumberFormat="0" applyAlignment="0" applyProtection="0"/>
    <xf numFmtId="0" fontId="25" fillId="8" borderId="39" applyNumberFormat="0" applyAlignment="0" applyProtection="0"/>
    <xf numFmtId="0" fontId="36" fillId="14" borderId="44" applyNumberFormat="0" applyFont="0" applyAlignment="0" applyProtection="0"/>
    <xf numFmtId="0" fontId="25" fillId="8" borderId="47" applyNumberFormat="0" applyAlignment="0" applyProtection="0"/>
    <xf numFmtId="0" fontId="32" fillId="11" borderId="43" applyNumberFormat="0" applyAlignment="0" applyProtection="0"/>
    <xf numFmtId="0" fontId="32" fillId="11" borderId="39" applyNumberFormat="0" applyAlignment="0" applyProtection="0"/>
    <xf numFmtId="0" fontId="36" fillId="14" borderId="40" applyNumberFormat="0" applyFont="0" applyAlignment="0" applyProtection="0"/>
    <xf numFmtId="0" fontId="37" fillId="8" borderId="41" applyNumberFormat="0" applyAlignment="0" applyProtection="0"/>
    <xf numFmtId="0" fontId="39" fillId="0" borderId="42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14" borderId="48" applyNumberFormat="0" applyFont="0" applyAlignment="0" applyProtection="0"/>
    <xf numFmtId="0" fontId="55" fillId="0" borderId="0"/>
  </cellStyleXfs>
  <cellXfs count="452">
    <xf numFmtId="0" fontId="0" fillId="0" borderId="0" xfId="0"/>
    <xf numFmtId="0" fontId="43" fillId="0" borderId="0" xfId="12" applyFont="1" applyFill="1" applyBorder="1" applyAlignment="1"/>
    <xf numFmtId="0" fontId="44" fillId="0" borderId="0" xfId="12" applyFont="1" applyFill="1" applyAlignment="1"/>
    <xf numFmtId="49" fontId="45" fillId="0" borderId="0" xfId="11" applyNumberFormat="1" applyFont="1" applyFill="1" applyBorder="1" applyAlignment="1" applyProtection="1">
      <alignment horizontal="left" vertical="top"/>
      <protection hidden="1"/>
    </xf>
    <xf numFmtId="49" fontId="46" fillId="0" borderId="0" xfId="12" applyNumberFormat="1" applyFont="1" applyFill="1" applyBorder="1" applyAlignment="1"/>
    <xf numFmtId="2" fontId="47" fillId="0" borderId="0" xfId="12" applyNumberFormat="1" applyFont="1" applyFill="1" applyBorder="1" applyAlignment="1"/>
    <xf numFmtId="2" fontId="47" fillId="0" borderId="0" xfId="12" applyNumberFormat="1" applyFont="1" applyFill="1" applyAlignment="1"/>
    <xf numFmtId="2" fontId="47" fillId="0" borderId="0" xfId="12" applyNumberFormat="1" applyFont="1" applyFill="1" applyAlignment="1">
      <alignment horizontal="left"/>
    </xf>
    <xf numFmtId="0" fontId="47" fillId="0" borderId="0" xfId="12" applyFont="1" applyFill="1" applyAlignment="1"/>
    <xf numFmtId="188" fontId="48" fillId="0" borderId="0" xfId="12" applyNumberFormat="1" applyFont="1" applyFill="1" applyBorder="1" applyAlignment="1">
      <alignment horizontal="left"/>
    </xf>
    <xf numFmtId="1" fontId="48" fillId="0" borderId="0" xfId="12" applyNumberFormat="1" applyFont="1" applyFill="1" applyBorder="1" applyAlignment="1">
      <alignment horizontal="left"/>
    </xf>
    <xf numFmtId="49" fontId="47" fillId="0" borderId="0" xfId="12" applyNumberFormat="1" applyFont="1" applyFill="1" applyBorder="1" applyAlignment="1"/>
    <xf numFmtId="0" fontId="47" fillId="0" borderId="0" xfId="12" applyFont="1" applyFill="1" applyAlignment="1">
      <alignment horizontal="left"/>
    </xf>
    <xf numFmtId="0" fontId="44" fillId="0" borderId="0" xfId="12" applyFont="1" applyFill="1" applyAlignment="1">
      <alignment horizontal="left"/>
    </xf>
    <xf numFmtId="167" fontId="44" fillId="0" borderId="0" xfId="35" applyFont="1" applyFill="1" applyAlignment="1"/>
    <xf numFmtId="173" fontId="44" fillId="0" borderId="0" xfId="36" applyNumberFormat="1" applyFont="1" applyFill="1" applyAlignment="1">
      <alignment horizontal="left"/>
    </xf>
    <xf numFmtId="9" fontId="51" fillId="5" borderId="31" xfId="14" applyFont="1" applyFill="1" applyBorder="1" applyAlignment="1">
      <alignment horizontal="center"/>
    </xf>
    <xf numFmtId="175" fontId="50" fillId="0" borderId="0" xfId="14" applyNumberFormat="1" applyFont="1" applyFill="1" applyBorder="1" applyAlignment="1" applyProtection="1">
      <alignment horizontal="center"/>
      <protection hidden="1"/>
    </xf>
    <xf numFmtId="43" fontId="44" fillId="0" borderId="0" xfId="12" applyNumberFormat="1" applyFont="1" applyFill="1" applyAlignment="1"/>
    <xf numFmtId="43" fontId="51" fillId="0" borderId="0" xfId="11" applyNumberFormat="1" applyFont="1" applyFill="1" applyBorder="1" applyAlignment="1" applyProtection="1">
      <alignment horizontal="left"/>
      <protection hidden="1"/>
    </xf>
    <xf numFmtId="0" fontId="50" fillId="0" borderId="0" xfId="11" applyNumberFormat="1" applyFont="1" applyFill="1" applyBorder="1" applyAlignment="1" applyProtection="1">
      <alignment horizontal="left"/>
      <protection hidden="1"/>
    </xf>
    <xf numFmtId="49" fontId="44" fillId="0" borderId="0" xfId="12" applyNumberFormat="1" applyFont="1" applyFill="1" applyBorder="1" applyAlignment="1"/>
    <xf numFmtId="10" fontId="44" fillId="0" borderId="0" xfId="12" applyNumberFormat="1" applyFont="1" applyFill="1" applyAlignment="1">
      <alignment horizontal="left"/>
    </xf>
    <xf numFmtId="173" fontId="44" fillId="0" borderId="6" xfId="36" applyNumberFormat="1" applyFont="1" applyFill="1" applyBorder="1" applyAlignment="1">
      <alignment horizontal="left"/>
    </xf>
    <xf numFmtId="2" fontId="44" fillId="0" borderId="0" xfId="12" applyNumberFormat="1" applyFont="1" applyFill="1" applyAlignment="1"/>
    <xf numFmtId="44" fontId="44" fillId="0" borderId="0" xfId="12" applyNumberFormat="1" applyFont="1" applyFill="1" applyAlignment="1"/>
    <xf numFmtId="0" fontId="54" fillId="6" borderId="15" xfId="0" applyFont="1" applyFill="1" applyBorder="1" applyAlignment="1">
      <alignment vertical="center" wrapText="1"/>
    </xf>
    <xf numFmtId="49" fontId="44" fillId="0" borderId="0" xfId="11" applyNumberFormat="1" applyFont="1" applyFill="1" applyBorder="1" applyAlignment="1" applyProtection="1">
      <alignment horizontal="left" vertical="top"/>
      <protection hidden="1"/>
    </xf>
    <xf numFmtId="0" fontId="44" fillId="0" borderId="0" xfId="11" applyFont="1" applyFill="1" applyBorder="1" applyAlignment="1" applyProtection="1">
      <alignment horizontal="center" vertical="justify"/>
      <protection hidden="1"/>
    </xf>
    <xf numFmtId="49" fontId="44" fillId="0" borderId="0" xfId="11" applyNumberFormat="1" applyFont="1" applyFill="1" applyBorder="1" applyAlignment="1" applyProtection="1">
      <alignment horizontal="left"/>
      <protection hidden="1"/>
    </xf>
    <xf numFmtId="0" fontId="51" fillId="0" borderId="0" xfId="11" applyNumberFormat="1" applyFont="1" applyFill="1" applyBorder="1" applyAlignment="1" applyProtection="1">
      <alignment horizontal="left" vertical="top"/>
      <protection hidden="1"/>
    </xf>
    <xf numFmtId="49" fontId="51" fillId="0" borderId="16" xfId="11" applyNumberFormat="1" applyFont="1" applyFill="1" applyBorder="1" applyAlignment="1" applyProtection="1">
      <alignment horizontal="left"/>
      <protection hidden="1"/>
    </xf>
    <xf numFmtId="0" fontId="51" fillId="0" borderId="17" xfId="11" applyNumberFormat="1" applyFont="1" applyFill="1" applyBorder="1" applyAlignment="1" applyProtection="1">
      <alignment horizontal="left" vertical="top"/>
      <protection hidden="1"/>
    </xf>
    <xf numFmtId="175" fontId="51" fillId="0" borderId="0" xfId="14" applyNumberFormat="1" applyFont="1" applyFill="1" applyBorder="1" applyAlignment="1" applyProtection="1">
      <alignment horizontal="center"/>
      <protection hidden="1"/>
    </xf>
    <xf numFmtId="44" fontId="51" fillId="0" borderId="0" xfId="34" applyFont="1" applyFill="1" applyBorder="1" applyAlignment="1" applyProtection="1">
      <alignment horizontal="center"/>
      <protection hidden="1"/>
    </xf>
    <xf numFmtId="49" fontId="51" fillId="0" borderId="17" xfId="11" applyNumberFormat="1" applyFont="1" applyFill="1" applyBorder="1" applyAlignment="1" applyProtection="1">
      <alignment horizontal="left"/>
      <protection hidden="1"/>
    </xf>
    <xf numFmtId="49" fontId="51" fillId="0" borderId="0" xfId="11" applyNumberFormat="1" applyFont="1" applyFill="1" applyBorder="1" applyAlignment="1" applyProtection="1">
      <alignment horizontal="left"/>
      <protection hidden="1"/>
    </xf>
    <xf numFmtId="168" fontId="44" fillId="0" borderId="0" xfId="11" applyNumberFormat="1" applyFont="1" applyFill="1" applyBorder="1" applyAlignment="1" applyProtection="1">
      <alignment horizontal="left" vertical="top"/>
      <protection hidden="1"/>
    </xf>
    <xf numFmtId="173" fontId="51" fillId="0" borderId="0" xfId="11" applyNumberFormat="1" applyFont="1" applyFill="1" applyBorder="1" applyAlignment="1" applyProtection="1">
      <alignment horizontal="left"/>
      <protection hidden="1"/>
    </xf>
    <xf numFmtId="49" fontId="51" fillId="0" borderId="0" xfId="12" applyNumberFormat="1" applyFont="1" applyFill="1" applyBorder="1" applyAlignment="1"/>
    <xf numFmtId="176" fontId="51" fillId="0" borderId="0" xfId="11" applyNumberFormat="1" applyFont="1" applyFill="1" applyBorder="1" applyAlignment="1" applyProtection="1">
      <alignment horizontal="left"/>
      <protection hidden="1"/>
    </xf>
    <xf numFmtId="9" fontId="44" fillId="17" borderId="31" xfId="14" applyFont="1" applyFill="1" applyBorder="1" applyAlignment="1">
      <alignment horizontal="center"/>
    </xf>
    <xf numFmtId="175" fontId="44" fillId="17" borderId="31" xfId="14" applyNumberFormat="1" applyFont="1" applyFill="1" applyBorder="1" applyAlignment="1">
      <alignment horizontal="center"/>
    </xf>
    <xf numFmtId="175" fontId="44" fillId="17" borderId="32" xfId="14" applyNumberFormat="1" applyFont="1" applyFill="1" applyBorder="1" applyAlignment="1">
      <alignment horizontal="center"/>
    </xf>
    <xf numFmtId="181" fontId="44" fillId="17" borderId="31" xfId="14" applyNumberFormat="1" applyFont="1" applyFill="1" applyBorder="1" applyAlignment="1">
      <alignment horizontal="center"/>
    </xf>
    <xf numFmtId="181" fontId="44" fillId="17" borderId="8" xfId="14" applyNumberFormat="1" applyFont="1" applyFill="1" applyBorder="1" applyAlignment="1">
      <alignment horizontal="center"/>
    </xf>
    <xf numFmtId="0" fontId="56" fillId="0" borderId="0" xfId="12" applyFont="1" applyFill="1" applyAlignment="1"/>
    <xf numFmtId="49" fontId="51" fillId="0" borderId="16" xfId="12" applyNumberFormat="1" applyFont="1" applyFill="1" applyBorder="1" applyAlignment="1"/>
    <xf numFmtId="0" fontId="51" fillId="0" borderId="17" xfId="12" applyFont="1" applyFill="1" applyBorder="1" applyAlignment="1"/>
    <xf numFmtId="49" fontId="51" fillId="0" borderId="17" xfId="12" applyNumberFormat="1" applyFont="1" applyFill="1" applyBorder="1" applyAlignment="1"/>
    <xf numFmtId="44" fontId="51" fillId="0" borderId="18" xfId="12" applyNumberFormat="1" applyFont="1" applyFill="1" applyBorder="1" applyAlignment="1"/>
    <xf numFmtId="9" fontId="51" fillId="0" borderId="38" xfId="14" applyFont="1" applyFill="1" applyBorder="1" applyAlignment="1" applyProtection="1">
      <alignment horizontal="center" vertical="center"/>
      <protection hidden="1"/>
    </xf>
    <xf numFmtId="49" fontId="58" fillId="0" borderId="0" xfId="12" applyNumberFormat="1" applyFont="1" applyFill="1" applyBorder="1" applyAlignment="1"/>
    <xf numFmtId="2" fontId="56" fillId="0" borderId="0" xfId="12" applyNumberFormat="1" applyFont="1" applyFill="1" applyBorder="1" applyAlignment="1"/>
    <xf numFmtId="166" fontId="44" fillId="0" borderId="0" xfId="7" applyFont="1" applyFill="1" applyAlignment="1"/>
    <xf numFmtId="44" fontId="44" fillId="0" borderId="0" xfId="34" applyFont="1" applyFill="1" applyAlignment="1"/>
    <xf numFmtId="166" fontId="47" fillId="0" borderId="0" xfId="7" applyFont="1" applyFill="1" applyAlignment="1"/>
    <xf numFmtId="0" fontId="48" fillId="0" borderId="0" xfId="12" applyNumberFormat="1" applyFont="1" applyFill="1" applyBorder="1" applyAlignment="1">
      <alignment horizontal="left"/>
    </xf>
    <xf numFmtId="44" fontId="47" fillId="0" borderId="0" xfId="34" applyFont="1" applyFill="1" applyAlignment="1"/>
    <xf numFmtId="166" fontId="46" fillId="0" borderId="0" xfId="7" applyFont="1" applyFill="1" applyAlignment="1"/>
    <xf numFmtId="44" fontId="46" fillId="0" borderId="0" xfId="34" applyFont="1" applyFill="1" applyAlignment="1"/>
    <xf numFmtId="0" fontId="46" fillId="0" borderId="0" xfId="12" applyFont="1" applyFill="1" applyAlignment="1"/>
    <xf numFmtId="0" fontId="51" fillId="0" borderId="0" xfId="12" applyFont="1" applyFill="1" applyAlignment="1"/>
    <xf numFmtId="0" fontId="44" fillId="0" borderId="1" xfId="0" applyFont="1" applyBorder="1"/>
    <xf numFmtId="0" fontId="44" fillId="0" borderId="38" xfId="0" applyFont="1" applyBorder="1"/>
    <xf numFmtId="166" fontId="44" fillId="0" borderId="1" xfId="7" applyFont="1" applyBorder="1"/>
    <xf numFmtId="44" fontId="44" fillId="0" borderId="1" xfId="34" applyFont="1" applyBorder="1"/>
    <xf numFmtId="44" fontId="44" fillId="0" borderId="8" xfId="34" applyFont="1" applyBorder="1"/>
    <xf numFmtId="44" fontId="44" fillId="0" borderId="14" xfId="34" applyFont="1" applyBorder="1"/>
    <xf numFmtId="44" fontId="44" fillId="0" borderId="1" xfId="0" applyNumberFormat="1" applyFont="1" applyBorder="1"/>
    <xf numFmtId="0" fontId="44" fillId="0" borderId="0" xfId="0" applyFont="1"/>
    <xf numFmtId="4" fontId="59" fillId="0" borderId="38" xfId="28" applyNumberFormat="1" applyFont="1" applyBorder="1"/>
    <xf numFmtId="166" fontId="44" fillId="0" borderId="0" xfId="7" applyFont="1"/>
    <xf numFmtId="44" fontId="44" fillId="0" borderId="0" xfId="34" applyFont="1"/>
    <xf numFmtId="0" fontId="44" fillId="5" borderId="11" xfId="0" applyFont="1" applyFill="1" applyBorder="1"/>
    <xf numFmtId="0" fontId="51" fillId="5" borderId="9" xfId="0" applyFont="1" applyFill="1" applyBorder="1"/>
    <xf numFmtId="0" fontId="44" fillId="5" borderId="9" xfId="0" applyFont="1" applyFill="1" applyBorder="1"/>
    <xf numFmtId="166" fontId="51" fillId="5" borderId="12" xfId="7" applyFont="1" applyFill="1" applyBorder="1"/>
    <xf numFmtId="44" fontId="51" fillId="5" borderId="12" xfId="0" applyNumberFormat="1" applyFont="1" applyFill="1" applyBorder="1"/>
    <xf numFmtId="166" fontId="56" fillId="0" borderId="0" xfId="7" applyFont="1" applyFill="1" applyAlignment="1"/>
    <xf numFmtId="2" fontId="58" fillId="0" borderId="0" xfId="12" applyNumberFormat="1" applyFont="1" applyFill="1" applyBorder="1" applyAlignment="1"/>
    <xf numFmtId="2" fontId="60" fillId="18" borderId="38" xfId="18" applyNumberFormat="1" applyFont="1" applyFill="1" applyBorder="1" applyAlignment="1">
      <alignment vertical="top" wrapText="1"/>
    </xf>
    <xf numFmtId="0" fontId="42" fillId="0" borderId="0" xfId="0" applyFont="1" applyAlignment="1">
      <alignment horizontal="center"/>
    </xf>
    <xf numFmtId="0" fontId="44" fillId="0" borderId="0" xfId="0" applyFont="1" applyAlignment="1">
      <alignment horizontal="left"/>
    </xf>
    <xf numFmtId="49" fontId="44" fillId="0" borderId="0" xfId="0" applyNumberFormat="1" applyFont="1" applyAlignment="1">
      <alignment horizontal="left" vertical="top"/>
    </xf>
    <xf numFmtId="0" fontId="61" fillId="0" borderId="0" xfId="0" applyNumberFormat="1" applyFont="1" applyAlignment="1"/>
    <xf numFmtId="0" fontId="61" fillId="0" borderId="0" xfId="0" applyFont="1"/>
    <xf numFmtId="0" fontId="44" fillId="0" borderId="0" xfId="0" applyNumberFormat="1" applyFont="1" applyFill="1"/>
    <xf numFmtId="0" fontId="61" fillId="0" borderId="0" xfId="0" applyFont="1" applyFill="1"/>
    <xf numFmtId="172" fontId="44" fillId="0" borderId="0" xfId="7" applyNumberFormat="1" applyFont="1" applyAlignment="1">
      <alignment horizontal="center"/>
    </xf>
    <xf numFmtId="168" fontId="44" fillId="0" borderId="0" xfId="7" applyNumberFormat="1" applyFont="1" applyAlignment="1">
      <alignment horizontal="center"/>
    </xf>
    <xf numFmtId="0" fontId="62" fillId="0" borderId="0" xfId="0" applyFont="1" applyFill="1" applyAlignment="1"/>
    <xf numFmtId="0" fontId="44" fillId="0" borderId="0" xfId="0" applyFont="1" applyFill="1" applyAlignment="1"/>
    <xf numFmtId="166" fontId="61" fillId="0" borderId="0" xfId="7" applyFont="1"/>
    <xf numFmtId="185" fontId="61" fillId="0" borderId="0" xfId="7" applyNumberFormat="1" applyFont="1"/>
    <xf numFmtId="168" fontId="61" fillId="0" borderId="0" xfId="7" applyNumberFormat="1" applyFont="1"/>
    <xf numFmtId="2" fontId="51" fillId="0" borderId="0" xfId="0" applyNumberFormat="1" applyFont="1" applyAlignment="1">
      <alignment horizontal="left"/>
    </xf>
    <xf numFmtId="49" fontId="51" fillId="0" borderId="0" xfId="0" applyNumberFormat="1" applyFont="1" applyAlignment="1">
      <alignment horizontal="left" vertical="top"/>
    </xf>
    <xf numFmtId="2" fontId="51" fillId="0" borderId="0" xfId="0" applyNumberFormat="1" applyFont="1"/>
    <xf numFmtId="0" fontId="53" fillId="0" borderId="0" xfId="0" applyNumberFormat="1" applyFont="1" applyAlignment="1"/>
    <xf numFmtId="0" fontId="51" fillId="0" borderId="0" xfId="0" applyFont="1"/>
    <xf numFmtId="0" fontId="53" fillId="0" borderId="0" xfId="0" applyFont="1"/>
    <xf numFmtId="0" fontId="51" fillId="0" borderId="0" xfId="0" applyNumberFormat="1" applyFont="1" applyFill="1"/>
    <xf numFmtId="0" fontId="53" fillId="0" borderId="0" xfId="0" applyFont="1" applyFill="1"/>
    <xf numFmtId="172" fontId="51" fillId="0" borderId="0" xfId="0" applyNumberFormat="1" applyFont="1"/>
    <xf numFmtId="0" fontId="63" fillId="0" borderId="0" xfId="0" applyFont="1" applyFill="1" applyAlignment="1"/>
    <xf numFmtId="0" fontId="51" fillId="0" borderId="0" xfId="0" applyFont="1" applyFill="1" applyAlignment="1"/>
    <xf numFmtId="166" fontId="53" fillId="0" borderId="0" xfId="7" applyFont="1"/>
    <xf numFmtId="185" fontId="53" fillId="0" borderId="0" xfId="7" applyNumberFormat="1" applyFont="1"/>
    <xf numFmtId="168" fontId="53" fillId="0" borderId="0" xfId="7" applyNumberFormat="1" applyFont="1"/>
    <xf numFmtId="0" fontId="51" fillId="0" borderId="0" xfId="0" applyFont="1" applyFill="1"/>
    <xf numFmtId="172" fontId="51" fillId="0" borderId="0" xfId="7" applyNumberFormat="1" applyFont="1" applyFill="1" applyAlignment="1">
      <alignment horizontal="center"/>
    </xf>
    <xf numFmtId="168" fontId="51" fillId="0" borderId="0" xfId="7" applyNumberFormat="1" applyFont="1" applyFill="1" applyAlignment="1">
      <alignment horizontal="center"/>
    </xf>
    <xf numFmtId="172" fontId="44" fillId="0" borderId="0" xfId="7" applyNumberFormat="1" applyFont="1"/>
    <xf numFmtId="168" fontId="44" fillId="0" borderId="0" xfId="7" applyNumberFormat="1" applyFont="1"/>
    <xf numFmtId="1" fontId="48" fillId="0" borderId="0" xfId="12" applyNumberFormat="1" applyFont="1" applyFill="1" applyBorder="1" applyAlignment="1">
      <alignment horizontal="left" vertical="top"/>
    </xf>
    <xf numFmtId="49" fontId="58" fillId="0" borderId="0" xfId="0" applyNumberFormat="1" applyFont="1" applyAlignment="1">
      <alignment horizontal="left" vertical="top"/>
    </xf>
    <xf numFmtId="2" fontId="51" fillId="0" borderId="0" xfId="0" applyNumberFormat="1" applyFont="1" applyAlignment="1">
      <alignment horizontal="center" vertical="top" wrapText="1"/>
    </xf>
    <xf numFmtId="2" fontId="51" fillId="0" borderId="0" xfId="0" applyNumberFormat="1" applyFont="1" applyAlignment="1">
      <alignment vertical="top" wrapText="1"/>
    </xf>
    <xf numFmtId="2" fontId="51" fillId="0" borderId="0" xfId="0" applyNumberFormat="1" applyFont="1" applyAlignment="1">
      <alignment horizontal="left" vertical="top" wrapText="1"/>
    </xf>
    <xf numFmtId="0" fontId="53" fillId="0" borderId="0" xfId="0" applyNumberFormat="1" applyFont="1" applyAlignment="1">
      <alignment vertical="top" wrapText="1"/>
    </xf>
    <xf numFmtId="0" fontId="51" fillId="0" borderId="0" xfId="0" applyFont="1" applyAlignment="1">
      <alignment vertical="top" wrapText="1"/>
    </xf>
    <xf numFmtId="0" fontId="53" fillId="0" borderId="0" xfId="0" applyFont="1" applyAlignment="1">
      <alignment vertical="top" wrapText="1"/>
    </xf>
    <xf numFmtId="0" fontId="51" fillId="0" borderId="0" xfId="0" applyNumberFormat="1" applyFont="1" applyFill="1" applyAlignment="1">
      <alignment vertical="top" wrapText="1"/>
    </xf>
    <xf numFmtId="0" fontId="53" fillId="0" borderId="0" xfId="0" applyFont="1" applyFill="1" applyAlignment="1">
      <alignment vertical="top" wrapText="1"/>
    </xf>
    <xf numFmtId="168" fontId="51" fillId="0" borderId="0" xfId="7" applyNumberFormat="1" applyFont="1" applyAlignment="1">
      <alignment vertical="top" wrapText="1"/>
    </xf>
    <xf numFmtId="0" fontId="63" fillId="0" borderId="0" xfId="0" applyFont="1" applyFill="1" applyAlignment="1">
      <alignment vertical="top" wrapText="1"/>
    </xf>
    <xf numFmtId="166" fontId="53" fillId="0" borderId="0" xfId="7" applyFont="1" applyAlignment="1">
      <alignment vertical="top" wrapText="1"/>
    </xf>
    <xf numFmtId="185" fontId="53" fillId="0" borderId="0" xfId="7" applyNumberFormat="1" applyFont="1" applyAlignment="1">
      <alignment vertical="top" wrapText="1"/>
    </xf>
    <xf numFmtId="0" fontId="44" fillId="0" borderId="0" xfId="0" applyFont="1" applyAlignment="1">
      <alignment vertical="top" wrapText="1"/>
    </xf>
    <xf numFmtId="168" fontId="53" fillId="0" borderId="0" xfId="7" applyNumberFormat="1" applyFont="1" applyAlignment="1">
      <alignment vertical="top" wrapText="1"/>
    </xf>
    <xf numFmtId="168" fontId="44" fillId="2" borderId="7" xfId="7" applyNumberFormat="1" applyFont="1" applyFill="1" applyBorder="1" applyAlignment="1">
      <alignment horizontal="left" vertical="top" wrapText="1"/>
    </xf>
    <xf numFmtId="166" fontId="44" fillId="2" borderId="7" xfId="7" applyFont="1" applyFill="1" applyBorder="1" applyAlignment="1">
      <alignment horizontal="center" vertical="top" wrapText="1"/>
    </xf>
    <xf numFmtId="166" fontId="62" fillId="2" borderId="7" xfId="7" applyFont="1" applyFill="1" applyBorder="1" applyAlignment="1">
      <alignment vertical="top" wrapText="1"/>
    </xf>
    <xf numFmtId="0" fontId="44" fillId="0" borderId="1" xfId="0" applyFont="1" applyFill="1" applyBorder="1" applyAlignment="1">
      <alignment horizontal="center"/>
    </xf>
    <xf numFmtId="0" fontId="44" fillId="5" borderId="1" xfId="0" applyFont="1" applyFill="1" applyBorder="1" applyAlignment="1">
      <alignment horizontal="left"/>
    </xf>
    <xf numFmtId="169" fontId="44" fillId="0" borderId="1" xfId="0" applyNumberFormat="1" applyFont="1" applyFill="1" applyBorder="1" applyAlignment="1">
      <alignment horizontal="left"/>
    </xf>
    <xf numFmtId="49" fontId="44" fillId="0" borderId="1" xfId="0" applyNumberFormat="1" applyFont="1" applyBorder="1" applyAlignment="1">
      <alignment horizontal="left" vertical="top"/>
    </xf>
    <xf numFmtId="0" fontId="44" fillId="0" borderId="1" xfId="0" applyFont="1" applyFill="1" applyBorder="1"/>
    <xf numFmtId="49" fontId="44" fillId="0" borderId="1" xfId="0" applyNumberFormat="1" applyFont="1" applyFill="1" applyBorder="1" applyAlignment="1">
      <alignment horizontal="left"/>
    </xf>
    <xf numFmtId="0" fontId="61" fillId="0" borderId="1" xfId="7" applyNumberFormat="1" applyFont="1" applyFill="1" applyBorder="1" applyAlignment="1"/>
    <xf numFmtId="185" fontId="61" fillId="0" borderId="14" xfId="7" applyNumberFormat="1" applyFont="1" applyBorder="1"/>
    <xf numFmtId="0" fontId="61" fillId="0" borderId="1" xfId="0" applyFont="1" applyBorder="1"/>
    <xf numFmtId="168" fontId="44" fillId="0" borderId="1" xfId="7" applyNumberFormat="1" applyFont="1" applyFill="1" applyBorder="1" applyAlignment="1">
      <alignment horizontal="right"/>
    </xf>
    <xf numFmtId="1" fontId="44" fillId="0" borderId="1" xfId="7" applyNumberFormat="1" applyFont="1" applyFill="1" applyBorder="1" applyAlignment="1"/>
    <xf numFmtId="1" fontId="44" fillId="0" borderId="1" xfId="0" applyNumberFormat="1" applyFont="1" applyFill="1" applyBorder="1" applyAlignment="1"/>
    <xf numFmtId="2" fontId="44" fillId="0" borderId="1" xfId="0" applyNumberFormat="1" applyFont="1" applyFill="1" applyBorder="1" applyAlignment="1">
      <alignment horizontal="left"/>
    </xf>
    <xf numFmtId="166" fontId="61" fillId="0" borderId="1" xfId="7" applyFont="1" applyBorder="1"/>
    <xf numFmtId="185" fontId="61" fillId="0" borderId="1" xfId="7" applyNumberFormat="1" applyFont="1" applyBorder="1" applyAlignment="1">
      <alignment horizontal="center"/>
    </xf>
    <xf numFmtId="185" fontId="61" fillId="0" borderId="1" xfId="7" applyNumberFormat="1" applyFont="1" applyBorder="1"/>
    <xf numFmtId="0" fontId="61" fillId="0" borderId="1" xfId="0" applyFont="1" applyBorder="1" applyAlignment="1">
      <alignment horizontal="center"/>
    </xf>
    <xf numFmtId="168" fontId="61" fillId="0" borderId="1" xfId="7" applyNumberFormat="1" applyFont="1" applyBorder="1"/>
    <xf numFmtId="0" fontId="44" fillId="0" borderId="38" xfId="0" applyFont="1" applyBorder="1" applyAlignment="1">
      <alignment horizontal="center"/>
    </xf>
    <xf numFmtId="0" fontId="44" fillId="5" borderId="38" xfId="0" applyFont="1" applyFill="1" applyBorder="1" applyAlignment="1">
      <alignment horizontal="left"/>
    </xf>
    <xf numFmtId="169" fontId="44" fillId="0" borderId="38" xfId="0" applyNumberFormat="1" applyFont="1" applyBorder="1" applyAlignment="1">
      <alignment horizontal="left"/>
    </xf>
    <xf numFmtId="49" fontId="44" fillId="0" borderId="38" xfId="0" applyNumberFormat="1" applyFont="1" applyBorder="1" applyAlignment="1">
      <alignment horizontal="left" vertical="top"/>
    </xf>
    <xf numFmtId="49" fontId="44" fillId="0" borderId="38" xfId="0" applyNumberFormat="1" applyFont="1" applyBorder="1" applyAlignment="1">
      <alignment horizontal="left"/>
    </xf>
    <xf numFmtId="168" fontId="44" fillId="0" borderId="38" xfId="7" applyNumberFormat="1" applyFont="1" applyFill="1" applyBorder="1" applyAlignment="1">
      <alignment horizontal="right"/>
    </xf>
    <xf numFmtId="1" fontId="44" fillId="0" borderId="38" xfId="7" applyNumberFormat="1" applyFont="1" applyFill="1" applyBorder="1" applyAlignment="1"/>
    <xf numFmtId="1" fontId="44" fillId="0" borderId="38" xfId="0" applyNumberFormat="1" applyFont="1" applyBorder="1"/>
    <xf numFmtId="2" fontId="44" fillId="0" borderId="38" xfId="0" applyNumberFormat="1" applyFont="1" applyBorder="1" applyAlignment="1">
      <alignment horizontal="left"/>
    </xf>
    <xf numFmtId="185" fontId="61" fillId="0" borderId="38" xfId="7" applyNumberFormat="1" applyFont="1" applyBorder="1"/>
    <xf numFmtId="166" fontId="61" fillId="0" borderId="38" xfId="7" applyFont="1" applyBorder="1"/>
    <xf numFmtId="0" fontId="44" fillId="0" borderId="0" xfId="0" applyFont="1" applyAlignment="1">
      <alignment horizontal="center"/>
    </xf>
    <xf numFmtId="0" fontId="44" fillId="0" borderId="0" xfId="0" applyNumberFormat="1" applyFont="1"/>
    <xf numFmtId="0" fontId="62" fillId="0" borderId="0" xfId="0" applyFont="1" applyAlignment="1"/>
    <xf numFmtId="0" fontId="44" fillId="0" borderId="0" xfId="0" applyFont="1" applyAlignment="1"/>
    <xf numFmtId="2" fontId="58" fillId="0" borderId="0" xfId="12" applyNumberFormat="1" applyFont="1" applyFill="1" applyBorder="1" applyAlignment="1">
      <alignment vertical="top"/>
    </xf>
    <xf numFmtId="2" fontId="60" fillId="18" borderId="32" xfId="0" applyNumberFormat="1" applyFont="1" applyFill="1" applyBorder="1" applyAlignment="1">
      <alignment horizontal="left" vertical="top" wrapText="1"/>
    </xf>
    <xf numFmtId="2" fontId="53" fillId="18" borderId="32" xfId="0" applyNumberFormat="1" applyFont="1" applyFill="1" applyBorder="1" applyAlignment="1">
      <alignment horizontal="left" vertical="top" wrapText="1"/>
    </xf>
    <xf numFmtId="2" fontId="53" fillId="18" borderId="32" xfId="0" applyNumberFormat="1" applyFont="1" applyFill="1" applyBorder="1" applyAlignment="1">
      <alignment horizontal="center" vertical="top" wrapText="1"/>
    </xf>
    <xf numFmtId="166" fontId="44" fillId="17" borderId="3" xfId="7" applyFont="1" applyFill="1" applyBorder="1" applyAlignment="1">
      <alignment horizontal="center"/>
    </xf>
    <xf numFmtId="1" fontId="44" fillId="0" borderId="0" xfId="38" applyNumberFormat="1" applyFont="1" applyAlignment="1">
      <alignment horizontal="center"/>
    </xf>
    <xf numFmtId="166" fontId="44" fillId="0" borderId="0" xfId="7" applyFont="1" applyAlignment="1">
      <alignment horizontal="left"/>
    </xf>
    <xf numFmtId="177" fontId="44" fillId="0" borderId="0" xfId="38" applyNumberFormat="1" applyFont="1" applyAlignment="1">
      <alignment horizontal="center"/>
    </xf>
    <xf numFmtId="3" fontId="44" fillId="0" borderId="0" xfId="38" applyNumberFormat="1" applyFont="1" applyAlignment="1">
      <alignment horizontal="right"/>
    </xf>
    <xf numFmtId="166" fontId="44" fillId="0" borderId="0" xfId="7" applyFont="1" applyAlignment="1">
      <alignment horizontal="center"/>
    </xf>
    <xf numFmtId="0" fontId="44" fillId="0" borderId="0" xfId="38" applyFont="1" applyAlignment="1">
      <alignment horizontal="center"/>
    </xf>
    <xf numFmtId="0" fontId="44" fillId="0" borderId="0" xfId="38" applyFont="1"/>
    <xf numFmtId="0" fontId="52" fillId="0" borderId="0" xfId="38" applyFont="1"/>
    <xf numFmtId="0" fontId="64" fillId="0" borderId="0" xfId="12" applyFont="1" applyFill="1" applyAlignment="1"/>
    <xf numFmtId="177" fontId="47" fillId="0" borderId="0" xfId="12" applyNumberFormat="1" applyFont="1" applyFill="1" applyAlignment="1"/>
    <xf numFmtId="3" fontId="47" fillId="0" borderId="0" xfId="12" applyNumberFormat="1" applyFont="1" applyFill="1" applyAlignment="1">
      <alignment horizontal="right"/>
    </xf>
    <xf numFmtId="0" fontId="44" fillId="0" borderId="0" xfId="38" applyFont="1" applyFill="1" applyAlignment="1">
      <alignment horizontal="center"/>
    </xf>
    <xf numFmtId="2" fontId="44" fillId="0" borderId="0" xfId="38" applyNumberFormat="1" applyFont="1" applyAlignment="1">
      <alignment horizontal="center"/>
    </xf>
    <xf numFmtId="2" fontId="44" fillId="0" borderId="0" xfId="7" applyNumberFormat="1" applyFont="1" applyAlignment="1">
      <alignment horizontal="left"/>
    </xf>
    <xf numFmtId="180" fontId="44" fillId="4" borderId="1" xfId="0" applyNumberFormat="1" applyFont="1" applyFill="1" applyBorder="1" applyAlignment="1">
      <alignment horizontal="center"/>
    </xf>
    <xf numFmtId="1" fontId="44" fillId="4" borderId="1" xfId="0" applyNumberFormat="1" applyFont="1" applyFill="1" applyBorder="1" applyAlignment="1">
      <alignment horizontal="center"/>
    </xf>
    <xf numFmtId="2" fontId="44" fillId="4" borderId="1" xfId="0" applyNumberFormat="1" applyFont="1" applyFill="1" applyBorder="1"/>
    <xf numFmtId="2" fontId="44" fillId="4" borderId="1" xfId="0" applyNumberFormat="1" applyFont="1" applyFill="1" applyBorder="1" applyAlignment="1">
      <alignment horizontal="left"/>
    </xf>
    <xf numFmtId="177" fontId="44" fillId="0" borderId="38" xfId="0" applyNumberFormat="1" applyFont="1" applyBorder="1" applyAlignment="1">
      <alignment horizontal="center"/>
    </xf>
    <xf numFmtId="3" fontId="42" fillId="0" borderId="1" xfId="0" applyNumberFormat="1" applyFont="1" applyFill="1" applyBorder="1" applyAlignment="1">
      <alignment horizontal="right"/>
    </xf>
    <xf numFmtId="3" fontId="42" fillId="0" borderId="14" xfId="0" applyNumberFormat="1" applyFont="1" applyFill="1" applyBorder="1" applyAlignment="1">
      <alignment horizontal="right"/>
    </xf>
    <xf numFmtId="178" fontId="44" fillId="0" borderId="1" xfId="0" applyNumberFormat="1" applyFont="1" applyFill="1" applyBorder="1" applyAlignment="1" applyProtection="1">
      <alignment horizontal="center"/>
    </xf>
    <xf numFmtId="179" fontId="44" fillId="0" borderId="1" xfId="0" applyNumberFormat="1" applyFont="1" applyFill="1" applyBorder="1" applyAlignment="1" applyProtection="1">
      <alignment horizontal="center"/>
    </xf>
    <xf numFmtId="0" fontId="52" fillId="0" borderId="14" xfId="38" applyFont="1" applyBorder="1"/>
    <xf numFmtId="177" fontId="44" fillId="0" borderId="38" xfId="0" applyNumberFormat="1" applyFont="1" applyBorder="1" applyAlignment="1">
      <alignment horizontal="left"/>
    </xf>
    <xf numFmtId="180" fontId="44" fillId="0" borderId="1" xfId="0" applyNumberFormat="1" applyFont="1" applyBorder="1" applyAlignment="1">
      <alignment horizontal="center"/>
    </xf>
    <xf numFmtId="1" fontId="44" fillId="0" borderId="1" xfId="0" applyNumberFormat="1" applyFont="1" applyBorder="1" applyAlignment="1">
      <alignment horizontal="center"/>
    </xf>
    <xf numFmtId="2" fontId="44" fillId="0" borderId="1" xfId="0" applyNumberFormat="1" applyFont="1" applyBorder="1"/>
    <xf numFmtId="0" fontId="44" fillId="0" borderId="1" xfId="0" applyNumberFormat="1" applyFont="1" applyFill="1" applyBorder="1" applyAlignment="1">
      <alignment horizontal="center"/>
    </xf>
    <xf numFmtId="0" fontId="44" fillId="0" borderId="1" xfId="1" quotePrefix="1" applyNumberFormat="1" applyFont="1" applyFill="1" applyBorder="1" applyAlignment="1">
      <alignment horizontal="center"/>
    </xf>
    <xf numFmtId="0" fontId="44" fillId="0" borderId="1" xfId="0" applyNumberFormat="1" applyFont="1" applyFill="1" applyBorder="1" applyAlignment="1">
      <alignment horizontal="left"/>
    </xf>
    <xf numFmtId="0" fontId="44" fillId="0" borderId="14" xfId="0" applyFont="1" applyBorder="1"/>
    <xf numFmtId="0" fontId="44" fillId="0" borderId="14" xfId="38" applyFont="1" applyBorder="1"/>
    <xf numFmtId="0" fontId="52" fillId="0" borderId="14" xfId="0" applyFont="1" applyBorder="1"/>
    <xf numFmtId="0" fontId="52" fillId="0" borderId="0" xfId="0" applyFont="1"/>
    <xf numFmtId="0" fontId="44" fillId="0" borderId="0" xfId="38" applyFont="1" applyFill="1" applyAlignment="1"/>
    <xf numFmtId="0" fontId="44" fillId="0" borderId="0" xfId="38" applyFont="1" applyFill="1"/>
    <xf numFmtId="166" fontId="44" fillId="0" borderId="0" xfId="7" applyFont="1" applyFill="1" applyAlignment="1">
      <alignment horizontal="center"/>
    </xf>
    <xf numFmtId="2" fontId="60" fillId="18" borderId="32" xfId="0" applyNumberFormat="1" applyFont="1" applyFill="1" applyBorder="1" applyAlignment="1">
      <alignment horizontal="center" vertical="top" wrapText="1"/>
    </xf>
    <xf numFmtId="177" fontId="44" fillId="17" borderId="38" xfId="0" applyNumberFormat="1" applyFont="1" applyFill="1" applyBorder="1" applyAlignment="1">
      <alignment horizontal="center"/>
    </xf>
    <xf numFmtId="190" fontId="42" fillId="0" borderId="1" xfId="0" applyNumberFormat="1" applyFont="1" applyFill="1" applyBorder="1" applyAlignment="1">
      <alignment horizontal="center"/>
    </xf>
    <xf numFmtId="190" fontId="44" fillId="0" borderId="38" xfId="0" applyNumberFormat="1" applyFont="1" applyBorder="1" applyAlignment="1">
      <alignment horizontal="left"/>
    </xf>
    <xf numFmtId="0" fontId="59" fillId="0" borderId="0" xfId="37" applyNumberFormat="1" applyFont="1" applyAlignment="1">
      <alignment horizontal="center"/>
    </xf>
    <xf numFmtId="0" fontId="59" fillId="0" borderId="0" xfId="37" applyFont="1"/>
    <xf numFmtId="0" fontId="44" fillId="0" borderId="0" xfId="23" applyFont="1"/>
    <xf numFmtId="0" fontId="47" fillId="0" borderId="0" xfId="39" applyNumberFormat="1" applyFont="1" applyFill="1" applyBorder="1" applyAlignment="1">
      <alignment horizontal="center"/>
    </xf>
    <xf numFmtId="2" fontId="46" fillId="0" borderId="0" xfId="39" applyNumberFormat="1" applyFont="1" applyFill="1" applyBorder="1" applyAlignment="1"/>
    <xf numFmtId="2" fontId="47" fillId="0" borderId="0" xfId="39" applyNumberFormat="1" applyFont="1" applyFill="1" applyBorder="1" applyAlignment="1">
      <alignment horizontal="left"/>
    </xf>
    <xf numFmtId="2" fontId="47" fillId="0" borderId="0" xfId="39" applyNumberFormat="1" applyFont="1" applyFill="1" applyBorder="1" applyAlignment="1"/>
    <xf numFmtId="2" fontId="46" fillId="0" borderId="0" xfId="37" applyNumberFormat="1" applyFont="1" applyFill="1" applyBorder="1" applyAlignment="1">
      <alignment vertical="center"/>
    </xf>
    <xf numFmtId="0" fontId="47" fillId="0" borderId="0" xfId="39" applyNumberFormat="1" applyFont="1" applyFill="1" applyBorder="1" applyAlignment="1">
      <alignment horizontal="left"/>
    </xf>
    <xf numFmtId="49" fontId="48" fillId="0" borderId="0" xfId="39" applyNumberFormat="1" applyFont="1" applyFill="1" applyBorder="1" applyAlignment="1">
      <alignment horizontal="left"/>
    </xf>
    <xf numFmtId="1" fontId="48" fillId="0" borderId="0" xfId="39" applyNumberFormat="1" applyFont="1" applyFill="1" applyBorder="1" applyAlignment="1">
      <alignment horizontal="left"/>
    </xf>
    <xf numFmtId="2" fontId="47" fillId="0" borderId="0" xfId="37" applyNumberFormat="1" applyFont="1" applyFill="1" applyBorder="1" applyAlignment="1">
      <alignment vertical="center"/>
    </xf>
    <xf numFmtId="0" fontId="47" fillId="0" borderId="0" xfId="37" applyNumberFormat="1" applyFont="1" applyFill="1" applyBorder="1" applyAlignment="1">
      <alignment horizontal="center" vertical="center"/>
    </xf>
    <xf numFmtId="0" fontId="59" fillId="0" borderId="0" xfId="37" applyFont="1" applyAlignment="1">
      <alignment horizontal="center"/>
    </xf>
    <xf numFmtId="49" fontId="48" fillId="0" borderId="0" xfId="39" applyNumberFormat="1" applyFont="1" applyAlignment="1">
      <alignment horizontal="left"/>
    </xf>
    <xf numFmtId="0" fontId="47" fillId="0" borderId="0" xfId="39" applyFont="1" applyAlignment="1">
      <alignment horizontal="left"/>
    </xf>
    <xf numFmtId="2" fontId="46" fillId="0" borderId="0" xfId="37" applyNumberFormat="1" applyFont="1" applyAlignment="1">
      <alignment vertical="center"/>
    </xf>
    <xf numFmtId="0" fontId="65" fillId="0" borderId="38" xfId="191" applyFont="1" applyBorder="1"/>
    <xf numFmtId="2" fontId="47" fillId="0" borderId="0" xfId="37" applyNumberFormat="1" applyFont="1" applyAlignment="1">
      <alignment vertical="center"/>
    </xf>
    <xf numFmtId="0" fontId="47" fillId="0" borderId="0" xfId="37" applyFont="1" applyAlignment="1">
      <alignment horizontal="center" vertical="center"/>
    </xf>
    <xf numFmtId="0" fontId="44" fillId="0" borderId="4" xfId="12" applyNumberFormat="1" applyFont="1" applyFill="1" applyBorder="1" applyAlignment="1"/>
    <xf numFmtId="182" fontId="44" fillId="0" borderId="1" xfId="12" applyNumberFormat="1" applyFont="1" applyFill="1" applyBorder="1" applyAlignment="1">
      <alignment horizontal="center"/>
    </xf>
    <xf numFmtId="165" fontId="44" fillId="0" borderId="1" xfId="29" applyFont="1" applyFill="1" applyBorder="1" applyAlignment="1"/>
    <xf numFmtId="49" fontId="66" fillId="0" borderId="5" xfId="12" applyNumberFormat="1" applyFont="1" applyFill="1" applyBorder="1" applyAlignment="1"/>
    <xf numFmtId="164" fontId="66" fillId="0" borderId="2" xfId="12" applyNumberFormat="1" applyFont="1" applyFill="1" applyBorder="1" applyAlignment="1"/>
    <xf numFmtId="166" fontId="66" fillId="0" borderId="1" xfId="12" applyNumberFormat="1" applyFont="1" applyFill="1" applyBorder="1" applyAlignment="1"/>
    <xf numFmtId="165" fontId="66" fillId="0" borderId="1" xfId="29" applyFont="1" applyFill="1" applyBorder="1" applyAlignment="1">
      <alignment horizontal="right"/>
    </xf>
    <xf numFmtId="0" fontId="59" fillId="0" borderId="0" xfId="37" applyFont="1" applyBorder="1"/>
    <xf numFmtId="2" fontId="59" fillId="0" borderId="0" xfId="37" applyNumberFormat="1" applyFont="1" applyFill="1"/>
    <xf numFmtId="0" fontId="47" fillId="0" borderId="0" xfId="39" applyFont="1" applyAlignment="1">
      <alignment horizontal="center"/>
    </xf>
    <xf numFmtId="49" fontId="44" fillId="0" borderId="4" xfId="12" applyNumberFormat="1" applyFont="1" applyFill="1" applyBorder="1" applyAlignment="1"/>
    <xf numFmtId="0" fontId="44" fillId="0" borderId="4" xfId="12" applyNumberFormat="1" applyFont="1" applyFill="1" applyBorder="1" applyAlignment="1">
      <alignment horizontal="center"/>
    </xf>
    <xf numFmtId="49" fontId="66" fillId="0" borderId="4" xfId="12" applyNumberFormat="1" applyFont="1" applyFill="1" applyBorder="1" applyAlignment="1"/>
    <xf numFmtId="0" fontId="44" fillId="0" borderId="0" xfId="17" applyFont="1"/>
    <xf numFmtId="0" fontId="48" fillId="0" borderId="0" xfId="39" applyNumberFormat="1" applyFont="1" applyFill="1" applyBorder="1" applyAlignment="1">
      <alignment horizontal="left"/>
    </xf>
    <xf numFmtId="2" fontId="46" fillId="0" borderId="0" xfId="37" applyNumberFormat="1" applyFont="1" applyFill="1" applyBorder="1" applyAlignment="1">
      <alignment vertical="center" wrapText="1"/>
    </xf>
    <xf numFmtId="0" fontId="44" fillId="4" borderId="14" xfId="17" applyFont="1" applyFill="1" applyBorder="1" applyAlignment="1">
      <alignment vertical="center"/>
    </xf>
    <xf numFmtId="168" fontId="44" fillId="4" borderId="14" xfId="7" applyNumberFormat="1" applyFont="1" applyFill="1" applyBorder="1" applyAlignment="1" applyProtection="1">
      <alignment horizontal="center" vertical="center" wrapText="1"/>
      <protection hidden="1"/>
    </xf>
    <xf numFmtId="0" fontId="44" fillId="0" borderId="14" xfId="17" applyNumberFormat="1" applyFont="1" applyFill="1" applyBorder="1" applyAlignment="1" applyProtection="1">
      <alignment horizontal="center" vertical="center"/>
      <protection hidden="1"/>
    </xf>
    <xf numFmtId="0" fontId="44" fillId="4" borderId="14" xfId="17" applyFont="1" applyFill="1" applyBorder="1" applyAlignment="1" applyProtection="1">
      <alignment vertical="center"/>
      <protection hidden="1"/>
    </xf>
    <xf numFmtId="168" fontId="44" fillId="4" borderId="14" xfId="7" applyNumberFormat="1" applyFont="1" applyFill="1" applyBorder="1" applyAlignment="1" applyProtection="1">
      <alignment horizontal="center" vertical="center"/>
      <protection hidden="1"/>
    </xf>
    <xf numFmtId="0" fontId="44" fillId="0" borderId="14" xfId="17" applyFont="1" applyBorder="1" applyAlignment="1" applyProtection="1">
      <alignment vertical="center"/>
      <protection hidden="1"/>
    </xf>
    <xf numFmtId="0" fontId="44" fillId="0" borderId="14" xfId="17" applyFont="1" applyFill="1" applyBorder="1" applyAlignment="1" applyProtection="1">
      <alignment vertical="center"/>
      <protection hidden="1"/>
    </xf>
    <xf numFmtId="0" fontId="44" fillId="0" borderId="14" xfId="17" applyNumberFormat="1" applyFont="1" applyFill="1" applyBorder="1" applyAlignment="1" applyProtection="1">
      <alignment horizontal="center" vertical="center" wrapText="1"/>
      <protection hidden="1"/>
    </xf>
    <xf numFmtId="176" fontId="44" fillId="0" borderId="14" xfId="17" applyNumberFormat="1" applyFont="1" applyFill="1" applyBorder="1" applyAlignment="1" applyProtection="1">
      <alignment vertical="center"/>
      <protection hidden="1"/>
    </xf>
    <xf numFmtId="0" fontId="67" fillId="0" borderId="0" xfId="17" applyFont="1" applyAlignment="1">
      <alignment vertical="center" wrapText="1"/>
    </xf>
    <xf numFmtId="0" fontId="68" fillId="0" borderId="10" xfId="37" applyFont="1" applyBorder="1"/>
    <xf numFmtId="0" fontId="59" fillId="0" borderId="13" xfId="37" applyNumberFormat="1" applyFont="1" applyBorder="1" applyAlignment="1">
      <alignment horizontal="center"/>
    </xf>
    <xf numFmtId="0" fontId="59" fillId="0" borderId="13" xfId="37" applyFont="1" applyBorder="1"/>
    <xf numFmtId="176" fontId="68" fillId="0" borderId="14" xfId="37" applyNumberFormat="1" applyFont="1" applyBorder="1"/>
    <xf numFmtId="0" fontId="68" fillId="0" borderId="0" xfId="37" applyFont="1" applyBorder="1"/>
    <xf numFmtId="0" fontId="59" fillId="0" borderId="0" xfId="37" applyNumberFormat="1" applyFont="1" applyBorder="1" applyAlignment="1">
      <alignment horizontal="center"/>
    </xf>
    <xf numFmtId="176" fontId="68" fillId="0" borderId="0" xfId="37" applyNumberFormat="1" applyFont="1" applyBorder="1"/>
    <xf numFmtId="0" fontId="69" fillId="0" borderId="0" xfId="37" applyFont="1" applyBorder="1"/>
    <xf numFmtId="166" fontId="44" fillId="17" borderId="31" xfId="12" applyNumberFormat="1" applyFont="1" applyFill="1" applyBorder="1" applyAlignment="1"/>
    <xf numFmtId="2" fontId="58" fillId="0" borderId="0" xfId="39" applyNumberFormat="1" applyFont="1" applyFill="1" applyBorder="1" applyAlignment="1"/>
    <xf numFmtId="2" fontId="58" fillId="0" borderId="0" xfId="47" applyNumberFormat="1" applyFont="1" applyFill="1" applyBorder="1" applyAlignment="1"/>
    <xf numFmtId="2" fontId="56" fillId="0" borderId="0" xfId="39" applyNumberFormat="1" applyFont="1" applyFill="1" applyBorder="1" applyAlignment="1">
      <alignment horizontal="left"/>
    </xf>
    <xf numFmtId="2" fontId="56" fillId="0" borderId="0" xfId="39" applyNumberFormat="1" applyFont="1" applyFill="1" applyBorder="1" applyAlignment="1"/>
    <xf numFmtId="0" fontId="44" fillId="0" borderId="1" xfId="23" applyFont="1" applyFill="1" applyBorder="1" applyAlignment="1">
      <alignment horizontal="center"/>
    </xf>
    <xf numFmtId="2" fontId="56" fillId="0" borderId="0" xfId="37" applyNumberFormat="1" applyFont="1" applyFill="1" applyBorder="1" applyAlignment="1">
      <alignment vertical="center"/>
    </xf>
    <xf numFmtId="0" fontId="44" fillId="17" borderId="19" xfId="17" applyNumberFormat="1" applyFont="1" applyFill="1" applyBorder="1" applyAlignment="1" applyProtection="1">
      <alignment horizontal="center" vertical="center" wrapText="1"/>
      <protection hidden="1"/>
    </xf>
    <xf numFmtId="0" fontId="44" fillId="17" borderId="19" xfId="17" applyNumberFormat="1" applyFont="1" applyFill="1" applyBorder="1" applyAlignment="1" applyProtection="1">
      <alignment horizontal="center" vertical="center"/>
      <protection hidden="1"/>
    </xf>
    <xf numFmtId="0" fontId="44" fillId="17" borderId="14" xfId="17" applyNumberFormat="1" applyFont="1" applyFill="1" applyBorder="1" applyAlignment="1" applyProtection="1">
      <alignment horizontal="center" vertical="center"/>
      <protection hidden="1"/>
    </xf>
    <xf numFmtId="176" fontId="44" fillId="17" borderId="14" xfId="17" applyNumberFormat="1" applyFont="1" applyFill="1" applyBorder="1" applyAlignment="1" applyProtection="1">
      <alignment vertical="center"/>
      <protection hidden="1"/>
    </xf>
    <xf numFmtId="2" fontId="60" fillId="18" borderId="53" xfId="0" applyNumberFormat="1" applyFont="1" applyFill="1" applyBorder="1" applyAlignment="1">
      <alignment horizontal="center" vertical="top" wrapText="1"/>
    </xf>
    <xf numFmtId="0" fontId="44" fillId="4" borderId="3" xfId="17" applyFont="1" applyFill="1" applyBorder="1"/>
    <xf numFmtId="2" fontId="60" fillId="18" borderId="3" xfId="0" applyNumberFormat="1" applyFont="1" applyFill="1" applyBorder="1" applyAlignment="1">
      <alignment horizontal="left" vertical="top" wrapText="1"/>
    </xf>
    <xf numFmtId="2" fontId="60" fillId="18" borderId="3" xfId="0" applyNumberFormat="1" applyFont="1" applyFill="1" applyBorder="1" applyAlignment="1">
      <alignment horizontal="center" vertical="top" wrapText="1"/>
    </xf>
    <xf numFmtId="0" fontId="57" fillId="18" borderId="51" xfId="39" applyFont="1" applyFill="1" applyBorder="1" applyAlignment="1">
      <alignment horizontal="left"/>
    </xf>
    <xf numFmtId="0" fontId="57" fillId="18" borderId="52" xfId="39" applyFont="1" applyFill="1" applyBorder="1" applyAlignment="1">
      <alignment horizontal="left"/>
    </xf>
    <xf numFmtId="0" fontId="57" fillId="18" borderId="52" xfId="39" applyFont="1" applyFill="1" applyBorder="1" applyAlignment="1">
      <alignment horizontal="center"/>
    </xf>
    <xf numFmtId="0" fontId="57" fillId="18" borderId="54" xfId="39" applyFont="1" applyFill="1" applyBorder="1" applyAlignment="1">
      <alignment horizontal="center"/>
    </xf>
    <xf numFmtId="49" fontId="53" fillId="16" borderId="51" xfId="11" applyNumberFormat="1" applyFont="1" applyFill="1" applyBorder="1" applyAlignment="1" applyProtection="1">
      <alignment horizontal="left" vertical="top"/>
      <protection hidden="1"/>
    </xf>
    <xf numFmtId="49" fontId="53" fillId="16" borderId="54" xfId="11" applyNumberFormat="1" applyFont="1" applyFill="1" applyBorder="1" applyAlignment="1" applyProtection="1">
      <alignment horizontal="left" vertical="top"/>
      <protection hidden="1"/>
    </xf>
    <xf numFmtId="49" fontId="53" fillId="16" borderId="15" xfId="11" applyNumberFormat="1" applyFont="1" applyFill="1" applyBorder="1" applyAlignment="1" applyProtection="1">
      <alignment horizontal="left" vertical="top"/>
      <protection hidden="1"/>
    </xf>
    <xf numFmtId="0" fontId="53" fillId="17" borderId="1" xfId="38" applyFont="1" applyFill="1" applyBorder="1" applyAlignment="1">
      <alignment horizontal="left"/>
    </xf>
    <xf numFmtId="0" fontId="53" fillId="17" borderId="1" xfId="37" applyFont="1" applyFill="1" applyBorder="1"/>
    <xf numFmtId="0" fontId="43" fillId="17" borderId="1" xfId="37" applyFont="1" applyFill="1" applyBorder="1"/>
    <xf numFmtId="0" fontId="44" fillId="0" borderId="0" xfId="41" applyFont="1"/>
    <xf numFmtId="189" fontId="44" fillId="0" borderId="33" xfId="41" applyNumberFormat="1" applyFont="1" applyBorder="1" applyAlignment="1">
      <alignment horizontal="left"/>
    </xf>
    <xf numFmtId="0" fontId="44" fillId="0" borderId="33" xfId="41" applyFont="1" applyBorder="1"/>
    <xf numFmtId="189" fontId="44" fillId="0" borderId="33" xfId="41" applyNumberFormat="1" applyFont="1" applyBorder="1" applyAlignment="1">
      <alignment horizontal="left" vertical="center"/>
    </xf>
    <xf numFmtId="0" fontId="44" fillId="0" borderId="33" xfId="41" applyFont="1" applyBorder="1" applyAlignment="1">
      <alignment horizontal="left" vertical="center" wrapText="1"/>
    </xf>
    <xf numFmtId="0" fontId="44" fillId="0" borderId="0" xfId="41" applyFont="1" applyAlignment="1">
      <alignment horizontal="left" vertical="center"/>
    </xf>
    <xf numFmtId="0" fontId="44" fillId="0" borderId="33" xfId="41" applyFont="1" applyBorder="1" applyAlignment="1">
      <alignment vertical="center" wrapText="1"/>
    </xf>
    <xf numFmtId="49" fontId="53" fillId="16" borderId="33" xfId="11" applyNumberFormat="1" applyFont="1" applyFill="1" applyBorder="1" applyAlignment="1" applyProtection="1">
      <alignment horizontal="left" vertical="top"/>
      <protection hidden="1"/>
    </xf>
    <xf numFmtId="2" fontId="70" fillId="18" borderId="32" xfId="0" applyNumberFormat="1" applyFont="1" applyFill="1" applyBorder="1" applyAlignment="1">
      <alignment horizontal="left" vertical="top" wrapText="1"/>
    </xf>
    <xf numFmtId="177" fontId="44" fillId="0" borderId="51" xfId="0" applyNumberFormat="1" applyFont="1" applyFill="1" applyBorder="1" applyAlignment="1">
      <alignment horizontal="left"/>
    </xf>
    <xf numFmtId="178" fontId="44" fillId="0" borderId="54" xfId="0" applyNumberFormat="1" applyFont="1" applyFill="1" applyBorder="1" applyAlignment="1" applyProtection="1">
      <alignment horizontal="center"/>
    </xf>
    <xf numFmtId="3" fontId="42" fillId="0" borderId="32" xfId="0" applyNumberFormat="1" applyFont="1" applyFill="1" applyBorder="1" applyAlignment="1">
      <alignment horizontal="right"/>
    </xf>
    <xf numFmtId="168" fontId="53" fillId="0" borderId="55" xfId="7" applyNumberFormat="1" applyFont="1" applyFill="1" applyBorder="1" applyAlignment="1">
      <alignment horizontal="left"/>
    </xf>
    <xf numFmtId="2" fontId="56" fillId="0" borderId="0" xfId="12" applyNumberFormat="1" applyFont="1" applyFill="1" applyBorder="1" applyAlignment="1">
      <alignment horizontal="left"/>
    </xf>
    <xf numFmtId="2" fontId="46" fillId="0" borderId="0" xfId="37" applyNumberFormat="1" applyFont="1" applyFill="1" applyBorder="1" applyAlignment="1">
      <alignment horizontal="right" vertical="center"/>
    </xf>
    <xf numFmtId="0" fontId="49" fillId="0" borderId="4" xfId="11" applyFont="1" applyFill="1" applyBorder="1" applyAlignment="1" applyProtection="1">
      <alignment horizontal="left"/>
      <protection hidden="1"/>
    </xf>
    <xf numFmtId="0" fontId="49" fillId="0" borderId="2" xfId="11" applyFont="1" applyFill="1" applyBorder="1" applyAlignment="1" applyProtection="1">
      <alignment horizontal="left"/>
      <protection hidden="1"/>
    </xf>
    <xf numFmtId="0" fontId="44" fillId="0" borderId="1" xfId="37" applyFont="1" applyFill="1" applyBorder="1"/>
    <xf numFmtId="0" fontId="52" fillId="0" borderId="1" xfId="11" applyNumberFormat="1" applyFont="1" applyFill="1" applyBorder="1" applyAlignment="1" applyProtection="1">
      <alignment horizontal="left"/>
      <protection hidden="1"/>
    </xf>
    <xf numFmtId="0" fontId="52" fillId="0" borderId="0" xfId="11" applyNumberFormat="1" applyFont="1" applyFill="1" applyBorder="1" applyAlignment="1" applyProtection="1">
      <alignment horizontal="center"/>
      <protection hidden="1"/>
    </xf>
    <xf numFmtId="0" fontId="52" fillId="0" borderId="0" xfId="11" applyFont="1" applyFill="1" applyBorder="1" applyAlignment="1" applyProtection="1">
      <alignment horizontal="left"/>
      <protection hidden="1"/>
    </xf>
    <xf numFmtId="0" fontId="52" fillId="0" borderId="0" xfId="11" applyFont="1" applyFill="1" applyBorder="1" applyAlignment="1" applyProtection="1">
      <alignment horizontal="center"/>
      <protection hidden="1"/>
    </xf>
    <xf numFmtId="0" fontId="58" fillId="0" borderId="0" xfId="11" applyNumberFormat="1" applyFont="1" applyFill="1" applyBorder="1" applyAlignment="1" applyProtection="1">
      <alignment horizontal="left" vertical="center"/>
      <protection hidden="1"/>
    </xf>
    <xf numFmtId="0" fontId="59" fillId="0" borderId="0" xfId="37" applyFont="1" applyFill="1" applyBorder="1" applyAlignment="1"/>
    <xf numFmtId="0" fontId="44" fillId="0" borderId="0" xfId="37" applyFont="1" applyFill="1" applyBorder="1" applyAlignment="1"/>
    <xf numFmtId="0" fontId="59" fillId="0" borderId="0" xfId="37" applyFont="1" applyBorder="1" applyAlignment="1"/>
    <xf numFmtId="0" fontId="59" fillId="0" borderId="0" xfId="37" applyFont="1" applyFill="1" applyBorder="1"/>
    <xf numFmtId="176" fontId="59" fillId="0" borderId="0" xfId="37" applyNumberFormat="1" applyFont="1" applyFill="1" applyBorder="1"/>
    <xf numFmtId="0" fontId="44" fillId="0" borderId="0" xfId="17" applyFont="1" applyAlignment="1"/>
    <xf numFmtId="0" fontId="44" fillId="0" borderId="0" xfId="12" applyFont="1"/>
    <xf numFmtId="2" fontId="47" fillId="0" borderId="0" xfId="12" applyNumberFormat="1" applyFont="1" applyAlignment="1">
      <alignment horizontal="left"/>
    </xf>
    <xf numFmtId="0" fontId="47" fillId="0" borderId="0" xfId="12" applyFont="1"/>
    <xf numFmtId="2" fontId="47" fillId="0" borderId="0" xfId="12" quotePrefix="1" applyNumberFormat="1" applyFont="1"/>
    <xf numFmtId="0" fontId="47" fillId="0" borderId="0" xfId="12" applyFont="1" applyAlignment="1">
      <alignment horizontal="left"/>
    </xf>
    <xf numFmtId="168" fontId="51" fillId="0" borderId="54" xfId="7" applyNumberFormat="1" applyFont="1" applyFill="1" applyBorder="1"/>
    <xf numFmtId="0" fontId="51" fillId="0" borderId="54" xfId="0" applyFont="1" applyBorder="1"/>
    <xf numFmtId="0" fontId="44" fillId="0" borderId="52" xfId="0" applyFont="1" applyBorder="1"/>
    <xf numFmtId="0" fontId="51" fillId="0" borderId="51" xfId="0" applyFont="1" applyBorder="1"/>
    <xf numFmtId="3" fontId="59" fillId="0" borderId="56" xfId="28" applyNumberFormat="1" applyFont="1" applyBorder="1"/>
    <xf numFmtId="3" fontId="59" fillId="5" borderId="56" xfId="28" applyNumberFormat="1" applyFont="1" applyFill="1" applyBorder="1"/>
    <xf numFmtId="4" fontId="59" fillId="0" borderId="56" xfId="28" applyNumberFormat="1" applyFont="1" applyBorder="1"/>
    <xf numFmtId="4" fontId="59" fillId="0" borderId="56" xfId="28" applyNumberFormat="1" applyFont="1" applyBorder="1" applyAlignment="1">
      <alignment horizontal="center"/>
    </xf>
    <xf numFmtId="3" fontId="59" fillId="0" borderId="56" xfId="28" applyNumberFormat="1" applyFont="1" applyBorder="1" applyAlignment="1">
      <alignment horizontal="center"/>
    </xf>
    <xf numFmtId="4" fontId="59" fillId="0" borderId="0" xfId="28" applyNumberFormat="1" applyFont="1"/>
    <xf numFmtId="4" fontId="60" fillId="18" borderId="56" xfId="26" applyNumberFormat="1" applyFont="1" applyFill="1" applyBorder="1" applyAlignment="1">
      <alignment horizontal="center" vertical="top" wrapText="1"/>
    </xf>
    <xf numFmtId="4" fontId="60" fillId="18" borderId="56" xfId="26" applyNumberFormat="1" applyFont="1" applyFill="1" applyBorder="1" applyAlignment="1">
      <alignment horizontal="left" vertical="top" wrapText="1"/>
    </xf>
    <xf numFmtId="165" fontId="59" fillId="0" borderId="0" xfId="28" applyNumberFormat="1" applyFont="1"/>
    <xf numFmtId="4" fontId="68" fillId="0" borderId="0" xfId="28" applyNumberFormat="1" applyFont="1"/>
    <xf numFmtId="4" fontId="44" fillId="0" borderId="0" xfId="28" applyNumberFormat="1" applyFont="1"/>
    <xf numFmtId="165" fontId="44" fillId="0" borderId="0" xfId="28" applyNumberFormat="1" applyFont="1"/>
    <xf numFmtId="165" fontId="44" fillId="0" borderId="0" xfId="29" applyFont="1" applyBorder="1" applyAlignment="1"/>
    <xf numFmtId="176" fontId="59" fillId="17" borderId="56" xfId="37" applyNumberFormat="1" applyFont="1" applyFill="1" applyBorder="1"/>
    <xf numFmtId="176" fontId="59" fillId="17" borderId="57" xfId="37" applyNumberFormat="1" applyFont="1" applyFill="1" applyBorder="1"/>
    <xf numFmtId="4" fontId="51" fillId="0" borderId="0" xfId="28" applyNumberFormat="1" applyFont="1"/>
    <xf numFmtId="165" fontId="44" fillId="0" borderId="58" xfId="28" applyNumberFormat="1" applyFont="1" applyBorder="1"/>
    <xf numFmtId="165" fontId="44" fillId="0" borderId="59" xfId="28" applyNumberFormat="1" applyFont="1" applyBorder="1"/>
    <xf numFmtId="4" fontId="44" fillId="0" borderId="59" xfId="28" applyNumberFormat="1" applyFont="1" applyBorder="1"/>
    <xf numFmtId="4" fontId="59" fillId="0" borderId="59" xfId="28" applyNumberFormat="1" applyFont="1" applyBorder="1"/>
    <xf numFmtId="4" fontId="59" fillId="0" borderId="60" xfId="28" applyNumberFormat="1" applyFont="1" applyBorder="1"/>
    <xf numFmtId="165" fontId="51" fillId="0" borderId="55" xfId="28" applyNumberFormat="1" applyFont="1" applyBorder="1"/>
    <xf numFmtId="165" fontId="51" fillId="0" borderId="0" xfId="28" applyNumberFormat="1" applyFont="1"/>
    <xf numFmtId="4" fontId="68" fillId="0" borderId="61" xfId="28" applyNumberFormat="1" applyFont="1" applyBorder="1"/>
    <xf numFmtId="165" fontId="44" fillId="0" borderId="62" xfId="28" applyNumberFormat="1" applyFont="1" applyBorder="1"/>
    <xf numFmtId="4" fontId="59" fillId="0" borderId="61" xfId="28" applyNumberFormat="1" applyFont="1" applyBorder="1"/>
    <xf numFmtId="4" fontId="44" fillId="0" borderId="62" xfId="28" applyNumberFormat="1" applyFont="1" applyBorder="1"/>
    <xf numFmtId="4" fontId="51" fillId="0" borderId="61" xfId="28" applyNumberFormat="1" applyFont="1" applyBorder="1"/>
    <xf numFmtId="181" fontId="44" fillId="0" borderId="0" xfId="0" applyNumberFormat="1" applyFont="1"/>
    <xf numFmtId="0" fontId="44" fillId="0" borderId="63" xfId="26" applyFont="1" applyBorder="1"/>
    <xf numFmtId="0" fontId="44" fillId="0" borderId="64" xfId="26" applyFont="1" applyBorder="1"/>
    <xf numFmtId="0" fontId="44" fillId="0" borderId="65" xfId="26" applyFont="1" applyBorder="1"/>
    <xf numFmtId="43" fontId="44" fillId="0" borderId="0" xfId="0" applyNumberFormat="1" applyFont="1"/>
    <xf numFmtId="165" fontId="44" fillId="0" borderId="57" xfId="29" applyFont="1" applyFill="1" applyBorder="1" applyAlignment="1"/>
    <xf numFmtId="166" fontId="59" fillId="17" borderId="56" xfId="7" applyFont="1" applyFill="1" applyBorder="1"/>
    <xf numFmtId="49" fontId="59" fillId="5" borderId="56" xfId="7" applyNumberFormat="1" applyFont="1" applyFill="1" applyBorder="1" applyAlignment="1">
      <alignment horizontal="center"/>
    </xf>
    <xf numFmtId="3" fontId="44" fillId="0" borderId="54" xfId="26" applyNumberFormat="1" applyFont="1" applyBorder="1"/>
    <xf numFmtId="0" fontId="44" fillId="0" borderId="66" xfId="26" applyFont="1" applyBorder="1"/>
    <xf numFmtId="0" fontId="44" fillId="0" borderId="67" xfId="26" applyFont="1" applyBorder="1"/>
    <xf numFmtId="0" fontId="59" fillId="5" borderId="56" xfId="7" applyNumberFormat="1" applyFont="1" applyFill="1" applyBorder="1" applyAlignment="1">
      <alignment horizontal="center"/>
    </xf>
    <xf numFmtId="4" fontId="60" fillId="18" borderId="63" xfId="26" applyNumberFormat="1" applyFont="1" applyFill="1" applyBorder="1" applyAlignment="1">
      <alignment horizontal="center" vertical="top" wrapText="1"/>
    </xf>
    <xf numFmtId="3" fontId="60" fillId="18" borderId="68" xfId="26" applyNumberFormat="1" applyFont="1" applyFill="1" applyBorder="1" applyAlignment="1">
      <alignment horizontal="center" vertical="top" wrapText="1"/>
    </xf>
    <xf numFmtId="4" fontId="60" fillId="18" borderId="68" xfId="26" applyNumberFormat="1" applyFont="1" applyFill="1" applyBorder="1" applyAlignment="1">
      <alignment horizontal="center" vertical="top" wrapText="1"/>
    </xf>
    <xf numFmtId="2" fontId="60" fillId="18" borderId="69" xfId="26" applyNumberFormat="1" applyFont="1" applyFill="1" applyBorder="1" applyAlignment="1">
      <alignment vertical="top" wrapText="1"/>
    </xf>
    <xf numFmtId="2" fontId="60" fillId="18" borderId="70" xfId="26" applyNumberFormat="1" applyFont="1" applyFill="1" applyBorder="1" applyAlignment="1">
      <alignment vertical="top" wrapText="1"/>
    </xf>
    <xf numFmtId="2" fontId="56" fillId="0" borderId="0" xfId="37" applyNumberFormat="1" applyFont="1" applyAlignment="1">
      <alignment vertical="center"/>
    </xf>
    <xf numFmtId="2" fontId="58" fillId="0" borderId="0" xfId="12" applyNumberFormat="1" applyFont="1"/>
    <xf numFmtId="0" fontId="44" fillId="0" borderId="0" xfId="0" applyFont="1" applyAlignment="1">
      <alignment wrapText="1"/>
    </xf>
    <xf numFmtId="2" fontId="58" fillId="0" borderId="0" xfId="39" applyNumberFormat="1" applyFont="1"/>
    <xf numFmtId="49" fontId="60" fillId="18" borderId="51" xfId="39" applyNumberFormat="1" applyFont="1" applyFill="1" applyBorder="1"/>
    <xf numFmtId="0" fontId="60" fillId="18" borderId="52" xfId="39" applyFont="1" applyFill="1" applyBorder="1"/>
    <xf numFmtId="9" fontId="60" fillId="18" borderId="52" xfId="14" applyFont="1" applyFill="1" applyBorder="1" applyAlignment="1">
      <alignment horizontal="center"/>
    </xf>
    <xf numFmtId="44" fontId="60" fillId="18" borderId="54" xfId="39" applyNumberFormat="1" applyFont="1" applyFill="1" applyBorder="1"/>
    <xf numFmtId="0" fontId="44" fillId="0" borderId="0" xfId="39" applyFont="1"/>
    <xf numFmtId="49" fontId="53" fillId="16" borderId="38" xfId="207" applyNumberFormat="1" applyFont="1" applyFill="1" applyBorder="1" applyAlignment="1" applyProtection="1">
      <alignment horizontal="left" vertical="top"/>
      <protection hidden="1"/>
    </xf>
    <xf numFmtId="0" fontId="72" fillId="17" borderId="56" xfId="37" applyFont="1" applyFill="1" applyBorder="1"/>
    <xf numFmtId="0" fontId="64" fillId="0" borderId="0" xfId="12" applyNumberFormat="1" applyFont="1" applyFill="1" applyBorder="1" applyAlignment="1">
      <alignment horizontal="left"/>
    </xf>
    <xf numFmtId="0" fontId="44" fillId="0" borderId="0" xfId="11" applyFont="1" applyFill="1" applyBorder="1" applyAlignment="1" applyProtection="1">
      <alignment horizontal="right" vertical="justify"/>
      <protection hidden="1"/>
    </xf>
    <xf numFmtId="188" fontId="48" fillId="0" borderId="0" xfId="12" quotePrefix="1" applyNumberFormat="1" applyFont="1" applyFill="1" applyBorder="1" applyAlignment="1">
      <alignment horizontal="left"/>
    </xf>
    <xf numFmtId="166" fontId="44" fillId="19" borderId="56" xfId="12" applyNumberFormat="1" applyFont="1" applyFill="1" applyBorder="1"/>
    <xf numFmtId="9" fontId="44" fillId="17" borderId="56" xfId="14" applyFont="1" applyFill="1" applyBorder="1" applyAlignment="1">
      <alignment horizontal="center"/>
    </xf>
    <xf numFmtId="173" fontId="51" fillId="0" borderId="0" xfId="36" applyNumberFormat="1" applyFont="1" applyFill="1" applyAlignment="1">
      <alignment horizontal="left"/>
    </xf>
    <xf numFmtId="0" fontId="51" fillId="0" borderId="0" xfId="12" applyFont="1" applyFill="1" applyAlignment="1">
      <alignment horizontal="left"/>
    </xf>
    <xf numFmtId="181" fontId="44" fillId="17" borderId="76" xfId="14" applyNumberFormat="1" applyFont="1" applyFill="1" applyBorder="1" applyAlignment="1">
      <alignment horizontal="center"/>
    </xf>
    <xf numFmtId="44" fontId="51" fillId="0" borderId="56" xfId="34" applyFont="1" applyFill="1" applyBorder="1" applyAlignment="1" applyProtection="1">
      <alignment horizontal="left"/>
      <protection hidden="1"/>
    </xf>
    <xf numFmtId="49" fontId="51" fillId="0" borderId="56" xfId="11" applyNumberFormat="1" applyFont="1" applyFill="1" applyBorder="1" applyAlignment="1" applyProtection="1">
      <alignment horizontal="right"/>
      <protection hidden="1"/>
    </xf>
    <xf numFmtId="175" fontId="44" fillId="17" borderId="56" xfId="14" applyNumberFormat="1" applyFont="1" applyFill="1" applyBorder="1" applyAlignment="1">
      <alignment horizontal="center"/>
    </xf>
    <xf numFmtId="175" fontId="51" fillId="0" borderId="38" xfId="14" applyNumberFormat="1" applyFont="1" applyFill="1" applyBorder="1" applyAlignment="1" applyProtection="1">
      <alignment horizontal="center" vertical="center"/>
      <protection hidden="1"/>
    </xf>
    <xf numFmtId="181" fontId="44" fillId="17" borderId="56" xfId="14" applyNumberFormat="1" applyFont="1" applyFill="1" applyBorder="1" applyAlignment="1">
      <alignment horizontal="center"/>
    </xf>
    <xf numFmtId="167" fontId="44" fillId="0" borderId="0" xfId="12" applyNumberFormat="1" applyFont="1" applyFill="1" applyAlignment="1"/>
    <xf numFmtId="180" fontId="44" fillId="4" borderId="1" xfId="0" applyNumberFormat="1" applyFont="1" applyFill="1" applyBorder="1" applyAlignment="1">
      <alignment horizontal="center" vertical="center"/>
    </xf>
    <xf numFmtId="1" fontId="44" fillId="4" borderId="1" xfId="0" applyNumberFormat="1" applyFont="1" applyFill="1" applyBorder="1" applyAlignment="1">
      <alignment horizontal="center" vertical="center"/>
    </xf>
    <xf numFmtId="2" fontId="44" fillId="4" borderId="1" xfId="0" applyNumberFormat="1" applyFont="1" applyFill="1" applyBorder="1" applyAlignment="1">
      <alignment vertical="center"/>
    </xf>
    <xf numFmtId="2" fontId="44" fillId="4" borderId="1" xfId="0" applyNumberFormat="1" applyFont="1" applyFill="1" applyBorder="1" applyAlignment="1">
      <alignment horizontal="left" vertical="center"/>
    </xf>
    <xf numFmtId="177" fontId="44" fillId="17" borderId="38" xfId="0" applyNumberFormat="1" applyFont="1" applyFill="1" applyBorder="1" applyAlignment="1">
      <alignment horizontal="center" vertical="center"/>
    </xf>
    <xf numFmtId="190" fontId="42" fillId="0" borderId="1" xfId="0" applyNumberFormat="1" applyFont="1" applyFill="1" applyBorder="1" applyAlignment="1">
      <alignment horizontal="center" vertical="center"/>
    </xf>
    <xf numFmtId="3" fontId="42" fillId="0" borderId="1" xfId="0" applyNumberFormat="1" applyFont="1" applyFill="1" applyBorder="1" applyAlignment="1">
      <alignment horizontal="right" vertical="center"/>
    </xf>
    <xf numFmtId="3" fontId="42" fillId="0" borderId="14" xfId="0" applyNumberFormat="1" applyFont="1" applyFill="1" applyBorder="1" applyAlignment="1">
      <alignment horizontal="right" vertical="center"/>
    </xf>
    <xf numFmtId="178" fontId="44" fillId="0" borderId="1" xfId="0" applyNumberFormat="1" applyFont="1" applyFill="1" applyBorder="1" applyAlignment="1" applyProtection="1">
      <alignment horizontal="center" vertical="center"/>
    </xf>
    <xf numFmtId="179" fontId="44" fillId="0" borderId="1" xfId="0" applyNumberFormat="1" applyFont="1" applyFill="1" applyBorder="1" applyAlignment="1" applyProtection="1">
      <alignment horizontal="center" vertical="center"/>
    </xf>
    <xf numFmtId="0" fontId="52" fillId="0" borderId="14" xfId="38" applyFont="1" applyBorder="1" applyAlignment="1">
      <alignment vertical="center" wrapText="1"/>
    </xf>
    <xf numFmtId="0" fontId="52" fillId="0" borderId="0" xfId="38" applyFont="1" applyAlignment="1">
      <alignment vertical="center"/>
    </xf>
    <xf numFmtId="0" fontId="60" fillId="18" borderId="56" xfId="11" applyFont="1" applyFill="1" applyBorder="1" applyAlignment="1" applyProtection="1">
      <alignment horizontal="left"/>
      <protection hidden="1"/>
    </xf>
    <xf numFmtId="0" fontId="60" fillId="18" borderId="56" xfId="11" applyFont="1" applyFill="1" applyBorder="1" applyProtection="1">
      <protection hidden="1"/>
    </xf>
    <xf numFmtId="0" fontId="44" fillId="0" borderId="56" xfId="37" applyFont="1" applyBorder="1"/>
    <xf numFmtId="49" fontId="44" fillId="0" borderId="56" xfId="11" applyNumberFormat="1" applyFont="1" applyBorder="1" applyAlignment="1" applyProtection="1">
      <alignment horizontal="left"/>
      <protection hidden="1"/>
    </xf>
    <xf numFmtId="191" fontId="44" fillId="0" borderId="0" xfId="0" applyNumberFormat="1" applyFont="1"/>
    <xf numFmtId="2" fontId="60" fillId="18" borderId="76" xfId="0" applyNumberFormat="1" applyFont="1" applyFill="1" applyBorder="1" applyAlignment="1">
      <alignment horizontal="center" vertical="top" wrapText="1"/>
    </xf>
    <xf numFmtId="2" fontId="56" fillId="0" borderId="0" xfId="12" applyNumberFormat="1" applyFont="1"/>
    <xf numFmtId="0" fontId="44" fillId="0" borderId="51" xfId="23" applyFont="1" applyFill="1" applyBorder="1" applyAlignment="1">
      <alignment horizontal="center"/>
    </xf>
    <xf numFmtId="49" fontId="44" fillId="0" borderId="51" xfId="12" applyNumberFormat="1" applyFont="1" applyFill="1" applyBorder="1" applyAlignment="1"/>
    <xf numFmtId="166" fontId="44" fillId="17" borderId="54" xfId="12" applyNumberFormat="1" applyFont="1" applyFill="1" applyBorder="1" applyAlignment="1"/>
    <xf numFmtId="0" fontId="44" fillId="0" borderId="56" xfId="12" applyNumberFormat="1" applyFont="1" applyFill="1" applyBorder="1" applyAlignment="1"/>
    <xf numFmtId="182" fontId="44" fillId="0" borderId="56" xfId="12" applyNumberFormat="1" applyFont="1" applyFill="1" applyBorder="1" applyAlignment="1">
      <alignment horizontal="center"/>
    </xf>
    <xf numFmtId="0" fontId="52" fillId="0" borderId="0" xfId="11" applyNumberFormat="1" applyFont="1" applyFill="1" applyBorder="1" applyAlignment="1" applyProtection="1">
      <alignment horizontal="left"/>
      <protection hidden="1"/>
    </xf>
    <xf numFmtId="0" fontId="44" fillId="0" borderId="0" xfId="37" applyFont="1" applyFill="1" applyBorder="1"/>
    <xf numFmtId="0" fontId="44" fillId="0" borderId="56" xfId="12" applyNumberFormat="1" applyFont="1" applyFill="1" applyBorder="1" applyAlignment="1">
      <alignment wrapText="1"/>
    </xf>
    <xf numFmtId="49" fontId="44" fillId="0" borderId="56" xfId="11" applyNumberFormat="1" applyFont="1" applyBorder="1" applyAlignment="1" applyProtection="1">
      <alignment horizontal="left" vertical="center"/>
      <protection hidden="1"/>
    </xf>
    <xf numFmtId="181" fontId="44" fillId="17" borderId="31" xfId="14" applyNumberFormat="1" applyFont="1" applyFill="1" applyBorder="1" applyAlignment="1">
      <alignment horizontal="center" vertical="center"/>
    </xf>
    <xf numFmtId="44" fontId="51" fillId="0" borderId="12" xfId="0" applyNumberFormat="1" applyFont="1" applyFill="1" applyBorder="1"/>
    <xf numFmtId="0" fontId="44" fillId="0" borderId="0" xfId="0" applyFont="1" applyFill="1"/>
    <xf numFmtId="0" fontId="54" fillId="17" borderId="15" xfId="0" applyFont="1" applyFill="1" applyBorder="1" applyAlignment="1">
      <alignment horizontal="center" vertical="center" wrapText="1"/>
    </xf>
    <xf numFmtId="2" fontId="56" fillId="17" borderId="0" xfId="39" applyNumberFormat="1" applyFont="1" applyFill="1"/>
    <xf numFmtId="0" fontId="44" fillId="17" borderId="0" xfId="22" applyFont="1" applyFill="1"/>
    <xf numFmtId="14" fontId="54" fillId="17" borderId="15" xfId="0" applyNumberFormat="1" applyFont="1" applyFill="1" applyBorder="1" applyAlignment="1">
      <alignment horizontal="center" vertical="center" wrapText="1"/>
    </xf>
    <xf numFmtId="49" fontId="60" fillId="18" borderId="71" xfId="39" applyNumberFormat="1" applyFont="1" applyFill="1" applyBorder="1" applyAlignment="1">
      <alignment horizontal="left" vertical="top" wrapText="1"/>
    </xf>
    <xf numFmtId="49" fontId="60" fillId="18" borderId="72" xfId="39" applyNumberFormat="1" applyFont="1" applyFill="1" applyBorder="1" applyAlignment="1">
      <alignment horizontal="left" vertical="top" wrapText="1"/>
    </xf>
    <xf numFmtId="49" fontId="60" fillId="18" borderId="73" xfId="39" applyNumberFormat="1" applyFont="1" applyFill="1" applyBorder="1" applyAlignment="1">
      <alignment horizontal="left" vertical="top" wrapText="1"/>
    </xf>
    <xf numFmtId="49" fontId="60" fillId="18" borderId="74" xfId="39" applyNumberFormat="1" applyFont="1" applyFill="1" applyBorder="1" applyAlignment="1">
      <alignment horizontal="left" vertical="top" wrapText="1"/>
    </xf>
    <xf numFmtId="49" fontId="60" fillId="18" borderId="6" xfId="39" applyNumberFormat="1" applyFont="1" applyFill="1" applyBorder="1" applyAlignment="1">
      <alignment horizontal="left" vertical="top" wrapText="1"/>
    </xf>
    <xf numFmtId="49" fontId="60" fillId="18" borderId="75" xfId="39" applyNumberFormat="1" applyFont="1" applyFill="1" applyBorder="1" applyAlignment="1">
      <alignment horizontal="left" vertical="top" wrapText="1"/>
    </xf>
    <xf numFmtId="0" fontId="57" fillId="18" borderId="51" xfId="39" applyFont="1" applyFill="1" applyBorder="1" applyAlignment="1">
      <alignment horizontal="center"/>
    </xf>
    <xf numFmtId="0" fontId="57" fillId="18" borderId="52" xfId="39" applyFont="1" applyFill="1" applyBorder="1" applyAlignment="1">
      <alignment horizontal="center"/>
    </xf>
    <xf numFmtId="0" fontId="57" fillId="18" borderId="54" xfId="39" applyFont="1" applyFill="1" applyBorder="1" applyAlignment="1">
      <alignment horizontal="center"/>
    </xf>
    <xf numFmtId="0" fontId="68" fillId="0" borderId="0" xfId="37" applyFont="1" applyBorder="1" applyAlignment="1">
      <alignment horizontal="left" vertical="top" wrapText="1"/>
    </xf>
    <xf numFmtId="0" fontId="69" fillId="0" borderId="0" xfId="17" applyFont="1" applyAlignment="1">
      <alignment horizontal="left" vertical="top" wrapText="1"/>
    </xf>
    <xf numFmtId="2" fontId="60" fillId="18" borderId="51" xfId="0" applyNumberFormat="1" applyFont="1" applyFill="1" applyBorder="1" applyAlignment="1">
      <alignment horizontal="center" vertical="top" wrapText="1"/>
    </xf>
    <xf numFmtId="2" fontId="60" fillId="18" borderId="54" xfId="0" applyNumberFormat="1" applyFont="1" applyFill="1" applyBorder="1" applyAlignment="1">
      <alignment horizontal="center" vertical="top" wrapText="1"/>
    </xf>
    <xf numFmtId="0" fontId="57" fillId="18" borderId="51" xfId="39" applyFont="1" applyFill="1" applyBorder="1" applyAlignment="1">
      <alignment horizontal="left" vertical="top" wrapText="1"/>
    </xf>
    <xf numFmtId="0" fontId="57" fillId="18" borderId="52" xfId="39" applyFont="1" applyFill="1" applyBorder="1" applyAlignment="1">
      <alignment horizontal="left" vertical="top" wrapText="1"/>
    </xf>
    <xf numFmtId="0" fontId="57" fillId="18" borderId="54" xfId="39" applyFont="1" applyFill="1" applyBorder="1" applyAlignment="1">
      <alignment horizontal="left" vertical="top" wrapText="1"/>
    </xf>
  </cellXfs>
  <cellStyles count="208">
    <cellStyle name="Bad" xfId="58" xr:uid="{00000000-0005-0000-0000-000000000000}"/>
    <cellStyle name="Calculation" xfId="59" xr:uid="{00000000-0005-0000-0000-000001000000}"/>
    <cellStyle name="Calculation 10" xfId="195" xr:uid="{00000000-0005-0000-0000-000002000000}"/>
    <cellStyle name="Calculation 11" xfId="194" xr:uid="{00000000-0005-0000-0000-000003000000}"/>
    <cellStyle name="Calculation 12" xfId="197" xr:uid="{00000000-0005-0000-0000-000004000000}"/>
    <cellStyle name="Calculation 2" xfId="98" xr:uid="{00000000-0005-0000-0000-000005000000}"/>
    <cellStyle name="Calculation 2 2" xfId="99" xr:uid="{00000000-0005-0000-0000-000006000000}"/>
    <cellStyle name="Calculation 3" xfId="100" xr:uid="{00000000-0005-0000-0000-000007000000}"/>
    <cellStyle name="Calculation 3 2" xfId="101" xr:uid="{00000000-0005-0000-0000-000008000000}"/>
    <cellStyle name="Calculation 4" xfId="102" xr:uid="{00000000-0005-0000-0000-000009000000}"/>
    <cellStyle name="Calculation 4 2" xfId="103" xr:uid="{00000000-0005-0000-0000-00000A000000}"/>
    <cellStyle name="Calculation 5" xfId="104" xr:uid="{00000000-0005-0000-0000-00000B000000}"/>
    <cellStyle name="Calculation 5 2" xfId="105" xr:uid="{00000000-0005-0000-0000-00000C000000}"/>
    <cellStyle name="Calculation 6" xfId="106" xr:uid="{00000000-0005-0000-0000-00000D000000}"/>
    <cellStyle name="Calculation 6 2" xfId="107" xr:uid="{00000000-0005-0000-0000-00000E000000}"/>
    <cellStyle name="Calculation 7" xfId="108" xr:uid="{00000000-0005-0000-0000-00000F000000}"/>
    <cellStyle name="Calculation 7 2" xfId="109" xr:uid="{00000000-0005-0000-0000-000010000000}"/>
    <cellStyle name="Calculation 8" xfId="110" xr:uid="{00000000-0005-0000-0000-000011000000}"/>
    <cellStyle name="Calculation 8 2" xfId="111" xr:uid="{00000000-0005-0000-0000-000012000000}"/>
    <cellStyle name="Calculation 9" xfId="112" xr:uid="{00000000-0005-0000-0000-000013000000}"/>
    <cellStyle name="Check Cell" xfId="60" xr:uid="{00000000-0005-0000-0000-000014000000}"/>
    <cellStyle name="Comma [0]" xfId="1" xr:uid="{00000000-0005-0000-0000-000015000000}"/>
    <cellStyle name="Comma_AA BCR/ Basis ruimtestaat 13.0" xfId="2" xr:uid="{00000000-0005-0000-0000-000016000000}"/>
    <cellStyle name="Comma_CALCULATIEBLAD.XLS" xfId="35" xr:uid="{00000000-0005-0000-0000-000017000000}"/>
    <cellStyle name="Currency [0]" xfId="61" xr:uid="{00000000-0005-0000-0000-000018000000}"/>
    <cellStyle name="Currency_2.objekten aanbestedi#B9BC8.xls" xfId="88" xr:uid="{00000000-0005-0000-0000-000019000000}"/>
    <cellStyle name="Currency_CALCULATIEBLAD.XLS" xfId="36" xr:uid="{00000000-0005-0000-0000-00001A000000}"/>
    <cellStyle name="Euro" xfId="3" xr:uid="{00000000-0005-0000-0000-00001B000000}"/>
    <cellStyle name="Euro 2" xfId="4" xr:uid="{00000000-0005-0000-0000-00001C000000}"/>
    <cellStyle name="Euro 3" xfId="43" xr:uid="{00000000-0005-0000-0000-00001D000000}"/>
    <cellStyle name="Euro 3 2" xfId="85" xr:uid="{00000000-0005-0000-0000-00001E000000}"/>
    <cellStyle name="Euro 4" xfId="46" xr:uid="{00000000-0005-0000-0000-00001F000000}"/>
    <cellStyle name="Euro 5" xfId="53" xr:uid="{00000000-0005-0000-0000-000020000000}"/>
    <cellStyle name="Euro_Roto Smeets Hilversum v-1" xfId="5" xr:uid="{00000000-0005-0000-0000-000021000000}"/>
    <cellStyle name="Explanatory Text" xfId="62" xr:uid="{00000000-0005-0000-0000-000022000000}"/>
    <cellStyle name="Followed Hyperlink_Aantal groepen per school.xls" xfId="6" xr:uid="{00000000-0005-0000-0000-000023000000}"/>
    <cellStyle name="Good" xfId="63" xr:uid="{00000000-0005-0000-0000-000024000000}"/>
    <cellStyle name="Heading 1" xfId="64" xr:uid="{00000000-0005-0000-0000-000025000000}"/>
    <cellStyle name="Heading 2" xfId="65" xr:uid="{00000000-0005-0000-0000-000026000000}"/>
    <cellStyle name="Heading 3" xfId="66" xr:uid="{00000000-0005-0000-0000-000027000000}"/>
    <cellStyle name="Heading 4" xfId="67" xr:uid="{00000000-0005-0000-0000-000028000000}"/>
    <cellStyle name="Input" xfId="68" xr:uid="{00000000-0005-0000-0000-000029000000}"/>
    <cellStyle name="Input 10" xfId="199" xr:uid="{00000000-0005-0000-0000-00002A000000}"/>
    <cellStyle name="Input 11" xfId="198" xr:uid="{00000000-0005-0000-0000-00002B000000}"/>
    <cellStyle name="Input 12" xfId="192" xr:uid="{00000000-0005-0000-0000-00002C000000}"/>
    <cellStyle name="Input 2" xfId="113" xr:uid="{00000000-0005-0000-0000-00002D000000}"/>
    <cellStyle name="Input 2 2" xfId="114" xr:uid="{00000000-0005-0000-0000-00002E000000}"/>
    <cellStyle name="Input 3" xfId="115" xr:uid="{00000000-0005-0000-0000-00002F000000}"/>
    <cellStyle name="Input 3 2" xfId="116" xr:uid="{00000000-0005-0000-0000-000030000000}"/>
    <cellStyle name="Input 4" xfId="117" xr:uid="{00000000-0005-0000-0000-000031000000}"/>
    <cellStyle name="Input 4 2" xfId="118" xr:uid="{00000000-0005-0000-0000-000032000000}"/>
    <cellStyle name="Input 5" xfId="119" xr:uid="{00000000-0005-0000-0000-000033000000}"/>
    <cellStyle name="Input 5 2" xfId="120" xr:uid="{00000000-0005-0000-0000-000034000000}"/>
    <cellStyle name="Input 6" xfId="121" xr:uid="{00000000-0005-0000-0000-000035000000}"/>
    <cellStyle name="Input 6 2" xfId="122" xr:uid="{00000000-0005-0000-0000-000036000000}"/>
    <cellStyle name="Input 7" xfId="123" xr:uid="{00000000-0005-0000-0000-000037000000}"/>
    <cellStyle name="Input 7 2" xfId="124" xr:uid="{00000000-0005-0000-0000-000038000000}"/>
    <cellStyle name="Input 8" xfId="125" xr:uid="{00000000-0005-0000-0000-000039000000}"/>
    <cellStyle name="Input 8 2" xfId="126" xr:uid="{00000000-0005-0000-0000-00003A000000}"/>
    <cellStyle name="Input 9" xfId="127" xr:uid="{00000000-0005-0000-0000-00003B000000}"/>
    <cellStyle name="Komma" xfId="7" builtinId="3"/>
    <cellStyle name="Komma [0] 2" xfId="50" xr:uid="{00000000-0005-0000-0000-00003D000000}"/>
    <cellStyle name="Komma [0] 3" xfId="89" xr:uid="{00000000-0005-0000-0000-00003E000000}"/>
    <cellStyle name="Komma 2" xfId="8" xr:uid="{00000000-0005-0000-0000-00003F000000}"/>
    <cellStyle name="Komma 3" xfId="32" xr:uid="{00000000-0005-0000-0000-000040000000}"/>
    <cellStyle name="Komma 3 2" xfId="42" xr:uid="{00000000-0005-0000-0000-000041000000}"/>
    <cellStyle name="Komma 4" xfId="49" xr:uid="{00000000-0005-0000-0000-000042000000}"/>
    <cellStyle name="Komma 4 2" xfId="87" xr:uid="{00000000-0005-0000-0000-000043000000}"/>
    <cellStyle name="Komma 5" xfId="57" xr:uid="{00000000-0005-0000-0000-000044000000}"/>
    <cellStyle name="Komma 6" xfId="83" xr:uid="{00000000-0005-0000-0000-000045000000}"/>
    <cellStyle name="Komma 6 2" xfId="205" xr:uid="{00000000-0005-0000-0000-000046000000}"/>
    <cellStyle name="kop" xfId="9" xr:uid="{00000000-0005-0000-0000-000047000000}"/>
    <cellStyle name="Koppen_rekenblad" xfId="69" xr:uid="{00000000-0005-0000-0000-000048000000}"/>
    <cellStyle name="koppenrekenblad2" xfId="70" xr:uid="{00000000-0005-0000-0000-000049000000}"/>
    <cellStyle name="Linked Cell" xfId="71" xr:uid="{00000000-0005-0000-0000-00004A000000}"/>
    <cellStyle name="m2" xfId="72" xr:uid="{00000000-0005-0000-0000-00004B000000}"/>
    <cellStyle name="Neutral" xfId="73" xr:uid="{00000000-0005-0000-0000-00004C000000}"/>
    <cellStyle name="Normaal 2" xfId="44" xr:uid="{00000000-0005-0000-0000-00004D000000}"/>
    <cellStyle name="Normaal_Basis Inventarisatielijst. xls.xls" xfId="10" xr:uid="{00000000-0005-0000-0000-00004E000000}"/>
    <cellStyle name="Normal_ KLM-CTR(STA)-Recap.xls" xfId="11" xr:uid="{00000000-0005-0000-0000-00004F000000}"/>
    <cellStyle name="Normal_ KLM-CTR(STA)-Recap.xls 2" xfId="207" xr:uid="{B62C1C80-D6DC-48EC-93D8-0C67E7FE3C8A}"/>
    <cellStyle name="Normal_AFRPPRIJS.xls" xfId="37" xr:uid="{00000000-0005-0000-0000-000050000000}"/>
    <cellStyle name="Normal_CALCULATIEBLAD.XLS" xfId="12" xr:uid="{00000000-0005-0000-0000-000051000000}"/>
    <cellStyle name="Normal_CALCULATIEBLAD.XLS 2" xfId="39" xr:uid="{00000000-0005-0000-0000-000052000000}"/>
    <cellStyle name="Normal_CALCULATIEBLAD.XLS 3" xfId="47" xr:uid="{00000000-0005-0000-0000-000053000000}"/>
    <cellStyle name="Note" xfId="74" xr:uid="{00000000-0005-0000-0000-000057000000}"/>
    <cellStyle name="Note 10" xfId="128" xr:uid="{00000000-0005-0000-0000-000058000000}"/>
    <cellStyle name="Note 10 2" xfId="129" xr:uid="{00000000-0005-0000-0000-000059000000}"/>
    <cellStyle name="Note 11" xfId="130" xr:uid="{00000000-0005-0000-0000-00005A000000}"/>
    <cellStyle name="Note 12" xfId="200" xr:uid="{00000000-0005-0000-0000-00005B000000}"/>
    <cellStyle name="Note 13" xfId="196" xr:uid="{00000000-0005-0000-0000-00005C000000}"/>
    <cellStyle name="Note 14" xfId="206" xr:uid="{00000000-0005-0000-0000-00005D000000}"/>
    <cellStyle name="Note 2" xfId="131" xr:uid="{00000000-0005-0000-0000-00005E000000}"/>
    <cellStyle name="Note 2 2" xfId="132" xr:uid="{00000000-0005-0000-0000-00005F000000}"/>
    <cellStyle name="Note 3" xfId="133" xr:uid="{00000000-0005-0000-0000-000060000000}"/>
    <cellStyle name="Note 3 2" xfId="134" xr:uid="{00000000-0005-0000-0000-000061000000}"/>
    <cellStyle name="Note 4" xfId="135" xr:uid="{00000000-0005-0000-0000-000062000000}"/>
    <cellStyle name="Note 4 2" xfId="136" xr:uid="{00000000-0005-0000-0000-000063000000}"/>
    <cellStyle name="Note 5" xfId="137" xr:uid="{00000000-0005-0000-0000-000064000000}"/>
    <cellStyle name="Note 5 2" xfId="138" xr:uid="{00000000-0005-0000-0000-000065000000}"/>
    <cellStyle name="Note 6" xfId="139" xr:uid="{00000000-0005-0000-0000-000066000000}"/>
    <cellStyle name="Note 6 2" xfId="140" xr:uid="{00000000-0005-0000-0000-000067000000}"/>
    <cellStyle name="Note 7" xfId="141" xr:uid="{00000000-0005-0000-0000-000068000000}"/>
    <cellStyle name="Note 7 2" xfId="142" xr:uid="{00000000-0005-0000-0000-000069000000}"/>
    <cellStyle name="Note 8" xfId="143" xr:uid="{00000000-0005-0000-0000-00006A000000}"/>
    <cellStyle name="Note 8 2" xfId="144" xr:uid="{00000000-0005-0000-0000-00006B000000}"/>
    <cellStyle name="Note 9" xfId="145" xr:uid="{00000000-0005-0000-0000-00006C000000}"/>
    <cellStyle name="Note 9 2" xfId="146" xr:uid="{00000000-0005-0000-0000-00006D000000}"/>
    <cellStyle name="Ongedefinieerd" xfId="13" xr:uid="{00000000-0005-0000-0000-00006E000000}"/>
    <cellStyle name="Ongedefinieerd 2" xfId="51" xr:uid="{00000000-0005-0000-0000-00006F000000}"/>
    <cellStyle name="Output" xfId="75" xr:uid="{00000000-0005-0000-0000-000070000000}"/>
    <cellStyle name="Output 10" xfId="147" xr:uid="{00000000-0005-0000-0000-000071000000}"/>
    <cellStyle name="Output 10 2" xfId="148" xr:uid="{00000000-0005-0000-0000-000072000000}"/>
    <cellStyle name="Output 11" xfId="149" xr:uid="{00000000-0005-0000-0000-000073000000}"/>
    <cellStyle name="Output 12" xfId="201" xr:uid="{00000000-0005-0000-0000-000074000000}"/>
    <cellStyle name="Output 13" xfId="188" xr:uid="{00000000-0005-0000-0000-000075000000}"/>
    <cellStyle name="Output 14" xfId="189" xr:uid="{00000000-0005-0000-0000-000076000000}"/>
    <cellStyle name="Output 2" xfId="150" xr:uid="{00000000-0005-0000-0000-000077000000}"/>
    <cellStyle name="Output 2 2" xfId="151" xr:uid="{00000000-0005-0000-0000-000078000000}"/>
    <cellStyle name="Output 3" xfId="152" xr:uid="{00000000-0005-0000-0000-000079000000}"/>
    <cellStyle name="Output 3 2" xfId="153" xr:uid="{00000000-0005-0000-0000-00007A000000}"/>
    <cellStyle name="Output 4" xfId="154" xr:uid="{00000000-0005-0000-0000-00007B000000}"/>
    <cellStyle name="Output 4 2" xfId="155" xr:uid="{00000000-0005-0000-0000-00007C000000}"/>
    <cellStyle name="Output 5" xfId="156" xr:uid="{00000000-0005-0000-0000-00007D000000}"/>
    <cellStyle name="Output 5 2" xfId="157" xr:uid="{00000000-0005-0000-0000-00007E000000}"/>
    <cellStyle name="Output 6" xfId="158" xr:uid="{00000000-0005-0000-0000-00007F000000}"/>
    <cellStyle name="Output 6 2" xfId="159" xr:uid="{00000000-0005-0000-0000-000080000000}"/>
    <cellStyle name="Output 7" xfId="160" xr:uid="{00000000-0005-0000-0000-000081000000}"/>
    <cellStyle name="Output 7 2" xfId="161" xr:uid="{00000000-0005-0000-0000-000082000000}"/>
    <cellStyle name="Output 8" xfId="162" xr:uid="{00000000-0005-0000-0000-000083000000}"/>
    <cellStyle name="Output 8 2" xfId="163" xr:uid="{00000000-0005-0000-0000-000084000000}"/>
    <cellStyle name="Output 9" xfId="164" xr:uid="{00000000-0005-0000-0000-000085000000}"/>
    <cellStyle name="Output 9 2" xfId="165" xr:uid="{00000000-0005-0000-0000-000086000000}"/>
    <cellStyle name="Procent 2" xfId="14" xr:uid="{00000000-0005-0000-0000-000087000000}"/>
    <cellStyle name="Procent 2 2" xfId="15" xr:uid="{00000000-0005-0000-0000-000088000000}"/>
    <cellStyle name="Procent 2 3" xfId="54" xr:uid="{00000000-0005-0000-0000-000089000000}"/>
    <cellStyle name="Procent 3" xfId="16" xr:uid="{00000000-0005-0000-0000-00008A000000}"/>
    <cellStyle name="Procent 3 2" xfId="90" xr:uid="{00000000-0005-0000-0000-00008B000000}"/>
    <cellStyle name="Procent 4" xfId="55" xr:uid="{00000000-0005-0000-0000-00008C000000}"/>
    <cellStyle name="Procent 4 2" xfId="86" xr:uid="{00000000-0005-0000-0000-00008D000000}"/>
    <cellStyle name="Procent 5" xfId="82" xr:uid="{00000000-0005-0000-0000-00008E000000}"/>
    <cellStyle name="Procent 5 2" xfId="204" xr:uid="{00000000-0005-0000-0000-00008F000000}"/>
    <cellStyle name="Ruimtestaat_Koppen" xfId="76" xr:uid="{00000000-0005-0000-0000-000090000000}"/>
    <cellStyle name="Standaard" xfId="0" builtinId="0"/>
    <cellStyle name="Standaard 10" xfId="31" xr:uid="{00000000-0005-0000-0000-000092000000}"/>
    <cellStyle name="Standaard 10 2" xfId="41" xr:uid="{00000000-0005-0000-0000-000093000000}"/>
    <cellStyle name="Standaard 11" xfId="33" xr:uid="{00000000-0005-0000-0000-000094000000}"/>
    <cellStyle name="Standaard 11 2" xfId="84" xr:uid="{00000000-0005-0000-0000-000095000000}"/>
    <cellStyle name="Standaard 11 3" xfId="166" xr:uid="{00000000-0005-0000-0000-000096000000}"/>
    <cellStyle name="Standaard 11 4" xfId="167" xr:uid="{00000000-0005-0000-0000-000097000000}"/>
    <cellStyle name="Standaard 11 5" xfId="168" xr:uid="{00000000-0005-0000-0000-000098000000}"/>
    <cellStyle name="Standaard 11 6" xfId="191" xr:uid="{00000000-0005-0000-0000-000099000000}"/>
    <cellStyle name="Standaard 12" xfId="45" xr:uid="{00000000-0005-0000-0000-00009A000000}"/>
    <cellStyle name="Standaard 13" xfId="48" xr:uid="{00000000-0005-0000-0000-00009B000000}"/>
    <cellStyle name="Standaard 14" xfId="81" xr:uid="{00000000-0005-0000-0000-00009C000000}"/>
    <cellStyle name="Standaard 14 2" xfId="203" xr:uid="{00000000-0005-0000-0000-00009D000000}"/>
    <cellStyle name="Standaard 2" xfId="17" xr:uid="{00000000-0005-0000-0000-00009E000000}"/>
    <cellStyle name="Standaard 2 2" xfId="18" xr:uid="{00000000-0005-0000-0000-00009F000000}"/>
    <cellStyle name="Standaard 2 2 2" xfId="19" xr:uid="{00000000-0005-0000-0000-0000A0000000}"/>
    <cellStyle name="Standaard 2 2 2 2" xfId="20" xr:uid="{00000000-0005-0000-0000-0000A1000000}"/>
    <cellStyle name="Standaard 2 2 3" xfId="91" xr:uid="{00000000-0005-0000-0000-0000A2000000}"/>
    <cellStyle name="Standaard 2 3" xfId="21" xr:uid="{00000000-0005-0000-0000-0000A3000000}"/>
    <cellStyle name="Standaard 2 3 2" xfId="92" xr:uid="{00000000-0005-0000-0000-0000A4000000}"/>
    <cellStyle name="Standaard 2 4" xfId="77" xr:uid="{00000000-0005-0000-0000-0000A5000000}"/>
    <cellStyle name="Standaard 2 5" xfId="93" xr:uid="{00000000-0005-0000-0000-0000A6000000}"/>
    <cellStyle name="Standaard 3" xfId="22" xr:uid="{00000000-0005-0000-0000-0000A7000000}"/>
    <cellStyle name="Standaard 3 2" xfId="94" xr:uid="{00000000-0005-0000-0000-0000A8000000}"/>
    <cellStyle name="Standaard 4" xfId="23" xr:uid="{00000000-0005-0000-0000-0000A9000000}"/>
    <cellStyle name="Standaard 4 2" xfId="95" xr:uid="{00000000-0005-0000-0000-0000AA000000}"/>
    <cellStyle name="Standaard 5" xfId="24" xr:uid="{00000000-0005-0000-0000-0000AB000000}"/>
    <cellStyle name="Standaard 5 2" xfId="40" xr:uid="{00000000-0005-0000-0000-0000AC000000}"/>
    <cellStyle name="Standaard 5 3" xfId="52" xr:uid="{00000000-0005-0000-0000-0000AD000000}"/>
    <cellStyle name="Standaard 6" xfId="25" xr:uid="{00000000-0005-0000-0000-0000AE000000}"/>
    <cellStyle name="Standaard 7" xfId="26" xr:uid="{00000000-0005-0000-0000-0000AF000000}"/>
    <cellStyle name="Standaard 8" xfId="27" xr:uid="{00000000-0005-0000-0000-0000B0000000}"/>
    <cellStyle name="Standaard 9" xfId="28" xr:uid="{00000000-0005-0000-0000-0000B1000000}"/>
    <cellStyle name="Standaard_Blad1" xfId="38" xr:uid="{00000000-0005-0000-0000-0000B2000000}"/>
    <cellStyle name="Title" xfId="78" xr:uid="{00000000-0005-0000-0000-0000B3000000}"/>
    <cellStyle name="Total" xfId="79" xr:uid="{00000000-0005-0000-0000-0000B4000000}"/>
    <cellStyle name="Total 10" xfId="169" xr:uid="{00000000-0005-0000-0000-0000B5000000}"/>
    <cellStyle name="Total 10 2" xfId="170" xr:uid="{00000000-0005-0000-0000-0000B6000000}"/>
    <cellStyle name="Total 11" xfId="171" xr:uid="{00000000-0005-0000-0000-0000B7000000}"/>
    <cellStyle name="Total 12" xfId="202" xr:uid="{00000000-0005-0000-0000-0000B8000000}"/>
    <cellStyle name="Total 13" xfId="193" xr:uid="{00000000-0005-0000-0000-0000B9000000}"/>
    <cellStyle name="Total 14" xfId="190" xr:uid="{00000000-0005-0000-0000-0000BA000000}"/>
    <cellStyle name="Total 2" xfId="172" xr:uid="{00000000-0005-0000-0000-0000BB000000}"/>
    <cellStyle name="Total 2 2" xfId="173" xr:uid="{00000000-0005-0000-0000-0000BC000000}"/>
    <cellStyle name="Total 3" xfId="174" xr:uid="{00000000-0005-0000-0000-0000BD000000}"/>
    <cellStyle name="Total 3 2" xfId="175" xr:uid="{00000000-0005-0000-0000-0000BE000000}"/>
    <cellStyle name="Total 4" xfId="176" xr:uid="{00000000-0005-0000-0000-0000BF000000}"/>
    <cellStyle name="Total 4 2" xfId="177" xr:uid="{00000000-0005-0000-0000-0000C0000000}"/>
    <cellStyle name="Total 5" xfId="178" xr:uid="{00000000-0005-0000-0000-0000C1000000}"/>
    <cellStyle name="Total 5 2" xfId="179" xr:uid="{00000000-0005-0000-0000-0000C2000000}"/>
    <cellStyle name="Total 6" xfId="180" xr:uid="{00000000-0005-0000-0000-0000C3000000}"/>
    <cellStyle name="Total 6 2" xfId="181" xr:uid="{00000000-0005-0000-0000-0000C4000000}"/>
    <cellStyle name="Total 7" xfId="182" xr:uid="{00000000-0005-0000-0000-0000C5000000}"/>
    <cellStyle name="Total 7 2" xfId="183" xr:uid="{00000000-0005-0000-0000-0000C6000000}"/>
    <cellStyle name="Total 8" xfId="184" xr:uid="{00000000-0005-0000-0000-0000C7000000}"/>
    <cellStyle name="Total 8 2" xfId="185" xr:uid="{00000000-0005-0000-0000-0000C8000000}"/>
    <cellStyle name="Total 9" xfId="186" xr:uid="{00000000-0005-0000-0000-0000C9000000}"/>
    <cellStyle name="Total 9 2" xfId="187" xr:uid="{00000000-0005-0000-0000-0000CA000000}"/>
    <cellStyle name="Valuta" xfId="34" builtinId="4"/>
    <cellStyle name="Valuta 2" xfId="29" xr:uid="{00000000-0005-0000-0000-0000CC000000}"/>
    <cellStyle name="Valuta 2 2" xfId="56" xr:uid="{00000000-0005-0000-0000-0000CD000000}"/>
    <cellStyle name="Valuta 3" xfId="30" xr:uid="{00000000-0005-0000-0000-0000CE000000}"/>
    <cellStyle name="Valuta 4" xfId="96" xr:uid="{00000000-0005-0000-0000-0000CF000000}"/>
    <cellStyle name="Valuta 4 2" xfId="97" xr:uid="{00000000-0005-0000-0000-0000D0000000}"/>
    <cellStyle name="Warning Text" xfId="80" xr:uid="{00000000-0005-0000-0000-0000D1000000}"/>
  </cellStyles>
  <dxfs count="12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/>
  <colors>
    <mruColors>
      <color rgb="FF0AAAFF"/>
      <color rgb="FFFFFF99"/>
      <color rgb="FFCC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wshr02\lwp_sta_fin\C\C\Documents%20and%20Settings\Naomi\Local%20Settings\Temporary%20Internet%20Files\Content.Outlook\ILGDZFKW\HD%20MBP%20Erik%20ATIR%20Werkdocumenten\%20%20ATIR%20in%20%20behandeling\Tarieven%202004\atir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wshr02\lwp_sta_fin\Afdelingen\Commercie\Offertes\West\2014\GVB%20Perrons\Perceel%206\Prijslijst\Bijlage%201f%20GVB%20Calculatiemodel%20perceel%206%20(leeg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ersteldeExterneKoppeling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wshr02\lwp_sta_fin\03%20MOP\04%20Begroting\Begroting%20stations%202020%20BN\Corona\CSU%20uitw%20atir\Calculatiemodel%20perceel%202%20CSU%20per%201%20juli%202018%20de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wshr02\lwp_sta_fin\C\AtirLLSProductie\Atir\Projecten%20algemeen\In%20behandeling\Provincie%20Zuid%20Holland\Aanbesteding%202012\PZH%20calculatie\Calculatiemodel%20proquere%20definiti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wshr02\lwp_sta_fin\C\Users\r.toorenburgh\AppData\Local\Microsoft\Windows\Temporary%20Internet%20Files\Content.Outlook\83YS3KGK\Westerveld%20oude%20calculatie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en\Peter\Documents\Documenten%20Peter\Peter%20Facility%20Consultant\Projecten\Atir%20GVB\Comfortschoonmaak%20perceel%202%20Calculatiemodel%20GVB%20tussenvariant_02_PH0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wshr02\lwp_sta_fin\C\Users\nicole\AppData\Local\Microsoft\Windows\Temporary%20Internet%20Files\Content.Outlook\P4414I6B\Mutatie%20GVB%20Kraaijenest%20Nv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wshr02\lwp_sta_fin\C\AtirLLSProductie\Atir\Projecten%20algemeen\In%20behandeling\Provincie%20Zuid%20Holland\Aanbesteding%202012\PZH%20calculatie\GLV-Calculatiemodel%20DEF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C2008SBS\C\Documents%20and%20Settings\Naomi\Local%20Settings\Temporary%20Internet%20Files\Content.Outlook\ILGDZFKW\HD%20MBP%20ErikUsers\fred\Desktop\Nota%20Fred\DELTA%20N.V.-Calculati#3F4559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wshr02\lwp_sta_fin\Users\marleen\AppData\Local\Microsoft\Windows\Temporary%20Internet%20Files\Content.Outlook\BAL0A37R\Calculatiemodel%20voor%20SED%20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  <sheetName val="Omreken"/>
      <sheetName val="Tabellen"/>
      <sheetName val="Validaties"/>
      <sheetName val="atir_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Contractblad"/>
      <sheetName val="2-Korting meerdere percelen"/>
      <sheetName val="3- Spoorlengte per lijn"/>
      <sheetName val="4A-Ballastbed - DAG"/>
      <sheetName val="4b-Ballastbed - NACHT"/>
      <sheetName val="5-Tunnelwand - NACHT"/>
      <sheetName val="6 - Extra"/>
      <sheetName val="7-Premies en opslagen"/>
      <sheetName val="8 - Opbouw uurtarieven"/>
      <sheetName val="9-Machinekosten"/>
      <sheetName val="Uurtarieven"/>
      <sheetName val="Percentages"/>
      <sheetName val="Toeslag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7">
          <cell r="F57">
            <v>20.58</v>
          </cell>
        </row>
      </sheetData>
      <sheetData sheetId="11">
        <row r="10">
          <cell r="K10">
            <v>11.231117999999999</v>
          </cell>
        </row>
      </sheetData>
      <sheetData sheetId="1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blad"/>
      <sheetName val="Opbouw uurtarieven"/>
      <sheetName val="Toeslagen matrix"/>
      <sheetName val="Kengetal"/>
      <sheetName val="Basis ruimtestaat"/>
      <sheetName val="Contractblad"/>
      <sheetName val="Machine investering"/>
      <sheetName val="Afroepprijs"/>
      <sheetName val="Basis_ruimtestaa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V4" t="str">
            <v>PROJECT</v>
          </cell>
        </row>
        <row r="7">
          <cell r="K7" t="str">
            <v>PROGR. CODE MA-VR</v>
          </cell>
          <cell r="L7" t="str">
            <v>PROGR. CODE NALOOP</v>
          </cell>
          <cell r="M7" t="str">
            <v>PROGR. CODE ZA-ZO</v>
          </cell>
          <cell r="N7" t="str">
            <v>FREQ. NOTATIE</v>
          </cell>
          <cell r="O7" t="str">
            <v>KENG. CODE MA-VR</v>
          </cell>
          <cell r="P7" t="str">
            <v>UREN P/JR        MA-VR</v>
          </cell>
          <cell r="Q7" t="str">
            <v>KENG. CODE NALOOP</v>
          </cell>
          <cell r="R7" t="str">
            <v>UREN P/JR     NALOOP</v>
          </cell>
          <cell r="S7" t="str">
            <v>KENG. CODE ZA-ZO</v>
          </cell>
          <cell r="T7" t="str">
            <v>UREN P/JR     ZA-ZO</v>
          </cell>
          <cell r="U7" t="str">
            <v>BIJZONDERHEDEN</v>
          </cell>
          <cell r="V7" t="str">
            <v>MUTATIE DATUM</v>
          </cell>
        </row>
        <row r="8"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W8">
            <v>0</v>
          </cell>
        </row>
        <row r="9"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W9">
            <v>0</v>
          </cell>
        </row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W10">
            <v>0</v>
          </cell>
        </row>
        <row r="11"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W11">
            <v>0</v>
          </cell>
        </row>
        <row r="12"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W12">
            <v>0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W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W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W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W16">
            <v>0</v>
          </cell>
        </row>
        <row r="17"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W17">
            <v>0</v>
          </cell>
        </row>
        <row r="18"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W18">
            <v>0</v>
          </cell>
        </row>
        <row r="19"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W19">
            <v>0</v>
          </cell>
        </row>
        <row r="20"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W20">
            <v>0</v>
          </cell>
        </row>
        <row r="21"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W21">
            <v>0</v>
          </cell>
        </row>
        <row r="22"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W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W23">
            <v>0</v>
          </cell>
        </row>
        <row r="24"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W24">
            <v>0</v>
          </cell>
        </row>
        <row r="25"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W25">
            <v>0</v>
          </cell>
        </row>
        <row r="26"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W26">
            <v>0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W27">
            <v>0</v>
          </cell>
        </row>
        <row r="28"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W28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W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W30">
            <v>0</v>
          </cell>
        </row>
        <row r="31"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W31">
            <v>0</v>
          </cell>
        </row>
        <row r="32"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W32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W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W34">
            <v>0</v>
          </cell>
        </row>
        <row r="35"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W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W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W37">
            <v>0</v>
          </cell>
        </row>
        <row r="38"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W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W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W40">
            <v>0</v>
          </cell>
        </row>
        <row r="41"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W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W42">
            <v>0</v>
          </cell>
        </row>
        <row r="43"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W43">
            <v>0</v>
          </cell>
        </row>
        <row r="44"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W44">
            <v>0</v>
          </cell>
        </row>
        <row r="45"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W45">
            <v>0</v>
          </cell>
        </row>
        <row r="46"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W46">
            <v>0</v>
          </cell>
        </row>
        <row r="47"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W47">
            <v>0</v>
          </cell>
        </row>
        <row r="48"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W48">
            <v>0</v>
          </cell>
        </row>
        <row r="49"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W49">
            <v>0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W50">
            <v>0</v>
          </cell>
        </row>
        <row r="51"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W51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W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W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W54">
            <v>0</v>
          </cell>
        </row>
        <row r="55"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W55">
            <v>0</v>
          </cell>
        </row>
        <row r="56"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W56">
            <v>0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W57">
            <v>0</v>
          </cell>
        </row>
        <row r="58"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W58">
            <v>0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W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W60">
            <v>0</v>
          </cell>
        </row>
        <row r="61"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W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W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W63">
            <v>0</v>
          </cell>
        </row>
        <row r="64"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W64">
            <v>0</v>
          </cell>
        </row>
        <row r="65"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W65">
            <v>0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W66">
            <v>0</v>
          </cell>
        </row>
        <row r="67"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W67">
            <v>0</v>
          </cell>
        </row>
        <row r="68"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W68">
            <v>0</v>
          </cell>
        </row>
        <row r="69"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W69">
            <v>0</v>
          </cell>
        </row>
        <row r="70"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W70">
            <v>0</v>
          </cell>
        </row>
        <row r="71"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W71">
            <v>0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W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W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W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W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W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W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W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W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W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W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W82">
            <v>0</v>
          </cell>
        </row>
        <row r="83"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W83">
            <v>0</v>
          </cell>
        </row>
        <row r="84"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W84">
            <v>0</v>
          </cell>
        </row>
        <row r="85"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W85">
            <v>0</v>
          </cell>
        </row>
        <row r="86"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W86">
            <v>0</v>
          </cell>
        </row>
        <row r="87"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W87">
            <v>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W88">
            <v>0</v>
          </cell>
        </row>
        <row r="89"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W89">
            <v>0</v>
          </cell>
        </row>
        <row r="90"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W90">
            <v>0</v>
          </cell>
        </row>
        <row r="91"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W91">
            <v>0</v>
          </cell>
        </row>
        <row r="92"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W92">
            <v>0</v>
          </cell>
        </row>
        <row r="93"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W93">
            <v>0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W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W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W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W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W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W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W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W101">
            <v>0</v>
          </cell>
        </row>
        <row r="102"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W102">
            <v>0</v>
          </cell>
        </row>
        <row r="103"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W103">
            <v>0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W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W105">
            <v>0</v>
          </cell>
        </row>
        <row r="106"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W106">
            <v>0</v>
          </cell>
        </row>
        <row r="107"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W107">
            <v>0</v>
          </cell>
        </row>
        <row r="108"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W108">
            <v>0</v>
          </cell>
        </row>
        <row r="109"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W109">
            <v>0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W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W111">
            <v>0</v>
          </cell>
        </row>
        <row r="112"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W112">
            <v>0</v>
          </cell>
        </row>
        <row r="113"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W113">
            <v>0</v>
          </cell>
        </row>
        <row r="114"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W114">
            <v>0</v>
          </cell>
        </row>
        <row r="115"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W115">
            <v>0</v>
          </cell>
        </row>
        <row r="116"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W116">
            <v>0</v>
          </cell>
        </row>
        <row r="117"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W117">
            <v>0</v>
          </cell>
        </row>
        <row r="118"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W118">
            <v>0</v>
          </cell>
        </row>
        <row r="119"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W119">
            <v>0</v>
          </cell>
        </row>
        <row r="120"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W120">
            <v>0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W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W122">
            <v>0</v>
          </cell>
        </row>
        <row r="123"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W123">
            <v>0</v>
          </cell>
        </row>
        <row r="124"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W124">
            <v>0</v>
          </cell>
        </row>
        <row r="125"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W125">
            <v>0</v>
          </cell>
        </row>
        <row r="126"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W126">
            <v>0</v>
          </cell>
        </row>
        <row r="127"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W127">
            <v>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W128">
            <v>0</v>
          </cell>
        </row>
        <row r="129"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W129">
            <v>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W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W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W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W133">
            <v>0</v>
          </cell>
        </row>
        <row r="134"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W134">
            <v>0</v>
          </cell>
        </row>
        <row r="135"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W135">
            <v>0</v>
          </cell>
        </row>
        <row r="136"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W136">
            <v>0</v>
          </cell>
        </row>
        <row r="137"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W137">
            <v>0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W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W139">
            <v>0</v>
          </cell>
        </row>
        <row r="140"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W140">
            <v>0</v>
          </cell>
        </row>
        <row r="141"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W141">
            <v>0</v>
          </cell>
        </row>
        <row r="142"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W142">
            <v>0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W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W144">
            <v>0</v>
          </cell>
        </row>
        <row r="145"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W145">
            <v>0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W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W147">
            <v>0</v>
          </cell>
        </row>
        <row r="148"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W148">
            <v>0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W149">
            <v>0</v>
          </cell>
        </row>
        <row r="150"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W150">
            <v>0</v>
          </cell>
        </row>
        <row r="151"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W151">
            <v>0</v>
          </cell>
        </row>
        <row r="152"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W152">
            <v>0</v>
          </cell>
        </row>
        <row r="153"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W153">
            <v>0</v>
          </cell>
        </row>
        <row r="154"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W154">
            <v>0</v>
          </cell>
        </row>
        <row r="155"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W155">
            <v>0</v>
          </cell>
        </row>
        <row r="156"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W156">
            <v>0</v>
          </cell>
        </row>
        <row r="157"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W157">
            <v>0</v>
          </cell>
        </row>
        <row r="158"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W158">
            <v>0</v>
          </cell>
        </row>
        <row r="159"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W159">
            <v>0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W160">
            <v>0</v>
          </cell>
        </row>
        <row r="161"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W161">
            <v>0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W162">
            <v>0</v>
          </cell>
        </row>
        <row r="163"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W163">
            <v>0</v>
          </cell>
        </row>
        <row r="164"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W164">
            <v>0</v>
          </cell>
        </row>
        <row r="165"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W165">
            <v>0</v>
          </cell>
        </row>
        <row r="166"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W166">
            <v>0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W167">
            <v>0</v>
          </cell>
        </row>
        <row r="168"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W168">
            <v>0</v>
          </cell>
        </row>
        <row r="169"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W169">
            <v>0</v>
          </cell>
        </row>
        <row r="170"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W170">
            <v>0</v>
          </cell>
        </row>
        <row r="171"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W171">
            <v>0</v>
          </cell>
        </row>
        <row r="172"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W172">
            <v>0</v>
          </cell>
        </row>
        <row r="173"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W173">
            <v>0</v>
          </cell>
        </row>
        <row r="174"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W174">
            <v>0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W175">
            <v>0</v>
          </cell>
        </row>
        <row r="176"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W176">
            <v>0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W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W178">
            <v>0</v>
          </cell>
        </row>
        <row r="179"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W179">
            <v>0</v>
          </cell>
        </row>
        <row r="180"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W180">
            <v>0</v>
          </cell>
        </row>
        <row r="181"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W181">
            <v>0</v>
          </cell>
        </row>
        <row r="182"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W182">
            <v>0</v>
          </cell>
        </row>
        <row r="183"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W183">
            <v>0</v>
          </cell>
        </row>
        <row r="184"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W184">
            <v>0</v>
          </cell>
        </row>
        <row r="185"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W185">
            <v>0</v>
          </cell>
        </row>
        <row r="186"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W186">
            <v>0</v>
          </cell>
        </row>
        <row r="187"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W187">
            <v>0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W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W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W190">
            <v>0</v>
          </cell>
        </row>
        <row r="191"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W191">
            <v>0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W192">
            <v>0</v>
          </cell>
        </row>
        <row r="193"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W193">
            <v>0</v>
          </cell>
        </row>
        <row r="194"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W194">
            <v>0</v>
          </cell>
        </row>
        <row r="195"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W195">
            <v>0</v>
          </cell>
        </row>
        <row r="196"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W196">
            <v>0</v>
          </cell>
        </row>
        <row r="197"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W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W198">
            <v>0</v>
          </cell>
        </row>
        <row r="199"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W199">
            <v>0</v>
          </cell>
        </row>
        <row r="200"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W200">
            <v>0</v>
          </cell>
        </row>
        <row r="201"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W201">
            <v>0</v>
          </cell>
        </row>
        <row r="202"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W202">
            <v>0</v>
          </cell>
        </row>
        <row r="203"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W203">
            <v>0</v>
          </cell>
        </row>
        <row r="204"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W204">
            <v>0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W205">
            <v>0</v>
          </cell>
        </row>
        <row r="206"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W206">
            <v>0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W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W208">
            <v>0</v>
          </cell>
        </row>
        <row r="209"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W209">
            <v>0</v>
          </cell>
        </row>
        <row r="210"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W210">
            <v>0</v>
          </cell>
        </row>
        <row r="211"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W211">
            <v>0</v>
          </cell>
        </row>
        <row r="212"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W212">
            <v>0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W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W214">
            <v>0</v>
          </cell>
        </row>
        <row r="215"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W215">
            <v>0</v>
          </cell>
        </row>
        <row r="216"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W216">
            <v>0</v>
          </cell>
        </row>
        <row r="217"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W217">
            <v>0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W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W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W220">
            <v>0</v>
          </cell>
        </row>
        <row r="221"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W221">
            <v>0</v>
          </cell>
        </row>
        <row r="222"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W222">
            <v>0</v>
          </cell>
        </row>
        <row r="223"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W223">
            <v>0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W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W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W226">
            <v>0</v>
          </cell>
        </row>
        <row r="227"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W227">
            <v>0</v>
          </cell>
        </row>
        <row r="228"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W228">
            <v>0</v>
          </cell>
        </row>
        <row r="229"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W229">
            <v>0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W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W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W232">
            <v>0</v>
          </cell>
        </row>
        <row r="233"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W233">
            <v>0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W234">
            <v>0</v>
          </cell>
        </row>
        <row r="235"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W235">
            <v>0</v>
          </cell>
        </row>
        <row r="236"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W236">
            <v>0</v>
          </cell>
        </row>
        <row r="237"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W237">
            <v>0</v>
          </cell>
        </row>
        <row r="238"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W238">
            <v>0</v>
          </cell>
        </row>
        <row r="239"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W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W240">
            <v>0</v>
          </cell>
        </row>
        <row r="241"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W241">
            <v>0</v>
          </cell>
        </row>
        <row r="242"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W242">
            <v>0</v>
          </cell>
        </row>
        <row r="243"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W243">
            <v>0</v>
          </cell>
        </row>
        <row r="244"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W244">
            <v>0</v>
          </cell>
        </row>
        <row r="245"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W245">
            <v>0</v>
          </cell>
        </row>
        <row r="246"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W246">
            <v>0</v>
          </cell>
        </row>
        <row r="247"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W247">
            <v>0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W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W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W250">
            <v>0</v>
          </cell>
        </row>
        <row r="251"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W251">
            <v>0</v>
          </cell>
        </row>
        <row r="252"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W252">
            <v>0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W253">
            <v>0</v>
          </cell>
        </row>
        <row r="254"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W254">
            <v>0</v>
          </cell>
        </row>
        <row r="255"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W255">
            <v>0</v>
          </cell>
        </row>
        <row r="256"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W256">
            <v>0</v>
          </cell>
        </row>
        <row r="257"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W257">
            <v>0</v>
          </cell>
        </row>
        <row r="258"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W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W259">
            <v>0</v>
          </cell>
        </row>
        <row r="260"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W260">
            <v>0</v>
          </cell>
        </row>
        <row r="261"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W261">
            <v>0</v>
          </cell>
        </row>
        <row r="262"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W262">
            <v>0</v>
          </cell>
        </row>
        <row r="263"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W263">
            <v>0</v>
          </cell>
        </row>
        <row r="264"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W264">
            <v>0</v>
          </cell>
        </row>
        <row r="265"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W265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W266">
            <v>0</v>
          </cell>
        </row>
        <row r="267"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W267">
            <v>0</v>
          </cell>
        </row>
        <row r="268"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W268">
            <v>0</v>
          </cell>
        </row>
        <row r="269"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W269">
            <v>0</v>
          </cell>
        </row>
        <row r="270"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W270">
            <v>0</v>
          </cell>
        </row>
        <row r="271"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W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W272">
            <v>0</v>
          </cell>
        </row>
        <row r="273"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W273">
            <v>0</v>
          </cell>
        </row>
        <row r="274"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W274">
            <v>0</v>
          </cell>
        </row>
        <row r="275"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W275">
            <v>0</v>
          </cell>
        </row>
        <row r="276"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W276">
            <v>0</v>
          </cell>
        </row>
        <row r="277"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W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W278">
            <v>0</v>
          </cell>
        </row>
        <row r="279"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W279">
            <v>0</v>
          </cell>
        </row>
        <row r="280"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W280">
            <v>0</v>
          </cell>
        </row>
        <row r="281"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W281">
            <v>0</v>
          </cell>
        </row>
        <row r="282"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W282">
            <v>0</v>
          </cell>
        </row>
        <row r="283"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W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W284">
            <v>0</v>
          </cell>
        </row>
        <row r="285"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W285">
            <v>0</v>
          </cell>
        </row>
        <row r="286"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W286">
            <v>0</v>
          </cell>
        </row>
        <row r="287"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W287">
            <v>0</v>
          </cell>
        </row>
        <row r="288"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W288">
            <v>0</v>
          </cell>
        </row>
        <row r="289"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W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W290">
            <v>0</v>
          </cell>
        </row>
        <row r="291"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W291">
            <v>0</v>
          </cell>
        </row>
        <row r="292"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W292">
            <v>0</v>
          </cell>
        </row>
        <row r="293"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W293">
            <v>0</v>
          </cell>
        </row>
        <row r="294"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W294">
            <v>0</v>
          </cell>
        </row>
        <row r="295"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W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W296">
            <v>0</v>
          </cell>
        </row>
        <row r="297"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W297">
            <v>0</v>
          </cell>
        </row>
        <row r="298"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W298">
            <v>0</v>
          </cell>
        </row>
        <row r="299"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W299">
            <v>0</v>
          </cell>
        </row>
        <row r="300"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W300">
            <v>0</v>
          </cell>
        </row>
        <row r="301"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W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W302">
            <v>0</v>
          </cell>
        </row>
        <row r="303"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W303">
            <v>0</v>
          </cell>
        </row>
        <row r="304"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W304">
            <v>0</v>
          </cell>
        </row>
        <row r="305"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W305">
            <v>0</v>
          </cell>
        </row>
        <row r="306"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W306">
            <v>0</v>
          </cell>
        </row>
        <row r="307"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W307">
            <v>0</v>
          </cell>
        </row>
        <row r="308"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W308">
            <v>0</v>
          </cell>
        </row>
        <row r="309"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W309">
            <v>0</v>
          </cell>
        </row>
        <row r="310"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W310">
            <v>0</v>
          </cell>
        </row>
        <row r="311"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W311">
            <v>0</v>
          </cell>
        </row>
        <row r="312"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W312">
            <v>0</v>
          </cell>
        </row>
        <row r="313"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W313">
            <v>0</v>
          </cell>
        </row>
        <row r="314"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W314">
            <v>0</v>
          </cell>
        </row>
        <row r="315"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W315">
            <v>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W316">
            <v>0</v>
          </cell>
        </row>
        <row r="317"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W317">
            <v>0</v>
          </cell>
        </row>
        <row r="318"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W318">
            <v>0</v>
          </cell>
        </row>
        <row r="319"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W319">
            <v>0</v>
          </cell>
        </row>
        <row r="320"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W320">
            <v>0</v>
          </cell>
        </row>
        <row r="321"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W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W322">
            <v>0</v>
          </cell>
        </row>
        <row r="323"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W323">
            <v>0</v>
          </cell>
        </row>
        <row r="324"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W324">
            <v>0</v>
          </cell>
        </row>
        <row r="325"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W325">
            <v>0</v>
          </cell>
        </row>
        <row r="326"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W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W327">
            <v>0</v>
          </cell>
        </row>
        <row r="328"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W328">
            <v>0</v>
          </cell>
        </row>
        <row r="329"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W329">
            <v>0</v>
          </cell>
        </row>
        <row r="330"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W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W331">
            <v>0</v>
          </cell>
        </row>
        <row r="332"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W332">
            <v>0</v>
          </cell>
        </row>
        <row r="333"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W333">
            <v>0</v>
          </cell>
        </row>
        <row r="334"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W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W335">
            <v>0</v>
          </cell>
        </row>
        <row r="336"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W336">
            <v>0</v>
          </cell>
        </row>
        <row r="337"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W337">
            <v>0</v>
          </cell>
        </row>
        <row r="338"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W338">
            <v>0</v>
          </cell>
        </row>
        <row r="339"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W339">
            <v>0</v>
          </cell>
        </row>
        <row r="340"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W340">
            <v>0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W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W342">
            <v>0</v>
          </cell>
        </row>
        <row r="343"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W343">
            <v>0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W344">
            <v>0</v>
          </cell>
        </row>
        <row r="345"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W345">
            <v>0</v>
          </cell>
        </row>
        <row r="346"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W346">
            <v>0</v>
          </cell>
        </row>
        <row r="347"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W347">
            <v>0</v>
          </cell>
        </row>
        <row r="348"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W348">
            <v>0</v>
          </cell>
        </row>
        <row r="349"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W349">
            <v>0</v>
          </cell>
        </row>
        <row r="350"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W350">
            <v>0</v>
          </cell>
        </row>
        <row r="351"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W351">
            <v>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W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W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W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W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W356">
            <v>0</v>
          </cell>
        </row>
        <row r="357"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W357">
            <v>0</v>
          </cell>
        </row>
        <row r="358"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W358">
            <v>0</v>
          </cell>
        </row>
        <row r="359"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W359">
            <v>0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W360">
            <v>0</v>
          </cell>
        </row>
        <row r="361"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W361">
            <v>0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W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W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W364">
            <v>0</v>
          </cell>
        </row>
        <row r="365"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W365">
            <v>0</v>
          </cell>
        </row>
        <row r="366"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W366">
            <v>0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W367">
            <v>0</v>
          </cell>
        </row>
        <row r="368"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W368">
            <v>0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W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W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W371">
            <v>0</v>
          </cell>
        </row>
        <row r="372"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W372">
            <v>0</v>
          </cell>
        </row>
        <row r="373"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W373">
            <v>0</v>
          </cell>
        </row>
        <row r="374"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W374">
            <v>0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W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W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W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W378">
            <v>0</v>
          </cell>
        </row>
        <row r="379"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W379">
            <v>0</v>
          </cell>
        </row>
        <row r="380"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W380">
            <v>0</v>
          </cell>
        </row>
        <row r="381"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W381">
            <v>0</v>
          </cell>
        </row>
        <row r="382"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W382">
            <v>0</v>
          </cell>
        </row>
        <row r="383"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W383">
            <v>0</v>
          </cell>
        </row>
        <row r="384"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W384">
            <v>0</v>
          </cell>
        </row>
        <row r="385"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W385">
            <v>0</v>
          </cell>
        </row>
        <row r="386"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W386">
            <v>0</v>
          </cell>
        </row>
        <row r="387"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W387">
            <v>0</v>
          </cell>
        </row>
        <row r="388"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W388">
            <v>0</v>
          </cell>
        </row>
        <row r="389"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W389">
            <v>0</v>
          </cell>
        </row>
        <row r="390"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W390">
            <v>0</v>
          </cell>
        </row>
        <row r="391"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W391">
            <v>0</v>
          </cell>
        </row>
        <row r="392"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W392">
            <v>0</v>
          </cell>
        </row>
        <row r="393"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W393">
            <v>0</v>
          </cell>
        </row>
        <row r="394"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W394">
            <v>0</v>
          </cell>
        </row>
        <row r="395"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W395">
            <v>0</v>
          </cell>
        </row>
        <row r="396"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W396">
            <v>0</v>
          </cell>
        </row>
        <row r="397"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W397">
            <v>0</v>
          </cell>
        </row>
        <row r="398"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W398">
            <v>0</v>
          </cell>
        </row>
        <row r="399"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W399">
            <v>0</v>
          </cell>
        </row>
        <row r="400"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W400">
            <v>0</v>
          </cell>
        </row>
        <row r="401"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W401">
            <v>0</v>
          </cell>
        </row>
        <row r="402"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W402">
            <v>0</v>
          </cell>
        </row>
        <row r="403"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W403">
            <v>0</v>
          </cell>
        </row>
        <row r="404"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W404">
            <v>0</v>
          </cell>
        </row>
        <row r="405"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W405">
            <v>0</v>
          </cell>
        </row>
        <row r="406"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W406">
            <v>0</v>
          </cell>
        </row>
        <row r="407"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W407">
            <v>0</v>
          </cell>
        </row>
        <row r="408"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W408">
            <v>0</v>
          </cell>
        </row>
        <row r="409"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W409">
            <v>0</v>
          </cell>
        </row>
        <row r="410"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W410">
            <v>0</v>
          </cell>
        </row>
        <row r="411"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W411">
            <v>0</v>
          </cell>
        </row>
        <row r="412"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W412">
            <v>0</v>
          </cell>
        </row>
        <row r="413"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W413">
            <v>0</v>
          </cell>
        </row>
        <row r="414"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W414">
            <v>0</v>
          </cell>
        </row>
        <row r="415"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W415">
            <v>0</v>
          </cell>
        </row>
        <row r="416"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W416">
            <v>0</v>
          </cell>
        </row>
        <row r="417"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W417">
            <v>0</v>
          </cell>
        </row>
        <row r="418"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W418">
            <v>0</v>
          </cell>
        </row>
        <row r="419"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W419">
            <v>0</v>
          </cell>
        </row>
        <row r="420"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W420">
            <v>0</v>
          </cell>
        </row>
        <row r="421"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W421">
            <v>0</v>
          </cell>
        </row>
        <row r="422"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W422">
            <v>0</v>
          </cell>
        </row>
        <row r="423"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W423">
            <v>0</v>
          </cell>
        </row>
        <row r="424"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W424">
            <v>0</v>
          </cell>
        </row>
        <row r="425"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W425">
            <v>0</v>
          </cell>
        </row>
        <row r="426"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W426">
            <v>0</v>
          </cell>
        </row>
        <row r="427"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W427">
            <v>0</v>
          </cell>
        </row>
        <row r="428"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W428">
            <v>0</v>
          </cell>
        </row>
        <row r="429"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W429">
            <v>0</v>
          </cell>
        </row>
        <row r="430"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W430">
            <v>0</v>
          </cell>
        </row>
        <row r="431"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W431">
            <v>0</v>
          </cell>
        </row>
        <row r="432"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W432">
            <v>0</v>
          </cell>
        </row>
        <row r="433"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W433">
            <v>0</v>
          </cell>
        </row>
        <row r="434"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W434">
            <v>0</v>
          </cell>
        </row>
        <row r="435"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W435">
            <v>0</v>
          </cell>
        </row>
        <row r="436"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W436">
            <v>0</v>
          </cell>
        </row>
        <row r="437"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W437">
            <v>0</v>
          </cell>
        </row>
        <row r="438"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W438">
            <v>0</v>
          </cell>
        </row>
        <row r="439"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W439">
            <v>0</v>
          </cell>
        </row>
        <row r="440"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W440">
            <v>0</v>
          </cell>
        </row>
        <row r="441"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W441">
            <v>0</v>
          </cell>
        </row>
        <row r="442"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W442">
            <v>0</v>
          </cell>
        </row>
        <row r="443"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W443">
            <v>0</v>
          </cell>
        </row>
        <row r="444"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W444">
            <v>0</v>
          </cell>
        </row>
        <row r="445"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W445">
            <v>0</v>
          </cell>
        </row>
        <row r="446"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W446">
            <v>0</v>
          </cell>
        </row>
        <row r="447"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W447">
            <v>0</v>
          </cell>
        </row>
        <row r="448"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W448">
            <v>0</v>
          </cell>
        </row>
        <row r="449"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W449">
            <v>0</v>
          </cell>
        </row>
        <row r="450"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W450">
            <v>0</v>
          </cell>
        </row>
        <row r="451"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W451">
            <v>0</v>
          </cell>
        </row>
        <row r="452"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W452">
            <v>0</v>
          </cell>
        </row>
        <row r="453"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W453">
            <v>0</v>
          </cell>
        </row>
        <row r="454"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W454">
            <v>0</v>
          </cell>
        </row>
        <row r="455"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W455">
            <v>0</v>
          </cell>
        </row>
        <row r="456"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W456">
            <v>0</v>
          </cell>
        </row>
        <row r="457"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W457">
            <v>0</v>
          </cell>
        </row>
        <row r="458"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W458">
            <v>0</v>
          </cell>
        </row>
        <row r="459"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W459">
            <v>0</v>
          </cell>
        </row>
        <row r="460"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W460">
            <v>0</v>
          </cell>
        </row>
        <row r="461"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W461">
            <v>0</v>
          </cell>
        </row>
        <row r="462"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W462">
            <v>0</v>
          </cell>
        </row>
        <row r="463"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W463">
            <v>0</v>
          </cell>
        </row>
        <row r="464"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W464">
            <v>0</v>
          </cell>
        </row>
        <row r="465"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W465">
            <v>0</v>
          </cell>
        </row>
        <row r="466"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W466">
            <v>0</v>
          </cell>
        </row>
        <row r="467"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W467">
            <v>0</v>
          </cell>
        </row>
        <row r="468"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W468">
            <v>0</v>
          </cell>
        </row>
        <row r="469"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W469">
            <v>0</v>
          </cell>
        </row>
        <row r="470"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W470">
            <v>0</v>
          </cell>
        </row>
        <row r="471"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W471">
            <v>0</v>
          </cell>
        </row>
        <row r="472"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W472">
            <v>0</v>
          </cell>
        </row>
        <row r="473"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W473">
            <v>0</v>
          </cell>
        </row>
        <row r="474"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W474">
            <v>0</v>
          </cell>
        </row>
        <row r="475"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W475">
            <v>0</v>
          </cell>
        </row>
        <row r="476"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W476">
            <v>0</v>
          </cell>
        </row>
        <row r="477"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W477">
            <v>0</v>
          </cell>
        </row>
        <row r="478"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W478">
            <v>0</v>
          </cell>
        </row>
        <row r="479"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W479">
            <v>0</v>
          </cell>
        </row>
        <row r="480"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W480">
            <v>0</v>
          </cell>
        </row>
        <row r="481"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W481">
            <v>0</v>
          </cell>
        </row>
        <row r="482"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W482">
            <v>0</v>
          </cell>
        </row>
        <row r="483"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W483">
            <v>0</v>
          </cell>
        </row>
        <row r="484"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W484">
            <v>0</v>
          </cell>
        </row>
        <row r="485"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W485">
            <v>0</v>
          </cell>
        </row>
        <row r="486"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W486">
            <v>0</v>
          </cell>
        </row>
        <row r="487"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W487">
            <v>0</v>
          </cell>
        </row>
        <row r="488"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W488">
            <v>0</v>
          </cell>
        </row>
        <row r="489"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W489">
            <v>0</v>
          </cell>
        </row>
        <row r="490"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W490">
            <v>0</v>
          </cell>
        </row>
        <row r="491"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W491">
            <v>0</v>
          </cell>
        </row>
        <row r="492"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W492">
            <v>0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W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W494">
            <v>0</v>
          </cell>
        </row>
        <row r="495"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W495">
            <v>0</v>
          </cell>
        </row>
        <row r="496"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W496">
            <v>0</v>
          </cell>
        </row>
        <row r="497"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W497">
            <v>0</v>
          </cell>
        </row>
        <row r="498"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W498">
            <v>0</v>
          </cell>
        </row>
        <row r="499"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W499">
            <v>0</v>
          </cell>
        </row>
        <row r="500"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W500">
            <v>0</v>
          </cell>
        </row>
        <row r="501"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W501">
            <v>0</v>
          </cell>
        </row>
        <row r="502"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W502">
            <v>0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W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W504">
            <v>0</v>
          </cell>
        </row>
        <row r="505"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W505">
            <v>0</v>
          </cell>
        </row>
        <row r="506"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W506">
            <v>0</v>
          </cell>
        </row>
        <row r="507"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W507">
            <v>0</v>
          </cell>
        </row>
        <row r="508"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W508">
            <v>0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W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W510">
            <v>0</v>
          </cell>
        </row>
        <row r="511"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W511">
            <v>0</v>
          </cell>
        </row>
        <row r="512"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W512">
            <v>0</v>
          </cell>
        </row>
        <row r="513"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W513">
            <v>0</v>
          </cell>
        </row>
        <row r="514"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W514">
            <v>0</v>
          </cell>
        </row>
        <row r="515"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W515">
            <v>0</v>
          </cell>
        </row>
        <row r="516"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W516">
            <v>0</v>
          </cell>
        </row>
        <row r="517"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W517">
            <v>0</v>
          </cell>
        </row>
        <row r="518"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W518">
            <v>0</v>
          </cell>
        </row>
        <row r="519"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W519">
            <v>0</v>
          </cell>
        </row>
        <row r="520"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W520">
            <v>0</v>
          </cell>
        </row>
        <row r="521"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W521">
            <v>0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W522">
            <v>0</v>
          </cell>
        </row>
        <row r="523"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W523">
            <v>0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W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W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W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W527">
            <v>0</v>
          </cell>
        </row>
        <row r="528"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W528">
            <v>0</v>
          </cell>
        </row>
        <row r="529"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W529">
            <v>0</v>
          </cell>
        </row>
        <row r="530"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W530">
            <v>0</v>
          </cell>
        </row>
        <row r="531"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W531">
            <v>0</v>
          </cell>
        </row>
        <row r="532"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W532">
            <v>0</v>
          </cell>
        </row>
        <row r="533"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W533">
            <v>0</v>
          </cell>
        </row>
        <row r="534"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W534">
            <v>0</v>
          </cell>
        </row>
        <row r="535"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W535">
            <v>0</v>
          </cell>
        </row>
        <row r="536"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W536">
            <v>0</v>
          </cell>
        </row>
        <row r="537"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W537">
            <v>0</v>
          </cell>
        </row>
        <row r="538"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W538">
            <v>0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W539">
            <v>0</v>
          </cell>
        </row>
        <row r="540"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W540">
            <v>0</v>
          </cell>
        </row>
        <row r="541"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W541">
            <v>0</v>
          </cell>
        </row>
        <row r="542"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W542">
            <v>0</v>
          </cell>
        </row>
        <row r="543"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W543">
            <v>0</v>
          </cell>
        </row>
        <row r="544"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W544">
            <v>0</v>
          </cell>
        </row>
        <row r="545"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W545">
            <v>0</v>
          </cell>
        </row>
        <row r="546"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W546">
            <v>0</v>
          </cell>
        </row>
        <row r="547"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W547">
            <v>0</v>
          </cell>
        </row>
        <row r="548"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W548">
            <v>0</v>
          </cell>
        </row>
        <row r="549"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W549">
            <v>0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W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W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W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W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W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W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W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W557">
            <v>0</v>
          </cell>
        </row>
        <row r="558"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W558">
            <v>0</v>
          </cell>
        </row>
        <row r="559"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W559">
            <v>0</v>
          </cell>
        </row>
        <row r="560"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W560">
            <v>0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W561">
            <v>0</v>
          </cell>
        </row>
        <row r="562"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W562">
            <v>0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W563">
            <v>0</v>
          </cell>
        </row>
        <row r="564"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W564">
            <v>0</v>
          </cell>
        </row>
        <row r="565"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W565">
            <v>0</v>
          </cell>
        </row>
        <row r="566"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W566">
            <v>0</v>
          </cell>
        </row>
        <row r="567"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W567">
            <v>0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W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W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W570">
            <v>0</v>
          </cell>
        </row>
        <row r="571"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W571">
            <v>0</v>
          </cell>
        </row>
        <row r="572"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W572">
            <v>0</v>
          </cell>
        </row>
        <row r="573"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W573">
            <v>0</v>
          </cell>
        </row>
        <row r="574"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W574">
            <v>0</v>
          </cell>
        </row>
        <row r="575"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W575">
            <v>0</v>
          </cell>
        </row>
        <row r="576"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W576">
            <v>0</v>
          </cell>
        </row>
        <row r="577"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W577">
            <v>0</v>
          </cell>
        </row>
        <row r="578"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W578">
            <v>0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W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W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W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W582">
            <v>0</v>
          </cell>
        </row>
        <row r="583"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W583">
            <v>0</v>
          </cell>
        </row>
        <row r="584"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W584">
            <v>0</v>
          </cell>
        </row>
        <row r="585"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W585">
            <v>0</v>
          </cell>
        </row>
        <row r="586"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W586">
            <v>0</v>
          </cell>
        </row>
        <row r="587"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W587">
            <v>0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W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W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W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W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W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W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W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W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W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W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W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W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W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W601">
            <v>0</v>
          </cell>
        </row>
        <row r="602"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W602">
            <v>0</v>
          </cell>
        </row>
        <row r="603"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W603">
            <v>0</v>
          </cell>
        </row>
        <row r="604"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W604">
            <v>0</v>
          </cell>
        </row>
        <row r="605"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W605">
            <v>0</v>
          </cell>
        </row>
        <row r="606"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W606">
            <v>0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W607">
            <v>0</v>
          </cell>
        </row>
        <row r="608"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W608">
            <v>0</v>
          </cell>
        </row>
        <row r="609"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W609">
            <v>0</v>
          </cell>
        </row>
        <row r="610"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W610">
            <v>0</v>
          </cell>
        </row>
        <row r="611"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W611">
            <v>0</v>
          </cell>
        </row>
        <row r="612"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W612">
            <v>0</v>
          </cell>
        </row>
        <row r="613"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W613">
            <v>0</v>
          </cell>
        </row>
        <row r="614"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W614">
            <v>0</v>
          </cell>
        </row>
        <row r="615"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W615">
            <v>0</v>
          </cell>
        </row>
        <row r="616"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W616">
            <v>0</v>
          </cell>
        </row>
        <row r="617"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W617">
            <v>0</v>
          </cell>
        </row>
        <row r="618"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W618">
            <v>0</v>
          </cell>
        </row>
        <row r="619"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W619">
            <v>0</v>
          </cell>
        </row>
        <row r="620"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W620">
            <v>0</v>
          </cell>
        </row>
        <row r="621"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W621">
            <v>0</v>
          </cell>
        </row>
        <row r="622"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W622">
            <v>0</v>
          </cell>
        </row>
        <row r="623"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W623">
            <v>0</v>
          </cell>
        </row>
        <row r="624"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W624">
            <v>0</v>
          </cell>
        </row>
        <row r="625"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W625">
            <v>0</v>
          </cell>
        </row>
        <row r="626"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W626">
            <v>0</v>
          </cell>
        </row>
        <row r="627"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W627">
            <v>0</v>
          </cell>
        </row>
        <row r="628"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W628">
            <v>0</v>
          </cell>
        </row>
        <row r="629"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W629">
            <v>0</v>
          </cell>
        </row>
        <row r="630"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W630">
            <v>0</v>
          </cell>
        </row>
        <row r="631"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W631">
            <v>0</v>
          </cell>
        </row>
        <row r="632"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W632">
            <v>0</v>
          </cell>
        </row>
        <row r="633"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W633">
            <v>0</v>
          </cell>
        </row>
        <row r="634"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W634">
            <v>0</v>
          </cell>
        </row>
        <row r="635"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W635">
            <v>0</v>
          </cell>
        </row>
        <row r="636"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W636">
            <v>0</v>
          </cell>
        </row>
        <row r="637"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W637">
            <v>0</v>
          </cell>
        </row>
        <row r="638"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W638">
            <v>0</v>
          </cell>
        </row>
        <row r="639"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W639">
            <v>0</v>
          </cell>
        </row>
        <row r="640"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W640">
            <v>0</v>
          </cell>
        </row>
        <row r="641"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W641">
            <v>0</v>
          </cell>
        </row>
        <row r="642"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W642">
            <v>0</v>
          </cell>
        </row>
        <row r="643"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W643">
            <v>0</v>
          </cell>
        </row>
        <row r="644"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W644">
            <v>0</v>
          </cell>
        </row>
        <row r="645"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W645">
            <v>0</v>
          </cell>
        </row>
        <row r="646"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W646">
            <v>0</v>
          </cell>
        </row>
        <row r="647"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W647">
            <v>0</v>
          </cell>
        </row>
        <row r="648"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W648">
            <v>0</v>
          </cell>
        </row>
        <row r="649"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W649">
            <v>0</v>
          </cell>
        </row>
        <row r="650"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W650">
            <v>0</v>
          </cell>
        </row>
        <row r="651"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W651">
            <v>0</v>
          </cell>
        </row>
        <row r="652"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W652">
            <v>0</v>
          </cell>
        </row>
        <row r="653"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W653">
            <v>0</v>
          </cell>
        </row>
        <row r="654"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W654">
            <v>0</v>
          </cell>
        </row>
        <row r="655"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W655">
            <v>0</v>
          </cell>
        </row>
        <row r="656"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W656">
            <v>0</v>
          </cell>
        </row>
        <row r="657"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W657">
            <v>0</v>
          </cell>
        </row>
        <row r="658"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W658">
            <v>0</v>
          </cell>
        </row>
        <row r="659"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W659">
            <v>0</v>
          </cell>
        </row>
        <row r="660"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W660">
            <v>0</v>
          </cell>
        </row>
        <row r="661"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W661">
            <v>0</v>
          </cell>
        </row>
        <row r="662"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W662">
            <v>0</v>
          </cell>
        </row>
        <row r="663"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W663">
            <v>0</v>
          </cell>
        </row>
        <row r="664"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W664">
            <v>0</v>
          </cell>
        </row>
        <row r="665"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W665">
            <v>0</v>
          </cell>
        </row>
        <row r="666"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W666">
            <v>0</v>
          </cell>
        </row>
        <row r="667"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W667">
            <v>0</v>
          </cell>
        </row>
        <row r="668"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W668">
            <v>0</v>
          </cell>
        </row>
        <row r="669"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W669">
            <v>0</v>
          </cell>
        </row>
        <row r="670"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W670">
            <v>0</v>
          </cell>
        </row>
        <row r="671"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W671">
            <v>0</v>
          </cell>
        </row>
        <row r="672"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W672">
            <v>0</v>
          </cell>
        </row>
        <row r="673"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W673">
            <v>0</v>
          </cell>
        </row>
        <row r="674"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W674">
            <v>0</v>
          </cell>
        </row>
        <row r="675"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W675">
            <v>0</v>
          </cell>
        </row>
        <row r="676"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W676">
            <v>0</v>
          </cell>
        </row>
        <row r="677"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W677">
            <v>0</v>
          </cell>
        </row>
        <row r="678"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W678">
            <v>0</v>
          </cell>
        </row>
        <row r="679"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W679">
            <v>0</v>
          </cell>
        </row>
        <row r="680"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W680">
            <v>0</v>
          </cell>
        </row>
        <row r="681"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W681">
            <v>0</v>
          </cell>
        </row>
        <row r="682"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W682">
            <v>0</v>
          </cell>
        </row>
        <row r="683"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W683">
            <v>0</v>
          </cell>
        </row>
        <row r="684"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W684">
            <v>0</v>
          </cell>
        </row>
        <row r="685"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W685">
            <v>0</v>
          </cell>
        </row>
        <row r="686"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W686">
            <v>0</v>
          </cell>
        </row>
        <row r="687"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W687">
            <v>0</v>
          </cell>
        </row>
        <row r="688"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W688">
            <v>0</v>
          </cell>
        </row>
        <row r="689"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W689">
            <v>0</v>
          </cell>
        </row>
        <row r="690"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W690">
            <v>0</v>
          </cell>
        </row>
        <row r="691"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W691">
            <v>0</v>
          </cell>
        </row>
        <row r="692"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W692">
            <v>0</v>
          </cell>
        </row>
        <row r="693"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W693">
            <v>0</v>
          </cell>
        </row>
        <row r="694"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W694">
            <v>0</v>
          </cell>
        </row>
        <row r="695"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W695">
            <v>0</v>
          </cell>
        </row>
        <row r="696"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W696">
            <v>0</v>
          </cell>
        </row>
        <row r="697"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W697">
            <v>0</v>
          </cell>
        </row>
        <row r="698"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W698">
            <v>0</v>
          </cell>
        </row>
        <row r="699"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W699">
            <v>0</v>
          </cell>
        </row>
        <row r="700"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W700">
            <v>0</v>
          </cell>
        </row>
        <row r="701"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W701">
            <v>0</v>
          </cell>
        </row>
        <row r="702"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W702">
            <v>0</v>
          </cell>
        </row>
        <row r="703"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W703">
            <v>0</v>
          </cell>
        </row>
        <row r="704"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W704">
            <v>0</v>
          </cell>
        </row>
        <row r="705"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W705">
            <v>0</v>
          </cell>
        </row>
        <row r="706"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W706">
            <v>0</v>
          </cell>
        </row>
        <row r="707"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W707">
            <v>0</v>
          </cell>
        </row>
        <row r="708"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W708">
            <v>0</v>
          </cell>
        </row>
        <row r="709"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W709">
            <v>0</v>
          </cell>
        </row>
        <row r="710"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W710">
            <v>0</v>
          </cell>
        </row>
        <row r="711"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W711">
            <v>0</v>
          </cell>
        </row>
        <row r="712"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W712">
            <v>0</v>
          </cell>
        </row>
        <row r="713"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W713">
            <v>0</v>
          </cell>
        </row>
        <row r="714"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W714">
            <v>0</v>
          </cell>
        </row>
        <row r="715"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W715">
            <v>0</v>
          </cell>
        </row>
        <row r="716"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W716">
            <v>0</v>
          </cell>
        </row>
        <row r="717"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W717">
            <v>0</v>
          </cell>
        </row>
        <row r="718"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W718">
            <v>0</v>
          </cell>
        </row>
        <row r="719"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W719">
            <v>0</v>
          </cell>
        </row>
        <row r="720"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W720">
            <v>0</v>
          </cell>
        </row>
        <row r="721"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W721">
            <v>0</v>
          </cell>
        </row>
        <row r="722"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W722">
            <v>0</v>
          </cell>
        </row>
        <row r="723"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W723">
            <v>0</v>
          </cell>
        </row>
        <row r="724"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W724">
            <v>0</v>
          </cell>
        </row>
        <row r="725"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W725">
            <v>0</v>
          </cell>
        </row>
        <row r="726"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W726">
            <v>0</v>
          </cell>
        </row>
        <row r="727"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W727">
            <v>0</v>
          </cell>
        </row>
        <row r="728"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W728">
            <v>0</v>
          </cell>
        </row>
        <row r="729"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W729">
            <v>0</v>
          </cell>
        </row>
        <row r="730"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W730">
            <v>0</v>
          </cell>
        </row>
        <row r="731"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W731">
            <v>0</v>
          </cell>
        </row>
        <row r="732"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W732">
            <v>0</v>
          </cell>
        </row>
        <row r="733"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W733">
            <v>0</v>
          </cell>
        </row>
        <row r="734"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W734">
            <v>0</v>
          </cell>
        </row>
        <row r="735"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W735">
            <v>0</v>
          </cell>
        </row>
        <row r="736"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W736">
            <v>0</v>
          </cell>
        </row>
        <row r="737"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W737">
            <v>0</v>
          </cell>
        </row>
        <row r="738"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W738">
            <v>0</v>
          </cell>
        </row>
        <row r="739"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W739">
            <v>0</v>
          </cell>
        </row>
        <row r="740"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W740">
            <v>0</v>
          </cell>
        </row>
        <row r="741"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W741">
            <v>0</v>
          </cell>
        </row>
        <row r="742"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W742">
            <v>0</v>
          </cell>
        </row>
        <row r="743"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W743">
            <v>0</v>
          </cell>
        </row>
        <row r="744"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W744">
            <v>0</v>
          </cell>
        </row>
        <row r="745"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W745">
            <v>0</v>
          </cell>
        </row>
        <row r="746"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W746">
            <v>0</v>
          </cell>
        </row>
        <row r="747"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W747">
            <v>0</v>
          </cell>
        </row>
        <row r="748"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W748">
            <v>0</v>
          </cell>
        </row>
        <row r="749"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W749">
            <v>0</v>
          </cell>
        </row>
        <row r="750"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W750">
            <v>0</v>
          </cell>
        </row>
        <row r="751"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W751">
            <v>0</v>
          </cell>
        </row>
        <row r="752"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W752">
            <v>0</v>
          </cell>
        </row>
        <row r="753"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W753">
            <v>0</v>
          </cell>
        </row>
        <row r="754"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W754">
            <v>0</v>
          </cell>
        </row>
        <row r="755"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W755">
            <v>0</v>
          </cell>
        </row>
        <row r="756"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W756">
            <v>0</v>
          </cell>
        </row>
        <row r="757"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W757">
            <v>0</v>
          </cell>
        </row>
        <row r="758"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W758">
            <v>0</v>
          </cell>
        </row>
        <row r="759"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W759">
            <v>0</v>
          </cell>
        </row>
        <row r="760"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W760">
            <v>0</v>
          </cell>
        </row>
        <row r="761"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W761">
            <v>0</v>
          </cell>
        </row>
        <row r="762"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W762">
            <v>0</v>
          </cell>
        </row>
        <row r="763"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W763">
            <v>0</v>
          </cell>
        </row>
        <row r="764"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W764">
            <v>0</v>
          </cell>
        </row>
        <row r="765"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W765">
            <v>0</v>
          </cell>
        </row>
        <row r="766"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W766">
            <v>0</v>
          </cell>
        </row>
        <row r="767"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W767">
            <v>0</v>
          </cell>
        </row>
        <row r="768"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W768">
            <v>0</v>
          </cell>
        </row>
        <row r="769"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W769">
            <v>0</v>
          </cell>
        </row>
        <row r="770"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W770">
            <v>0</v>
          </cell>
        </row>
        <row r="771"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W771">
            <v>0</v>
          </cell>
        </row>
        <row r="772"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W772">
            <v>0</v>
          </cell>
        </row>
        <row r="773"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W773">
            <v>0</v>
          </cell>
        </row>
        <row r="774"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W774">
            <v>0</v>
          </cell>
        </row>
        <row r="775"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W775">
            <v>0</v>
          </cell>
        </row>
        <row r="776"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W776">
            <v>0</v>
          </cell>
        </row>
        <row r="777"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W777">
            <v>0</v>
          </cell>
        </row>
        <row r="778"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W778">
            <v>0</v>
          </cell>
        </row>
        <row r="779"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W779">
            <v>0</v>
          </cell>
        </row>
        <row r="780"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W780">
            <v>0</v>
          </cell>
        </row>
        <row r="781"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W781">
            <v>0</v>
          </cell>
        </row>
        <row r="782"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W782">
            <v>0</v>
          </cell>
        </row>
        <row r="783"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W783">
            <v>0</v>
          </cell>
        </row>
        <row r="784"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W784">
            <v>0</v>
          </cell>
        </row>
        <row r="785"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W785">
            <v>0</v>
          </cell>
        </row>
        <row r="786"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W786">
            <v>0</v>
          </cell>
        </row>
        <row r="787"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W787">
            <v>0</v>
          </cell>
        </row>
        <row r="788"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W788">
            <v>0</v>
          </cell>
        </row>
        <row r="789"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W789">
            <v>0</v>
          </cell>
        </row>
        <row r="790"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W790">
            <v>0</v>
          </cell>
        </row>
        <row r="791"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W791">
            <v>0</v>
          </cell>
        </row>
        <row r="792"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W792">
            <v>0</v>
          </cell>
        </row>
        <row r="793"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W793">
            <v>0</v>
          </cell>
        </row>
        <row r="794"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W794">
            <v>0</v>
          </cell>
        </row>
        <row r="795"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W795">
            <v>0</v>
          </cell>
        </row>
        <row r="796"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W796">
            <v>0</v>
          </cell>
        </row>
        <row r="797"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W797">
            <v>0</v>
          </cell>
        </row>
        <row r="798"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W798">
            <v>0</v>
          </cell>
        </row>
        <row r="799"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W799">
            <v>0</v>
          </cell>
        </row>
        <row r="800"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W800">
            <v>0</v>
          </cell>
        </row>
        <row r="801"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W801">
            <v>0</v>
          </cell>
        </row>
        <row r="802"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W802">
            <v>0</v>
          </cell>
        </row>
        <row r="803"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W803">
            <v>0</v>
          </cell>
        </row>
        <row r="804"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W804">
            <v>0</v>
          </cell>
        </row>
        <row r="805"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W805">
            <v>0</v>
          </cell>
        </row>
        <row r="806"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W806">
            <v>0</v>
          </cell>
        </row>
        <row r="807"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W807">
            <v>0</v>
          </cell>
        </row>
        <row r="808"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W808">
            <v>0</v>
          </cell>
        </row>
        <row r="809"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W809">
            <v>0</v>
          </cell>
        </row>
        <row r="810"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W810">
            <v>0</v>
          </cell>
        </row>
        <row r="811"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W811">
            <v>0</v>
          </cell>
        </row>
        <row r="812"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W812">
            <v>0</v>
          </cell>
        </row>
        <row r="813"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W813">
            <v>0</v>
          </cell>
        </row>
        <row r="814"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W814">
            <v>0</v>
          </cell>
        </row>
        <row r="815"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W815">
            <v>0</v>
          </cell>
        </row>
        <row r="816"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W816">
            <v>0</v>
          </cell>
        </row>
        <row r="817"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W817">
            <v>0</v>
          </cell>
        </row>
        <row r="818"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W818">
            <v>0</v>
          </cell>
        </row>
        <row r="819"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W819">
            <v>0</v>
          </cell>
        </row>
        <row r="820"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W820">
            <v>0</v>
          </cell>
        </row>
        <row r="821"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W821">
            <v>0</v>
          </cell>
        </row>
        <row r="822"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W822">
            <v>0</v>
          </cell>
        </row>
        <row r="823"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W823">
            <v>0</v>
          </cell>
        </row>
        <row r="824"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W824">
            <v>0</v>
          </cell>
        </row>
        <row r="825"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W825">
            <v>0</v>
          </cell>
        </row>
        <row r="826"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W826">
            <v>0</v>
          </cell>
        </row>
        <row r="827"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W827">
            <v>0</v>
          </cell>
        </row>
        <row r="828"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W828">
            <v>0</v>
          </cell>
        </row>
        <row r="829"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W829">
            <v>0</v>
          </cell>
        </row>
        <row r="830"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W830">
            <v>0</v>
          </cell>
        </row>
        <row r="831"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W831">
            <v>0</v>
          </cell>
        </row>
        <row r="832"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W832">
            <v>0</v>
          </cell>
        </row>
        <row r="833"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W833">
            <v>0</v>
          </cell>
        </row>
        <row r="834"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W834">
            <v>0</v>
          </cell>
        </row>
        <row r="835"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W835">
            <v>0</v>
          </cell>
        </row>
        <row r="836"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W836">
            <v>0</v>
          </cell>
        </row>
        <row r="837"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W837">
            <v>0</v>
          </cell>
        </row>
        <row r="838"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W838">
            <v>0</v>
          </cell>
        </row>
        <row r="839"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W839">
            <v>0</v>
          </cell>
        </row>
        <row r="840"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W840">
            <v>0</v>
          </cell>
        </row>
        <row r="841"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W841">
            <v>0</v>
          </cell>
        </row>
        <row r="842"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W842">
            <v>0</v>
          </cell>
        </row>
        <row r="843"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W843">
            <v>0</v>
          </cell>
        </row>
        <row r="844"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W844">
            <v>0</v>
          </cell>
        </row>
        <row r="845"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W845">
            <v>0</v>
          </cell>
        </row>
        <row r="846"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W846">
            <v>0</v>
          </cell>
        </row>
        <row r="847"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W847">
            <v>0</v>
          </cell>
        </row>
        <row r="848"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W848">
            <v>0</v>
          </cell>
        </row>
        <row r="849"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W849">
            <v>0</v>
          </cell>
        </row>
        <row r="850"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W850">
            <v>0</v>
          </cell>
        </row>
        <row r="851"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W851">
            <v>0</v>
          </cell>
        </row>
        <row r="852"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W852">
            <v>0</v>
          </cell>
        </row>
        <row r="853"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W853">
            <v>0</v>
          </cell>
        </row>
        <row r="854"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W854">
            <v>0</v>
          </cell>
        </row>
        <row r="855"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W855">
            <v>0</v>
          </cell>
        </row>
        <row r="856"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W856">
            <v>0</v>
          </cell>
        </row>
        <row r="857"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W857">
            <v>0</v>
          </cell>
        </row>
        <row r="858"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W858">
            <v>0</v>
          </cell>
        </row>
        <row r="859"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W859">
            <v>0</v>
          </cell>
        </row>
        <row r="860"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W860">
            <v>0</v>
          </cell>
        </row>
        <row r="861"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W861">
            <v>0</v>
          </cell>
        </row>
        <row r="862"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W862">
            <v>0</v>
          </cell>
        </row>
        <row r="863"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W863">
            <v>0</v>
          </cell>
        </row>
        <row r="864"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W864">
            <v>0</v>
          </cell>
        </row>
        <row r="865"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W865">
            <v>0</v>
          </cell>
        </row>
        <row r="866"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W866">
            <v>0</v>
          </cell>
        </row>
        <row r="867"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W867">
            <v>0</v>
          </cell>
        </row>
        <row r="868"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W868">
            <v>0</v>
          </cell>
        </row>
        <row r="869"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W869">
            <v>0</v>
          </cell>
        </row>
        <row r="870"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W870">
            <v>0</v>
          </cell>
        </row>
        <row r="871"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W871">
            <v>0</v>
          </cell>
        </row>
        <row r="872"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W872">
            <v>0</v>
          </cell>
        </row>
        <row r="873"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W873">
            <v>0</v>
          </cell>
        </row>
        <row r="874"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W874">
            <v>0</v>
          </cell>
        </row>
        <row r="875"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W875">
            <v>0</v>
          </cell>
        </row>
        <row r="876"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W876">
            <v>0</v>
          </cell>
        </row>
        <row r="877"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W877">
            <v>0</v>
          </cell>
        </row>
        <row r="878"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W878">
            <v>0</v>
          </cell>
        </row>
        <row r="879"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W879">
            <v>0</v>
          </cell>
        </row>
        <row r="880"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W880">
            <v>0</v>
          </cell>
        </row>
        <row r="881"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W881">
            <v>0</v>
          </cell>
        </row>
        <row r="882"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W882">
            <v>0</v>
          </cell>
        </row>
        <row r="883"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W883">
            <v>0</v>
          </cell>
        </row>
        <row r="884"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W884">
            <v>0</v>
          </cell>
        </row>
        <row r="885"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W885">
            <v>0</v>
          </cell>
        </row>
        <row r="886"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W886">
            <v>0</v>
          </cell>
        </row>
        <row r="887"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W887">
            <v>0</v>
          </cell>
        </row>
        <row r="888"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W888">
            <v>0</v>
          </cell>
        </row>
        <row r="889"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W889">
            <v>0</v>
          </cell>
        </row>
        <row r="890"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W890">
            <v>0</v>
          </cell>
        </row>
        <row r="891"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W891">
            <v>0</v>
          </cell>
        </row>
        <row r="892"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W892">
            <v>0</v>
          </cell>
        </row>
        <row r="893"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W893">
            <v>0</v>
          </cell>
        </row>
        <row r="894"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W894">
            <v>0</v>
          </cell>
        </row>
        <row r="895"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W895">
            <v>0</v>
          </cell>
        </row>
        <row r="896"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W896">
            <v>0</v>
          </cell>
        </row>
        <row r="897"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W897">
            <v>0</v>
          </cell>
        </row>
        <row r="898"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W898">
            <v>0</v>
          </cell>
        </row>
        <row r="899"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W899">
            <v>0</v>
          </cell>
        </row>
        <row r="900"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W900">
            <v>0</v>
          </cell>
        </row>
        <row r="901"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W901">
            <v>0</v>
          </cell>
        </row>
        <row r="902"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W902">
            <v>0</v>
          </cell>
        </row>
        <row r="903"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W903">
            <v>0</v>
          </cell>
        </row>
        <row r="904"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W904">
            <v>0</v>
          </cell>
        </row>
        <row r="905"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W905">
            <v>0</v>
          </cell>
        </row>
        <row r="906"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W906">
            <v>0</v>
          </cell>
        </row>
        <row r="907"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W907">
            <v>0</v>
          </cell>
        </row>
        <row r="908"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W908">
            <v>0</v>
          </cell>
        </row>
        <row r="909"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W909">
            <v>0</v>
          </cell>
        </row>
        <row r="910"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W910">
            <v>0</v>
          </cell>
        </row>
        <row r="911"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W911">
            <v>0</v>
          </cell>
        </row>
        <row r="912"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W912">
            <v>0</v>
          </cell>
        </row>
        <row r="913"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W913">
            <v>0</v>
          </cell>
        </row>
        <row r="914"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W914">
            <v>0</v>
          </cell>
        </row>
        <row r="915"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W915">
            <v>0</v>
          </cell>
        </row>
        <row r="916"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W916">
            <v>0</v>
          </cell>
        </row>
        <row r="917"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W917">
            <v>0</v>
          </cell>
        </row>
        <row r="918"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W918">
            <v>0</v>
          </cell>
        </row>
        <row r="919"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W919">
            <v>0</v>
          </cell>
        </row>
        <row r="920"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W920">
            <v>0</v>
          </cell>
        </row>
        <row r="921"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W921">
            <v>0</v>
          </cell>
        </row>
        <row r="922"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W922">
            <v>0</v>
          </cell>
        </row>
        <row r="923"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W923">
            <v>0</v>
          </cell>
        </row>
        <row r="924"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W924">
            <v>0</v>
          </cell>
        </row>
        <row r="926">
          <cell r="P926">
            <v>0</v>
          </cell>
          <cell r="R926">
            <v>0</v>
          </cell>
          <cell r="T926">
            <v>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tatieblad"/>
      <sheetName val="1-Inschrijfstaat"/>
      <sheetName val="2-Kosten per locatie"/>
      <sheetName val="2b-Splitsing technisch-Comfort"/>
      <sheetName val="3-Ruimtestaat "/>
      <sheetName val="4-Kengetal"/>
      <sheetName val="5-Schrobben vloeren"/>
      <sheetName val="6-Aanvullend"/>
      <sheetName val="7-Ballastbed "/>
      <sheetName val="8-Sanitaire voorzieningen"/>
      <sheetName val="9-Geveldelen  en wanden"/>
      <sheetName val="10-Glasstaat"/>
      <sheetName val="10-Glas kosten totaal"/>
      <sheetName val="12-Machinekosten"/>
      <sheetName val="13a- Afroepprijs"/>
      <sheetName val="14-Gladheidsbestrijding"/>
      <sheetName val="15-Periodieke beurt"/>
    </sheetNames>
    <sheetDataSet>
      <sheetData sheetId="0"/>
      <sheetData sheetId="1">
        <row r="5">
          <cell r="B5" t="str">
            <v>Diverse</v>
          </cell>
        </row>
      </sheetData>
      <sheetData sheetId="2"/>
      <sheetData sheetId="3"/>
      <sheetData sheetId="4"/>
      <sheetData sheetId="5">
        <row r="12">
          <cell r="A12" t="str">
            <v>PER.365.1</v>
          </cell>
          <cell r="B12">
            <v>365</v>
          </cell>
          <cell r="C12" t="str">
            <v>Perrons</v>
          </cell>
          <cell r="D12" t="str">
            <v>Klasse 1</v>
          </cell>
          <cell r="E12">
            <v>7.8057311714544983E-2</v>
          </cell>
          <cell r="F12">
            <v>0.11240252886894478</v>
          </cell>
          <cell r="G12">
            <v>0</v>
          </cell>
          <cell r="H12">
            <v>8.0812275657411281E-2</v>
          </cell>
          <cell r="I12">
            <v>1345.5124140951689</v>
          </cell>
          <cell r="J12">
            <v>15945</v>
          </cell>
          <cell r="K12" t="str">
            <v>ja</v>
          </cell>
          <cell r="L12" t="str">
            <v>V</v>
          </cell>
          <cell r="M12" t="str">
            <v>naloop</v>
          </cell>
          <cell r="N12" t="str">
            <v>Volledig</v>
          </cell>
          <cell r="O12" t="str">
            <v>naloop</v>
          </cell>
          <cell r="P12" t="str">
            <v>Volledig</v>
          </cell>
          <cell r="Q12" t="str">
            <v>naloop</v>
          </cell>
          <cell r="R12" t="str">
            <v>naloop</v>
          </cell>
          <cell r="S12" t="str">
            <v>naloop</v>
          </cell>
        </row>
        <row r="13">
          <cell r="A13" t="str">
            <v>PER.365.2</v>
          </cell>
          <cell r="B13">
            <v>365</v>
          </cell>
          <cell r="C13" t="str">
            <v>Perrons</v>
          </cell>
          <cell r="D13" t="str">
            <v>Klasse 2</v>
          </cell>
          <cell r="E13">
            <v>9.7571639643181232E-2</v>
          </cell>
          <cell r="F13">
            <v>9.3668774057453982E-2</v>
          </cell>
          <cell r="G13">
            <v>4.208972690490171E-2</v>
          </cell>
          <cell r="H13">
            <v>4.0406137828705641E-2</v>
          </cell>
          <cell r="I13">
            <v>1333.4001692716117</v>
          </cell>
          <cell r="J13">
            <v>0</v>
          </cell>
          <cell r="K13" t="str">
            <v>ja</v>
          </cell>
          <cell r="L13" t="str">
            <v>V</v>
          </cell>
          <cell r="M13" t="str">
            <v>Volledig</v>
          </cell>
          <cell r="N13" t="str">
            <v>naloop</v>
          </cell>
          <cell r="O13" t="str">
            <v>Volledig</v>
          </cell>
          <cell r="P13" t="str">
            <v>naloop</v>
          </cell>
          <cell r="Q13" t="str">
            <v>Volledig</v>
          </cell>
          <cell r="R13" t="str">
            <v>naloop</v>
          </cell>
          <cell r="S13" t="str">
            <v>Volledig</v>
          </cell>
        </row>
        <row r="14">
          <cell r="A14" t="str">
            <v>PER.365.3</v>
          </cell>
          <cell r="B14">
            <v>365</v>
          </cell>
          <cell r="C14" t="str">
            <v>Perrons</v>
          </cell>
          <cell r="D14" t="str">
            <v>Klasse 3</v>
          </cell>
          <cell r="E14">
            <v>0.19514327928636246</v>
          </cell>
          <cell r="G14">
            <v>8.417945380980342E-2</v>
          </cell>
          <cell r="I14">
            <v>1306.7321658861792</v>
          </cell>
          <cell r="J14">
            <v>10906</v>
          </cell>
          <cell r="K14" t="str">
            <v>ja</v>
          </cell>
          <cell r="L14" t="str">
            <v>V</v>
          </cell>
          <cell r="M14" t="str">
            <v>Volledig</v>
          </cell>
          <cell r="N14" t="str">
            <v>Volledig</v>
          </cell>
          <cell r="O14" t="str">
            <v>Volledig</v>
          </cell>
          <cell r="P14" t="str">
            <v>Volledig</v>
          </cell>
          <cell r="Q14" t="str">
            <v>Volledig</v>
          </cell>
          <cell r="R14" t="str">
            <v>Volledig</v>
          </cell>
          <cell r="S14" t="str">
            <v>Volledig</v>
          </cell>
        </row>
        <row r="15">
          <cell r="A15" t="str">
            <v>SAN.0012</v>
          </cell>
          <cell r="B15">
            <v>12</v>
          </cell>
          <cell r="C15" t="str">
            <v>Sanitair</v>
          </cell>
          <cell r="D15" t="str">
            <v>1 x per maand</v>
          </cell>
          <cell r="E15">
            <v>0.48</v>
          </cell>
          <cell r="I15">
            <v>25</v>
          </cell>
          <cell r="J15">
            <v>43</v>
          </cell>
          <cell r="K15" t="str">
            <v>nee</v>
          </cell>
          <cell r="L15" t="str">
            <v>S</v>
          </cell>
          <cell r="M15" t="str">
            <v>Zie Freq</v>
          </cell>
          <cell r="N15" t="str">
            <v>Zie Freq</v>
          </cell>
          <cell r="O15" t="str">
            <v>Zie Freq</v>
          </cell>
          <cell r="P15" t="str">
            <v>Zie Freq</v>
          </cell>
          <cell r="Q15" t="str">
            <v>Zie Freq</v>
          </cell>
          <cell r="R15" t="str">
            <v>NVT</v>
          </cell>
          <cell r="S15" t="str">
            <v>NVT</v>
          </cell>
        </row>
        <row r="16">
          <cell r="A16" t="str">
            <v>SAN.365.1</v>
          </cell>
          <cell r="B16">
            <v>365</v>
          </cell>
          <cell r="C16" t="str">
            <v>Sanitair</v>
          </cell>
          <cell r="D16" t="str">
            <v>Klasse 1</v>
          </cell>
          <cell r="E16">
            <v>1.36</v>
          </cell>
          <cell r="F16">
            <v>1.7</v>
          </cell>
          <cell r="G16">
            <v>0</v>
          </cell>
          <cell r="H16">
            <v>1.2222222222222223</v>
          </cell>
          <cell r="I16">
            <v>85.236118318630005</v>
          </cell>
          <cell r="J16">
            <v>3</v>
          </cell>
          <cell r="K16" t="str">
            <v>ja</v>
          </cell>
          <cell r="L16" t="str">
            <v>S</v>
          </cell>
          <cell r="M16" t="str">
            <v>naloop</v>
          </cell>
          <cell r="N16" t="str">
            <v>Volledig</v>
          </cell>
          <cell r="O16" t="str">
            <v>naloop</v>
          </cell>
          <cell r="P16" t="str">
            <v>Volledig</v>
          </cell>
          <cell r="Q16" t="str">
            <v>naloop</v>
          </cell>
          <cell r="R16" t="str">
            <v>naloop</v>
          </cell>
          <cell r="S16" t="str">
            <v>naloop</v>
          </cell>
        </row>
        <row r="17">
          <cell r="A17" t="str">
            <v>SAN.365.2</v>
          </cell>
          <cell r="B17">
            <v>365</v>
          </cell>
          <cell r="C17" t="str">
            <v>Sanitair</v>
          </cell>
          <cell r="D17" t="str">
            <v>Klasse 2</v>
          </cell>
          <cell r="E17">
            <v>1.7</v>
          </cell>
          <cell r="F17">
            <v>1.4166666666666667</v>
          </cell>
          <cell r="G17">
            <v>0.73333333333333328</v>
          </cell>
          <cell r="H17">
            <v>0.61111111111111116</v>
          </cell>
          <cell r="I17">
            <v>81.818181818181813</v>
          </cell>
          <cell r="J17">
            <v>0</v>
          </cell>
          <cell r="K17" t="str">
            <v>ja</v>
          </cell>
          <cell r="L17" t="str">
            <v>S</v>
          </cell>
          <cell r="M17" t="str">
            <v>Volledig</v>
          </cell>
          <cell r="N17" t="str">
            <v>naloop</v>
          </cell>
          <cell r="O17" t="str">
            <v>Volledig</v>
          </cell>
          <cell r="P17" t="str">
            <v>naloop</v>
          </cell>
          <cell r="Q17" t="str">
            <v>Volledig</v>
          </cell>
          <cell r="R17" t="str">
            <v>naloop</v>
          </cell>
          <cell r="S17" t="str">
            <v>Volledig</v>
          </cell>
        </row>
        <row r="18">
          <cell r="A18" t="str">
            <v>SAN.365.3</v>
          </cell>
          <cell r="B18">
            <v>365</v>
          </cell>
          <cell r="C18" t="str">
            <v>Sanitair</v>
          </cell>
          <cell r="D18" t="str">
            <v>Klasse 3</v>
          </cell>
          <cell r="E18">
            <v>3.4</v>
          </cell>
          <cell r="G18">
            <v>1.4666666666666666</v>
          </cell>
          <cell r="I18">
            <v>75</v>
          </cell>
          <cell r="J18">
            <v>9.4</v>
          </cell>
          <cell r="K18" t="str">
            <v>ja</v>
          </cell>
          <cell r="L18" t="str">
            <v>S</v>
          </cell>
          <cell r="M18" t="str">
            <v>Volledig</v>
          </cell>
          <cell r="N18" t="str">
            <v>Volledig</v>
          </cell>
          <cell r="O18" t="str">
            <v>Volledig</v>
          </cell>
          <cell r="P18" t="str">
            <v>Volledig</v>
          </cell>
          <cell r="Q18" t="str">
            <v>Volledig</v>
          </cell>
          <cell r="R18" t="str">
            <v>Volledig</v>
          </cell>
          <cell r="S18" t="str">
            <v>Volledig</v>
          </cell>
        </row>
        <row r="19">
          <cell r="A19" t="str">
            <v>GAN.0001</v>
          </cell>
          <cell r="B19">
            <v>1</v>
          </cell>
          <cell r="C19" t="str">
            <v>Gangen</v>
          </cell>
          <cell r="D19" t="str">
            <v>1 x per jaar</v>
          </cell>
          <cell r="E19">
            <v>2.5000000000000001E-3</v>
          </cell>
          <cell r="I19">
            <v>400</v>
          </cell>
          <cell r="J19">
            <v>0</v>
          </cell>
          <cell r="K19" t="str">
            <v>nee</v>
          </cell>
          <cell r="L19" t="str">
            <v>V</v>
          </cell>
          <cell r="M19" t="str">
            <v>Zie Freq</v>
          </cell>
          <cell r="N19" t="str">
            <v>Zie Freq</v>
          </cell>
          <cell r="O19" t="str">
            <v>Zie Freq</v>
          </cell>
          <cell r="P19" t="str">
            <v>Zie Freq</v>
          </cell>
          <cell r="Q19" t="str">
            <v>Zie Freq</v>
          </cell>
          <cell r="R19" t="str">
            <v>NVT</v>
          </cell>
          <cell r="S19" t="str">
            <v>NVT</v>
          </cell>
        </row>
        <row r="20">
          <cell r="A20" t="str">
            <v>GAN.0002</v>
          </cell>
          <cell r="B20">
            <v>2</v>
          </cell>
          <cell r="C20" t="str">
            <v>Gangen</v>
          </cell>
          <cell r="D20" t="str">
            <v>2 x per jaar</v>
          </cell>
          <cell r="E20">
            <v>5.0000000000000001E-3</v>
          </cell>
          <cell r="I20">
            <v>400</v>
          </cell>
          <cell r="J20">
            <v>202</v>
          </cell>
          <cell r="K20" t="str">
            <v>nee</v>
          </cell>
          <cell r="L20" t="str">
            <v>V</v>
          </cell>
          <cell r="M20" t="str">
            <v>Zie Freq</v>
          </cell>
          <cell r="N20" t="str">
            <v>Zie Freq</v>
          </cell>
          <cell r="O20" t="str">
            <v>Zie Freq</v>
          </cell>
          <cell r="P20" t="str">
            <v>Zie Freq</v>
          </cell>
          <cell r="Q20" t="str">
            <v>Zie Freq</v>
          </cell>
          <cell r="R20" t="str">
            <v>NVT</v>
          </cell>
          <cell r="S20" t="str">
            <v>NVT</v>
          </cell>
        </row>
        <row r="21">
          <cell r="A21" t="str">
            <v>GAN.0003</v>
          </cell>
          <cell r="B21">
            <v>3</v>
          </cell>
          <cell r="C21" t="str">
            <v>Gangen</v>
          </cell>
          <cell r="D21" t="str">
            <v>3 x per jaar</v>
          </cell>
          <cell r="E21">
            <v>7.4999999999999997E-3</v>
          </cell>
          <cell r="I21">
            <v>400</v>
          </cell>
          <cell r="J21">
            <v>27</v>
          </cell>
          <cell r="K21" t="str">
            <v>nee</v>
          </cell>
          <cell r="L21" t="str">
            <v>V</v>
          </cell>
          <cell r="M21" t="str">
            <v>Zie Freq</v>
          </cell>
          <cell r="N21" t="str">
            <v>Zie Freq</v>
          </cell>
          <cell r="O21" t="str">
            <v>Zie Freq</v>
          </cell>
          <cell r="P21" t="str">
            <v>Zie Freq</v>
          </cell>
          <cell r="Q21" t="str">
            <v>Zie Freq</v>
          </cell>
          <cell r="R21" t="str">
            <v>NVT</v>
          </cell>
          <cell r="S21" t="str">
            <v>NVT</v>
          </cell>
        </row>
        <row r="22">
          <cell r="A22" t="str">
            <v>GAN.0012</v>
          </cell>
          <cell r="B22">
            <v>12</v>
          </cell>
          <cell r="C22" t="str">
            <v>Gangen</v>
          </cell>
          <cell r="D22" t="str">
            <v>1 x per maand</v>
          </cell>
          <cell r="E22">
            <v>2.4E-2</v>
          </cell>
          <cell r="I22">
            <v>500</v>
          </cell>
          <cell r="J22">
            <v>0</v>
          </cell>
          <cell r="K22" t="str">
            <v>nee</v>
          </cell>
          <cell r="L22" t="str">
            <v>V</v>
          </cell>
          <cell r="M22" t="str">
            <v>Zie Freq</v>
          </cell>
          <cell r="N22" t="str">
            <v>Zie Freq</v>
          </cell>
          <cell r="O22" t="str">
            <v>Zie Freq</v>
          </cell>
          <cell r="P22" t="str">
            <v>Zie Freq</v>
          </cell>
          <cell r="Q22" t="str">
            <v>Zie Freq</v>
          </cell>
          <cell r="R22" t="str">
            <v>NVT</v>
          </cell>
          <cell r="S22" t="str">
            <v>NVT</v>
          </cell>
        </row>
        <row r="23">
          <cell r="A23" t="str">
            <v>GAN.365.1</v>
          </cell>
          <cell r="B23">
            <v>365</v>
          </cell>
          <cell r="C23" t="str">
            <v>Gangen</v>
          </cell>
          <cell r="D23" t="str">
            <v>Klasse 1</v>
          </cell>
          <cell r="E23">
            <v>0.15111111111111111</v>
          </cell>
          <cell r="F23">
            <v>0.20399999999999999</v>
          </cell>
          <cell r="G23">
            <v>0</v>
          </cell>
          <cell r="H23">
            <v>0.14666666666666667</v>
          </cell>
          <cell r="I23">
            <v>727.4136403897254</v>
          </cell>
          <cell r="J23">
            <v>13</v>
          </cell>
          <cell r="K23" t="str">
            <v>ja</v>
          </cell>
          <cell r="L23" t="str">
            <v>V</v>
          </cell>
          <cell r="M23" t="str">
            <v>naloop</v>
          </cell>
          <cell r="N23" t="str">
            <v>Volledig</v>
          </cell>
          <cell r="O23" t="str">
            <v>naloop</v>
          </cell>
          <cell r="P23" t="str">
            <v>Volledig</v>
          </cell>
          <cell r="Q23" t="str">
            <v>naloop</v>
          </cell>
          <cell r="R23" t="str">
            <v>naloop</v>
          </cell>
          <cell r="S23" t="str">
            <v>naloop</v>
          </cell>
        </row>
        <row r="24">
          <cell r="A24" t="str">
            <v>GAN.365.2</v>
          </cell>
          <cell r="B24">
            <v>365</v>
          </cell>
          <cell r="C24" t="str">
            <v>Gangen</v>
          </cell>
          <cell r="D24" t="str">
            <v>Klasse 2</v>
          </cell>
          <cell r="E24">
            <v>0.18888888888888888</v>
          </cell>
          <cell r="F24">
            <v>0.17</v>
          </cell>
          <cell r="G24">
            <v>7.857142857142857E-2</v>
          </cell>
          <cell r="H24">
            <v>7.3333333333333334E-2</v>
          </cell>
          <cell r="I24">
            <v>714.57426973275324</v>
          </cell>
          <cell r="J24">
            <v>0</v>
          </cell>
          <cell r="K24" t="str">
            <v>ja</v>
          </cell>
          <cell r="L24" t="str">
            <v>V</v>
          </cell>
          <cell r="M24" t="str">
            <v>Volledig</v>
          </cell>
          <cell r="N24" t="str">
            <v>naloop</v>
          </cell>
          <cell r="O24" t="str">
            <v>Volledig</v>
          </cell>
          <cell r="P24" t="str">
            <v>naloop</v>
          </cell>
          <cell r="Q24" t="str">
            <v>Volledig</v>
          </cell>
          <cell r="R24" t="str">
            <v>naloop</v>
          </cell>
          <cell r="S24" t="str">
            <v>Volledig</v>
          </cell>
        </row>
        <row r="25">
          <cell r="A25" t="str">
            <v>GAN.365.3</v>
          </cell>
          <cell r="B25">
            <v>365</v>
          </cell>
          <cell r="C25" t="str">
            <v>Gangen</v>
          </cell>
          <cell r="D25" t="str">
            <v>Klasse 3</v>
          </cell>
          <cell r="E25">
            <v>0.37777777777777777</v>
          </cell>
          <cell r="G25">
            <v>0.15714285714285714</v>
          </cell>
          <cell r="I25">
            <v>682.34421364985167</v>
          </cell>
          <cell r="J25">
            <v>25.41</v>
          </cell>
          <cell r="K25" t="str">
            <v>ja</v>
          </cell>
          <cell r="L25" t="str">
            <v>V</v>
          </cell>
          <cell r="M25" t="str">
            <v>Volledig</v>
          </cell>
          <cell r="N25" t="str">
            <v>Volledig</v>
          </cell>
          <cell r="O25" t="str">
            <v>Volledig</v>
          </cell>
          <cell r="P25" t="str">
            <v>Volledig</v>
          </cell>
          <cell r="Q25" t="str">
            <v>Volledig</v>
          </cell>
          <cell r="R25" t="str">
            <v>Volledig</v>
          </cell>
          <cell r="S25" t="str">
            <v>Volledig</v>
          </cell>
        </row>
        <row r="26">
          <cell r="A26" t="str">
            <v>LIF.365.1</v>
          </cell>
          <cell r="B26">
            <v>365</v>
          </cell>
          <cell r="C26" t="str">
            <v>Liften</v>
          </cell>
          <cell r="D26" t="str">
            <v>Klasse 1</v>
          </cell>
          <cell r="E26">
            <v>2.9142857142857141</v>
          </cell>
          <cell r="F26">
            <v>4.371428571428571</v>
          </cell>
          <cell r="G26">
            <v>0</v>
          </cell>
          <cell r="H26">
            <v>3.1428571428571428</v>
          </cell>
          <cell r="I26">
            <v>35.000000000000007</v>
          </cell>
          <cell r="J26">
            <v>65</v>
          </cell>
          <cell r="K26" t="str">
            <v>ja</v>
          </cell>
          <cell r="L26" t="str">
            <v>V</v>
          </cell>
          <cell r="M26" t="str">
            <v>naloop</v>
          </cell>
          <cell r="N26" t="str">
            <v>Volledig</v>
          </cell>
          <cell r="O26" t="str">
            <v>naloop</v>
          </cell>
          <cell r="P26" t="str">
            <v>Volledig</v>
          </cell>
          <cell r="Q26" t="str">
            <v>naloop</v>
          </cell>
          <cell r="R26" t="str">
            <v>naloop</v>
          </cell>
          <cell r="S26" t="str">
            <v>naloop</v>
          </cell>
        </row>
        <row r="27">
          <cell r="A27" t="str">
            <v>LIF.365.2</v>
          </cell>
          <cell r="B27">
            <v>365</v>
          </cell>
          <cell r="C27" t="str">
            <v>Liften</v>
          </cell>
          <cell r="D27" t="str">
            <v>Klasse 2</v>
          </cell>
          <cell r="E27">
            <v>3.6428571428571428</v>
          </cell>
          <cell r="F27">
            <v>3.6428571428571428</v>
          </cell>
          <cell r="G27">
            <v>1.5714285714285714</v>
          </cell>
          <cell r="H27">
            <v>1.5714285714285714</v>
          </cell>
          <cell r="I27">
            <v>35</v>
          </cell>
          <cell r="J27">
            <v>0</v>
          </cell>
          <cell r="K27" t="str">
            <v>ja</v>
          </cell>
          <cell r="L27" t="str">
            <v>V</v>
          </cell>
          <cell r="M27" t="str">
            <v>Volledig</v>
          </cell>
          <cell r="N27" t="str">
            <v>naloop</v>
          </cell>
          <cell r="O27" t="str">
            <v>Volledig</v>
          </cell>
          <cell r="P27" t="str">
            <v>naloop</v>
          </cell>
          <cell r="Q27" t="str">
            <v>Volledig</v>
          </cell>
          <cell r="R27" t="str">
            <v>naloop</v>
          </cell>
          <cell r="S27" t="str">
            <v>Volledig</v>
          </cell>
        </row>
        <row r="28">
          <cell r="A28" t="str">
            <v>LIF.365.3</v>
          </cell>
          <cell r="B28">
            <v>365</v>
          </cell>
          <cell r="C28" t="str">
            <v>Liften</v>
          </cell>
          <cell r="D28" t="str">
            <v>Klasse 3</v>
          </cell>
          <cell r="E28">
            <v>7.2857142857142856</v>
          </cell>
          <cell r="G28">
            <v>3.1428571428571428</v>
          </cell>
          <cell r="I28">
            <v>35</v>
          </cell>
          <cell r="J28">
            <v>52</v>
          </cell>
          <cell r="K28" t="str">
            <v>ja</v>
          </cell>
          <cell r="L28" t="str">
            <v>V</v>
          </cell>
          <cell r="M28" t="str">
            <v>Volledig</v>
          </cell>
          <cell r="N28" t="str">
            <v>Volledig</v>
          </cell>
          <cell r="O28" t="str">
            <v>Volledig</v>
          </cell>
          <cell r="P28" t="str">
            <v>Volledig</v>
          </cell>
          <cell r="Q28" t="str">
            <v>Volledig</v>
          </cell>
          <cell r="R28" t="str">
            <v>Volledig</v>
          </cell>
          <cell r="S28" t="str">
            <v>Volledig</v>
          </cell>
        </row>
        <row r="29">
          <cell r="A29" t="str">
            <v>TRA.0002</v>
          </cell>
          <cell r="B29">
            <v>2</v>
          </cell>
          <cell r="C29" t="str">
            <v>Trappen</v>
          </cell>
          <cell r="D29" t="str">
            <v>2 x per jaar</v>
          </cell>
          <cell r="E29">
            <v>1.6E-2</v>
          </cell>
          <cell r="I29">
            <v>125</v>
          </cell>
          <cell r="J29">
            <v>24</v>
          </cell>
          <cell r="K29" t="str">
            <v>nee</v>
          </cell>
          <cell r="L29" t="str">
            <v>V</v>
          </cell>
          <cell r="M29" t="str">
            <v>Zie Freq</v>
          </cell>
          <cell r="N29" t="str">
            <v>Zie Freq</v>
          </cell>
          <cell r="O29" t="str">
            <v>Zie Freq</v>
          </cell>
          <cell r="P29" t="str">
            <v>Zie Freq</v>
          </cell>
          <cell r="Q29" t="str">
            <v>Zie Freq</v>
          </cell>
          <cell r="R29" t="str">
            <v>NVT</v>
          </cell>
          <cell r="S29" t="str">
            <v>NVT</v>
          </cell>
        </row>
        <row r="30">
          <cell r="A30" t="str">
            <v>TRA.0003</v>
          </cell>
          <cell r="B30">
            <v>3</v>
          </cell>
          <cell r="C30" t="str">
            <v>Trappen</v>
          </cell>
          <cell r="D30" t="str">
            <v>3 x per jaar</v>
          </cell>
          <cell r="E30">
            <v>2.4E-2</v>
          </cell>
          <cell r="I30">
            <v>125</v>
          </cell>
          <cell r="J30">
            <v>0</v>
          </cell>
          <cell r="K30" t="str">
            <v>nee</v>
          </cell>
          <cell r="L30" t="str">
            <v>V</v>
          </cell>
          <cell r="M30" t="str">
            <v>Zie Freq</v>
          </cell>
          <cell r="N30" t="str">
            <v>Zie Freq</v>
          </cell>
          <cell r="O30" t="str">
            <v>Zie Freq</v>
          </cell>
          <cell r="P30" t="str">
            <v>Zie Freq</v>
          </cell>
          <cell r="Q30" t="str">
            <v>Zie Freq</v>
          </cell>
          <cell r="R30" t="str">
            <v>NVT</v>
          </cell>
          <cell r="S30" t="str">
            <v>NVT</v>
          </cell>
        </row>
        <row r="31">
          <cell r="A31" t="str">
            <v>TRA.365.1</v>
          </cell>
          <cell r="B31">
            <v>365</v>
          </cell>
          <cell r="C31" t="str">
            <v>Trappen</v>
          </cell>
          <cell r="D31" t="str">
            <v>Klasse 1</v>
          </cell>
          <cell r="E31">
            <v>0.34061372384528721</v>
          </cell>
          <cell r="F31">
            <v>0.46834387028726993</v>
          </cell>
          <cell r="G31">
            <v>0</v>
          </cell>
          <cell r="H31">
            <v>0.33671781523921368</v>
          </cell>
          <cell r="I31">
            <v>318.58936398062968</v>
          </cell>
          <cell r="J31">
            <v>829</v>
          </cell>
          <cell r="K31" t="str">
            <v>ja</v>
          </cell>
          <cell r="L31" t="str">
            <v>V</v>
          </cell>
          <cell r="M31" t="str">
            <v>naloop</v>
          </cell>
          <cell r="N31" t="str">
            <v>Volledig</v>
          </cell>
          <cell r="O31" t="str">
            <v>naloop</v>
          </cell>
          <cell r="P31" t="str">
            <v>Volledig</v>
          </cell>
          <cell r="Q31" t="str">
            <v>naloop</v>
          </cell>
          <cell r="R31" t="str">
            <v>naloop</v>
          </cell>
          <cell r="S31" t="str">
            <v>naloop</v>
          </cell>
        </row>
        <row r="32">
          <cell r="A32" t="str">
            <v>TRA.365.2</v>
          </cell>
          <cell r="B32">
            <v>365</v>
          </cell>
          <cell r="C32" t="str">
            <v>Trappen</v>
          </cell>
          <cell r="D32" t="str">
            <v>Klasse 2</v>
          </cell>
          <cell r="E32">
            <v>0.42576715480660898</v>
          </cell>
          <cell r="F32">
            <v>0.39028655857272493</v>
          </cell>
          <cell r="G32">
            <v>0.18366426285775289</v>
          </cell>
          <cell r="H32">
            <v>0.16835890761960684</v>
          </cell>
          <cell r="I32">
            <v>312.47943097278198</v>
          </cell>
          <cell r="J32">
            <v>0</v>
          </cell>
          <cell r="K32" t="str">
            <v>ja</v>
          </cell>
          <cell r="L32" t="str">
            <v>V</v>
          </cell>
          <cell r="M32" t="str">
            <v>Volledig</v>
          </cell>
          <cell r="N32" t="str">
            <v>naloop</v>
          </cell>
          <cell r="O32" t="str">
            <v>Volledig</v>
          </cell>
          <cell r="P32" t="str">
            <v>naloop</v>
          </cell>
          <cell r="Q32" t="str">
            <v>Volledig</v>
          </cell>
          <cell r="R32" t="str">
            <v>naloop</v>
          </cell>
          <cell r="S32" t="str">
            <v>Volledig</v>
          </cell>
        </row>
        <row r="33">
          <cell r="A33" t="str">
            <v>TRA.365.3</v>
          </cell>
          <cell r="B33">
            <v>365</v>
          </cell>
          <cell r="C33" t="str">
            <v>Trappen</v>
          </cell>
          <cell r="D33" t="str">
            <v>Klasse 3</v>
          </cell>
          <cell r="E33">
            <v>0.78057311714544986</v>
          </cell>
          <cell r="G33">
            <v>0.33671781523921368</v>
          </cell>
          <cell r="I33">
            <v>326.68304147154481</v>
          </cell>
          <cell r="J33">
            <v>650</v>
          </cell>
          <cell r="K33" t="str">
            <v>ja</v>
          </cell>
          <cell r="L33" t="str">
            <v>V</v>
          </cell>
          <cell r="M33" t="str">
            <v>Volledig</v>
          </cell>
          <cell r="N33" t="str">
            <v>Volledig</v>
          </cell>
          <cell r="O33" t="str">
            <v>Volledig</v>
          </cell>
          <cell r="P33" t="str">
            <v>Volledig</v>
          </cell>
          <cell r="Q33" t="str">
            <v>Volledig</v>
          </cell>
          <cell r="R33" t="str">
            <v>Volledig</v>
          </cell>
          <cell r="S33" t="str">
            <v>Volledig</v>
          </cell>
        </row>
        <row r="34">
          <cell r="A34" t="str">
            <v>HAL.0002</v>
          </cell>
          <cell r="B34">
            <v>2</v>
          </cell>
          <cell r="C34" t="str">
            <v>Hallen</v>
          </cell>
          <cell r="D34" t="str">
            <v>2 x per jaar</v>
          </cell>
          <cell r="E34">
            <v>5.0000000000000001E-3</v>
          </cell>
          <cell r="I34">
            <v>400</v>
          </cell>
          <cell r="J34">
            <v>0</v>
          </cell>
          <cell r="K34" t="str">
            <v>nee</v>
          </cell>
          <cell r="L34" t="str">
            <v>V</v>
          </cell>
          <cell r="M34" t="str">
            <v>Zie Freq</v>
          </cell>
          <cell r="N34" t="str">
            <v>Zie Freq</v>
          </cell>
          <cell r="O34" t="str">
            <v>Zie Freq</v>
          </cell>
          <cell r="P34" t="str">
            <v>Zie Freq</v>
          </cell>
          <cell r="Q34" t="str">
            <v>Zie Freq</v>
          </cell>
          <cell r="R34" t="str">
            <v>NVT</v>
          </cell>
          <cell r="S34" t="str">
            <v>NVT</v>
          </cell>
        </row>
        <row r="35">
          <cell r="A35" t="str">
            <v>HAL.365.1</v>
          </cell>
          <cell r="B35">
            <v>365</v>
          </cell>
          <cell r="C35" t="str">
            <v>Hallen</v>
          </cell>
          <cell r="D35" t="str">
            <v>Klasse 1</v>
          </cell>
          <cell r="E35">
            <v>0.13876855415919109</v>
          </cell>
          <cell r="F35">
            <v>0.18733754811490796</v>
          </cell>
          <cell r="G35">
            <v>0</v>
          </cell>
          <cell r="H35">
            <v>0.13468712609568548</v>
          </cell>
          <cell r="I35">
            <v>792.11233483468015</v>
          </cell>
          <cell r="J35">
            <v>0</v>
          </cell>
          <cell r="K35" t="str">
            <v>ja</v>
          </cell>
          <cell r="L35" t="str">
            <v>V</v>
          </cell>
          <cell r="M35" t="str">
            <v>naloop</v>
          </cell>
          <cell r="N35" t="str">
            <v>Volledig</v>
          </cell>
          <cell r="O35" t="str">
            <v>naloop</v>
          </cell>
          <cell r="P35" t="str">
            <v>Volledig</v>
          </cell>
          <cell r="Q35" t="str">
            <v>naloop</v>
          </cell>
          <cell r="R35" t="str">
            <v>naloop</v>
          </cell>
          <cell r="S35" t="str">
            <v>naloop</v>
          </cell>
        </row>
        <row r="36">
          <cell r="A36" t="str">
            <v>HAL.365.2</v>
          </cell>
          <cell r="B36">
            <v>365</v>
          </cell>
          <cell r="C36" t="str">
            <v>Hallen</v>
          </cell>
          <cell r="D36" t="str">
            <v>Klasse 2</v>
          </cell>
          <cell r="E36">
            <v>0.17346069269898887</v>
          </cell>
          <cell r="F36">
            <v>0.15611462342908997</v>
          </cell>
          <cell r="G36">
            <v>7.4826181164269714E-2</v>
          </cell>
          <cell r="H36">
            <v>6.7343563047842739E-2</v>
          </cell>
          <cell r="I36">
            <v>773.72299295892196</v>
          </cell>
          <cell r="J36">
            <v>0</v>
          </cell>
          <cell r="K36" t="str">
            <v>ja</v>
          </cell>
          <cell r="L36" t="str">
            <v>V</v>
          </cell>
          <cell r="M36" t="str">
            <v>Volledig</v>
          </cell>
          <cell r="N36" t="str">
            <v>naloop</v>
          </cell>
          <cell r="O36" t="str">
            <v>Volledig</v>
          </cell>
          <cell r="P36" t="str">
            <v>naloop</v>
          </cell>
          <cell r="Q36" t="str">
            <v>Volledig</v>
          </cell>
          <cell r="R36" t="str">
            <v>naloop</v>
          </cell>
          <cell r="S36" t="str">
            <v>Volledig</v>
          </cell>
        </row>
        <row r="37">
          <cell r="A37" t="str">
            <v>HAL.365.3</v>
          </cell>
          <cell r="B37">
            <v>365</v>
          </cell>
          <cell r="C37" t="str">
            <v>Hallen</v>
          </cell>
          <cell r="D37" t="str">
            <v>Klasse 3</v>
          </cell>
          <cell r="E37">
            <v>0.34692138539797773</v>
          </cell>
          <cell r="G37">
            <v>0.14965236232853943</v>
          </cell>
          <cell r="I37">
            <v>735.03684331097577</v>
          </cell>
          <cell r="J37">
            <v>2012</v>
          </cell>
          <cell r="K37" t="str">
            <v>ja</v>
          </cell>
          <cell r="L37" t="str">
            <v>V</v>
          </cell>
          <cell r="M37" t="str">
            <v>Volledig</v>
          </cell>
          <cell r="N37" t="str">
            <v>Volledig</v>
          </cell>
          <cell r="O37" t="str">
            <v>Volledig</v>
          </cell>
          <cell r="P37" t="str">
            <v>Volledig</v>
          </cell>
          <cell r="Q37" t="str">
            <v>Volledig</v>
          </cell>
          <cell r="R37" t="str">
            <v>Volledig</v>
          </cell>
          <cell r="S37" t="str">
            <v>Volledig</v>
          </cell>
        </row>
        <row r="38">
          <cell r="A38" t="str">
            <v>TEC.0001</v>
          </cell>
          <cell r="B38">
            <v>1</v>
          </cell>
          <cell r="C38" t="str">
            <v>Technische ruimten</v>
          </cell>
          <cell r="D38" t="str">
            <v>1 x per jaar</v>
          </cell>
          <cell r="E38">
            <v>2.5000000000000001E-3</v>
          </cell>
          <cell r="I38">
            <v>400</v>
          </cell>
          <cell r="J38">
            <v>0</v>
          </cell>
          <cell r="K38" t="str">
            <v>nee</v>
          </cell>
          <cell r="L38" t="str">
            <v>V</v>
          </cell>
          <cell r="M38" t="str">
            <v>Zie Freq</v>
          </cell>
          <cell r="N38" t="str">
            <v>Zie Freq</v>
          </cell>
          <cell r="O38" t="str">
            <v>Zie Freq</v>
          </cell>
          <cell r="P38" t="str">
            <v>Zie Freq</v>
          </cell>
          <cell r="Q38" t="str">
            <v>Zie Freq</v>
          </cell>
          <cell r="R38" t="str">
            <v>NVT</v>
          </cell>
          <cell r="S38" t="str">
            <v>NVT</v>
          </cell>
        </row>
        <row r="39">
          <cell r="A39" t="str">
            <v>TEC.0002</v>
          </cell>
          <cell r="B39">
            <v>2</v>
          </cell>
          <cell r="C39" t="str">
            <v>Technische ruimten</v>
          </cell>
          <cell r="D39" t="str">
            <v>2 x per jaar</v>
          </cell>
          <cell r="E39">
            <v>5.0000000000000001E-3</v>
          </cell>
          <cell r="I39">
            <v>400</v>
          </cell>
          <cell r="J39">
            <v>995.3</v>
          </cell>
          <cell r="K39" t="str">
            <v>nee</v>
          </cell>
          <cell r="L39" t="str">
            <v>V</v>
          </cell>
          <cell r="M39" t="str">
            <v>Zie Freq</v>
          </cell>
          <cell r="N39" t="str">
            <v>Zie Freq</v>
          </cell>
          <cell r="O39" t="str">
            <v>Zie Freq</v>
          </cell>
          <cell r="P39" t="str">
            <v>Zie Freq</v>
          </cell>
          <cell r="Q39" t="str">
            <v>Zie Freq</v>
          </cell>
          <cell r="R39" t="str">
            <v>NVT</v>
          </cell>
          <cell r="S39" t="str">
            <v>NVT</v>
          </cell>
        </row>
        <row r="40">
          <cell r="A40" t="str">
            <v>TEC.0003</v>
          </cell>
          <cell r="B40">
            <v>3</v>
          </cell>
          <cell r="C40" t="str">
            <v>Technische ruimten</v>
          </cell>
          <cell r="D40" t="str">
            <v>3 x per jaar</v>
          </cell>
          <cell r="E40">
            <v>7.4999999999999997E-3</v>
          </cell>
          <cell r="I40">
            <v>400</v>
          </cell>
          <cell r="J40">
            <v>114</v>
          </cell>
          <cell r="K40" t="str">
            <v>nee</v>
          </cell>
          <cell r="L40" t="str">
            <v>V</v>
          </cell>
          <cell r="M40" t="str">
            <v>Zie Freq</v>
          </cell>
          <cell r="N40" t="str">
            <v>Zie Freq</v>
          </cell>
          <cell r="O40" t="str">
            <v>Zie Freq</v>
          </cell>
          <cell r="P40" t="str">
            <v>Zie Freq</v>
          </cell>
          <cell r="Q40" t="str">
            <v>Zie Freq</v>
          </cell>
          <cell r="R40" t="str">
            <v>NVT</v>
          </cell>
          <cell r="S40" t="str">
            <v>NVT</v>
          </cell>
        </row>
        <row r="41">
          <cell r="A41" t="str">
            <v>TEC.365.1</v>
          </cell>
          <cell r="B41">
            <v>365</v>
          </cell>
          <cell r="C41" t="str">
            <v>Technische ruimten</v>
          </cell>
          <cell r="D41" t="str">
            <v>Klasse 1</v>
          </cell>
          <cell r="E41">
            <v>0.18545454545454546</v>
          </cell>
          <cell r="F41">
            <v>0.255</v>
          </cell>
          <cell r="G41">
            <v>0</v>
          </cell>
          <cell r="H41">
            <v>0.18333333333333332</v>
          </cell>
          <cell r="I41">
            <v>585.13480689822688</v>
          </cell>
          <cell r="J41">
            <v>0</v>
          </cell>
          <cell r="K41" t="str">
            <v>ja</v>
          </cell>
          <cell r="L41" t="str">
            <v>V</v>
          </cell>
          <cell r="M41" t="str">
            <v>naloop</v>
          </cell>
          <cell r="N41" t="str">
            <v>Volledig</v>
          </cell>
          <cell r="O41" t="str">
            <v>naloop</v>
          </cell>
          <cell r="P41" t="str">
            <v>Volledig</v>
          </cell>
          <cell r="Q41" t="str">
            <v>naloop</v>
          </cell>
          <cell r="R41" t="str">
            <v>naloop</v>
          </cell>
          <cell r="S41" t="str">
            <v>naloop</v>
          </cell>
        </row>
        <row r="42">
          <cell r="A42" t="str">
            <v>TEC.365.2</v>
          </cell>
          <cell r="B42">
            <v>365</v>
          </cell>
          <cell r="C42" t="str">
            <v>Technische ruimten</v>
          </cell>
          <cell r="D42" t="str">
            <v>Klasse 2</v>
          </cell>
          <cell r="E42">
            <v>0.23181818181818181</v>
          </cell>
          <cell r="F42">
            <v>0.21249999999999999</v>
          </cell>
          <cell r="G42">
            <v>0.1</v>
          </cell>
          <cell r="H42">
            <v>9.166666666666666E-2</v>
          </cell>
          <cell r="I42">
            <v>573.91304347826087</v>
          </cell>
          <cell r="J42">
            <v>0</v>
          </cell>
          <cell r="K42" t="str">
            <v>ja</v>
          </cell>
          <cell r="L42" t="str">
            <v>V</v>
          </cell>
          <cell r="M42" t="str">
            <v>Volledig</v>
          </cell>
          <cell r="N42" t="str">
            <v>naloop</v>
          </cell>
          <cell r="O42" t="str">
            <v>Volledig</v>
          </cell>
          <cell r="P42" t="str">
            <v>naloop</v>
          </cell>
          <cell r="Q42" t="str">
            <v>Volledig</v>
          </cell>
          <cell r="R42" t="str">
            <v>naloop</v>
          </cell>
          <cell r="S42" t="str">
            <v>Volledig</v>
          </cell>
        </row>
        <row r="43">
          <cell r="A43" t="str">
            <v>ROL.365.1</v>
          </cell>
          <cell r="B43">
            <v>365</v>
          </cell>
          <cell r="C43" t="str">
            <v>Roltrappen(inclusief aangrenzende bouwdelen)</v>
          </cell>
          <cell r="D43" t="str">
            <v>Klasse 1</v>
          </cell>
          <cell r="E43">
            <v>0.55135135135135138</v>
          </cell>
          <cell r="F43">
            <v>0.7846153846153846</v>
          </cell>
          <cell r="G43">
            <v>0</v>
          </cell>
          <cell r="H43">
            <v>0.5641025641025641</v>
          </cell>
          <cell r="I43">
            <v>192.09825661973886</v>
          </cell>
          <cell r="J43">
            <v>99</v>
          </cell>
          <cell r="K43" t="str">
            <v>ja</v>
          </cell>
          <cell r="L43" t="str">
            <v>V</v>
          </cell>
          <cell r="M43" t="str">
            <v>naloop</v>
          </cell>
          <cell r="N43" t="str">
            <v>Volledig</v>
          </cell>
          <cell r="O43" t="str">
            <v>naloop</v>
          </cell>
          <cell r="P43" t="str">
            <v>Volledig</v>
          </cell>
          <cell r="Q43" t="str">
            <v>naloop</v>
          </cell>
          <cell r="R43" t="str">
            <v>naloop</v>
          </cell>
          <cell r="S43" t="str">
            <v>naloop</v>
          </cell>
        </row>
        <row r="44">
          <cell r="A44" t="str">
            <v>ROL.365.2</v>
          </cell>
          <cell r="B44">
            <v>365</v>
          </cell>
          <cell r="C44" t="str">
            <v>Roltrappen(inclusief aangrenzende bouwdelen)</v>
          </cell>
          <cell r="D44" t="str">
            <v>Klasse 2</v>
          </cell>
          <cell r="E44">
            <v>0.68918918918918914</v>
          </cell>
          <cell r="F44">
            <v>0.67105263157894735</v>
          </cell>
          <cell r="G44">
            <v>0.29729729729729731</v>
          </cell>
          <cell r="H44">
            <v>0.28947368421052633</v>
          </cell>
          <cell r="I44">
            <v>187.46666666666667</v>
          </cell>
          <cell r="J44">
            <v>0</v>
          </cell>
          <cell r="K44" t="str">
            <v>ja</v>
          </cell>
          <cell r="L44" t="str">
            <v>V</v>
          </cell>
          <cell r="M44" t="str">
            <v>Volledig</v>
          </cell>
          <cell r="N44" t="str">
            <v>naloop</v>
          </cell>
          <cell r="O44" t="str">
            <v>Volledig</v>
          </cell>
          <cell r="P44" t="str">
            <v>naloop</v>
          </cell>
          <cell r="Q44" t="str">
            <v>Volledig</v>
          </cell>
          <cell r="R44" t="str">
            <v>naloop</v>
          </cell>
          <cell r="S44" t="str">
            <v>Volledig</v>
          </cell>
        </row>
        <row r="45">
          <cell r="A45" t="str">
            <v>ROL.365.3</v>
          </cell>
          <cell r="B45">
            <v>365</v>
          </cell>
          <cell r="C45" t="str">
            <v>Roltrappen(inclusief aangrenzende bouwdelen)</v>
          </cell>
          <cell r="D45" t="str">
            <v>Klasse 3</v>
          </cell>
          <cell r="E45">
            <v>1.4571428571428571</v>
          </cell>
          <cell r="G45">
            <v>0.62857142857142856</v>
          </cell>
          <cell r="I45">
            <v>175.00000000000003</v>
          </cell>
          <cell r="J45">
            <v>366</v>
          </cell>
          <cell r="K45" t="str">
            <v>ja</v>
          </cell>
          <cell r="L45" t="str">
            <v>V</v>
          </cell>
          <cell r="M45" t="str">
            <v>Volledig</v>
          </cell>
          <cell r="N45" t="str">
            <v>Volledig</v>
          </cell>
          <cell r="O45" t="str">
            <v>Volledig</v>
          </cell>
          <cell r="P45" t="str">
            <v>Volledig</v>
          </cell>
          <cell r="Q45" t="str">
            <v>Volledig</v>
          </cell>
          <cell r="R45" t="str">
            <v>Volledig</v>
          </cell>
          <cell r="S45" t="str">
            <v>Volledig</v>
          </cell>
        </row>
        <row r="46">
          <cell r="A46" t="str">
            <v>BES.0002</v>
          </cell>
          <cell r="B46">
            <v>2</v>
          </cell>
          <cell r="C46" t="str">
            <v>Bestrating</v>
          </cell>
          <cell r="D46" t="str">
            <v>2 x per jaar</v>
          </cell>
          <cell r="E46">
            <v>1.3333333333333334E-2</v>
          </cell>
          <cell r="I46">
            <v>150</v>
          </cell>
          <cell r="J46">
            <v>190</v>
          </cell>
          <cell r="K46" t="str">
            <v>nee</v>
          </cell>
          <cell r="L46" t="str">
            <v>V</v>
          </cell>
          <cell r="M46" t="str">
            <v>Zie Freq</v>
          </cell>
          <cell r="N46" t="str">
            <v>Zie Freq</v>
          </cell>
          <cell r="O46" t="str">
            <v>Zie Freq</v>
          </cell>
          <cell r="P46" t="str">
            <v>Zie Freq</v>
          </cell>
          <cell r="Q46" t="str">
            <v>Zie Freq</v>
          </cell>
          <cell r="R46" t="str">
            <v>NVT</v>
          </cell>
          <cell r="S46" t="str">
            <v>NVT</v>
          </cell>
        </row>
        <row r="47">
          <cell r="A47" t="str">
            <v>BES.365.1</v>
          </cell>
          <cell r="B47">
            <v>365</v>
          </cell>
          <cell r="C47" t="str">
            <v>Bestrating</v>
          </cell>
          <cell r="D47" t="str">
            <v>Klasse 1</v>
          </cell>
          <cell r="E47">
            <v>7.8057311714544983E-2</v>
          </cell>
          <cell r="F47">
            <v>0.11240252886894478</v>
          </cell>
          <cell r="G47">
            <v>0</v>
          </cell>
          <cell r="H47">
            <v>8.0812275657411281E-2</v>
          </cell>
          <cell r="I47">
            <v>1345.5124140951689</v>
          </cell>
          <cell r="J47">
            <v>570</v>
          </cell>
          <cell r="K47" t="str">
            <v>ja</v>
          </cell>
          <cell r="L47" t="str">
            <v>V</v>
          </cell>
          <cell r="M47" t="str">
            <v>naloop</v>
          </cell>
          <cell r="N47" t="str">
            <v>Volledig</v>
          </cell>
          <cell r="O47" t="str">
            <v>naloop</v>
          </cell>
          <cell r="P47" t="str">
            <v>Volledig</v>
          </cell>
          <cell r="Q47" t="str">
            <v>naloop</v>
          </cell>
          <cell r="R47" t="str">
            <v>naloop</v>
          </cell>
          <cell r="S47" t="str">
            <v>naloop</v>
          </cell>
        </row>
        <row r="48">
          <cell r="A48" t="str">
            <v>BES.365.3</v>
          </cell>
          <cell r="B48">
            <v>365</v>
          </cell>
          <cell r="C48" t="str">
            <v>Bestrating</v>
          </cell>
          <cell r="D48" t="str">
            <v>Klasse 3</v>
          </cell>
          <cell r="E48">
            <v>0.19514327928636246</v>
          </cell>
          <cell r="G48">
            <v>8.417945380980342E-2</v>
          </cell>
          <cell r="I48">
            <v>1306.7321658861792</v>
          </cell>
          <cell r="J48">
            <v>738.2299999999999</v>
          </cell>
          <cell r="K48" t="str">
            <v>ja</v>
          </cell>
          <cell r="L48" t="str">
            <v>V</v>
          </cell>
          <cell r="M48" t="str">
            <v>Volledig</v>
          </cell>
          <cell r="N48" t="str">
            <v>Volledig</v>
          </cell>
          <cell r="O48" t="str">
            <v>Volledig</v>
          </cell>
          <cell r="P48" t="str">
            <v>Volledig</v>
          </cell>
          <cell r="Q48" t="str">
            <v>Volledig</v>
          </cell>
          <cell r="R48" t="str">
            <v>Volledig</v>
          </cell>
          <cell r="S48" t="str">
            <v>Volledig</v>
          </cell>
        </row>
        <row r="49">
          <cell r="A49" t="str">
            <v>BER.0001</v>
          </cell>
          <cell r="B49">
            <v>1</v>
          </cell>
          <cell r="C49" t="str">
            <v>Berging/opslag/magazijn</v>
          </cell>
          <cell r="D49" t="str">
            <v>1 x per jaar</v>
          </cell>
          <cell r="E49">
            <v>2.5000000000000001E-3</v>
          </cell>
          <cell r="I49">
            <v>400</v>
          </cell>
          <cell r="J49">
            <v>0</v>
          </cell>
          <cell r="K49" t="str">
            <v>nee</v>
          </cell>
          <cell r="L49" t="str">
            <v>V</v>
          </cell>
          <cell r="M49" t="str">
            <v>Zie Freq</v>
          </cell>
          <cell r="N49" t="str">
            <v>Zie Freq</v>
          </cell>
          <cell r="O49" t="str">
            <v>Zie Freq</v>
          </cell>
          <cell r="P49" t="str">
            <v>Zie Freq</v>
          </cell>
          <cell r="Q49" t="str">
            <v>Zie Freq</v>
          </cell>
          <cell r="R49" t="str">
            <v>NVT</v>
          </cell>
          <cell r="S49" t="str">
            <v>NVT</v>
          </cell>
        </row>
        <row r="50">
          <cell r="A50" t="str">
            <v>BER.0002</v>
          </cell>
          <cell r="B50">
            <v>2</v>
          </cell>
          <cell r="C50" t="str">
            <v>Berging/opslag/magazijn</v>
          </cell>
          <cell r="D50" t="str">
            <v>2 x per jaar</v>
          </cell>
          <cell r="E50">
            <v>5.0000000000000001E-3</v>
          </cell>
          <cell r="I50">
            <v>400</v>
          </cell>
          <cell r="J50">
            <v>75</v>
          </cell>
          <cell r="K50" t="str">
            <v>nee</v>
          </cell>
          <cell r="L50" t="str">
            <v>V</v>
          </cell>
          <cell r="M50" t="str">
            <v>Zie Freq</v>
          </cell>
          <cell r="N50" t="str">
            <v>Zie Freq</v>
          </cell>
          <cell r="O50" t="str">
            <v>Zie Freq</v>
          </cell>
          <cell r="P50" t="str">
            <v>Zie Freq</v>
          </cell>
          <cell r="Q50" t="str">
            <v>Zie Freq</v>
          </cell>
          <cell r="R50" t="str">
            <v>NVT</v>
          </cell>
          <cell r="S50" t="str">
            <v>NVT</v>
          </cell>
        </row>
        <row r="51">
          <cell r="A51" t="str">
            <v>BER.0003</v>
          </cell>
          <cell r="B51">
            <v>3</v>
          </cell>
          <cell r="C51" t="str">
            <v>Berging/opslag/magazijn</v>
          </cell>
          <cell r="D51" t="str">
            <v>3 x per jaar</v>
          </cell>
          <cell r="E51">
            <v>7.4999999999999997E-3</v>
          </cell>
          <cell r="I51">
            <v>400</v>
          </cell>
          <cell r="J51">
            <v>0</v>
          </cell>
          <cell r="K51" t="str">
            <v>nee</v>
          </cell>
          <cell r="L51" t="str">
            <v>V</v>
          </cell>
          <cell r="M51" t="str">
            <v>Zie Freq</v>
          </cell>
          <cell r="N51" t="str">
            <v>Zie Freq</v>
          </cell>
          <cell r="O51" t="str">
            <v>Zie Freq</v>
          </cell>
          <cell r="P51" t="str">
            <v>Zie Freq</v>
          </cell>
          <cell r="Q51" t="str">
            <v>Zie Freq</v>
          </cell>
          <cell r="R51" t="str">
            <v>NVT</v>
          </cell>
          <cell r="S51" t="str">
            <v>NVT</v>
          </cell>
        </row>
        <row r="52">
          <cell r="A52" t="str">
            <v>BER.365.1</v>
          </cell>
          <cell r="B52">
            <v>365</v>
          </cell>
          <cell r="C52" t="str">
            <v>Berging/opslag/magazijn</v>
          </cell>
          <cell r="D52" t="str">
            <v>Klasse 1</v>
          </cell>
          <cell r="E52">
            <v>0.17435897435897435</v>
          </cell>
          <cell r="F52">
            <v>0.23538461538461539</v>
          </cell>
          <cell r="G52">
            <v>0</v>
          </cell>
          <cell r="H52">
            <v>0.16923076923076924</v>
          </cell>
          <cell r="I52">
            <v>630.42515500442869</v>
          </cell>
          <cell r="J52">
            <v>0</v>
          </cell>
          <cell r="K52" t="str">
            <v>ja</v>
          </cell>
          <cell r="L52" t="str">
            <v>V</v>
          </cell>
          <cell r="M52" t="str">
            <v>naloop</v>
          </cell>
          <cell r="N52" t="str">
            <v>Volledig</v>
          </cell>
          <cell r="O52" t="str">
            <v>naloop</v>
          </cell>
          <cell r="P52" t="str">
            <v>Volledig</v>
          </cell>
          <cell r="Q52" t="str">
            <v>naloop</v>
          </cell>
          <cell r="R52" t="str">
            <v>naloop</v>
          </cell>
          <cell r="S52" t="str">
            <v>naloop</v>
          </cell>
        </row>
        <row r="53">
          <cell r="A53" t="str">
            <v>BER.365</v>
          </cell>
          <cell r="B53">
            <v>365</v>
          </cell>
          <cell r="C53" t="str">
            <v>Berging/opslag/magazijn</v>
          </cell>
          <cell r="D53" t="str">
            <v>Klasse 2</v>
          </cell>
          <cell r="E53">
            <v>0.21794871794871795</v>
          </cell>
          <cell r="F53">
            <v>0.19615384615384615</v>
          </cell>
          <cell r="G53">
            <v>9.401709401709403E-2</v>
          </cell>
          <cell r="H53">
            <v>8.461538461538462E-2</v>
          </cell>
          <cell r="I53">
            <v>615.78947368421052</v>
          </cell>
          <cell r="J53">
            <v>0</v>
          </cell>
          <cell r="K53" t="str">
            <v>ja</v>
          </cell>
          <cell r="L53" t="str">
            <v>V</v>
          </cell>
          <cell r="M53" t="str">
            <v>Volledig</v>
          </cell>
          <cell r="N53" t="str">
            <v>naloop</v>
          </cell>
          <cell r="O53" t="str">
            <v>Volledig</v>
          </cell>
          <cell r="P53" t="str">
            <v>naloop</v>
          </cell>
          <cell r="Q53" t="str">
            <v>Volledig</v>
          </cell>
          <cell r="R53" t="str">
            <v>naloop</v>
          </cell>
          <cell r="S53" t="str">
            <v>Volledig</v>
          </cell>
        </row>
        <row r="54">
          <cell r="A54" t="str">
            <v>KAN.0001</v>
          </cell>
          <cell r="B54">
            <v>1</v>
          </cell>
          <cell r="C54" t="str">
            <v>Kantoren/spreekkamers</v>
          </cell>
          <cell r="D54" t="str">
            <v>1 x per jaar</v>
          </cell>
          <cell r="E54">
            <v>0.01</v>
          </cell>
          <cell r="I54">
            <v>100</v>
          </cell>
          <cell r="J54">
            <v>0</v>
          </cell>
          <cell r="K54" t="str">
            <v>nee</v>
          </cell>
          <cell r="L54" t="str">
            <v>B</v>
          </cell>
          <cell r="M54" t="str">
            <v>Zie Freq</v>
          </cell>
          <cell r="N54" t="str">
            <v>Zie Freq</v>
          </cell>
          <cell r="O54" t="str">
            <v>Zie Freq</v>
          </cell>
          <cell r="P54" t="str">
            <v>Zie Freq</v>
          </cell>
          <cell r="Q54" t="str">
            <v>Zie Freq</v>
          </cell>
          <cell r="R54" t="str">
            <v>NVT</v>
          </cell>
          <cell r="S54" t="str">
            <v>NVT</v>
          </cell>
        </row>
        <row r="55">
          <cell r="A55" t="str">
            <v>KAN.0002</v>
          </cell>
          <cell r="B55">
            <v>2</v>
          </cell>
          <cell r="C55" t="str">
            <v>Kantoren/spreekkamers</v>
          </cell>
          <cell r="D55" t="str">
            <v>2 x per jaar</v>
          </cell>
          <cell r="E55">
            <v>0.02</v>
          </cell>
          <cell r="I55">
            <v>100</v>
          </cell>
          <cell r="J55">
            <v>89</v>
          </cell>
          <cell r="K55" t="str">
            <v>nee</v>
          </cell>
          <cell r="L55" t="str">
            <v>B</v>
          </cell>
          <cell r="M55" t="str">
            <v>Zie Freq</v>
          </cell>
          <cell r="N55" t="str">
            <v>Zie Freq</v>
          </cell>
          <cell r="O55" t="str">
            <v>Zie Freq</v>
          </cell>
          <cell r="P55" t="str">
            <v>Zie Freq</v>
          </cell>
          <cell r="Q55" t="str">
            <v>Zie Freq</v>
          </cell>
          <cell r="R55" t="str">
            <v>NVT</v>
          </cell>
          <cell r="S55" t="str">
            <v>NVT</v>
          </cell>
        </row>
        <row r="56">
          <cell r="A56" t="str">
            <v>KAN.365.1</v>
          </cell>
          <cell r="B56">
            <v>365</v>
          </cell>
          <cell r="C56" t="str">
            <v>Kantoren/spreekkamers</v>
          </cell>
          <cell r="D56" t="str">
            <v>Klasse 1</v>
          </cell>
          <cell r="E56">
            <v>0.27200000000000002</v>
          </cell>
          <cell r="F56">
            <v>0.34</v>
          </cell>
          <cell r="G56">
            <v>0</v>
          </cell>
          <cell r="H56">
            <v>0.24444444444444444</v>
          </cell>
          <cell r="I56">
            <v>426.18059159314993</v>
          </cell>
          <cell r="J56">
            <v>24</v>
          </cell>
          <cell r="K56" t="str">
            <v>ja</v>
          </cell>
          <cell r="L56" t="str">
            <v>B</v>
          </cell>
          <cell r="M56" t="str">
            <v>naloop</v>
          </cell>
          <cell r="N56" t="str">
            <v>Volledig</v>
          </cell>
          <cell r="O56" t="str">
            <v>naloop</v>
          </cell>
          <cell r="P56" t="str">
            <v>Volledig</v>
          </cell>
          <cell r="Q56" t="str">
            <v>naloop</v>
          </cell>
          <cell r="R56" t="str">
            <v>naloop</v>
          </cell>
          <cell r="S56" t="str">
            <v>naloop</v>
          </cell>
        </row>
        <row r="57">
          <cell r="A57" t="str">
            <v>KAN.365.2</v>
          </cell>
          <cell r="B57">
            <v>365</v>
          </cell>
          <cell r="C57" t="str">
            <v>Kantoren/spreekkamers</v>
          </cell>
          <cell r="D57" t="str">
            <v>Klasse 2</v>
          </cell>
          <cell r="E57">
            <v>0.34</v>
          </cell>
          <cell r="F57">
            <v>0.28333333333333333</v>
          </cell>
          <cell r="G57">
            <v>0.14666666666666667</v>
          </cell>
          <cell r="H57">
            <v>0.12222222222222222</v>
          </cell>
          <cell r="I57">
            <v>409.09090909090907</v>
          </cell>
          <cell r="J57">
            <v>0</v>
          </cell>
          <cell r="K57" t="str">
            <v>ja</v>
          </cell>
          <cell r="L57" t="str">
            <v>B</v>
          </cell>
          <cell r="M57" t="str">
            <v>Volledig</v>
          </cell>
          <cell r="N57" t="str">
            <v>naloop</v>
          </cell>
          <cell r="O57" t="str">
            <v>Volledig</v>
          </cell>
          <cell r="P57" t="str">
            <v>naloop</v>
          </cell>
          <cell r="Q57" t="str">
            <v>Volledig</v>
          </cell>
          <cell r="R57" t="str">
            <v>naloop</v>
          </cell>
          <cell r="S57" t="str">
            <v>Volledig</v>
          </cell>
        </row>
        <row r="58">
          <cell r="A58" t="str">
            <v>KAN.365.3</v>
          </cell>
          <cell r="B58">
            <v>365</v>
          </cell>
          <cell r="C58" t="str">
            <v>Kantoren/spreekkamers</v>
          </cell>
          <cell r="D58" t="str">
            <v>Klasse 3</v>
          </cell>
          <cell r="E58">
            <v>0.68</v>
          </cell>
          <cell r="G58">
            <v>0.29333333333333333</v>
          </cell>
          <cell r="I58">
            <v>375</v>
          </cell>
          <cell r="J58">
            <v>108</v>
          </cell>
          <cell r="K58" t="str">
            <v>ja</v>
          </cell>
          <cell r="L58" t="str">
            <v>B</v>
          </cell>
          <cell r="M58" t="str">
            <v>Volledig</v>
          </cell>
          <cell r="N58" t="str">
            <v>Volledig</v>
          </cell>
          <cell r="O58" t="str">
            <v>Volledig</v>
          </cell>
          <cell r="P58" t="str">
            <v>Volledig</v>
          </cell>
          <cell r="Q58" t="str">
            <v>Volledig</v>
          </cell>
          <cell r="R58" t="str">
            <v>Volledig</v>
          </cell>
          <cell r="S58" t="str">
            <v>Volledig</v>
          </cell>
        </row>
        <row r="59">
          <cell r="A59" t="str">
            <v>OVE.0001</v>
          </cell>
          <cell r="B59">
            <v>1</v>
          </cell>
          <cell r="C59" t="str">
            <v>Overige</v>
          </cell>
          <cell r="D59" t="str">
            <v>1 x per jaar</v>
          </cell>
          <cell r="E59">
            <v>6.6666666666666671E-3</v>
          </cell>
          <cell r="I59">
            <v>150</v>
          </cell>
          <cell r="J59">
            <v>0</v>
          </cell>
          <cell r="K59" t="str">
            <v>nee</v>
          </cell>
          <cell r="L59" t="str">
            <v>V</v>
          </cell>
          <cell r="M59" t="str">
            <v>Zie Freq</v>
          </cell>
          <cell r="N59" t="str">
            <v>Zie Freq</v>
          </cell>
          <cell r="O59" t="str">
            <v>Zie Freq</v>
          </cell>
          <cell r="P59" t="str">
            <v>Zie Freq</v>
          </cell>
          <cell r="Q59" t="str">
            <v>Zie Freq</v>
          </cell>
          <cell r="R59" t="str">
            <v>NVT</v>
          </cell>
          <cell r="S59" t="str">
            <v>NVT</v>
          </cell>
        </row>
        <row r="60">
          <cell r="A60" t="str">
            <v>OVE.0003</v>
          </cell>
          <cell r="B60">
            <v>3</v>
          </cell>
          <cell r="C60" t="str">
            <v>Overige</v>
          </cell>
          <cell r="D60" t="str">
            <v>3 x per jaar</v>
          </cell>
          <cell r="E60">
            <v>0.02</v>
          </cell>
          <cell r="I60">
            <v>150</v>
          </cell>
          <cell r="J60">
            <v>0</v>
          </cell>
          <cell r="K60" t="str">
            <v>nee</v>
          </cell>
          <cell r="L60" t="str">
            <v>V</v>
          </cell>
          <cell r="M60" t="str">
            <v>Zie Freq</v>
          </cell>
          <cell r="N60" t="str">
            <v>Zie Freq</v>
          </cell>
          <cell r="O60" t="str">
            <v>Zie Freq</v>
          </cell>
          <cell r="P60" t="str">
            <v>Zie Freq</v>
          </cell>
          <cell r="Q60" t="str">
            <v>Zie Freq</v>
          </cell>
          <cell r="R60" t="str">
            <v>NVT</v>
          </cell>
          <cell r="S60" t="str">
            <v>NVT</v>
          </cell>
        </row>
        <row r="61">
          <cell r="A61" t="str">
            <v>NVT.0000</v>
          </cell>
          <cell r="B61">
            <v>0</v>
          </cell>
          <cell r="C61" t="str">
            <v>Niet van toepassing</v>
          </cell>
          <cell r="D61" t="str">
            <v>Niet van toepassing</v>
          </cell>
          <cell r="J61">
            <v>81</v>
          </cell>
          <cell r="M61" t="str">
            <v>NVT</v>
          </cell>
          <cell r="N61" t="str">
            <v>NVT</v>
          </cell>
          <cell r="O61" t="str">
            <v>NVT</v>
          </cell>
          <cell r="P61" t="str">
            <v>NVT</v>
          </cell>
          <cell r="Q61" t="str">
            <v>NVT</v>
          </cell>
          <cell r="R61" t="str">
            <v>NVT</v>
          </cell>
          <cell r="S61" t="str">
            <v>NVT</v>
          </cell>
        </row>
        <row r="62">
          <cell r="A62" t="str">
            <v>O.A.0000</v>
          </cell>
          <cell r="B62">
            <v>0</v>
          </cell>
          <cell r="C62" t="str">
            <v>Op afroep</v>
          </cell>
          <cell r="D62" t="str">
            <v>Op afroep</v>
          </cell>
          <cell r="J62">
            <v>1762.8</v>
          </cell>
          <cell r="M62" t="str">
            <v>o.a.</v>
          </cell>
          <cell r="N62" t="str">
            <v>o.a.</v>
          </cell>
          <cell r="O62" t="str">
            <v>o.a.</v>
          </cell>
          <cell r="P62" t="str">
            <v>o.a.</v>
          </cell>
          <cell r="Q62" t="str">
            <v>o.a.</v>
          </cell>
          <cell r="R62" t="str">
            <v>o.a.</v>
          </cell>
          <cell r="S62" t="str">
            <v>o.a.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I2" t="str">
            <v>Binnenglas (dak/kap)</v>
          </cell>
          <cell r="J2">
            <v>0.50955300000000014</v>
          </cell>
        </row>
        <row r="3">
          <cell r="I3" t="str">
            <v>Binnenglas (gevel/perron)</v>
          </cell>
          <cell r="J3">
            <v>0.33970200000000006</v>
          </cell>
        </row>
        <row r="4">
          <cell r="I4" t="str">
            <v>Buitenglas (dak/kap)</v>
          </cell>
          <cell r="J4">
            <v>0.50955300000000014</v>
          </cell>
        </row>
        <row r="5">
          <cell r="I5" t="str">
            <v>Buitenglas (gevel/perron)</v>
          </cell>
          <cell r="J5">
            <v>0.33970200000000006</v>
          </cell>
        </row>
        <row r="6">
          <cell r="I6" t="str">
            <v>Glas winkels</v>
          </cell>
          <cell r="J6">
            <v>0.33970200000000006</v>
          </cell>
        </row>
        <row r="7">
          <cell r="I7" t="str">
            <v>Glaslamellen</v>
          </cell>
          <cell r="J7">
            <v>0.33970200000000006</v>
          </cell>
        </row>
        <row r="8">
          <cell r="I8" t="str">
            <v>Lichtkoepels binnenzijde</v>
          </cell>
          <cell r="J8">
            <v>0.39631900000000003</v>
          </cell>
        </row>
        <row r="9">
          <cell r="I9" t="str">
            <v>Lichtkoepels buitenzijde</v>
          </cell>
          <cell r="J9">
            <v>0.39631900000000003</v>
          </cell>
        </row>
        <row r="10">
          <cell r="I10" t="str">
            <v>Liftkooi binnenzijde</v>
          </cell>
          <cell r="J10">
            <v>3.1139350000000006</v>
          </cell>
        </row>
        <row r="11">
          <cell r="I11" t="str">
            <v>Liftkooi buitenzijde</v>
          </cell>
          <cell r="J11">
            <v>0.33970200000000006</v>
          </cell>
        </row>
        <row r="12">
          <cell r="I12" t="str">
            <v>Liftschacht binnenzijde</v>
          </cell>
          <cell r="J12">
            <v>3.1139350000000006</v>
          </cell>
        </row>
        <row r="13">
          <cell r="I13" t="str">
            <v>Liftschacht buitenzijde</v>
          </cell>
          <cell r="J13">
            <v>0.33970200000000006</v>
          </cell>
        </row>
        <row r="14">
          <cell r="I14" t="str">
            <v>Separatieglas</v>
          </cell>
          <cell r="J14">
            <v>0.33970200000000006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blad"/>
      <sheetName val="1-Contractblad dag"/>
      <sheetName val="1-Contractbladlocatie"/>
      <sheetName val="Data"/>
      <sheetName val="2-Kengetal"/>
      <sheetName val="3-Basis ruimtestaat"/>
      <sheetName val="4-Premies en opslagen"/>
      <sheetName val="5-Opbouw uurtarieven"/>
      <sheetName val="6- toeslagenmatrix"/>
      <sheetName val="7-Machine-investeringskosten"/>
      <sheetName val="8-Afroepprij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1">
          <cell r="A11">
            <v>1052</v>
          </cell>
          <cell r="B11">
            <v>52</v>
          </cell>
          <cell r="C11" t="str">
            <v>Administratieve ruimten/Vergaderzalen</v>
          </cell>
          <cell r="D11" t="str">
            <v>1 x per week</v>
          </cell>
          <cell r="E11">
            <v>0.246</v>
          </cell>
          <cell r="H11">
            <v>211.3821138211382</v>
          </cell>
          <cell r="I11">
            <v>100</v>
          </cell>
          <cell r="J11">
            <v>2.587499363636875E-3</v>
          </cell>
          <cell r="L11" t="str">
            <v>B</v>
          </cell>
        </row>
        <row r="12">
          <cell r="A12">
            <v>1104</v>
          </cell>
          <cell r="B12">
            <v>104</v>
          </cell>
          <cell r="C12" t="str">
            <v>Administratieve ruimten/Vergaderzalen</v>
          </cell>
          <cell r="D12" t="str">
            <v>2 x per week</v>
          </cell>
          <cell r="E12">
            <v>0.36899999999999999</v>
          </cell>
          <cell r="H12">
            <v>281.84281842818427</v>
          </cell>
          <cell r="I12">
            <v>0</v>
          </cell>
          <cell r="J12">
            <v>0</v>
          </cell>
          <cell r="L12" t="str">
            <v>B</v>
          </cell>
        </row>
        <row r="13">
          <cell r="A13">
            <v>1156</v>
          </cell>
          <cell r="B13">
            <v>156</v>
          </cell>
          <cell r="C13" t="str">
            <v>Administratieve ruimten/Vergaderzalen</v>
          </cell>
          <cell r="D13" t="str">
            <v>3 x per week</v>
          </cell>
          <cell r="E13">
            <v>0.44279999999999997</v>
          </cell>
          <cell r="H13">
            <v>352.3035230352304</v>
          </cell>
          <cell r="I13">
            <v>1549</v>
          </cell>
          <cell r="J13">
            <v>4.0080365142735198E-2</v>
          </cell>
          <cell r="L13" t="str">
            <v>B</v>
          </cell>
        </row>
        <row r="14">
          <cell r="A14">
            <v>1255</v>
          </cell>
          <cell r="B14">
            <v>255</v>
          </cell>
          <cell r="C14" t="str">
            <v>Administratieve ruimten/Vergaderzalen</v>
          </cell>
          <cell r="D14" t="str">
            <v>5 x per week</v>
          </cell>
          <cell r="E14">
            <v>0.61499999999999999</v>
          </cell>
          <cell r="H14">
            <v>414.63414634146341</v>
          </cell>
          <cell r="I14">
            <v>10444.882499999998</v>
          </cell>
          <cell r="J14">
            <v>0.27026126822011931</v>
          </cell>
          <cell r="L14" t="str">
            <v>B</v>
          </cell>
        </row>
        <row r="15">
          <cell r="A15">
            <v>2255</v>
          </cell>
          <cell r="B15">
            <v>255</v>
          </cell>
          <cell r="C15" t="str">
            <v>Sanitaire ruimten</v>
          </cell>
          <cell r="D15" t="str">
            <v>5 x per week</v>
          </cell>
          <cell r="E15">
            <v>3.92</v>
          </cell>
          <cell r="H15">
            <v>65.051020408163268</v>
          </cell>
          <cell r="I15">
            <v>557.38</v>
          </cell>
          <cell r="J15">
            <v>1.4422203953039215E-2</v>
          </cell>
          <cell r="L15" t="str">
            <v>S</v>
          </cell>
        </row>
        <row r="16">
          <cell r="A16">
            <v>2510</v>
          </cell>
          <cell r="B16">
            <v>510</v>
          </cell>
          <cell r="C16" t="str">
            <v>Sanitaire ruimten incl. naloop</v>
          </cell>
          <cell r="D16" t="str">
            <v>10 x per week</v>
          </cell>
          <cell r="E16">
            <v>3.92</v>
          </cell>
          <cell r="F16">
            <v>2.94</v>
          </cell>
          <cell r="H16">
            <v>74.344023323615161</v>
          </cell>
          <cell r="I16">
            <v>803.9</v>
          </cell>
          <cell r="J16">
            <v>2.080090738427684E-2</v>
          </cell>
          <cell r="L16" t="str">
            <v>S</v>
          </cell>
        </row>
        <row r="17">
          <cell r="A17">
            <v>2562</v>
          </cell>
          <cell r="B17">
            <v>562</v>
          </cell>
          <cell r="C17" t="str">
            <v>Sanitaire ruimten ma-vr incl. naloop + zaterdag</v>
          </cell>
          <cell r="D17" t="str">
            <v>11 x per week</v>
          </cell>
          <cell r="E17">
            <v>3.92</v>
          </cell>
          <cell r="F17">
            <v>2.94</v>
          </cell>
          <cell r="G17">
            <v>0.58800000000000008</v>
          </cell>
          <cell r="H17">
            <v>75.456498388829218</v>
          </cell>
          <cell r="I17">
            <v>106.81</v>
          </cell>
          <cell r="J17">
            <v>2.7637080703005463E-3</v>
          </cell>
          <cell r="L17" t="str">
            <v>S</v>
          </cell>
        </row>
        <row r="18">
          <cell r="A18">
            <v>3156</v>
          </cell>
          <cell r="B18">
            <v>156</v>
          </cell>
          <cell r="C18" t="str">
            <v>Gangen, hallen, entrees</v>
          </cell>
          <cell r="D18" t="str">
            <v>3 x per week</v>
          </cell>
          <cell r="E18">
            <v>0.31463999999999998</v>
          </cell>
          <cell r="H18">
            <v>495.80472921434023</v>
          </cell>
          <cell r="I18">
            <v>417</v>
          </cell>
          <cell r="J18">
            <v>1.078987234636577E-2</v>
          </cell>
          <cell r="L18" t="str">
            <v>V</v>
          </cell>
        </row>
        <row r="19">
          <cell r="A19">
            <v>3255</v>
          </cell>
          <cell r="B19">
            <v>255</v>
          </cell>
          <cell r="C19" t="str">
            <v>Gangen, hallen, entrees</v>
          </cell>
          <cell r="D19" t="str">
            <v>5 x per week</v>
          </cell>
          <cell r="E19">
            <v>0.437</v>
          </cell>
          <cell r="H19">
            <v>583.52402745995425</v>
          </cell>
          <cell r="I19">
            <v>3036.7500000000005</v>
          </cell>
          <cell r="J19">
            <v>7.8575886925242824E-2</v>
          </cell>
          <cell r="L19" t="str">
            <v>V</v>
          </cell>
        </row>
        <row r="20">
          <cell r="A20">
            <v>3510</v>
          </cell>
          <cell r="B20">
            <v>510</v>
          </cell>
          <cell r="C20" t="str">
            <v>Gangen, hallen, entrees</v>
          </cell>
          <cell r="D20" t="str">
            <v>10 x per week</v>
          </cell>
          <cell r="E20">
            <v>0.437</v>
          </cell>
          <cell r="F20">
            <v>0.32774999999999999</v>
          </cell>
          <cell r="H20">
            <v>666.88460281137623</v>
          </cell>
          <cell r="I20">
            <v>139.4</v>
          </cell>
          <cell r="J20">
            <v>3.6069741129098041E-3</v>
          </cell>
          <cell r="L20" t="str">
            <v>V</v>
          </cell>
        </row>
        <row r="21">
          <cell r="A21">
            <v>3562</v>
          </cell>
          <cell r="B21">
            <v>562</v>
          </cell>
          <cell r="C21" t="str">
            <v>Gangen ma-vr incl. naloop + zaterdag</v>
          </cell>
          <cell r="D21" t="str">
            <v>11 x per week</v>
          </cell>
          <cell r="E21">
            <v>0.437</v>
          </cell>
          <cell r="F21">
            <v>0.32774999999999999</v>
          </cell>
          <cell r="G21">
            <v>6.5549999999999997E-2</v>
          </cell>
          <cell r="H21">
            <v>676.86378417439482</v>
          </cell>
          <cell r="I21">
            <v>59</v>
          </cell>
          <cell r="J21">
            <v>1.5266246245457563E-3</v>
          </cell>
          <cell r="L21" t="str">
            <v>V</v>
          </cell>
        </row>
        <row r="22">
          <cell r="A22">
            <v>4156</v>
          </cell>
          <cell r="B22">
            <v>156</v>
          </cell>
          <cell r="C22" t="str">
            <v>Liften</v>
          </cell>
          <cell r="D22" t="str">
            <v>3 x per week</v>
          </cell>
          <cell r="E22">
            <v>0.86399999999999999</v>
          </cell>
          <cell r="H22">
            <v>180.55555555555557</v>
          </cell>
          <cell r="I22">
            <v>10</v>
          </cell>
          <cell r="J22">
            <v>2.587499363636875E-4</v>
          </cell>
          <cell r="L22" t="str">
            <v>V</v>
          </cell>
        </row>
        <row r="23">
          <cell r="A23">
            <v>4255</v>
          </cell>
          <cell r="B23">
            <v>255</v>
          </cell>
          <cell r="C23" t="str">
            <v>Liften</v>
          </cell>
          <cell r="D23" t="str">
            <v>5 x per week</v>
          </cell>
          <cell r="E23">
            <v>1.2</v>
          </cell>
          <cell r="H23">
            <v>212.5</v>
          </cell>
          <cell r="I23">
            <v>3</v>
          </cell>
          <cell r="J23">
            <v>7.7624980909106261E-5</v>
          </cell>
          <cell r="L23" t="str">
            <v>V</v>
          </cell>
        </row>
        <row r="24">
          <cell r="A24">
            <v>5156</v>
          </cell>
          <cell r="B24">
            <v>156</v>
          </cell>
          <cell r="C24" t="str">
            <v>Trappenhuizen</v>
          </cell>
          <cell r="D24" t="str">
            <v>3 x per week</v>
          </cell>
          <cell r="E24">
            <v>0.58391999999999999</v>
          </cell>
          <cell r="H24">
            <v>267.15988491574188</v>
          </cell>
          <cell r="I24">
            <v>329.96</v>
          </cell>
          <cell r="J24">
            <v>8.5377129002562335E-3</v>
          </cell>
          <cell r="L24" t="str">
            <v>V</v>
          </cell>
        </row>
        <row r="25">
          <cell r="A25">
            <v>5255</v>
          </cell>
          <cell r="B25">
            <v>255</v>
          </cell>
          <cell r="C25" t="str">
            <v>Trappenhuizen</v>
          </cell>
          <cell r="D25" t="str">
            <v>5 x per week</v>
          </cell>
          <cell r="E25">
            <v>0.81100000000000005</v>
          </cell>
          <cell r="H25">
            <v>314.42663378545006</v>
          </cell>
          <cell r="I25">
            <v>381.06</v>
          </cell>
          <cell r="J25">
            <v>9.8599250750746759E-3</v>
          </cell>
          <cell r="L25" t="str">
            <v>V</v>
          </cell>
        </row>
        <row r="26">
          <cell r="A26">
            <v>6255</v>
          </cell>
          <cell r="B26">
            <v>255</v>
          </cell>
          <cell r="C26" t="str">
            <v>Pantry/koffiecorner</v>
          </cell>
          <cell r="D26" t="str">
            <v>5 x per week</v>
          </cell>
          <cell r="E26">
            <v>1.2030000000000001</v>
          </cell>
          <cell r="H26">
            <v>211.97007481296757</v>
          </cell>
          <cell r="I26">
            <v>161.43</v>
          </cell>
          <cell r="J26">
            <v>4.1770002227190075E-3</v>
          </cell>
          <cell r="L26" t="str">
            <v>V</v>
          </cell>
        </row>
        <row r="27">
          <cell r="A27">
            <v>7255</v>
          </cell>
          <cell r="B27">
            <v>255</v>
          </cell>
          <cell r="C27" t="str">
            <v>Restaurant/Kantine</v>
          </cell>
          <cell r="D27" t="str">
            <v>5 x per week</v>
          </cell>
          <cell r="E27">
            <v>0.96699999999999997</v>
          </cell>
          <cell r="H27">
            <v>263.70217166494314</v>
          </cell>
          <cell r="I27">
            <v>517.1</v>
          </cell>
          <cell r="J27">
            <v>1.3379959209366282E-2</v>
          </cell>
          <cell r="L27" t="str">
            <v>V</v>
          </cell>
        </row>
        <row r="28">
          <cell r="A28">
            <v>7510</v>
          </cell>
          <cell r="B28">
            <v>510</v>
          </cell>
          <cell r="C28" t="str">
            <v>Restaurant/Kantine</v>
          </cell>
          <cell r="D28" t="str">
            <v>10 x per week</v>
          </cell>
          <cell r="E28">
            <v>0.96699999999999997</v>
          </cell>
          <cell r="F28">
            <v>0.72524999999999995</v>
          </cell>
          <cell r="H28">
            <v>301.37391047422068</v>
          </cell>
          <cell r="I28">
            <v>1563.5</v>
          </cell>
          <cell r="J28">
            <v>4.0455552550462542E-2</v>
          </cell>
          <cell r="L28" t="str">
            <v>V</v>
          </cell>
        </row>
        <row r="29">
          <cell r="A29">
            <v>7562</v>
          </cell>
          <cell r="B29">
            <v>562</v>
          </cell>
          <cell r="C29" t="str">
            <v>Restaurant/Kantine ma-vr incl. naloop + zaterdag</v>
          </cell>
          <cell r="D29" t="str">
            <v>11 x per week</v>
          </cell>
          <cell r="E29">
            <v>0.96699999999999997</v>
          </cell>
          <cell r="F29">
            <v>0.72524999999999995</v>
          </cell>
          <cell r="G29">
            <v>0.14504999999999998</v>
          </cell>
          <cell r="H29">
            <v>305.88363359277201</v>
          </cell>
          <cell r="I29">
            <v>186.48000000000002</v>
          </cell>
          <cell r="J29">
            <v>4.8251688133100455E-3</v>
          </cell>
          <cell r="L29" t="str">
            <v>V</v>
          </cell>
        </row>
        <row r="30">
          <cell r="A30">
            <v>8255</v>
          </cell>
          <cell r="B30">
            <v>255</v>
          </cell>
          <cell r="C30" t="str">
            <v>Kleedruimten</v>
          </cell>
          <cell r="D30" t="str">
            <v>5 x per week</v>
          </cell>
          <cell r="E30">
            <v>1.569</v>
          </cell>
          <cell r="H30">
            <v>162.52390057361376</v>
          </cell>
          <cell r="I30">
            <v>144</v>
          </cell>
          <cell r="J30">
            <v>3.7259990836371001E-3</v>
          </cell>
          <cell r="L30" t="str">
            <v>S</v>
          </cell>
        </row>
        <row r="31">
          <cell r="A31">
            <v>8510</v>
          </cell>
          <cell r="B31">
            <v>510</v>
          </cell>
          <cell r="C31" t="str">
            <v>Kleedruimten</v>
          </cell>
          <cell r="D31" t="str">
            <v>10 x per week</v>
          </cell>
          <cell r="E31">
            <v>1.569</v>
          </cell>
          <cell r="F31">
            <v>1.17675</v>
          </cell>
          <cell r="H31">
            <v>185.74160065555859</v>
          </cell>
          <cell r="I31">
            <v>390.9</v>
          </cell>
          <cell r="J31">
            <v>1.0114535012456545E-2</v>
          </cell>
          <cell r="L31" t="str">
            <v>S</v>
          </cell>
        </row>
        <row r="32">
          <cell r="A32">
            <v>8562</v>
          </cell>
          <cell r="B32">
            <v>562</v>
          </cell>
          <cell r="C32" t="str">
            <v>Kleedruimten ma-vr incl. naloop + zaterdag</v>
          </cell>
          <cell r="D32" t="str">
            <v>11 x per week</v>
          </cell>
          <cell r="E32">
            <v>1.569</v>
          </cell>
          <cell r="F32">
            <v>1.17675</v>
          </cell>
          <cell r="G32">
            <v>0.23534999999999998</v>
          </cell>
          <cell r="H32">
            <v>188.52101573244775</v>
          </cell>
          <cell r="I32">
            <v>158.54</v>
          </cell>
          <cell r="J32">
            <v>4.1022214911099015E-3</v>
          </cell>
          <cell r="L32" t="str">
            <v>S</v>
          </cell>
        </row>
        <row r="33">
          <cell r="A33">
            <v>9255</v>
          </cell>
          <cell r="B33">
            <v>255</v>
          </cell>
          <cell r="C33" t="str">
            <v>Rookruimten</v>
          </cell>
          <cell r="D33" t="str">
            <v>5 x per week</v>
          </cell>
          <cell r="E33">
            <v>0.83099999999999996</v>
          </cell>
          <cell r="H33">
            <v>306.85920577617333</v>
          </cell>
          <cell r="I33">
            <v>29</v>
          </cell>
          <cell r="J33">
            <v>7.5037481545469384E-4</v>
          </cell>
          <cell r="L33" t="str">
            <v>V</v>
          </cell>
        </row>
        <row r="34">
          <cell r="A34">
            <v>10255</v>
          </cell>
          <cell r="B34">
            <v>255</v>
          </cell>
          <cell r="C34" t="str">
            <v>Buitenbordes entree's</v>
          </cell>
          <cell r="D34" t="str">
            <v>5 x per week</v>
          </cell>
          <cell r="E34">
            <v>0.51</v>
          </cell>
          <cell r="H34">
            <v>500</v>
          </cell>
          <cell r="I34">
            <v>340</v>
          </cell>
          <cell r="J34">
            <v>8.7974978363653759E-3</v>
          </cell>
          <cell r="L34" t="str">
            <v>V</v>
          </cell>
        </row>
        <row r="35">
          <cell r="A35" t="str">
            <v>nvt</v>
          </cell>
          <cell r="C35" t="str">
            <v>Niet van toepassing</v>
          </cell>
          <cell r="H35">
            <v>0</v>
          </cell>
          <cell r="I35">
            <v>17135.46</v>
          </cell>
          <cell r="J35">
            <v>0.4433799184562513</v>
          </cell>
        </row>
        <row r="36">
          <cell r="A36" t="str">
            <v>op afroep</v>
          </cell>
          <cell r="C36" t="str">
            <v>Op afroep</v>
          </cell>
          <cell r="H36">
            <v>0</v>
          </cell>
          <cell r="I36">
            <v>82.8</v>
          </cell>
          <cell r="J36">
            <v>2.1424494730913324E-3</v>
          </cell>
        </row>
        <row r="37">
          <cell r="C37">
            <v>0</v>
          </cell>
          <cell r="I37">
            <v>38647.352500000001</v>
          </cell>
          <cell r="J37">
            <v>1</v>
          </cell>
        </row>
      </sheetData>
      <sheetData sheetId="5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tes 08-09"/>
      <sheetName val="CB Totaal"/>
      <sheetName val="CB SMO Oostlijn"/>
      <sheetName val="CB Ballastbed"/>
      <sheetName val="CB Graffiti"/>
      <sheetName val="CB Liftbodems"/>
      <sheetName val="CB Folder"/>
      <sheetName val="CB IJzijde"/>
      <sheetName val="CB Glasbewassing"/>
      <sheetName val="CB Glas IJzijde"/>
      <sheetName val="CB Cico's &amp; Kaartautomaten"/>
      <sheetName val="CB Gates extra"/>
      <sheetName val="CB Olieopvangbak"/>
      <sheetName val="CB Geveldelen"/>
      <sheetName val="CB Binnenzijde liftschacht"/>
      <sheetName val="CB Glaslamellen"/>
      <sheetName val="2-Kengetal"/>
      <sheetName val="3-Basis ruimtestaat"/>
      <sheetName val="3-Ballastbed ruimtestaat"/>
      <sheetName val="3-Glasbewassing ruimtestaat"/>
      <sheetName val="3-Glas IJzijde ruimtestaat"/>
      <sheetName val="Glasbewassing op afroep"/>
      <sheetName val="4-Premies en opslagen"/>
      <sheetName val="5-Opbouw uurtarieven"/>
      <sheetName val="6-Tarievenmatrix"/>
      <sheetName val="7-Machine-investeringskosten"/>
      <sheetName val="Toelichting"/>
      <sheetName val="01.0012"/>
      <sheetName val="01.0730b"/>
      <sheetName val="01.1095b"/>
      <sheetName val="01.1460b"/>
      <sheetName val="02.0000"/>
      <sheetName val="02.0004"/>
      <sheetName val="02.0026"/>
      <sheetName val="02.0156"/>
      <sheetName val="02.0255"/>
      <sheetName val="02.0365"/>
      <sheetName val="02.0730"/>
      <sheetName val="03.0000"/>
      <sheetName val="03.0004"/>
      <sheetName val="03.0012"/>
      <sheetName val="03.0365"/>
      <sheetName val="04.0012"/>
      <sheetName val="04.0365"/>
      <sheetName val="05.0004"/>
      <sheetName val="05.0730b"/>
      <sheetName val="06.0026"/>
      <sheetName val="06.0730"/>
      <sheetName val="06.1095"/>
      <sheetName val="06.1460"/>
      <sheetName val="07.0000 a"/>
      <sheetName val="07.0000 b"/>
      <sheetName val="07.0004"/>
      <sheetName val="08.0730"/>
      <sheetName val="09.0000 a"/>
      <sheetName val="09.0000 b"/>
      <sheetName val="09.0004"/>
      <sheetName val="09.0012"/>
      <sheetName val="10.0000"/>
      <sheetName val="10.0004"/>
      <sheetName val="10.0012"/>
      <sheetName val="10.0026"/>
      <sheetName val="10.0156"/>
      <sheetName val="10.0255"/>
      <sheetName val="10.0365"/>
      <sheetName val="10.0730"/>
      <sheetName val="11.0004"/>
      <sheetName val="12.0365"/>
      <sheetName val="13.0000"/>
      <sheetName val="14.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0">
          <cell r="A10" t="str">
            <v>01.0012</v>
          </cell>
          <cell r="B10">
            <v>12</v>
          </cell>
          <cell r="C10" t="str">
            <v>diensten perrons</v>
          </cell>
          <cell r="D10" t="str">
            <v>1 x per maand</v>
          </cell>
          <cell r="E10">
            <v>0.11076255714285714</v>
          </cell>
          <cell r="I10">
            <v>108.33986059497414</v>
          </cell>
          <cell r="J10">
            <v>615.6</v>
          </cell>
          <cell r="K10">
            <v>1.0087873969090076E-2</v>
          </cell>
          <cell r="M10" t="str">
            <v>V</v>
          </cell>
        </row>
        <row r="11">
          <cell r="A11" t="str">
            <v>01.0730b</v>
          </cell>
          <cell r="B11">
            <v>730</v>
          </cell>
          <cell r="C11" t="str">
            <v>perrons Oost en Ringlijn</v>
          </cell>
          <cell r="D11" t="str">
            <v>14x per week</v>
          </cell>
          <cell r="E11">
            <v>0.64832109593023257</v>
          </cell>
          <cell r="F11">
            <v>0.21610169491525424</v>
          </cell>
          <cell r="G11">
            <v>0.10870596981132075</v>
          </cell>
          <cell r="H11">
            <v>9.3220338983050849E-2</v>
          </cell>
          <cell r="I11">
            <v>684.57881217937484</v>
          </cell>
          <cell r="J11">
            <v>25752.63</v>
          </cell>
          <cell r="K11">
            <v>0.42200988598539341</v>
          </cell>
          <cell r="M11" t="str">
            <v>S</v>
          </cell>
        </row>
        <row r="12">
          <cell r="A12" t="str">
            <v>01.1095b</v>
          </cell>
          <cell r="B12">
            <v>1095</v>
          </cell>
          <cell r="C12" t="str">
            <v>perrons Oost en Ringlijn</v>
          </cell>
          <cell r="D12" t="str">
            <v>21x per week</v>
          </cell>
          <cell r="E12">
            <v>0.64832109593023257</v>
          </cell>
          <cell r="F12">
            <v>0.34296729491525424</v>
          </cell>
          <cell r="G12">
            <v>0.10870596981132075</v>
          </cell>
          <cell r="H12">
            <v>0.14794667623795282</v>
          </cell>
          <cell r="I12">
            <v>877.44530200295185</v>
          </cell>
          <cell r="J12">
            <v>5939.54</v>
          </cell>
          <cell r="K12">
            <v>9.7331596741990364E-2</v>
          </cell>
          <cell r="M12" t="str">
            <v>S</v>
          </cell>
        </row>
        <row r="13">
          <cell r="A13" t="str">
            <v>01.1460b</v>
          </cell>
          <cell r="B13">
            <v>1460</v>
          </cell>
          <cell r="C13" t="str">
            <v>perrons Oost en Ringlijn</v>
          </cell>
          <cell r="D13" t="str">
            <v>28x per week</v>
          </cell>
          <cell r="E13">
            <v>0.64832109593023257</v>
          </cell>
          <cell r="F13">
            <v>0.39709269491525423</v>
          </cell>
          <cell r="G13">
            <v>0.10870596981132075</v>
          </cell>
          <cell r="H13">
            <v>0.17129488800265869</v>
          </cell>
          <cell r="I13">
            <v>1101.5420732497973</v>
          </cell>
          <cell r="J13">
            <v>7415</v>
          </cell>
          <cell r="K13">
            <v>0.12151004788954339</v>
          </cell>
          <cell r="M13" t="str">
            <v>S</v>
          </cell>
        </row>
        <row r="14">
          <cell r="A14" t="str">
            <v>02.0000</v>
          </cell>
          <cell r="B14" t="str">
            <v>0</v>
          </cell>
          <cell r="C14" t="str">
            <v>sanitair</v>
          </cell>
          <cell r="D14" t="str">
            <v>op afroep</v>
          </cell>
          <cell r="E14">
            <v>1.8749999999999999E-2</v>
          </cell>
          <cell r="I14">
            <v>0</v>
          </cell>
          <cell r="J14">
            <v>0</v>
          </cell>
          <cell r="K14">
            <v>0</v>
          </cell>
          <cell r="M14" t="str">
            <v>S</v>
          </cell>
        </row>
        <row r="15">
          <cell r="A15" t="str">
            <v>02.0004</v>
          </cell>
          <cell r="B15">
            <v>4</v>
          </cell>
          <cell r="C15" t="str">
            <v>sanitair</v>
          </cell>
          <cell r="D15" t="str">
            <v>4x per jaar</v>
          </cell>
          <cell r="E15">
            <v>7.4999999999999997E-2</v>
          </cell>
          <cell r="I15">
            <v>53.333333333333336</v>
          </cell>
          <cell r="J15">
            <v>0</v>
          </cell>
          <cell r="K15">
            <v>0</v>
          </cell>
          <cell r="M15" t="str">
            <v>V</v>
          </cell>
        </row>
        <row r="16">
          <cell r="A16" t="str">
            <v>02.0026</v>
          </cell>
          <cell r="B16">
            <v>26</v>
          </cell>
          <cell r="C16" t="str">
            <v>sanitair</v>
          </cell>
          <cell r="D16" t="str">
            <v xml:space="preserve">1 x per twee weken </v>
          </cell>
          <cell r="E16">
            <v>0.41935</v>
          </cell>
          <cell r="I16">
            <v>62.000715392869921</v>
          </cell>
          <cell r="J16">
            <v>35.339999999999996</v>
          </cell>
          <cell r="K16">
            <v>5.7911869081813392E-4</v>
          </cell>
          <cell r="M16" t="str">
            <v>V</v>
          </cell>
        </row>
        <row r="17">
          <cell r="A17" t="str">
            <v>02.0052</v>
          </cell>
          <cell r="B17">
            <v>52</v>
          </cell>
          <cell r="C17" t="str">
            <v>sanitair</v>
          </cell>
          <cell r="D17" t="str">
            <v>1x per week</v>
          </cell>
          <cell r="E17">
            <v>0.80913461538461495</v>
          </cell>
          <cell r="I17">
            <v>64.266191325014887</v>
          </cell>
          <cell r="J17">
            <v>14.25</v>
          </cell>
          <cell r="K17">
            <v>2.3351560113634435E-4</v>
          </cell>
        </row>
        <row r="18">
          <cell r="A18" t="str">
            <v>02.0156</v>
          </cell>
          <cell r="B18">
            <v>156</v>
          </cell>
          <cell r="C18" t="str">
            <v>sanitair</v>
          </cell>
          <cell r="D18" t="str">
            <v>3x per week</v>
          </cell>
          <cell r="E18">
            <v>2.2655769230769232</v>
          </cell>
          <cell r="I18">
            <v>68.85663356251591</v>
          </cell>
          <cell r="J18">
            <v>0</v>
          </cell>
          <cell r="K18">
            <v>0</v>
          </cell>
        </row>
        <row r="19">
          <cell r="A19" t="str">
            <v>02.0255</v>
          </cell>
          <cell r="B19">
            <v>255</v>
          </cell>
          <cell r="C19" t="str">
            <v>sanitair</v>
          </cell>
          <cell r="D19" t="str">
            <v>5 x per week</v>
          </cell>
          <cell r="E19">
            <v>3.236538461538462</v>
          </cell>
          <cell r="I19">
            <v>78.787878787878782</v>
          </cell>
          <cell r="J19">
            <v>5</v>
          </cell>
          <cell r="K19">
            <v>8.1935298644331345E-5</v>
          </cell>
          <cell r="M19" t="str">
            <v>V</v>
          </cell>
        </row>
        <row r="20">
          <cell r="A20" t="str">
            <v>02.0365</v>
          </cell>
          <cell r="B20">
            <v>365</v>
          </cell>
          <cell r="C20" t="str">
            <v>sanitair</v>
          </cell>
          <cell r="D20" t="str">
            <v>7x per week</v>
          </cell>
          <cell r="E20">
            <v>3.236538461538462</v>
          </cell>
          <cell r="G20">
            <v>1.2914423076923076</v>
          </cell>
          <cell r="I20">
            <v>80.60988299250387</v>
          </cell>
          <cell r="J20">
            <v>61.439999999999991</v>
          </cell>
          <cell r="K20">
            <v>1.0068209497415435E-3</v>
          </cell>
          <cell r="M20" t="str">
            <v>V</v>
          </cell>
        </row>
        <row r="21">
          <cell r="A21" t="str">
            <v>02.0730</v>
          </cell>
          <cell r="B21">
            <v>730</v>
          </cell>
          <cell r="C21" t="str">
            <v>sanitair</v>
          </cell>
          <cell r="D21" t="str">
            <v>14x per week</v>
          </cell>
          <cell r="E21">
            <v>3.236538461538462</v>
          </cell>
          <cell r="F21">
            <v>2.2636504120879128</v>
          </cell>
          <cell r="G21">
            <v>1.2914423076923076</v>
          </cell>
          <cell r="H21">
            <v>0.90546016483516523</v>
          </cell>
          <cell r="I21">
            <v>94.841020740227151</v>
          </cell>
          <cell r="J21">
            <v>55.95000000000001</v>
          </cell>
          <cell r="K21">
            <v>9.16855991830068E-4</v>
          </cell>
        </row>
        <row r="22">
          <cell r="A22" t="str">
            <v>03.0000</v>
          </cell>
          <cell r="B22" t="str">
            <v>0</v>
          </cell>
          <cell r="C22" t="str">
            <v>gangen</v>
          </cell>
          <cell r="D22" t="str">
            <v>op afroep</v>
          </cell>
          <cell r="E22">
            <v>8.4951923076923078E-3</v>
          </cell>
          <cell r="I22">
            <v>0</v>
          </cell>
          <cell r="J22">
            <v>33.770000000000003</v>
          </cell>
          <cell r="K22">
            <v>5.5339100704381397E-4</v>
          </cell>
          <cell r="M22" t="str">
            <v>V</v>
          </cell>
        </row>
        <row r="23">
          <cell r="A23" t="str">
            <v>03.0004</v>
          </cell>
          <cell r="B23">
            <v>4</v>
          </cell>
          <cell r="C23" t="str">
            <v>gangen</v>
          </cell>
          <cell r="D23" t="str">
            <v>4x per jaar</v>
          </cell>
          <cell r="E23">
            <v>3.3980769230769231E-2</v>
          </cell>
          <cell r="I23">
            <v>117.7136389360498</v>
          </cell>
          <cell r="J23">
            <v>0</v>
          </cell>
          <cell r="K23">
            <v>0</v>
          </cell>
          <cell r="M23" t="str">
            <v>V</v>
          </cell>
        </row>
        <row r="24">
          <cell r="A24" t="str">
            <v>03.0012</v>
          </cell>
          <cell r="B24">
            <v>12</v>
          </cell>
          <cell r="C24" t="str">
            <v>gangen</v>
          </cell>
          <cell r="D24" t="str">
            <v>1 x per maand</v>
          </cell>
          <cell r="E24">
            <v>1.7325791855203616E-2</v>
          </cell>
          <cell r="I24">
            <v>692.6090363019066</v>
          </cell>
          <cell r="J24">
            <v>432.67</v>
          </cell>
          <cell r="K24">
            <v>7.0901891328885693E-3</v>
          </cell>
          <cell r="M24" t="str">
            <v>V</v>
          </cell>
        </row>
        <row r="25">
          <cell r="A25" t="str">
            <v>03.0365</v>
          </cell>
          <cell r="B25">
            <v>365</v>
          </cell>
          <cell r="C25" t="str">
            <v>gangen</v>
          </cell>
          <cell r="D25" t="str">
            <v>7x per week</v>
          </cell>
          <cell r="E25">
            <v>0.3313557692307692</v>
          </cell>
          <cell r="G25">
            <v>0.11740384615384616</v>
          </cell>
          <cell r="I25">
            <v>813.3530457886053</v>
          </cell>
          <cell r="J25">
            <v>820.32</v>
          </cell>
          <cell r="K25">
            <v>1.3442632836783579E-2</v>
          </cell>
          <cell r="M25" t="str">
            <v>V</v>
          </cell>
        </row>
        <row r="26">
          <cell r="A26" t="str">
            <v>04.0012</v>
          </cell>
          <cell r="B26">
            <v>12</v>
          </cell>
          <cell r="C26" t="str">
            <v>liften</v>
          </cell>
          <cell r="D26" t="str">
            <v>1 x per maand</v>
          </cell>
          <cell r="E26">
            <v>6.6666666666666652E-2</v>
          </cell>
          <cell r="I26">
            <v>180.00000000000003</v>
          </cell>
          <cell r="J26">
            <v>0</v>
          </cell>
          <cell r="K26">
            <v>0</v>
          </cell>
          <cell r="M26" t="str">
            <v>V</v>
          </cell>
        </row>
        <row r="27">
          <cell r="A27" t="str">
            <v>04.0365</v>
          </cell>
          <cell r="B27">
            <v>365</v>
          </cell>
          <cell r="C27" t="str">
            <v>liften</v>
          </cell>
          <cell r="D27" t="str">
            <v>7x per week</v>
          </cell>
          <cell r="E27">
            <v>1.2749999999999999</v>
          </cell>
          <cell r="G27">
            <v>0.50875000000000004</v>
          </cell>
          <cell r="I27">
            <v>204.625087596356</v>
          </cell>
          <cell r="J27">
            <v>186.98999999999998</v>
          </cell>
          <cell r="K27">
            <v>3.0642162987007033E-3</v>
          </cell>
          <cell r="M27" t="str">
            <v>V</v>
          </cell>
        </row>
        <row r="28">
          <cell r="A28" t="str">
            <v>05.0004</v>
          </cell>
          <cell r="B28">
            <v>4</v>
          </cell>
          <cell r="C28" t="str">
            <v>trappen</v>
          </cell>
          <cell r="D28" t="str">
            <v>4x per jaar</v>
          </cell>
          <cell r="E28">
            <v>7.4566465753424654E-3</v>
          </cell>
          <cell r="I28">
            <v>536.43416777015341</v>
          </cell>
          <cell r="J28">
            <v>179.68</v>
          </cell>
          <cell r="K28">
            <v>2.9444268920826916E-3</v>
          </cell>
          <cell r="M28" t="str">
            <v>V</v>
          </cell>
        </row>
        <row r="29">
          <cell r="A29" t="str">
            <v>05.0730b</v>
          </cell>
          <cell r="B29">
            <v>730</v>
          </cell>
          <cell r="C29" t="str">
            <v>trappen Ring en Oostlijn</v>
          </cell>
          <cell r="D29" t="str">
            <v>14x per week</v>
          </cell>
          <cell r="E29">
            <v>0.51031424999999997</v>
          </cell>
          <cell r="F29">
            <v>0.35416666666666663</v>
          </cell>
          <cell r="G29">
            <v>0.15262500000000001</v>
          </cell>
          <cell r="H29">
            <v>0.15277777777777776</v>
          </cell>
          <cell r="I29">
            <v>623.99365293031394</v>
          </cell>
          <cell r="J29">
            <v>2198.7500000000005</v>
          </cell>
          <cell r="K29">
            <v>3.6031047578844719E-2</v>
          </cell>
          <cell r="M29" t="str">
            <v>V</v>
          </cell>
        </row>
        <row r="30">
          <cell r="A30" t="str">
            <v>06.0026</v>
          </cell>
          <cell r="B30">
            <v>26</v>
          </cell>
          <cell r="C30" t="str">
            <v>hallen</v>
          </cell>
          <cell r="D30" t="str">
            <v xml:space="preserve">1 x per twee weken </v>
          </cell>
          <cell r="E30">
            <v>5.4932954010953161E-2</v>
          </cell>
          <cell r="I30">
            <v>473.30423910601678</v>
          </cell>
          <cell r="J30">
            <v>0</v>
          </cell>
          <cell r="K30">
            <v>0</v>
          </cell>
          <cell r="M30" t="str">
            <v>V</v>
          </cell>
        </row>
        <row r="31">
          <cell r="A31" t="str">
            <v>06.0730</v>
          </cell>
          <cell r="B31">
            <v>730</v>
          </cell>
          <cell r="C31" t="str">
            <v>hallen</v>
          </cell>
          <cell r="D31" t="str">
            <v>14x per week</v>
          </cell>
          <cell r="E31">
            <v>0.45137975933740604</v>
          </cell>
          <cell r="F31">
            <v>0.19921875</v>
          </cell>
          <cell r="G31">
            <v>8.4217160369821104E-2</v>
          </cell>
          <cell r="H31">
            <v>8.59375E-2</v>
          </cell>
          <cell r="I31">
            <v>889.42696409006874</v>
          </cell>
          <cell r="J31">
            <v>8479.5</v>
          </cell>
          <cell r="K31">
            <v>0.13895407297092152</v>
          </cell>
          <cell r="M31" t="str">
            <v>V</v>
          </cell>
        </row>
        <row r="32">
          <cell r="A32" t="str">
            <v>06.1095</v>
          </cell>
          <cell r="B32">
            <v>1095</v>
          </cell>
          <cell r="C32" t="str">
            <v>hallen</v>
          </cell>
          <cell r="D32" t="str">
            <v>21x per week</v>
          </cell>
          <cell r="E32">
            <v>0.45137975933740604</v>
          </cell>
          <cell r="F32">
            <v>0.31617297499999997</v>
          </cell>
          <cell r="G32">
            <v>8.4217160369821104E-2</v>
          </cell>
          <cell r="H32">
            <v>0.13638834215686274</v>
          </cell>
          <cell r="I32">
            <v>1108.1221196667566</v>
          </cell>
          <cell r="J32">
            <v>1361.8600000000001</v>
          </cell>
          <cell r="K32">
            <v>2.2316881162353822E-2</v>
          </cell>
        </row>
        <row r="33">
          <cell r="A33" t="str">
            <v>06.1460</v>
          </cell>
          <cell r="B33">
            <v>1460</v>
          </cell>
          <cell r="C33" t="str">
            <v>hallen</v>
          </cell>
          <cell r="D33" t="str">
            <v>28x per week</v>
          </cell>
          <cell r="E33">
            <v>0.45137975933740604</v>
          </cell>
          <cell r="F33">
            <v>0.366069828125</v>
          </cell>
          <cell r="G33">
            <v>8.4217160369821104E-2</v>
          </cell>
          <cell r="H33">
            <v>0.17</v>
          </cell>
          <cell r="I33">
            <v>1362.3638159467907</v>
          </cell>
          <cell r="J33">
            <v>2325</v>
          </cell>
          <cell r="K33">
            <v>3.8099913869614074E-2</v>
          </cell>
        </row>
        <row r="34">
          <cell r="A34" t="str">
            <v>07.0000a</v>
          </cell>
          <cell r="B34" t="str">
            <v>0</v>
          </cell>
          <cell r="C34" t="str">
            <v>technische ruimten</v>
          </cell>
          <cell r="D34" t="str">
            <v xml:space="preserve">op afroep </v>
          </cell>
          <cell r="E34">
            <v>2E-3</v>
          </cell>
          <cell r="I34">
            <v>0</v>
          </cell>
          <cell r="J34">
            <v>0</v>
          </cell>
          <cell r="K34">
            <v>0</v>
          </cell>
          <cell r="M34" t="str">
            <v>V</v>
          </cell>
        </row>
        <row r="35">
          <cell r="A35" t="str">
            <v>07.0000b</v>
          </cell>
          <cell r="B35" t="str">
            <v>0</v>
          </cell>
          <cell r="C35" t="str">
            <v>technische ruimten</v>
          </cell>
          <cell r="D35" t="str">
            <v xml:space="preserve">op afroep </v>
          </cell>
          <cell r="E35">
            <v>3.6363636363636364E-3</v>
          </cell>
          <cell r="I35">
            <v>0</v>
          </cell>
          <cell r="J35">
            <v>0</v>
          </cell>
          <cell r="K35">
            <v>0</v>
          </cell>
          <cell r="M35" t="str">
            <v>V</v>
          </cell>
        </row>
        <row r="36">
          <cell r="A36" t="str">
            <v>07.0002</v>
          </cell>
          <cell r="B36">
            <v>2</v>
          </cell>
          <cell r="C36" t="str">
            <v>technische ruimten</v>
          </cell>
          <cell r="D36" t="str">
            <v>2x per jaar</v>
          </cell>
          <cell r="E36">
            <v>4.6153846153846149E-3</v>
          </cell>
          <cell r="I36">
            <v>433.33333333333337</v>
          </cell>
          <cell r="J36">
            <v>0</v>
          </cell>
          <cell r="K36">
            <v>0</v>
          </cell>
          <cell r="M36" t="str">
            <v>V</v>
          </cell>
        </row>
        <row r="37">
          <cell r="A37" t="str">
            <v>07.0004</v>
          </cell>
          <cell r="B37">
            <v>4</v>
          </cell>
          <cell r="C37" t="str">
            <v>technische ruimten</v>
          </cell>
          <cell r="D37" t="str">
            <v>4x per jaar</v>
          </cell>
          <cell r="E37">
            <v>1.673076923076923E-2</v>
          </cell>
          <cell r="I37">
            <v>239.08045977011497</v>
          </cell>
          <cell r="J37">
            <v>2622.5699999999997</v>
          </cell>
          <cell r="K37">
            <v>4.2976211233132812E-2</v>
          </cell>
          <cell r="M37" t="str">
            <v>V</v>
          </cell>
        </row>
        <row r="38">
          <cell r="A38" t="str">
            <v>08.0730</v>
          </cell>
          <cell r="B38">
            <v>730</v>
          </cell>
          <cell r="C38" t="str">
            <v>roltrappen(inclusief aangrenzende bouwdelen)</v>
          </cell>
          <cell r="D38" t="str">
            <v>14x per week</v>
          </cell>
          <cell r="E38">
            <v>1.7006250000000001</v>
          </cell>
          <cell r="F38">
            <v>1.605</v>
          </cell>
          <cell r="G38">
            <v>0.69286290322580646</v>
          </cell>
          <cell r="H38">
            <v>0.6923529411764705</v>
          </cell>
          <cell r="I38">
            <v>155.62241913859245</v>
          </cell>
          <cell r="J38">
            <v>1604.34</v>
          </cell>
          <cell r="K38">
            <v>2.6290415405409311E-2</v>
          </cell>
          <cell r="M38" t="str">
            <v>V</v>
          </cell>
        </row>
        <row r="39">
          <cell r="A39" t="str">
            <v>09.0000a</v>
          </cell>
          <cell r="B39" t="str">
            <v>0</v>
          </cell>
          <cell r="C39" t="str">
            <v>berging/opslag/magazijn</v>
          </cell>
          <cell r="D39" t="str">
            <v xml:space="preserve">op afroep </v>
          </cell>
          <cell r="E39">
            <v>1.3636363636363637E-3</v>
          </cell>
          <cell r="I39">
            <v>0</v>
          </cell>
          <cell r="J39">
            <v>12</v>
          </cell>
          <cell r="K39">
            <v>1.9664471674639525E-4</v>
          </cell>
          <cell r="M39" t="str">
            <v>V</v>
          </cell>
        </row>
        <row r="40">
          <cell r="A40" t="str">
            <v>09.0000b</v>
          </cell>
          <cell r="B40" t="str">
            <v>0</v>
          </cell>
          <cell r="C40" t="str">
            <v>berging/opslag/magazijn</v>
          </cell>
          <cell r="D40" t="str">
            <v xml:space="preserve">op afroep </v>
          </cell>
          <cell r="E40">
            <v>2.142857142857143E-3</v>
          </cell>
          <cell r="I40">
            <v>0</v>
          </cell>
          <cell r="J40">
            <v>0</v>
          </cell>
          <cell r="K40">
            <v>0</v>
          </cell>
          <cell r="M40" t="str">
            <v>V</v>
          </cell>
        </row>
        <row r="41">
          <cell r="A41" t="str">
            <v>09.0004</v>
          </cell>
          <cell r="B41">
            <v>4</v>
          </cell>
          <cell r="C41" t="str">
            <v>berging/opslag/magazijn</v>
          </cell>
          <cell r="D41" t="str">
            <v>4x per jaar</v>
          </cell>
          <cell r="E41">
            <v>1.2E-2</v>
          </cell>
          <cell r="I41">
            <v>333.33333333333331</v>
          </cell>
          <cell r="J41">
            <v>0</v>
          </cell>
          <cell r="K41">
            <v>0</v>
          </cell>
          <cell r="M41" t="str">
            <v>V</v>
          </cell>
        </row>
        <row r="42">
          <cell r="A42" t="str">
            <v>09.0012</v>
          </cell>
          <cell r="B42">
            <v>12</v>
          </cell>
          <cell r="C42" t="str">
            <v>berging/opslag/magazijn</v>
          </cell>
          <cell r="D42" t="str">
            <v>12x per jaar</v>
          </cell>
          <cell r="E42">
            <v>2.2499999999999999E-2</v>
          </cell>
          <cell r="I42">
            <v>533.33333333333337</v>
          </cell>
          <cell r="J42">
            <v>194.08</v>
          </cell>
          <cell r="K42">
            <v>3.1804005521783659E-3</v>
          </cell>
          <cell r="M42" t="str">
            <v>V</v>
          </cell>
        </row>
        <row r="43">
          <cell r="A43" t="str">
            <v>10.0000</v>
          </cell>
          <cell r="B43" t="str">
            <v>0</v>
          </cell>
          <cell r="C43" t="str">
            <v>kantoren/spreekkamers</v>
          </cell>
          <cell r="D43" t="str">
            <v xml:space="preserve">op afroep </v>
          </cell>
          <cell r="E43">
            <v>1.0760869565217393E-2</v>
          </cell>
          <cell r="I43">
            <v>0</v>
          </cell>
          <cell r="J43">
            <v>0</v>
          </cell>
          <cell r="K43">
            <v>0</v>
          </cell>
          <cell r="M43" t="str">
            <v>V</v>
          </cell>
        </row>
        <row r="44">
          <cell r="A44" t="str">
            <v>10.0004</v>
          </cell>
          <cell r="B44">
            <v>4</v>
          </cell>
          <cell r="C44" t="str">
            <v>kantoren/spreekkamers</v>
          </cell>
          <cell r="D44" t="str">
            <v>4x per jaar</v>
          </cell>
          <cell r="E44">
            <v>4.3043478260869572E-2</v>
          </cell>
          <cell r="I44">
            <v>92.929292929292913</v>
          </cell>
          <cell r="J44">
            <v>0</v>
          </cell>
          <cell r="K44">
            <v>0</v>
          </cell>
          <cell r="M44" t="str">
            <v>V</v>
          </cell>
        </row>
        <row r="45">
          <cell r="A45" t="str">
            <v>10.0012</v>
          </cell>
          <cell r="B45">
            <v>12</v>
          </cell>
          <cell r="C45" t="str">
            <v>kantoren/spreekkamers</v>
          </cell>
          <cell r="D45" t="str">
            <v>1 x per maand</v>
          </cell>
          <cell r="E45">
            <v>3.6955017301038055E-2</v>
          </cell>
          <cell r="I45">
            <v>324.71910112359558</v>
          </cell>
          <cell r="J45">
            <v>14.25</v>
          </cell>
          <cell r="K45">
            <v>2.3351560113634435E-4</v>
          </cell>
          <cell r="M45" t="str">
            <v>V</v>
          </cell>
        </row>
        <row r="46">
          <cell r="A46" t="str">
            <v>10.0026</v>
          </cell>
          <cell r="B46">
            <v>26</v>
          </cell>
          <cell r="C46" t="str">
            <v>kantoren/spreekkamers</v>
          </cell>
          <cell r="D46" t="str">
            <v xml:space="preserve">1 x per twee weken </v>
          </cell>
          <cell r="E46">
            <v>7.5620915032679731E-2</v>
          </cell>
          <cell r="I46">
            <v>343.82022471910113</v>
          </cell>
          <cell r="J46">
            <v>179.61999999999998</v>
          </cell>
          <cell r="K46">
            <v>2.9434436684989589E-3</v>
          </cell>
          <cell r="M46" t="str">
            <v>V</v>
          </cell>
        </row>
        <row r="47">
          <cell r="A47" t="str">
            <v>10.0156</v>
          </cell>
          <cell r="B47">
            <v>156</v>
          </cell>
          <cell r="C47" t="str">
            <v>kantoren/spreekkamers</v>
          </cell>
          <cell r="D47" t="str">
            <v>3x per week</v>
          </cell>
          <cell r="E47">
            <v>0.43333333333333335</v>
          </cell>
          <cell r="I47">
            <v>360</v>
          </cell>
          <cell r="J47">
            <v>21.35</v>
          </cell>
          <cell r="K47">
            <v>3.4986372521129489E-4</v>
          </cell>
        </row>
        <row r="48">
          <cell r="A48" t="str">
            <v>10.0255</v>
          </cell>
          <cell r="B48">
            <v>255</v>
          </cell>
          <cell r="C48" t="str">
            <v>kantoren/spreekkamers</v>
          </cell>
          <cell r="D48" t="str">
            <v>5x per week</v>
          </cell>
          <cell r="E48">
            <v>0.66749999999999998</v>
          </cell>
          <cell r="I48">
            <v>382.02247191011236</v>
          </cell>
          <cell r="J48">
            <v>35</v>
          </cell>
          <cell r="K48">
            <v>5.735470905103195E-4</v>
          </cell>
          <cell r="M48" t="str">
            <v>V</v>
          </cell>
        </row>
        <row r="49">
          <cell r="A49" t="str">
            <v>10.0365</v>
          </cell>
          <cell r="B49">
            <v>365</v>
          </cell>
          <cell r="C49" t="str">
            <v>kantoren/spreekkamers</v>
          </cell>
          <cell r="D49" t="str">
            <v>7x per week</v>
          </cell>
          <cell r="E49">
            <v>0.66749999999999998</v>
          </cell>
          <cell r="G49">
            <v>0.25437500000000002</v>
          </cell>
          <cell r="I49">
            <v>395.93220338983053</v>
          </cell>
          <cell r="J49">
            <v>530.09</v>
          </cell>
          <cell r="K49">
            <v>8.6866164916747212E-3</v>
          </cell>
          <cell r="M49" t="str">
            <v>V</v>
          </cell>
        </row>
        <row r="50">
          <cell r="A50" t="str">
            <v>10.0730</v>
          </cell>
          <cell r="B50">
            <v>730</v>
          </cell>
          <cell r="C50" t="str">
            <v>kantoren/spreekkamers</v>
          </cell>
          <cell r="D50" t="str">
            <v>14x per week</v>
          </cell>
          <cell r="E50">
            <v>0.66749999999999998</v>
          </cell>
          <cell r="F50">
            <v>0.61743749999999997</v>
          </cell>
          <cell r="G50">
            <v>0.25437500000000002</v>
          </cell>
          <cell r="H50">
            <v>0.25437500000000002</v>
          </cell>
          <cell r="I50">
            <v>406.98282170110457</v>
          </cell>
          <cell r="J50">
            <v>36.31</v>
          </cell>
          <cell r="K50">
            <v>5.9501413875513427E-4</v>
          </cell>
        </row>
        <row r="51">
          <cell r="A51" t="str">
            <v>11.0004</v>
          </cell>
          <cell r="B51">
            <v>4</v>
          </cell>
          <cell r="C51" t="str">
            <v>kleedruimte</v>
          </cell>
          <cell r="D51" t="str">
            <v>4x per jaar</v>
          </cell>
          <cell r="E51">
            <v>4.2000000000000003E-2</v>
          </cell>
          <cell r="I51">
            <v>95.238095238095227</v>
          </cell>
          <cell r="J51">
            <v>0</v>
          </cell>
          <cell r="K51">
            <v>0</v>
          </cell>
          <cell r="M51" t="str">
            <v>V</v>
          </cell>
        </row>
        <row r="52">
          <cell r="A52" t="str">
            <v>12.0365</v>
          </cell>
          <cell r="B52">
            <v>365</v>
          </cell>
          <cell r="C52" t="str">
            <v>tussenruimte</v>
          </cell>
          <cell r="D52" t="str">
            <v>7x per week</v>
          </cell>
          <cell r="E52">
            <v>0.64832109593023257</v>
          </cell>
          <cell r="G52">
            <v>0.10870596981132075</v>
          </cell>
          <cell r="I52">
            <v>482.1492077597789</v>
          </cell>
          <cell r="J52">
            <v>0</v>
          </cell>
          <cell r="K52">
            <v>0</v>
          </cell>
          <cell r="M52" t="str">
            <v>V</v>
          </cell>
        </row>
        <row r="53">
          <cell r="A53" t="str">
            <v>13.0000</v>
          </cell>
          <cell r="B53" t="str">
            <v>0</v>
          </cell>
          <cell r="C53" t="str">
            <v>tegelwerk onder taluut</v>
          </cell>
          <cell r="D53" t="str">
            <v xml:space="preserve">op afroep </v>
          </cell>
          <cell r="E53">
            <v>2.5000000000000001E-3</v>
          </cell>
          <cell r="I53">
            <v>0</v>
          </cell>
          <cell r="J53">
            <v>0</v>
          </cell>
          <cell r="K53">
            <v>0</v>
          </cell>
          <cell r="M53" t="str">
            <v>V</v>
          </cell>
        </row>
        <row r="54">
          <cell r="A54" t="str">
            <v>14.0000</v>
          </cell>
          <cell r="B54" t="str">
            <v>0</v>
          </cell>
          <cell r="C54" t="str">
            <v>tegelwerk technische ruimten</v>
          </cell>
          <cell r="D54" t="str">
            <v xml:space="preserve">op afroep </v>
          </cell>
          <cell r="E54">
            <v>2.5000000000000001E-3</v>
          </cell>
          <cell r="I54">
            <v>0</v>
          </cell>
          <cell r="J54">
            <v>0</v>
          </cell>
          <cell r="K54">
            <v>0</v>
          </cell>
          <cell r="M54" t="str">
            <v>V</v>
          </cell>
        </row>
        <row r="55">
          <cell r="A55" t="str">
            <v>15.0000</v>
          </cell>
          <cell r="B55" t="str">
            <v>0</v>
          </cell>
          <cell r="C55" t="str">
            <v xml:space="preserve">fietsenstalling </v>
          </cell>
          <cell r="D55" t="str">
            <v>op afroep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J55">
            <v>2.5</v>
          </cell>
          <cell r="K55">
            <v>4.0967649322165673E-5</v>
          </cell>
          <cell r="M55" t="str">
            <v>V</v>
          </cell>
        </row>
        <row r="56">
          <cell r="A56" t="str">
            <v>00.0000</v>
          </cell>
          <cell r="B56">
            <v>0</v>
          </cell>
          <cell r="C56" t="str">
            <v>niet van toepassing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J56">
            <v>473.96000000000004</v>
          </cell>
          <cell r="K56">
            <v>7.7668108290934578E-3</v>
          </cell>
        </row>
      </sheetData>
      <sheetData sheetId="17">
        <row r="3">
          <cell r="C3" t="str">
            <v>Gemeentelijk Vervoer Bedrijf Amsterdam</v>
          </cell>
        </row>
        <row r="4">
          <cell r="C4" t="str">
            <v>Schoonmaakonderhoud Metrotations</v>
          </cell>
        </row>
        <row r="5">
          <cell r="C5" t="str">
            <v>Amsterdam</v>
          </cell>
        </row>
        <row r="6">
          <cell r="C6" t="str">
            <v>GVB 2006 0766 EP-RT</v>
          </cell>
        </row>
        <row r="7">
          <cell r="C7" t="str">
            <v>Westerveld</v>
          </cell>
        </row>
        <row r="9">
          <cell r="C9" t="str">
            <v>LIJN</v>
          </cell>
        </row>
        <row r="10">
          <cell r="C10" t="str">
            <v>Oostlijn</v>
          </cell>
        </row>
        <row r="11">
          <cell r="C11" t="str">
            <v>Oostlijn</v>
          </cell>
        </row>
        <row r="12">
          <cell r="C12" t="str">
            <v>Oostlijn</v>
          </cell>
        </row>
        <row r="13">
          <cell r="C13" t="str">
            <v>Oostlijn</v>
          </cell>
        </row>
        <row r="14">
          <cell r="C14" t="str">
            <v>Oostlijn</v>
          </cell>
        </row>
        <row r="15">
          <cell r="C15" t="str">
            <v>Oostlijn</v>
          </cell>
        </row>
        <row r="16">
          <cell r="C16" t="str">
            <v>Oostlijn</v>
          </cell>
        </row>
        <row r="17">
          <cell r="C17" t="str">
            <v>Oostlijn</v>
          </cell>
        </row>
        <row r="18">
          <cell r="C18" t="str">
            <v>Oostlijn</v>
          </cell>
        </row>
        <row r="19">
          <cell r="C19" t="str">
            <v>Oostlijn</v>
          </cell>
        </row>
        <row r="20">
          <cell r="C20" t="str">
            <v>Oostlijn</v>
          </cell>
        </row>
        <row r="21">
          <cell r="C21" t="str">
            <v>Oostlijn</v>
          </cell>
        </row>
        <row r="22">
          <cell r="C22" t="str">
            <v>Oostlijn</v>
          </cell>
        </row>
        <row r="23">
          <cell r="C23" t="str">
            <v>Oostlijn</v>
          </cell>
        </row>
        <row r="24">
          <cell r="C24" t="str">
            <v>Oostlijn</v>
          </cell>
        </row>
        <row r="25">
          <cell r="C25" t="str">
            <v>Oostlijn</v>
          </cell>
        </row>
        <row r="26">
          <cell r="C26" t="str">
            <v>Oostlijn</v>
          </cell>
        </row>
        <row r="27">
          <cell r="C27" t="str">
            <v>Oostlijn</v>
          </cell>
        </row>
        <row r="28">
          <cell r="C28" t="str">
            <v>Oostlijn</v>
          </cell>
        </row>
        <row r="29">
          <cell r="C29" t="str">
            <v>Oostlijn</v>
          </cell>
        </row>
        <row r="30">
          <cell r="C30" t="str">
            <v>Oostlijn</v>
          </cell>
        </row>
        <row r="31">
          <cell r="C31" t="str">
            <v>Oostlijn</v>
          </cell>
        </row>
        <row r="32">
          <cell r="C32" t="str">
            <v>Oostlijn</v>
          </cell>
        </row>
        <row r="33">
          <cell r="C33" t="str">
            <v>Oostlijn</v>
          </cell>
        </row>
        <row r="34">
          <cell r="C34" t="str">
            <v>Oostlijn</v>
          </cell>
        </row>
        <row r="35">
          <cell r="C35" t="str">
            <v>Oostlijn</v>
          </cell>
        </row>
        <row r="36">
          <cell r="C36" t="str">
            <v>Oostlijn</v>
          </cell>
        </row>
        <row r="37">
          <cell r="C37" t="str">
            <v>Oostlijn</v>
          </cell>
        </row>
        <row r="38">
          <cell r="C38" t="str">
            <v>Oostlijn</v>
          </cell>
        </row>
        <row r="39">
          <cell r="C39" t="str">
            <v>Oostlijn</v>
          </cell>
        </row>
        <row r="40">
          <cell r="C40" t="str">
            <v>Oostlijn</v>
          </cell>
        </row>
        <row r="41">
          <cell r="C41" t="str">
            <v>Oostlijn</v>
          </cell>
        </row>
        <row r="42">
          <cell r="C42" t="str">
            <v>Oostlijn</v>
          </cell>
        </row>
        <row r="43">
          <cell r="C43" t="str">
            <v>Oostlijn</v>
          </cell>
        </row>
        <row r="44">
          <cell r="C44" t="str">
            <v>Oostlijn</v>
          </cell>
        </row>
        <row r="45">
          <cell r="C45" t="str">
            <v>Oostlijn</v>
          </cell>
        </row>
        <row r="46">
          <cell r="C46" t="str">
            <v>Oostlijn</v>
          </cell>
        </row>
        <row r="47">
          <cell r="C47" t="str">
            <v>Oostlijn</v>
          </cell>
        </row>
        <row r="48">
          <cell r="C48" t="str">
            <v>Oostlijn</v>
          </cell>
        </row>
        <row r="49">
          <cell r="C49" t="str">
            <v>Oostlijn</v>
          </cell>
        </row>
        <row r="50">
          <cell r="C50" t="str">
            <v>Oostlijn</v>
          </cell>
        </row>
        <row r="51">
          <cell r="C51" t="str">
            <v>Oostlijn</v>
          </cell>
        </row>
        <row r="52">
          <cell r="C52" t="str">
            <v>Oostlijn</v>
          </cell>
        </row>
        <row r="53">
          <cell r="C53" t="str">
            <v>Oostlijn</v>
          </cell>
        </row>
        <row r="54">
          <cell r="C54" t="str">
            <v>Oostlijn</v>
          </cell>
        </row>
        <row r="55">
          <cell r="C55" t="str">
            <v>Oostlijn</v>
          </cell>
        </row>
        <row r="56">
          <cell r="C56" t="str">
            <v>Oostlijn</v>
          </cell>
        </row>
        <row r="57">
          <cell r="C57" t="str">
            <v>Oostlijn</v>
          </cell>
        </row>
        <row r="58">
          <cell r="C58" t="str">
            <v>Oostlijn</v>
          </cell>
        </row>
        <row r="59">
          <cell r="C59" t="str">
            <v>Oostlijn</v>
          </cell>
        </row>
        <row r="60">
          <cell r="C60" t="str">
            <v>Oostlijn</v>
          </cell>
        </row>
        <row r="61">
          <cell r="C61" t="str">
            <v>Oostlijn</v>
          </cell>
        </row>
        <row r="62">
          <cell r="C62" t="str">
            <v>Oostlijn</v>
          </cell>
        </row>
        <row r="63">
          <cell r="C63" t="str">
            <v>Oostlijn</v>
          </cell>
        </row>
        <row r="64">
          <cell r="C64" t="str">
            <v>Oostlijn</v>
          </cell>
        </row>
        <row r="65">
          <cell r="C65" t="str">
            <v>Oostlijn</v>
          </cell>
        </row>
        <row r="66">
          <cell r="C66" t="str">
            <v>Oostlijn</v>
          </cell>
        </row>
        <row r="67">
          <cell r="C67" t="str">
            <v>Oostlijn</v>
          </cell>
        </row>
        <row r="68">
          <cell r="C68" t="str">
            <v>Oostlijn</v>
          </cell>
        </row>
        <row r="69">
          <cell r="C69" t="str">
            <v>Oostlijn</v>
          </cell>
        </row>
        <row r="70">
          <cell r="C70" t="str">
            <v>Oostlijn</v>
          </cell>
        </row>
        <row r="71">
          <cell r="C71" t="str">
            <v>Oostlijn</v>
          </cell>
        </row>
        <row r="72">
          <cell r="C72" t="str">
            <v>Oostlijn</v>
          </cell>
        </row>
        <row r="73">
          <cell r="C73" t="str">
            <v>Oostlijn</v>
          </cell>
        </row>
        <row r="74">
          <cell r="C74" t="str">
            <v>Oostlijn</v>
          </cell>
        </row>
        <row r="75">
          <cell r="C75" t="str">
            <v>Oostlijn</v>
          </cell>
        </row>
        <row r="76">
          <cell r="C76" t="str">
            <v>Oostlijn</v>
          </cell>
        </row>
        <row r="77">
          <cell r="C77" t="str">
            <v>Oostlijn</v>
          </cell>
        </row>
        <row r="78">
          <cell r="C78" t="str">
            <v>Oostlijn</v>
          </cell>
        </row>
        <row r="79">
          <cell r="C79" t="str">
            <v>Oostlijn</v>
          </cell>
        </row>
        <row r="80">
          <cell r="C80" t="str">
            <v>Oostlijn</v>
          </cell>
        </row>
        <row r="81">
          <cell r="C81" t="str">
            <v>Oostlijn</v>
          </cell>
        </row>
        <row r="82">
          <cell r="C82" t="str">
            <v>Oostlijn</v>
          </cell>
        </row>
        <row r="83">
          <cell r="C83" t="str">
            <v>Oostlijn</v>
          </cell>
        </row>
        <row r="84">
          <cell r="C84" t="str">
            <v>Oostlijn</v>
          </cell>
        </row>
        <row r="85">
          <cell r="C85" t="str">
            <v>Oostlijn</v>
          </cell>
        </row>
        <row r="86">
          <cell r="C86" t="str">
            <v>Oostlijn</v>
          </cell>
        </row>
        <row r="87">
          <cell r="C87" t="str">
            <v>Oostlijn</v>
          </cell>
        </row>
        <row r="88">
          <cell r="C88" t="str">
            <v>Oostlijn</v>
          </cell>
        </row>
        <row r="89">
          <cell r="C89" t="str">
            <v>Oostlijn</v>
          </cell>
        </row>
        <row r="90">
          <cell r="C90" t="str">
            <v>Oostlijn</v>
          </cell>
        </row>
        <row r="91">
          <cell r="C91" t="str">
            <v>Oostlijn</v>
          </cell>
        </row>
        <row r="92">
          <cell r="C92" t="str">
            <v>Oostlijn</v>
          </cell>
        </row>
        <row r="93">
          <cell r="C93" t="str">
            <v>Oostlijn</v>
          </cell>
        </row>
        <row r="94">
          <cell r="C94" t="str">
            <v>Oostlijn</v>
          </cell>
        </row>
        <row r="95">
          <cell r="C95" t="str">
            <v>Oostlijn</v>
          </cell>
        </row>
        <row r="96">
          <cell r="C96" t="str">
            <v>Oostlijn</v>
          </cell>
        </row>
        <row r="97">
          <cell r="C97" t="str">
            <v>Oostlijn</v>
          </cell>
        </row>
        <row r="98">
          <cell r="C98" t="str">
            <v>Oostlijn</v>
          </cell>
        </row>
        <row r="99">
          <cell r="C99" t="str">
            <v>Oostlijn</v>
          </cell>
        </row>
        <row r="100">
          <cell r="C100" t="str">
            <v>Oostlijn</v>
          </cell>
        </row>
        <row r="101">
          <cell r="C101" t="str">
            <v>Oostlijn</v>
          </cell>
        </row>
        <row r="102">
          <cell r="C102" t="str">
            <v>Oostlijn</v>
          </cell>
        </row>
        <row r="103">
          <cell r="C103" t="str">
            <v>Oostlijn</v>
          </cell>
        </row>
        <row r="104">
          <cell r="C104" t="str">
            <v>Oostlijn</v>
          </cell>
        </row>
        <row r="105">
          <cell r="C105" t="str">
            <v>Oostlijn</v>
          </cell>
        </row>
        <row r="106">
          <cell r="C106" t="str">
            <v>Oostlijn</v>
          </cell>
        </row>
        <row r="107">
          <cell r="C107" t="str">
            <v>Oostlijn</v>
          </cell>
        </row>
        <row r="108">
          <cell r="C108" t="str">
            <v>Oostlijn</v>
          </cell>
        </row>
        <row r="109">
          <cell r="C109" t="str">
            <v>Oostlijn</v>
          </cell>
        </row>
        <row r="110">
          <cell r="C110" t="str">
            <v>Oostlijn</v>
          </cell>
        </row>
        <row r="111">
          <cell r="C111" t="str">
            <v>Oostlijn</v>
          </cell>
        </row>
        <row r="112">
          <cell r="C112" t="str">
            <v>Oostlijn</v>
          </cell>
        </row>
        <row r="113">
          <cell r="C113" t="str">
            <v>Oostlijn</v>
          </cell>
        </row>
        <row r="114">
          <cell r="C114" t="str">
            <v>Oostlijn</v>
          </cell>
        </row>
        <row r="115">
          <cell r="C115" t="str">
            <v>Oostlijn</v>
          </cell>
        </row>
        <row r="116">
          <cell r="C116" t="str">
            <v>Oostlijn</v>
          </cell>
        </row>
        <row r="117">
          <cell r="C117" t="str">
            <v>Oostlijn</v>
          </cell>
        </row>
        <row r="118">
          <cell r="C118" t="str">
            <v>Oostlijn</v>
          </cell>
        </row>
        <row r="119">
          <cell r="C119" t="str">
            <v>Oostlijn</v>
          </cell>
        </row>
        <row r="120">
          <cell r="C120" t="str">
            <v>Oostlijn</v>
          </cell>
        </row>
        <row r="121">
          <cell r="C121" t="str">
            <v>Oostlijn</v>
          </cell>
        </row>
        <row r="122">
          <cell r="C122" t="str">
            <v>Oostlijn</v>
          </cell>
        </row>
        <row r="123">
          <cell r="C123" t="str">
            <v>Oostlijn</v>
          </cell>
        </row>
        <row r="124">
          <cell r="C124" t="str">
            <v>Oostlijn</v>
          </cell>
        </row>
        <row r="125">
          <cell r="C125" t="str">
            <v>Oostlijn</v>
          </cell>
        </row>
        <row r="126">
          <cell r="C126" t="str">
            <v>Oostlijn</v>
          </cell>
        </row>
        <row r="127">
          <cell r="C127" t="str">
            <v>Oostlijn</v>
          </cell>
        </row>
        <row r="128">
          <cell r="C128" t="str">
            <v>Oostlijn</v>
          </cell>
        </row>
        <row r="129">
          <cell r="C129" t="str">
            <v>Oostlijn</v>
          </cell>
        </row>
        <row r="130">
          <cell r="C130" t="str">
            <v>Oostlijn</v>
          </cell>
        </row>
        <row r="131">
          <cell r="C131" t="str">
            <v>Oostlijn</v>
          </cell>
        </row>
        <row r="132">
          <cell r="C132" t="str">
            <v>Oostlijn</v>
          </cell>
        </row>
        <row r="133">
          <cell r="C133" t="str">
            <v>Oostlijn</v>
          </cell>
        </row>
        <row r="134">
          <cell r="C134" t="str">
            <v>Oostlijn</v>
          </cell>
        </row>
        <row r="135">
          <cell r="C135" t="str">
            <v>Oostlijn</v>
          </cell>
        </row>
        <row r="136">
          <cell r="C136" t="str">
            <v>Oostlijn</v>
          </cell>
        </row>
        <row r="137">
          <cell r="C137" t="str">
            <v>Oostlijn</v>
          </cell>
        </row>
        <row r="138">
          <cell r="C138" t="str">
            <v>Oostlijn</v>
          </cell>
        </row>
        <row r="139">
          <cell r="C139" t="str">
            <v>Oostlijn</v>
          </cell>
        </row>
        <row r="140">
          <cell r="C140" t="str">
            <v>Oostlijn</v>
          </cell>
        </row>
        <row r="141">
          <cell r="C141" t="str">
            <v>Oostlijn</v>
          </cell>
        </row>
        <row r="142">
          <cell r="C142" t="str">
            <v>Oostlijn</v>
          </cell>
        </row>
        <row r="143">
          <cell r="C143" t="str">
            <v>Oostlijn</v>
          </cell>
        </row>
        <row r="144">
          <cell r="C144" t="str">
            <v>Oostlijn</v>
          </cell>
        </row>
        <row r="145">
          <cell r="C145" t="str">
            <v>Oostlijn</v>
          </cell>
        </row>
        <row r="146">
          <cell r="C146" t="str">
            <v>Oostlijn</v>
          </cell>
        </row>
        <row r="147">
          <cell r="C147" t="str">
            <v>Oostlijn</v>
          </cell>
        </row>
        <row r="148">
          <cell r="C148" t="str">
            <v>Oostlijn</v>
          </cell>
        </row>
        <row r="149">
          <cell r="C149" t="str">
            <v>Oostlijn</v>
          </cell>
        </row>
        <row r="150">
          <cell r="C150" t="str">
            <v>Oostlijn</v>
          </cell>
        </row>
        <row r="151">
          <cell r="C151" t="str">
            <v>Oostlijn</v>
          </cell>
        </row>
        <row r="152">
          <cell r="C152" t="str">
            <v>Oostlijn</v>
          </cell>
        </row>
        <row r="153">
          <cell r="C153" t="str">
            <v>Oostlijn</v>
          </cell>
        </row>
        <row r="154">
          <cell r="C154" t="str">
            <v>Oostlijn</v>
          </cell>
        </row>
        <row r="155">
          <cell r="C155" t="str">
            <v>Oostlijn</v>
          </cell>
        </row>
        <row r="156">
          <cell r="C156" t="str">
            <v>Oostlijn</v>
          </cell>
        </row>
        <row r="157">
          <cell r="C157" t="str">
            <v>Oostlijn</v>
          </cell>
        </row>
        <row r="158">
          <cell r="C158" t="str">
            <v>Oostlijn</v>
          </cell>
        </row>
        <row r="159">
          <cell r="C159" t="str">
            <v>Oostlijn</v>
          </cell>
        </row>
        <row r="160">
          <cell r="C160" t="str">
            <v>Oostlijn</v>
          </cell>
        </row>
        <row r="161">
          <cell r="C161" t="str">
            <v>Oostlijn</v>
          </cell>
        </row>
        <row r="162">
          <cell r="C162" t="str">
            <v>Oostlijn</v>
          </cell>
        </row>
        <row r="163">
          <cell r="C163" t="str">
            <v>Oostlijn</v>
          </cell>
        </row>
        <row r="164">
          <cell r="C164" t="str">
            <v>Oostlijn</v>
          </cell>
        </row>
        <row r="165">
          <cell r="C165" t="str">
            <v>Oostlijn</v>
          </cell>
        </row>
        <row r="166">
          <cell r="C166" t="str">
            <v>Oostlijn</v>
          </cell>
        </row>
        <row r="167">
          <cell r="C167" t="str">
            <v>Oostlijn</v>
          </cell>
        </row>
        <row r="168">
          <cell r="C168" t="str">
            <v>Oostlijn</v>
          </cell>
        </row>
        <row r="169">
          <cell r="C169" t="str">
            <v>Oostlijn</v>
          </cell>
        </row>
        <row r="170">
          <cell r="C170" t="str">
            <v>Oostlijn</v>
          </cell>
        </row>
        <row r="171">
          <cell r="C171" t="str">
            <v>Oostlijn</v>
          </cell>
        </row>
        <row r="172">
          <cell r="C172" t="str">
            <v>Oostlijn</v>
          </cell>
        </row>
        <row r="173">
          <cell r="C173" t="str">
            <v>Oostlijn</v>
          </cell>
        </row>
        <row r="174">
          <cell r="C174" t="str">
            <v>Oostlijn</v>
          </cell>
        </row>
        <row r="175">
          <cell r="C175" t="str">
            <v>Oostlijn</v>
          </cell>
        </row>
        <row r="176">
          <cell r="C176" t="str">
            <v>Oostlijn</v>
          </cell>
        </row>
        <row r="177">
          <cell r="C177" t="str">
            <v>Oostlijn</v>
          </cell>
        </row>
        <row r="178">
          <cell r="C178" t="str">
            <v>Oostlijn</v>
          </cell>
        </row>
        <row r="179">
          <cell r="C179" t="str">
            <v>Oostlijn</v>
          </cell>
        </row>
        <row r="180">
          <cell r="C180" t="str">
            <v>Oostlijn</v>
          </cell>
        </row>
        <row r="181">
          <cell r="C181" t="str">
            <v>Oostlijn</v>
          </cell>
        </row>
        <row r="182">
          <cell r="C182" t="str">
            <v>Oostlijn</v>
          </cell>
        </row>
        <row r="183">
          <cell r="C183" t="str">
            <v>Oostlijn</v>
          </cell>
        </row>
        <row r="184">
          <cell r="C184" t="str">
            <v>Oostlijn</v>
          </cell>
        </row>
        <row r="185">
          <cell r="C185" t="str">
            <v>Oostlijn</v>
          </cell>
        </row>
        <row r="186">
          <cell r="C186" t="str">
            <v>Oostlijn</v>
          </cell>
        </row>
        <row r="187">
          <cell r="C187" t="str">
            <v>Oostlijn</v>
          </cell>
        </row>
        <row r="188">
          <cell r="C188" t="str">
            <v>Oostlijn</v>
          </cell>
        </row>
        <row r="189">
          <cell r="C189" t="str">
            <v>Oostlijn</v>
          </cell>
        </row>
        <row r="190">
          <cell r="C190" t="str">
            <v>Oostlijn</v>
          </cell>
        </row>
        <row r="191">
          <cell r="C191" t="str">
            <v>Oostlijn</v>
          </cell>
        </row>
        <row r="192">
          <cell r="C192" t="str">
            <v>Oostlijn</v>
          </cell>
        </row>
        <row r="193">
          <cell r="C193" t="str">
            <v>Oostlijn</v>
          </cell>
        </row>
        <row r="194">
          <cell r="C194" t="str">
            <v>Oostlijn</v>
          </cell>
        </row>
        <row r="195">
          <cell r="C195" t="str">
            <v>Oostlijn</v>
          </cell>
        </row>
        <row r="196">
          <cell r="C196" t="str">
            <v>Oostlijn</v>
          </cell>
        </row>
        <row r="197">
          <cell r="C197" t="str">
            <v>Oostlijn</v>
          </cell>
        </row>
        <row r="198">
          <cell r="C198" t="str">
            <v>Oostlijn</v>
          </cell>
        </row>
        <row r="199">
          <cell r="C199" t="str">
            <v>Oostlijn</v>
          </cell>
        </row>
        <row r="200">
          <cell r="C200" t="str">
            <v>Oostlijn</v>
          </cell>
        </row>
        <row r="201">
          <cell r="C201" t="str">
            <v>Oostlijn</v>
          </cell>
        </row>
        <row r="202">
          <cell r="C202" t="str">
            <v>Oostlijn</v>
          </cell>
        </row>
        <row r="203">
          <cell r="C203" t="str">
            <v>Oostlijn</v>
          </cell>
        </row>
        <row r="204">
          <cell r="C204" t="str">
            <v>Oostlijn</v>
          </cell>
        </row>
        <row r="205">
          <cell r="C205" t="str">
            <v>Oostlijn</v>
          </cell>
        </row>
        <row r="206">
          <cell r="C206" t="str">
            <v>Oostlijn</v>
          </cell>
        </row>
        <row r="207">
          <cell r="C207" t="str">
            <v>Oostlijn</v>
          </cell>
        </row>
        <row r="208">
          <cell r="C208" t="str">
            <v>Oostlijn</v>
          </cell>
        </row>
        <row r="209">
          <cell r="C209" t="str">
            <v>Oostlijn</v>
          </cell>
        </row>
        <row r="210">
          <cell r="C210" t="str">
            <v>Oostlijn</v>
          </cell>
        </row>
        <row r="211">
          <cell r="C211" t="str">
            <v>Oostlijn</v>
          </cell>
        </row>
        <row r="212">
          <cell r="C212" t="str">
            <v>Oostlijn</v>
          </cell>
        </row>
        <row r="213">
          <cell r="C213" t="str">
            <v>Oostlijn</v>
          </cell>
        </row>
        <row r="214">
          <cell r="C214" t="str">
            <v>Oostlijn</v>
          </cell>
        </row>
        <row r="215">
          <cell r="C215" t="str">
            <v>Oostlijn</v>
          </cell>
        </row>
        <row r="216">
          <cell r="C216" t="str">
            <v>Oostlijn</v>
          </cell>
        </row>
        <row r="217">
          <cell r="C217" t="str">
            <v>Oostlijn</v>
          </cell>
        </row>
        <row r="218">
          <cell r="C218" t="str">
            <v>Oostlijn</v>
          </cell>
        </row>
        <row r="219">
          <cell r="C219" t="str">
            <v>Oostlijn</v>
          </cell>
        </row>
        <row r="220">
          <cell r="C220" t="str">
            <v>Oostlijn</v>
          </cell>
        </row>
        <row r="221">
          <cell r="C221" t="str">
            <v>Oostlijn</v>
          </cell>
        </row>
        <row r="222">
          <cell r="C222" t="str">
            <v>Oostlijn</v>
          </cell>
        </row>
        <row r="223">
          <cell r="C223" t="str">
            <v>Oostlijn</v>
          </cell>
        </row>
        <row r="224">
          <cell r="C224" t="str">
            <v>Oostlijn</v>
          </cell>
        </row>
        <row r="225">
          <cell r="C225" t="str">
            <v>Oostlijn</v>
          </cell>
        </row>
        <row r="226">
          <cell r="C226" t="str">
            <v>Oostlijn</v>
          </cell>
        </row>
        <row r="227">
          <cell r="C227" t="str">
            <v>Oostlijn</v>
          </cell>
        </row>
        <row r="228">
          <cell r="C228" t="str">
            <v>Oostlijn</v>
          </cell>
        </row>
        <row r="229">
          <cell r="C229" t="str">
            <v>Oostlijn</v>
          </cell>
        </row>
        <row r="230">
          <cell r="C230" t="str">
            <v>Oostlijn</v>
          </cell>
        </row>
        <row r="231">
          <cell r="C231" t="str">
            <v>Oostlijn</v>
          </cell>
        </row>
        <row r="232">
          <cell r="C232" t="str">
            <v>Oostlijn</v>
          </cell>
        </row>
        <row r="233">
          <cell r="C233" t="str">
            <v>Oostlijn</v>
          </cell>
        </row>
        <row r="234">
          <cell r="C234" t="str">
            <v>Oostlijn</v>
          </cell>
        </row>
        <row r="235">
          <cell r="C235" t="str">
            <v>Oostlijn</v>
          </cell>
        </row>
        <row r="236">
          <cell r="C236" t="str">
            <v>Oostlijn</v>
          </cell>
        </row>
        <row r="237">
          <cell r="C237" t="str">
            <v>Oostlijn</v>
          </cell>
        </row>
        <row r="238">
          <cell r="C238" t="str">
            <v>Oostlijn</v>
          </cell>
        </row>
        <row r="239">
          <cell r="C239" t="str">
            <v>Oostlijn</v>
          </cell>
        </row>
        <row r="240">
          <cell r="C240" t="str">
            <v>Oostlijn</v>
          </cell>
        </row>
        <row r="241">
          <cell r="C241" t="str">
            <v>Oostlijn</v>
          </cell>
        </row>
        <row r="242">
          <cell r="C242" t="str">
            <v>Oostlijn</v>
          </cell>
        </row>
        <row r="243">
          <cell r="C243" t="str">
            <v>Oostlijn</v>
          </cell>
        </row>
        <row r="244">
          <cell r="C244" t="str">
            <v>Oostlijn</v>
          </cell>
        </row>
        <row r="245">
          <cell r="C245" t="str">
            <v>Oostlijn</v>
          </cell>
        </row>
        <row r="246">
          <cell r="C246" t="str">
            <v>Oostlijn</v>
          </cell>
        </row>
        <row r="247">
          <cell r="C247" t="str">
            <v>Oostlijn</v>
          </cell>
        </row>
        <row r="248">
          <cell r="C248" t="str">
            <v>Oostlijn</v>
          </cell>
        </row>
        <row r="249">
          <cell r="C249" t="str">
            <v>Oostlijn</v>
          </cell>
        </row>
        <row r="250">
          <cell r="C250" t="str">
            <v>Oostlijn</v>
          </cell>
        </row>
        <row r="251">
          <cell r="C251" t="str">
            <v>Oostlijn</v>
          </cell>
        </row>
        <row r="252">
          <cell r="C252" t="str">
            <v>Oostlijn</v>
          </cell>
        </row>
        <row r="253">
          <cell r="C253" t="str">
            <v>Oostlijn</v>
          </cell>
        </row>
        <row r="254">
          <cell r="C254" t="str">
            <v>Oostlijn</v>
          </cell>
        </row>
        <row r="255">
          <cell r="C255" t="str">
            <v>Oostlijn</v>
          </cell>
        </row>
        <row r="256">
          <cell r="C256" t="str">
            <v>Oostlijn</v>
          </cell>
        </row>
        <row r="257">
          <cell r="C257" t="str">
            <v>Oostlijn</v>
          </cell>
        </row>
        <row r="258">
          <cell r="C258" t="str">
            <v>Oostlijn</v>
          </cell>
        </row>
        <row r="259">
          <cell r="C259" t="str">
            <v>Oostlijn</v>
          </cell>
        </row>
        <row r="260">
          <cell r="C260" t="str">
            <v>Oostlijn</v>
          </cell>
        </row>
        <row r="261">
          <cell r="C261" t="str">
            <v>Oostlijn</v>
          </cell>
        </row>
        <row r="262">
          <cell r="C262" t="str">
            <v>Oostlijn</v>
          </cell>
        </row>
        <row r="263">
          <cell r="C263" t="str">
            <v>Oostlijn</v>
          </cell>
        </row>
        <row r="264">
          <cell r="C264" t="str">
            <v>Oostlijn</v>
          </cell>
        </row>
        <row r="265">
          <cell r="C265" t="str">
            <v>Oostlijn</v>
          </cell>
        </row>
        <row r="266">
          <cell r="C266" t="str">
            <v>Oostlijn</v>
          </cell>
        </row>
        <row r="267">
          <cell r="C267" t="str">
            <v>Oostlijn</v>
          </cell>
        </row>
        <row r="268">
          <cell r="C268" t="str">
            <v>Oostlijn</v>
          </cell>
        </row>
        <row r="269">
          <cell r="C269" t="str">
            <v>Oostlijn</v>
          </cell>
        </row>
        <row r="270">
          <cell r="C270" t="str">
            <v>Oostlijn</v>
          </cell>
        </row>
        <row r="271">
          <cell r="C271" t="str">
            <v>Oostlijn</v>
          </cell>
        </row>
        <row r="272">
          <cell r="C272" t="str">
            <v>Oostlijn</v>
          </cell>
        </row>
        <row r="273">
          <cell r="C273" t="str">
            <v>Oostlijn</v>
          </cell>
        </row>
        <row r="274">
          <cell r="C274" t="str">
            <v>Oostlijn</v>
          </cell>
        </row>
        <row r="275">
          <cell r="C275" t="str">
            <v>Oostlijn</v>
          </cell>
        </row>
        <row r="276">
          <cell r="C276" t="str">
            <v>Oostlijn</v>
          </cell>
        </row>
        <row r="277">
          <cell r="C277" t="str">
            <v>Oostlijn</v>
          </cell>
        </row>
        <row r="278">
          <cell r="C278" t="str">
            <v>Oostlijn</v>
          </cell>
        </row>
        <row r="279">
          <cell r="C279" t="str">
            <v>Oostlijn</v>
          </cell>
        </row>
        <row r="280">
          <cell r="C280" t="str">
            <v>Oostlijn</v>
          </cell>
        </row>
        <row r="281">
          <cell r="C281" t="str">
            <v>Oostlijn</v>
          </cell>
        </row>
        <row r="282">
          <cell r="C282" t="str">
            <v>Oostlijn</v>
          </cell>
        </row>
        <row r="283">
          <cell r="C283" t="str">
            <v>Oostlijn</v>
          </cell>
        </row>
        <row r="284">
          <cell r="C284" t="str">
            <v>Oostlijn</v>
          </cell>
        </row>
        <row r="285">
          <cell r="C285" t="str">
            <v>Oostlijn</v>
          </cell>
        </row>
        <row r="286">
          <cell r="C286" t="str">
            <v>Oostlijn</v>
          </cell>
        </row>
        <row r="287">
          <cell r="C287" t="str">
            <v>Oostlijn</v>
          </cell>
        </row>
        <row r="288">
          <cell r="C288" t="str">
            <v>Oostlijn</v>
          </cell>
        </row>
        <row r="289">
          <cell r="C289" t="str">
            <v>Oostlijn</v>
          </cell>
        </row>
        <row r="290">
          <cell r="C290" t="str">
            <v>Oostlijn</v>
          </cell>
        </row>
        <row r="291">
          <cell r="C291" t="str">
            <v>Oostlijn</v>
          </cell>
        </row>
        <row r="292">
          <cell r="C292" t="str">
            <v>Oostlijn</v>
          </cell>
        </row>
        <row r="293">
          <cell r="C293" t="str">
            <v>Oostlijn</v>
          </cell>
        </row>
        <row r="294">
          <cell r="C294" t="str">
            <v>Oostlijn</v>
          </cell>
        </row>
        <row r="295">
          <cell r="C295" t="str">
            <v>Oostlijn</v>
          </cell>
        </row>
        <row r="296">
          <cell r="C296" t="str">
            <v>Oostlijn</v>
          </cell>
        </row>
        <row r="297">
          <cell r="C297" t="str">
            <v>Oostlijn</v>
          </cell>
        </row>
        <row r="298">
          <cell r="C298" t="str">
            <v>Oostlijn</v>
          </cell>
        </row>
        <row r="299">
          <cell r="C299" t="str">
            <v>Oostlijn</v>
          </cell>
        </row>
        <row r="300">
          <cell r="C300" t="str">
            <v>Oostlijn</v>
          </cell>
        </row>
        <row r="301">
          <cell r="C301" t="str">
            <v>Oostlijn</v>
          </cell>
        </row>
        <row r="302">
          <cell r="C302" t="str">
            <v>Oostlijn</v>
          </cell>
        </row>
        <row r="303">
          <cell r="C303" t="str">
            <v>Oostlijn</v>
          </cell>
        </row>
        <row r="304">
          <cell r="C304" t="str">
            <v>Oostlijn</v>
          </cell>
        </row>
        <row r="305">
          <cell r="C305" t="str">
            <v>Oostlijn</v>
          </cell>
        </row>
        <row r="306">
          <cell r="C306" t="str">
            <v>Oostlijn</v>
          </cell>
        </row>
        <row r="307">
          <cell r="C307" t="str">
            <v>Oostlijn</v>
          </cell>
        </row>
        <row r="308">
          <cell r="C308" t="str">
            <v>Oostlijn</v>
          </cell>
        </row>
        <row r="309">
          <cell r="C309" t="str">
            <v>Oostlijn</v>
          </cell>
        </row>
        <row r="310">
          <cell r="C310" t="str">
            <v>Oostlijn</v>
          </cell>
        </row>
        <row r="311">
          <cell r="C311" t="str">
            <v>Oostlijn</v>
          </cell>
        </row>
        <row r="312">
          <cell r="C312" t="str">
            <v>Oostlijn</v>
          </cell>
        </row>
        <row r="313">
          <cell r="C313" t="str">
            <v>Oostlijn</v>
          </cell>
        </row>
        <row r="314">
          <cell r="C314" t="str">
            <v>Oostlijn</v>
          </cell>
        </row>
        <row r="315">
          <cell r="C315" t="str">
            <v>Oostlijn</v>
          </cell>
        </row>
        <row r="316">
          <cell r="C316" t="str">
            <v>Oostlijn</v>
          </cell>
        </row>
        <row r="317">
          <cell r="C317" t="str">
            <v>Oostlijn</v>
          </cell>
        </row>
        <row r="318">
          <cell r="C318" t="str">
            <v>Oostlijn</v>
          </cell>
        </row>
        <row r="319">
          <cell r="C319" t="str">
            <v>Oostlijn</v>
          </cell>
        </row>
        <row r="320">
          <cell r="C320" t="str">
            <v>Oostlijn</v>
          </cell>
        </row>
        <row r="321">
          <cell r="C321" t="str">
            <v>Oostlijn</v>
          </cell>
        </row>
        <row r="322">
          <cell r="C322" t="str">
            <v>Oostlijn</v>
          </cell>
        </row>
        <row r="323">
          <cell r="C323" t="str">
            <v>Oostlijn</v>
          </cell>
        </row>
        <row r="324">
          <cell r="C324" t="str">
            <v>Oostlijn</v>
          </cell>
        </row>
        <row r="325">
          <cell r="C325" t="str">
            <v>Oostlijn</v>
          </cell>
        </row>
        <row r="326">
          <cell r="C326" t="str">
            <v>Oostlijn</v>
          </cell>
        </row>
        <row r="327">
          <cell r="C327" t="str">
            <v>Oostlijn</v>
          </cell>
        </row>
        <row r="328">
          <cell r="C328" t="str">
            <v>Oostlijn</v>
          </cell>
        </row>
        <row r="329">
          <cell r="C329" t="str">
            <v>Oostlijn</v>
          </cell>
        </row>
        <row r="330">
          <cell r="C330" t="str">
            <v>Oostlijn</v>
          </cell>
        </row>
        <row r="331">
          <cell r="C331" t="str">
            <v>Oostlijn</v>
          </cell>
        </row>
        <row r="332">
          <cell r="C332" t="str">
            <v>Oostlijn</v>
          </cell>
        </row>
        <row r="333">
          <cell r="C333" t="str">
            <v>Oostlijn</v>
          </cell>
        </row>
        <row r="334">
          <cell r="C334" t="str">
            <v>Oostlijn</v>
          </cell>
        </row>
        <row r="335">
          <cell r="C335" t="str">
            <v>Oostlijn</v>
          </cell>
        </row>
        <row r="336">
          <cell r="C336" t="str">
            <v>Oostlijn</v>
          </cell>
        </row>
        <row r="337">
          <cell r="C337" t="str">
            <v>Oostlijn</v>
          </cell>
        </row>
        <row r="338">
          <cell r="C338" t="str">
            <v>Oostlijn</v>
          </cell>
        </row>
        <row r="339">
          <cell r="C339" t="str">
            <v>Oostlijn</v>
          </cell>
        </row>
        <row r="340">
          <cell r="C340" t="str">
            <v>Oostlijn</v>
          </cell>
        </row>
        <row r="341">
          <cell r="C341" t="str">
            <v>Oostlijn</v>
          </cell>
        </row>
        <row r="342">
          <cell r="C342" t="str">
            <v>Oostlijn</v>
          </cell>
        </row>
        <row r="343">
          <cell r="C343" t="str">
            <v>Oostlijn</v>
          </cell>
        </row>
        <row r="344">
          <cell r="C344" t="str">
            <v>Oostlijn</v>
          </cell>
        </row>
        <row r="345">
          <cell r="C345" t="str">
            <v>Oostlijn</v>
          </cell>
        </row>
        <row r="346">
          <cell r="C346" t="str">
            <v>Oostlijn</v>
          </cell>
        </row>
        <row r="347">
          <cell r="C347" t="str">
            <v>Oostlijn</v>
          </cell>
        </row>
        <row r="348">
          <cell r="C348" t="str">
            <v>Oostlijn</v>
          </cell>
        </row>
        <row r="349">
          <cell r="C349" t="str">
            <v>Oostlijn</v>
          </cell>
        </row>
        <row r="350">
          <cell r="C350" t="str">
            <v>Oostlijn</v>
          </cell>
        </row>
        <row r="351">
          <cell r="C351" t="str">
            <v>Oostlijn</v>
          </cell>
        </row>
        <row r="352">
          <cell r="C352" t="str">
            <v>Oostlijn</v>
          </cell>
        </row>
        <row r="353">
          <cell r="C353" t="str">
            <v>Oostlijn</v>
          </cell>
        </row>
        <row r="354">
          <cell r="C354" t="str">
            <v>Oostlijn</v>
          </cell>
        </row>
        <row r="355">
          <cell r="C355" t="str">
            <v>Oostlijn</v>
          </cell>
        </row>
        <row r="356">
          <cell r="C356" t="str">
            <v>Oostlijn</v>
          </cell>
        </row>
        <row r="357">
          <cell r="C357" t="str">
            <v>Oostlijn</v>
          </cell>
        </row>
        <row r="358">
          <cell r="C358" t="str">
            <v>Oostlijn</v>
          </cell>
        </row>
        <row r="359">
          <cell r="C359" t="str">
            <v>Oostlijn</v>
          </cell>
        </row>
        <row r="360">
          <cell r="C360" t="str">
            <v>Oostlijn</v>
          </cell>
        </row>
        <row r="361">
          <cell r="C361" t="str">
            <v>Oostlijn</v>
          </cell>
        </row>
        <row r="362">
          <cell r="C362" t="str">
            <v>Oostlijn</v>
          </cell>
        </row>
        <row r="363">
          <cell r="C363" t="str">
            <v>Oostlijn</v>
          </cell>
        </row>
        <row r="364">
          <cell r="C364" t="str">
            <v>Oostlijn</v>
          </cell>
        </row>
        <row r="365">
          <cell r="C365" t="str">
            <v>Oostlijn</v>
          </cell>
        </row>
        <row r="366">
          <cell r="C366" t="str">
            <v>Oostlijn</v>
          </cell>
        </row>
        <row r="367">
          <cell r="C367" t="str">
            <v>Oostlijn</v>
          </cell>
        </row>
        <row r="368">
          <cell r="C368" t="str">
            <v>Oostlijn</v>
          </cell>
        </row>
        <row r="369">
          <cell r="C369" t="str">
            <v>Oostlijn</v>
          </cell>
        </row>
        <row r="370">
          <cell r="C370" t="str">
            <v>Oostlijn</v>
          </cell>
        </row>
        <row r="371">
          <cell r="C371" t="str">
            <v>Oostlijn</v>
          </cell>
        </row>
        <row r="372">
          <cell r="C372" t="str">
            <v>Oostlijn</v>
          </cell>
        </row>
        <row r="373">
          <cell r="C373" t="str">
            <v>Oostlijn</v>
          </cell>
        </row>
        <row r="374">
          <cell r="C374" t="str">
            <v>Oostlijn</v>
          </cell>
        </row>
        <row r="375">
          <cell r="C375" t="str">
            <v>Oostlijn</v>
          </cell>
        </row>
        <row r="376">
          <cell r="C376" t="str">
            <v>Oostlijn</v>
          </cell>
        </row>
        <row r="377">
          <cell r="C377" t="str">
            <v>Oostlijn</v>
          </cell>
        </row>
        <row r="378">
          <cell r="C378" t="str">
            <v>Oostlijn</v>
          </cell>
        </row>
        <row r="379">
          <cell r="C379" t="str">
            <v>Oostlijn</v>
          </cell>
        </row>
        <row r="380">
          <cell r="C380" t="str">
            <v>Oostlijn</v>
          </cell>
        </row>
        <row r="381">
          <cell r="C381" t="str">
            <v>Oostlijn</v>
          </cell>
        </row>
        <row r="382">
          <cell r="C382" t="str">
            <v>Oostlijn</v>
          </cell>
        </row>
        <row r="383">
          <cell r="C383" t="str">
            <v>Oostlijn</v>
          </cell>
        </row>
        <row r="384">
          <cell r="C384" t="str">
            <v>Oostlijn</v>
          </cell>
        </row>
        <row r="385">
          <cell r="C385" t="str">
            <v>Oostlijn</v>
          </cell>
        </row>
        <row r="386">
          <cell r="C386" t="str">
            <v>Oostlijn</v>
          </cell>
        </row>
        <row r="387">
          <cell r="C387" t="str">
            <v>Oostlijn</v>
          </cell>
        </row>
        <row r="388">
          <cell r="C388" t="str">
            <v>Oostlijn</v>
          </cell>
        </row>
        <row r="389">
          <cell r="C389" t="str">
            <v>Oostlijn</v>
          </cell>
        </row>
        <row r="390">
          <cell r="C390" t="str">
            <v>Oostlijn</v>
          </cell>
        </row>
        <row r="391">
          <cell r="C391" t="str">
            <v>Oostlijn</v>
          </cell>
        </row>
        <row r="392">
          <cell r="C392" t="str">
            <v>Oostlijn</v>
          </cell>
        </row>
        <row r="393">
          <cell r="C393" t="str">
            <v>Oostlijn</v>
          </cell>
        </row>
        <row r="394">
          <cell r="C394" t="str">
            <v>Oostlijn</v>
          </cell>
        </row>
        <row r="395">
          <cell r="C395" t="str">
            <v>Oostlijn</v>
          </cell>
        </row>
        <row r="396">
          <cell r="C396" t="str">
            <v>Oostlijn</v>
          </cell>
        </row>
        <row r="397">
          <cell r="C397" t="str">
            <v>Oostlijn</v>
          </cell>
        </row>
        <row r="398">
          <cell r="C398" t="str">
            <v>Oostlijn</v>
          </cell>
        </row>
        <row r="399">
          <cell r="C399" t="str">
            <v>Oostlijn</v>
          </cell>
        </row>
        <row r="400">
          <cell r="C400" t="str">
            <v>Oostlijn</v>
          </cell>
        </row>
        <row r="401">
          <cell r="C401" t="str">
            <v>Oostlijn</v>
          </cell>
        </row>
        <row r="402">
          <cell r="C402" t="str">
            <v>Oostlijn</v>
          </cell>
        </row>
        <row r="403">
          <cell r="C403" t="str">
            <v>Oostlijn</v>
          </cell>
        </row>
        <row r="404">
          <cell r="C404" t="str">
            <v>Oostlijn</v>
          </cell>
        </row>
        <row r="405">
          <cell r="C405" t="str">
            <v>Oostlijn</v>
          </cell>
        </row>
        <row r="406">
          <cell r="C406" t="str">
            <v>Oostlijn</v>
          </cell>
        </row>
        <row r="407">
          <cell r="C407" t="str">
            <v>Oostlijn</v>
          </cell>
        </row>
        <row r="408">
          <cell r="C408" t="str">
            <v>Oostlijn</v>
          </cell>
        </row>
        <row r="409">
          <cell r="C409" t="str">
            <v>Oostlijn</v>
          </cell>
        </row>
        <row r="410">
          <cell r="C410" t="str">
            <v>Oostlijn</v>
          </cell>
        </row>
        <row r="411">
          <cell r="C411" t="str">
            <v>Oostlijn</v>
          </cell>
        </row>
        <row r="412">
          <cell r="C412" t="str">
            <v>Oostlijn</v>
          </cell>
        </row>
        <row r="413">
          <cell r="C413" t="str">
            <v>Oostlijn</v>
          </cell>
        </row>
        <row r="414">
          <cell r="C414" t="str">
            <v>Oostlijn</v>
          </cell>
        </row>
        <row r="415">
          <cell r="C415" t="str">
            <v>Oostlijn</v>
          </cell>
        </row>
        <row r="416">
          <cell r="C416" t="str">
            <v>Oostlijn</v>
          </cell>
        </row>
        <row r="417">
          <cell r="C417" t="str">
            <v>Oostlijn</v>
          </cell>
        </row>
        <row r="418">
          <cell r="C418" t="str">
            <v>Oostlijn</v>
          </cell>
        </row>
        <row r="419">
          <cell r="C419" t="str">
            <v>Oostlijn</v>
          </cell>
        </row>
        <row r="420">
          <cell r="C420" t="str">
            <v>Oostlijn</v>
          </cell>
        </row>
        <row r="421">
          <cell r="C421" t="str">
            <v>Oostlijn</v>
          </cell>
        </row>
        <row r="422">
          <cell r="C422" t="str">
            <v>Oostlijn</v>
          </cell>
        </row>
        <row r="423">
          <cell r="C423" t="str">
            <v>Oostlijn</v>
          </cell>
        </row>
        <row r="424">
          <cell r="C424" t="str">
            <v>Oostlijn</v>
          </cell>
        </row>
        <row r="425">
          <cell r="C425" t="str">
            <v>Oostlijn</v>
          </cell>
        </row>
        <row r="426">
          <cell r="C426" t="str">
            <v>Oostlijn</v>
          </cell>
        </row>
        <row r="427">
          <cell r="C427" t="str">
            <v>Oostlijn</v>
          </cell>
        </row>
        <row r="428">
          <cell r="C428" t="str">
            <v>Oostlijn</v>
          </cell>
        </row>
        <row r="429">
          <cell r="C429" t="str">
            <v>Oostlijn</v>
          </cell>
        </row>
        <row r="430">
          <cell r="C430" t="str">
            <v>Oostlijn</v>
          </cell>
        </row>
        <row r="431">
          <cell r="C431" t="str">
            <v>Oostlijn</v>
          </cell>
        </row>
        <row r="432">
          <cell r="C432" t="str">
            <v>Oostlijn</v>
          </cell>
        </row>
        <row r="433">
          <cell r="C433" t="str">
            <v>Oostlijn</v>
          </cell>
        </row>
        <row r="434">
          <cell r="C434" t="str">
            <v>Oostlijn</v>
          </cell>
        </row>
        <row r="435">
          <cell r="C435" t="str">
            <v>Oostlijn</v>
          </cell>
        </row>
        <row r="436">
          <cell r="C436" t="str">
            <v>Oostlijn</v>
          </cell>
        </row>
        <row r="437">
          <cell r="C437" t="str">
            <v>Oostlijn</v>
          </cell>
        </row>
        <row r="438">
          <cell r="C438" t="str">
            <v>Oostlijn</v>
          </cell>
        </row>
        <row r="439">
          <cell r="C439" t="str">
            <v>Oostlijn</v>
          </cell>
        </row>
        <row r="440">
          <cell r="C440" t="str">
            <v>Oostlijn</v>
          </cell>
        </row>
        <row r="441">
          <cell r="C441" t="str">
            <v>Oostlijn</v>
          </cell>
        </row>
        <row r="442">
          <cell r="C442" t="str">
            <v>Oostlijn</v>
          </cell>
        </row>
        <row r="443">
          <cell r="C443" t="str">
            <v>Oostlijn</v>
          </cell>
        </row>
        <row r="444">
          <cell r="C444" t="str">
            <v>Oostlijn</v>
          </cell>
        </row>
        <row r="445">
          <cell r="C445" t="str">
            <v>Oostlijn</v>
          </cell>
        </row>
        <row r="446">
          <cell r="C446" t="str">
            <v>Oostlijn</v>
          </cell>
        </row>
        <row r="447">
          <cell r="C447" t="str">
            <v>Oostlijn</v>
          </cell>
        </row>
        <row r="448">
          <cell r="C448" t="str">
            <v>Oostlijn</v>
          </cell>
        </row>
        <row r="449">
          <cell r="C449" t="str">
            <v>Oostlijn</v>
          </cell>
        </row>
        <row r="450">
          <cell r="C450" t="str">
            <v>Oostlijn</v>
          </cell>
        </row>
        <row r="451">
          <cell r="C451" t="str">
            <v>Oostlijn</v>
          </cell>
        </row>
        <row r="452">
          <cell r="C452" t="str">
            <v>Oostlijn</v>
          </cell>
        </row>
        <row r="453">
          <cell r="C453" t="str">
            <v>Oostlijn</v>
          </cell>
        </row>
        <row r="454">
          <cell r="C454" t="str">
            <v>Oostlijn</v>
          </cell>
        </row>
        <row r="455">
          <cell r="C455" t="str">
            <v>Oostlijn</v>
          </cell>
        </row>
        <row r="456">
          <cell r="C456" t="str">
            <v>Oostlijn</v>
          </cell>
        </row>
        <row r="457">
          <cell r="C457" t="str">
            <v>Oostlijn</v>
          </cell>
        </row>
        <row r="458">
          <cell r="C458" t="str">
            <v>Oostlijn</v>
          </cell>
        </row>
        <row r="459">
          <cell r="C459" t="str">
            <v>Oostlijn</v>
          </cell>
        </row>
        <row r="460">
          <cell r="C460" t="str">
            <v>Oostlijn</v>
          </cell>
        </row>
        <row r="461">
          <cell r="C461" t="str">
            <v>Oostlijn</v>
          </cell>
        </row>
        <row r="462">
          <cell r="C462" t="str">
            <v>Oostlijn</v>
          </cell>
        </row>
        <row r="463">
          <cell r="C463" t="str">
            <v>Oostlijn</v>
          </cell>
        </row>
        <row r="464">
          <cell r="C464" t="str">
            <v>Oostlijn</v>
          </cell>
        </row>
        <row r="465">
          <cell r="C465" t="str">
            <v>Oostlijn</v>
          </cell>
        </row>
        <row r="466">
          <cell r="C466" t="str">
            <v>Oostlijn</v>
          </cell>
        </row>
        <row r="467">
          <cell r="C467" t="str">
            <v>Oostlijn</v>
          </cell>
        </row>
        <row r="468">
          <cell r="C468" t="str">
            <v>Oostlijn</v>
          </cell>
        </row>
        <row r="469">
          <cell r="C469" t="str">
            <v>Oostlijn</v>
          </cell>
        </row>
        <row r="470">
          <cell r="C470" t="str">
            <v>Oostlijn</v>
          </cell>
        </row>
        <row r="471">
          <cell r="C471" t="str">
            <v>Oostlijn</v>
          </cell>
        </row>
        <row r="472">
          <cell r="C472" t="str">
            <v>Oostlijn</v>
          </cell>
        </row>
        <row r="473">
          <cell r="C473" t="str">
            <v>Oostlijn</v>
          </cell>
        </row>
        <row r="474">
          <cell r="C474" t="str">
            <v>Oostlijn</v>
          </cell>
        </row>
        <row r="475">
          <cell r="C475" t="str">
            <v>Oostlijn</v>
          </cell>
        </row>
        <row r="476">
          <cell r="C476" t="str">
            <v>Oostlijn</v>
          </cell>
        </row>
        <row r="477">
          <cell r="C477" t="str">
            <v>Oostlijn</v>
          </cell>
        </row>
        <row r="478">
          <cell r="C478" t="str">
            <v>Oostlijn</v>
          </cell>
        </row>
        <row r="479">
          <cell r="C479" t="str">
            <v>Oostlijn</v>
          </cell>
        </row>
        <row r="480">
          <cell r="C480" t="str">
            <v>Oostlijn</v>
          </cell>
        </row>
        <row r="481">
          <cell r="C481" t="str">
            <v>Oostlijn</v>
          </cell>
        </row>
        <row r="482">
          <cell r="C482" t="str">
            <v>Oostlijn</v>
          </cell>
        </row>
        <row r="483">
          <cell r="C483" t="str">
            <v>Oostlijn</v>
          </cell>
        </row>
        <row r="484">
          <cell r="C484" t="str">
            <v>Oostlijn</v>
          </cell>
        </row>
        <row r="485">
          <cell r="C485" t="str">
            <v>Oostlijn</v>
          </cell>
        </row>
        <row r="486">
          <cell r="C486" t="str">
            <v>Oostlijn</v>
          </cell>
        </row>
        <row r="487">
          <cell r="C487" t="str">
            <v>Oostlijn</v>
          </cell>
        </row>
        <row r="488">
          <cell r="C488" t="str">
            <v>Oostlijn</v>
          </cell>
        </row>
        <row r="489">
          <cell r="C489" t="str">
            <v>Oostlijn</v>
          </cell>
        </row>
        <row r="490">
          <cell r="C490" t="str">
            <v>Oostlijn</v>
          </cell>
        </row>
        <row r="491">
          <cell r="C491" t="str">
            <v>Oostlijn</v>
          </cell>
        </row>
        <row r="492">
          <cell r="C492" t="str">
            <v>Oostlijn</v>
          </cell>
        </row>
        <row r="493">
          <cell r="C493" t="str">
            <v>Oostlijn</v>
          </cell>
        </row>
        <row r="494">
          <cell r="C494" t="str">
            <v>Oostlijn</v>
          </cell>
        </row>
        <row r="495">
          <cell r="C495" t="str">
            <v>Oostlijn</v>
          </cell>
        </row>
        <row r="496">
          <cell r="C496" t="str">
            <v>Oostlijn</v>
          </cell>
        </row>
        <row r="497">
          <cell r="C497" t="str">
            <v>Oostlijn</v>
          </cell>
        </row>
        <row r="498">
          <cell r="C498" t="str">
            <v>Oostlijn</v>
          </cell>
        </row>
        <row r="499">
          <cell r="C499" t="str">
            <v>Oostlijn</v>
          </cell>
        </row>
        <row r="500">
          <cell r="C500" t="str">
            <v>Oostlijn</v>
          </cell>
        </row>
        <row r="501">
          <cell r="C501" t="str">
            <v>Oostlijn</v>
          </cell>
        </row>
        <row r="502">
          <cell r="C502" t="str">
            <v>Oostlijn</v>
          </cell>
        </row>
        <row r="503">
          <cell r="C503" t="str">
            <v>Oostlijn</v>
          </cell>
        </row>
        <row r="504">
          <cell r="C504" t="str">
            <v>Oostlijn</v>
          </cell>
        </row>
        <row r="505">
          <cell r="C505" t="str">
            <v>Oostlijn</v>
          </cell>
        </row>
        <row r="506">
          <cell r="C506" t="str">
            <v>Oostlijn</v>
          </cell>
        </row>
        <row r="507">
          <cell r="C507" t="str">
            <v>Oostlijn</v>
          </cell>
        </row>
        <row r="508">
          <cell r="C508" t="str">
            <v>Oostlijn</v>
          </cell>
        </row>
        <row r="509">
          <cell r="C509" t="str">
            <v>Oostlijn</v>
          </cell>
        </row>
        <row r="510">
          <cell r="C510" t="str">
            <v>Oostlijn</v>
          </cell>
        </row>
        <row r="511">
          <cell r="C511" t="str">
            <v>Oostlijn</v>
          </cell>
        </row>
        <row r="512">
          <cell r="C512" t="str">
            <v>Oostlijn</v>
          </cell>
        </row>
        <row r="513">
          <cell r="C513" t="str">
            <v>Oostlijn</v>
          </cell>
        </row>
        <row r="514">
          <cell r="C514" t="str">
            <v>Oostlijn</v>
          </cell>
        </row>
        <row r="515">
          <cell r="C515" t="str">
            <v>Oostlijn</v>
          </cell>
        </row>
        <row r="516">
          <cell r="C516" t="str">
            <v>Oostlijn</v>
          </cell>
        </row>
        <row r="517">
          <cell r="C517" t="str">
            <v>Oostlijn</v>
          </cell>
        </row>
        <row r="518">
          <cell r="C518" t="str">
            <v>Oostlijn</v>
          </cell>
        </row>
        <row r="519">
          <cell r="C519" t="str">
            <v>Oostlijn</v>
          </cell>
        </row>
        <row r="520">
          <cell r="C520" t="str">
            <v>Oostlijn</v>
          </cell>
        </row>
        <row r="521">
          <cell r="C521" t="str">
            <v>Oostlijn</v>
          </cell>
        </row>
        <row r="522">
          <cell r="C522" t="str">
            <v>Oostlijn</v>
          </cell>
        </row>
        <row r="523">
          <cell r="C523" t="str">
            <v>Oostlijn</v>
          </cell>
        </row>
        <row r="524">
          <cell r="C524" t="str">
            <v>Oostlijn</v>
          </cell>
        </row>
        <row r="525">
          <cell r="C525" t="str">
            <v>Oostlijn</v>
          </cell>
        </row>
        <row r="526">
          <cell r="C526" t="str">
            <v>Oostlijn</v>
          </cell>
        </row>
        <row r="527">
          <cell r="C527" t="str">
            <v>Oostlijn</v>
          </cell>
        </row>
        <row r="528">
          <cell r="C528" t="str">
            <v>Oostlijn</v>
          </cell>
        </row>
        <row r="529">
          <cell r="C529" t="str">
            <v>Oostlijn</v>
          </cell>
        </row>
        <row r="530">
          <cell r="C530" t="str">
            <v>Oostlijn</v>
          </cell>
        </row>
        <row r="531">
          <cell r="C531" t="str">
            <v>Oostlijn</v>
          </cell>
        </row>
        <row r="532">
          <cell r="C532" t="str">
            <v>Oostlijn</v>
          </cell>
        </row>
        <row r="533">
          <cell r="C533" t="str">
            <v>Oostlijn</v>
          </cell>
        </row>
        <row r="534">
          <cell r="C534" t="str">
            <v>Oostlijn</v>
          </cell>
        </row>
        <row r="535">
          <cell r="C535" t="str">
            <v>Oostlijn</v>
          </cell>
        </row>
        <row r="536">
          <cell r="C536" t="str">
            <v>Oostlijn</v>
          </cell>
        </row>
        <row r="537">
          <cell r="C537" t="str">
            <v>Oostlijn</v>
          </cell>
        </row>
        <row r="538">
          <cell r="C538" t="str">
            <v>Oostlijn</v>
          </cell>
        </row>
        <row r="539">
          <cell r="C539" t="str">
            <v>Oostlijn</v>
          </cell>
        </row>
        <row r="540">
          <cell r="C540" t="str">
            <v>Oostlijn</v>
          </cell>
        </row>
        <row r="541">
          <cell r="C541" t="str">
            <v>Oostlijn</v>
          </cell>
        </row>
        <row r="542">
          <cell r="C542" t="str">
            <v>Oostlijn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tatieblad"/>
      <sheetName val="1-Inschrijfstaat"/>
      <sheetName val="2-Kosten per locatie"/>
      <sheetName val="PIVOT"/>
      <sheetName val="3-Ruimtestaat"/>
      <sheetName val="4-Kengetal"/>
      <sheetName val="5-Liftbodem"/>
      <sheetName val="6-Aanvullend"/>
      <sheetName val="8-Sanitaire voorzieningen"/>
      <sheetName val="13a- Afroepprijs"/>
    </sheetNames>
    <sheetDataSet>
      <sheetData sheetId="0"/>
      <sheetData sheetId="1">
        <row r="6">
          <cell r="B6" t="str">
            <v>2016-36</v>
          </cell>
        </row>
      </sheetData>
      <sheetData sheetId="2"/>
      <sheetData sheetId="3"/>
      <sheetData sheetId="4"/>
      <sheetData sheetId="5">
        <row r="12">
          <cell r="A12" t="str">
            <v>PER.365.1</v>
          </cell>
          <cell r="B12">
            <v>365</v>
          </cell>
          <cell r="C12" t="str">
            <v>Perrons</v>
          </cell>
          <cell r="D12" t="str">
            <v>Klasse 1</v>
          </cell>
          <cell r="E12">
            <v>7.8326755700732123E-2</v>
          </cell>
          <cell r="F12">
            <v>7.7235599140200395E-2</v>
          </cell>
          <cell r="G12"/>
          <cell r="H12">
            <v>5.6402312530014764E-2</v>
          </cell>
          <cell r="I12">
            <v>1721.9851050044786</v>
          </cell>
          <cell r="J12">
            <v>16679</v>
          </cell>
          <cell r="K12" t="str">
            <v>ja</v>
          </cell>
          <cell r="L12" t="str">
            <v>V</v>
          </cell>
          <cell r="M12" t="str">
            <v>naloop</v>
          </cell>
          <cell r="N12" t="str">
            <v>Volledig</v>
          </cell>
          <cell r="O12" t="str">
            <v>naloop</v>
          </cell>
          <cell r="P12" t="str">
            <v>Volledig</v>
          </cell>
          <cell r="Q12" t="str">
            <v>naloop</v>
          </cell>
          <cell r="R12" t="str">
            <v>naloop</v>
          </cell>
          <cell r="S12" t="str">
            <v>naloop</v>
          </cell>
        </row>
        <row r="13">
          <cell r="A13" t="str">
            <v>PER.365.2</v>
          </cell>
          <cell r="B13">
            <v>365</v>
          </cell>
          <cell r="C13" t="str">
            <v>Perrons</v>
          </cell>
          <cell r="D13" t="str">
            <v>Klasse 2</v>
          </cell>
          <cell r="E13">
            <v>0.11672222418148316</v>
          </cell>
          <cell r="F13">
            <v>4.3407926027363659E-2</v>
          </cell>
          <cell r="G13">
            <v>4.2235015328826141E-2</v>
          </cell>
          <cell r="H13">
            <v>2.3831802524827108E-2</v>
          </cell>
          <cell r="I13">
            <v>1613.6378976536391</v>
          </cell>
          <cell r="J13">
            <v>10316</v>
          </cell>
          <cell r="K13" t="str">
            <v>ja</v>
          </cell>
          <cell r="L13" t="str">
            <v>V</v>
          </cell>
          <cell r="M13" t="str">
            <v>Volledig</v>
          </cell>
          <cell r="N13" t="str">
            <v>naloop</v>
          </cell>
          <cell r="O13" t="str">
            <v>Volledig</v>
          </cell>
          <cell r="P13" t="str">
            <v>naloop</v>
          </cell>
          <cell r="Q13" t="str">
            <v>Volledig</v>
          </cell>
          <cell r="R13" t="str">
            <v>naloop</v>
          </cell>
          <cell r="S13" t="str">
            <v>Volledig</v>
          </cell>
        </row>
        <row r="14">
          <cell r="A14" t="str">
            <v>PER.365.1a</v>
          </cell>
          <cell r="B14">
            <v>365</v>
          </cell>
          <cell r="C14" t="str">
            <v>Perrons</v>
          </cell>
          <cell r="D14" t="str">
            <v>Klasse 1</v>
          </cell>
          <cell r="E14">
            <v>5.7961799218541769E-2</v>
          </cell>
          <cell r="F14">
            <v>5.7154343363748292E-2</v>
          </cell>
          <cell r="G14"/>
          <cell r="H14">
            <v>4.1737711272210924E-2</v>
          </cell>
          <cell r="I14">
            <v>2327.0068986547008</v>
          </cell>
          <cell r="J14">
            <v>16470.009999999998</v>
          </cell>
          <cell r="K14" t="str">
            <v>ja</v>
          </cell>
          <cell r="L14" t="str">
            <v>V</v>
          </cell>
          <cell r="M14" t="str">
            <v>naloop</v>
          </cell>
          <cell r="N14" t="str">
            <v>Volledig</v>
          </cell>
          <cell r="O14" t="str">
            <v>naloop</v>
          </cell>
          <cell r="P14" t="str">
            <v>Volledig</v>
          </cell>
          <cell r="Q14" t="str">
            <v>naloop</v>
          </cell>
          <cell r="R14" t="str">
            <v>naloop</v>
          </cell>
          <cell r="S14" t="str">
            <v>naloop</v>
          </cell>
        </row>
        <row r="15">
          <cell r="A15" t="str">
            <v>PER.365.2a</v>
          </cell>
          <cell r="B15">
            <v>365</v>
          </cell>
          <cell r="C15" t="str">
            <v>Perrons</v>
          </cell>
          <cell r="D15" t="str">
            <v>Klasse 2</v>
          </cell>
          <cell r="E15">
            <v>8.6374445894297533E-2</v>
          </cell>
          <cell r="F15">
            <v>3.2121865260249106E-2</v>
          </cell>
          <cell r="G15">
            <v>3.1253911343331345E-2</v>
          </cell>
          <cell r="H15">
            <v>1.763553386837206E-2</v>
          </cell>
          <cell r="I15">
            <v>2180.591753585999</v>
          </cell>
          <cell r="J15">
            <v>15783.255499999999</v>
          </cell>
          <cell r="K15" t="str">
            <v>ja</v>
          </cell>
          <cell r="L15" t="str">
            <v>V</v>
          </cell>
          <cell r="M15" t="str">
            <v>Volledig</v>
          </cell>
          <cell r="N15" t="str">
            <v>naloop</v>
          </cell>
          <cell r="O15" t="str">
            <v>Volledig</v>
          </cell>
          <cell r="P15" t="str">
            <v>naloop</v>
          </cell>
          <cell r="Q15" t="str">
            <v>Volledig</v>
          </cell>
          <cell r="R15" t="str">
            <v>naloop</v>
          </cell>
          <cell r="S15" t="str">
            <v>Volledig</v>
          </cell>
        </row>
        <row r="16">
          <cell r="A16" t="str">
            <v>SAN.0012</v>
          </cell>
          <cell r="B16">
            <v>12</v>
          </cell>
          <cell r="C16" t="str">
            <v>Sanitair</v>
          </cell>
          <cell r="D16" t="str">
            <v>1 x per maand</v>
          </cell>
          <cell r="E16">
            <v>0.48000000000000004</v>
          </cell>
          <cell r="F16"/>
          <cell r="G16"/>
          <cell r="H16"/>
          <cell r="I16">
            <v>24.999999999999996</v>
          </cell>
          <cell r="J16">
            <v>43</v>
          </cell>
          <cell r="K16" t="str">
            <v>nee</v>
          </cell>
          <cell r="L16" t="str">
            <v>S</v>
          </cell>
          <cell r="M16" t="str">
            <v>Zie Freq</v>
          </cell>
          <cell r="N16" t="str">
            <v>Zie Freq</v>
          </cell>
          <cell r="O16" t="str">
            <v>Zie Freq</v>
          </cell>
          <cell r="P16" t="str">
            <v>Zie Freq</v>
          </cell>
          <cell r="Q16" t="str">
            <v>Zie Freq</v>
          </cell>
          <cell r="R16" t="str">
            <v>NVT</v>
          </cell>
          <cell r="S16" t="str">
            <v>NVT</v>
          </cell>
        </row>
        <row r="17">
          <cell r="A17" t="str">
            <v>SAN.365.1</v>
          </cell>
          <cell r="B17">
            <v>365</v>
          </cell>
          <cell r="C17" t="str">
            <v>Sanitair</v>
          </cell>
          <cell r="D17" t="str">
            <v>Klasse 1</v>
          </cell>
          <cell r="E17">
            <v>1.3090892979044331</v>
          </cell>
          <cell r="F17">
            <v>1.3485949585135899</v>
          </cell>
          <cell r="G17"/>
          <cell r="H17">
            <v>0.98482921312505578</v>
          </cell>
          <cell r="I17">
            <v>100.20553199101444</v>
          </cell>
          <cell r="J17">
            <v>56.17</v>
          </cell>
          <cell r="K17" t="str">
            <v>ja</v>
          </cell>
          <cell r="L17" t="str">
            <v>S</v>
          </cell>
          <cell r="M17" t="str">
            <v>naloop</v>
          </cell>
          <cell r="N17" t="str">
            <v>Volledig</v>
          </cell>
          <cell r="O17" t="str">
            <v>naloop</v>
          </cell>
          <cell r="P17" t="str">
            <v>Volledig</v>
          </cell>
          <cell r="Q17" t="str">
            <v>naloop</v>
          </cell>
          <cell r="R17" t="str">
            <v>naloop</v>
          </cell>
          <cell r="S17" t="str">
            <v>naloop</v>
          </cell>
        </row>
        <row r="18">
          <cell r="A18" t="str">
            <v>SAN.365.2</v>
          </cell>
          <cell r="B18">
            <v>365</v>
          </cell>
          <cell r="C18" t="str">
            <v>Sanitair</v>
          </cell>
          <cell r="D18" t="str">
            <v>Klasse 2</v>
          </cell>
          <cell r="E18">
            <v>1.950799738053665</v>
          </cell>
          <cell r="F18">
            <v>0.87414852136333654</v>
          </cell>
          <cell r="G18">
            <v>0.70588148416415508</v>
          </cell>
          <cell r="H18">
            <v>0.47992467839555736</v>
          </cell>
          <cell r="I18">
            <v>91.005322589685875</v>
          </cell>
          <cell r="J18">
            <v>136.00225000000003</v>
          </cell>
          <cell r="K18" t="str">
            <v>ja</v>
          </cell>
          <cell r="L18" t="str">
            <v>S</v>
          </cell>
          <cell r="M18" t="str">
            <v>Volledig</v>
          </cell>
          <cell r="N18" t="str">
            <v>naloop</v>
          </cell>
          <cell r="O18" t="str">
            <v>Volledig</v>
          </cell>
          <cell r="P18" t="str">
            <v>naloop</v>
          </cell>
          <cell r="Q18" t="str">
            <v>Volledig</v>
          </cell>
          <cell r="R18" t="str">
            <v>naloop</v>
          </cell>
          <cell r="S18" t="str">
            <v>Volledig</v>
          </cell>
        </row>
        <row r="19">
          <cell r="A19" t="str">
            <v>GAN.0001</v>
          </cell>
          <cell r="B19">
            <v>1</v>
          </cell>
          <cell r="C19" t="str">
            <v>Gangen</v>
          </cell>
          <cell r="D19" t="str">
            <v>1 x per jaar</v>
          </cell>
          <cell r="E19">
            <v>2.5000000000000001E-3</v>
          </cell>
          <cell r="F19"/>
          <cell r="G19"/>
          <cell r="H19"/>
          <cell r="I19">
            <v>400</v>
          </cell>
          <cell r="J19">
            <v>2196.6025</v>
          </cell>
          <cell r="K19" t="str">
            <v>nee</v>
          </cell>
          <cell r="L19" t="str">
            <v>V</v>
          </cell>
          <cell r="M19" t="str">
            <v>Zie Freq</v>
          </cell>
          <cell r="N19" t="str">
            <v>Zie Freq</v>
          </cell>
          <cell r="O19" t="str">
            <v>Zie Freq</v>
          </cell>
          <cell r="P19" t="str">
            <v>Zie Freq</v>
          </cell>
          <cell r="Q19" t="str">
            <v>Zie Freq</v>
          </cell>
          <cell r="R19" t="str">
            <v>NVT</v>
          </cell>
          <cell r="S19" t="str">
            <v>NVT</v>
          </cell>
        </row>
        <row r="20">
          <cell r="A20" t="str">
            <v>GAN.0002</v>
          </cell>
          <cell r="B20">
            <v>2</v>
          </cell>
          <cell r="C20" t="str">
            <v>Gangen</v>
          </cell>
          <cell r="D20" t="str">
            <v>2 x per jaar</v>
          </cell>
          <cell r="E20">
            <v>5.0000000000000018E-3</v>
          </cell>
          <cell r="F20"/>
          <cell r="G20"/>
          <cell r="H20"/>
          <cell r="I20">
            <v>399.99999999999983</v>
          </cell>
          <cell r="J20">
            <v>712.12999999999988</v>
          </cell>
          <cell r="K20" t="str">
            <v>nee</v>
          </cell>
          <cell r="L20" t="str">
            <v>V</v>
          </cell>
          <cell r="M20" t="str">
            <v>Zie Freq</v>
          </cell>
          <cell r="N20" t="str">
            <v>Zie Freq</v>
          </cell>
          <cell r="O20" t="str">
            <v>Zie Freq</v>
          </cell>
          <cell r="P20" t="str">
            <v>Zie Freq</v>
          </cell>
          <cell r="Q20" t="str">
            <v>Zie Freq</v>
          </cell>
          <cell r="R20" t="str">
            <v>NVT</v>
          </cell>
          <cell r="S20" t="str">
            <v>NVT</v>
          </cell>
        </row>
        <row r="21">
          <cell r="A21" t="str">
            <v>GAN.0003</v>
          </cell>
          <cell r="B21">
            <v>3</v>
          </cell>
          <cell r="C21" t="str">
            <v>Gangen</v>
          </cell>
          <cell r="D21" t="str">
            <v>3 x per jaar</v>
          </cell>
          <cell r="E21">
            <v>7.5000000000000041E-3</v>
          </cell>
          <cell r="F21"/>
          <cell r="G21"/>
          <cell r="H21"/>
          <cell r="I21">
            <v>399.99999999999977</v>
          </cell>
          <cell r="J21">
            <v>1903.0238999999995</v>
          </cell>
          <cell r="K21" t="str">
            <v>nee</v>
          </cell>
          <cell r="L21" t="str">
            <v>V</v>
          </cell>
          <cell r="M21" t="str">
            <v>Zie Freq</v>
          </cell>
          <cell r="N21" t="str">
            <v>Zie Freq</v>
          </cell>
          <cell r="O21" t="str">
            <v>Zie Freq</v>
          </cell>
          <cell r="P21" t="str">
            <v>Zie Freq</v>
          </cell>
          <cell r="Q21" t="str">
            <v>Zie Freq</v>
          </cell>
          <cell r="R21" t="str">
            <v>NVT</v>
          </cell>
          <cell r="S21" t="str">
            <v>NVT</v>
          </cell>
        </row>
        <row r="22">
          <cell r="A22" t="str">
            <v>GAN.365.1</v>
          </cell>
          <cell r="B22">
            <v>365</v>
          </cell>
          <cell r="C22" t="str">
            <v>Gangen</v>
          </cell>
          <cell r="D22" t="str">
            <v>Klasse 1</v>
          </cell>
          <cell r="E22">
            <v>0.14948467058056095</v>
          </cell>
          <cell r="F22">
            <v>0.17356060339041562</v>
          </cell>
          <cell r="G22"/>
          <cell r="H22">
            <v>0.12674491431800089</v>
          </cell>
          <cell r="I22">
            <v>811.4894666521667</v>
          </cell>
          <cell r="J22">
            <v>225.45000000000002</v>
          </cell>
          <cell r="K22" t="str">
            <v>ja</v>
          </cell>
          <cell r="L22" t="str">
            <v>V</v>
          </cell>
          <cell r="M22" t="str">
            <v>naloop</v>
          </cell>
          <cell r="N22" t="str">
            <v>Volledig</v>
          </cell>
          <cell r="O22" t="str">
            <v>naloop</v>
          </cell>
          <cell r="P22" t="str">
            <v>Volledig</v>
          </cell>
          <cell r="Q22" t="str">
            <v>naloop</v>
          </cell>
          <cell r="R22" t="str">
            <v>naloop</v>
          </cell>
          <cell r="S22" t="str">
            <v>naloop</v>
          </cell>
        </row>
        <row r="23">
          <cell r="A23" t="str">
            <v>GAN.365.2</v>
          </cell>
          <cell r="B23">
            <v>365</v>
          </cell>
          <cell r="C23" t="str">
            <v>Gangen</v>
          </cell>
          <cell r="D23" t="str">
            <v>Klasse 2</v>
          </cell>
          <cell r="E23">
            <v>0.22276146988475751</v>
          </cell>
          <cell r="F23">
            <v>0.1150271993407469</v>
          </cell>
          <cell r="G23">
            <v>8.0604479234616194E-2</v>
          </cell>
          <cell r="H23">
            <v>6.3152187873351237E-2</v>
          </cell>
          <cell r="I23">
            <v>757.97639902224319</v>
          </cell>
          <cell r="J23">
            <v>132.51</v>
          </cell>
          <cell r="K23" t="str">
            <v>ja</v>
          </cell>
          <cell r="L23" t="str">
            <v>V</v>
          </cell>
          <cell r="M23" t="str">
            <v>Volledig</v>
          </cell>
          <cell r="N23" t="str">
            <v>naloop</v>
          </cell>
          <cell r="O23" t="str">
            <v>Volledig</v>
          </cell>
          <cell r="P23" t="str">
            <v>naloop</v>
          </cell>
          <cell r="Q23" t="str">
            <v>Volledig</v>
          </cell>
          <cell r="R23" t="str">
            <v>naloop</v>
          </cell>
          <cell r="S23" t="str">
            <v>Volledig</v>
          </cell>
        </row>
        <row r="24">
          <cell r="A24" t="str">
            <v>LIF.365.1</v>
          </cell>
          <cell r="B24">
            <v>365</v>
          </cell>
          <cell r="C24" t="str">
            <v>Liften</v>
          </cell>
          <cell r="D24" t="str">
            <v>Klasse 1</v>
          </cell>
          <cell r="E24">
            <v>2.914285714285715</v>
          </cell>
          <cell r="F24">
            <v>2.973280566979644</v>
          </cell>
          <cell r="G24"/>
          <cell r="H24">
            <v>2.1712772561496085</v>
          </cell>
          <cell r="I24">
            <v>45.291858354788324</v>
          </cell>
          <cell r="J24">
            <v>73</v>
          </cell>
          <cell r="K24" t="str">
            <v>ja</v>
          </cell>
          <cell r="L24" t="str">
            <v>V</v>
          </cell>
          <cell r="M24" t="str">
            <v>naloop</v>
          </cell>
          <cell r="N24" t="str">
            <v>Volledig</v>
          </cell>
          <cell r="O24" t="str">
            <v>naloop</v>
          </cell>
          <cell r="P24" t="str">
            <v>Volledig</v>
          </cell>
          <cell r="Q24" t="str">
            <v>naloop</v>
          </cell>
          <cell r="R24" t="str">
            <v>naloop</v>
          </cell>
          <cell r="S24" t="str">
            <v>naloop</v>
          </cell>
        </row>
        <row r="25">
          <cell r="A25" t="str">
            <v>LIF.365.2</v>
          </cell>
          <cell r="B25">
            <v>365</v>
          </cell>
          <cell r="C25" t="str">
            <v>Liften</v>
          </cell>
          <cell r="D25" t="str">
            <v>Klasse 2</v>
          </cell>
          <cell r="E25">
            <v>4.3428571428571434</v>
          </cell>
          <cell r="F25">
            <v>1.9267179023508128</v>
          </cell>
          <cell r="G25">
            <v>1.5714285714285718</v>
          </cell>
          <cell r="H25">
            <v>1.0578059071729953</v>
          </cell>
          <cell r="I25">
            <v>41.016722408026759</v>
          </cell>
          <cell r="J25">
            <v>52</v>
          </cell>
          <cell r="K25" t="str">
            <v>ja</v>
          </cell>
          <cell r="L25" t="str">
            <v>V</v>
          </cell>
          <cell r="M25" t="str">
            <v>Volledig</v>
          </cell>
          <cell r="N25" t="str">
            <v>naloop</v>
          </cell>
          <cell r="O25" t="str">
            <v>Volledig</v>
          </cell>
          <cell r="P25" t="str">
            <v>naloop</v>
          </cell>
          <cell r="Q25" t="str">
            <v>Volledig</v>
          </cell>
          <cell r="R25" t="str">
            <v>naloop</v>
          </cell>
          <cell r="S25" t="str">
            <v>Volledig</v>
          </cell>
        </row>
        <row r="26">
          <cell r="A26" t="str">
            <v>LIF.365.1a</v>
          </cell>
          <cell r="B26">
            <v>365</v>
          </cell>
          <cell r="C26" t="str">
            <v>Liften</v>
          </cell>
          <cell r="D26" t="str">
            <v>Klasse 1</v>
          </cell>
          <cell r="E26">
            <v>2.156571428571429</v>
          </cell>
          <cell r="F26">
            <v>2.2002276195649366</v>
          </cell>
          <cell r="G26"/>
          <cell r="H26">
            <v>1.6067451695507102</v>
          </cell>
          <cell r="I26">
            <v>61.205213992957198</v>
          </cell>
          <cell r="J26">
            <v>53.349999999999994</v>
          </cell>
          <cell r="K26" t="str">
            <v>ja</v>
          </cell>
          <cell r="L26" t="str">
            <v>V</v>
          </cell>
          <cell r="M26" t="str">
            <v>naloop</v>
          </cell>
          <cell r="N26" t="str">
            <v>Volledig</v>
          </cell>
          <cell r="O26" t="str">
            <v>naloop</v>
          </cell>
          <cell r="P26" t="str">
            <v>Volledig</v>
          </cell>
          <cell r="Q26" t="str">
            <v>naloop</v>
          </cell>
          <cell r="R26" t="str">
            <v>naloop</v>
          </cell>
          <cell r="S26" t="str">
            <v>naloop</v>
          </cell>
        </row>
        <row r="27">
          <cell r="A27" t="str">
            <v>LIF.365.2a</v>
          </cell>
          <cell r="B27">
            <v>365</v>
          </cell>
          <cell r="C27" t="str">
            <v>Liften</v>
          </cell>
          <cell r="D27" t="str">
            <v>Klasse 2</v>
          </cell>
          <cell r="E27">
            <v>3.213714285714286</v>
          </cell>
          <cell r="F27">
            <v>1.4257712477396014</v>
          </cell>
          <cell r="G27">
            <v>1.1628571428571433</v>
          </cell>
          <cell r="H27">
            <v>0.78277637130801647</v>
          </cell>
          <cell r="I27">
            <v>55.428003254090207</v>
          </cell>
          <cell r="J27">
            <v>111.99524999999997</v>
          </cell>
          <cell r="K27" t="str">
            <v>ja</v>
          </cell>
          <cell r="L27" t="str">
            <v>V</v>
          </cell>
          <cell r="M27" t="str">
            <v>Volledig</v>
          </cell>
          <cell r="N27" t="str">
            <v>naloop</v>
          </cell>
          <cell r="O27" t="str">
            <v>Volledig</v>
          </cell>
          <cell r="P27" t="str">
            <v>naloop</v>
          </cell>
          <cell r="Q27" t="str">
            <v>Volledig</v>
          </cell>
          <cell r="R27" t="str">
            <v>naloop</v>
          </cell>
          <cell r="S27" t="str">
            <v>Volledig</v>
          </cell>
        </row>
        <row r="28">
          <cell r="A28" t="str">
            <v>TRA.0002</v>
          </cell>
          <cell r="B28">
            <v>2</v>
          </cell>
          <cell r="C28" t="str">
            <v>Trappen</v>
          </cell>
          <cell r="D28" t="str">
            <v>2 x per jaar</v>
          </cell>
          <cell r="E28">
            <v>1.6E-2</v>
          </cell>
          <cell r="F28"/>
          <cell r="G28"/>
          <cell r="H28"/>
          <cell r="I28">
            <v>125</v>
          </cell>
          <cell r="J28">
            <v>24</v>
          </cell>
          <cell r="K28" t="str">
            <v>nee</v>
          </cell>
          <cell r="L28" t="str">
            <v>V</v>
          </cell>
          <cell r="M28" t="str">
            <v>Zie Freq</v>
          </cell>
          <cell r="N28" t="str">
            <v>Zie Freq</v>
          </cell>
          <cell r="O28" t="str">
            <v>Zie Freq</v>
          </cell>
          <cell r="P28" t="str">
            <v>Zie Freq</v>
          </cell>
          <cell r="Q28" t="str">
            <v>Zie Freq</v>
          </cell>
          <cell r="R28" t="str">
            <v>NVT</v>
          </cell>
          <cell r="S28" t="str">
            <v>NVT</v>
          </cell>
        </row>
        <row r="29">
          <cell r="A29" t="str">
            <v>TRA.0003</v>
          </cell>
          <cell r="B29">
            <v>3</v>
          </cell>
          <cell r="C29" t="str">
            <v>Trappen</v>
          </cell>
          <cell r="D29" t="str">
            <v>3 x per jaar</v>
          </cell>
          <cell r="E29">
            <v>2.3999999999999994E-2</v>
          </cell>
          <cell r="F29"/>
          <cell r="G29"/>
          <cell r="H29"/>
          <cell r="I29">
            <v>125.00000000000003</v>
          </cell>
          <cell r="J29">
            <v>809.2392500000002</v>
          </cell>
          <cell r="K29" t="str">
            <v>nee</v>
          </cell>
          <cell r="L29" t="str">
            <v>V</v>
          </cell>
          <cell r="M29" t="str">
            <v>Zie Freq</v>
          </cell>
          <cell r="N29" t="str">
            <v>Zie Freq</v>
          </cell>
          <cell r="O29" t="str">
            <v>Zie Freq</v>
          </cell>
          <cell r="P29" t="str">
            <v>Zie Freq</v>
          </cell>
          <cell r="Q29" t="str">
            <v>Zie Freq</v>
          </cell>
          <cell r="R29" t="str">
            <v>NVT</v>
          </cell>
          <cell r="S29" t="str">
            <v>NVT</v>
          </cell>
        </row>
        <row r="30">
          <cell r="A30" t="str">
            <v>TRA.365.1</v>
          </cell>
          <cell r="B30">
            <v>365</v>
          </cell>
          <cell r="C30" t="str">
            <v>Trappen</v>
          </cell>
          <cell r="D30" t="str">
            <v>Klasse 1</v>
          </cell>
          <cell r="E30">
            <v>0.31221050781554438</v>
          </cell>
          <cell r="F30">
            <v>0.34391510400654646</v>
          </cell>
          <cell r="G30"/>
          <cell r="H30">
            <v>0.25114852989951747</v>
          </cell>
          <cell r="I30">
            <v>402.30398202178463</v>
          </cell>
          <cell r="J30">
            <v>1242</v>
          </cell>
          <cell r="K30" t="str">
            <v>ja</v>
          </cell>
          <cell r="L30" t="str">
            <v>V</v>
          </cell>
          <cell r="M30" t="str">
            <v>naloop</v>
          </cell>
          <cell r="N30" t="str">
            <v>Volledig</v>
          </cell>
          <cell r="O30" t="str">
            <v>naloop</v>
          </cell>
          <cell r="P30" t="str">
            <v>Volledig</v>
          </cell>
          <cell r="Q30" t="str">
            <v>naloop</v>
          </cell>
          <cell r="R30" t="str">
            <v>naloop</v>
          </cell>
          <cell r="S30" t="str">
            <v>naloop</v>
          </cell>
        </row>
        <row r="31">
          <cell r="A31" t="str">
            <v>TRA.365.2</v>
          </cell>
          <cell r="B31">
            <v>365</v>
          </cell>
          <cell r="C31" t="str">
            <v>Trappen</v>
          </cell>
          <cell r="D31" t="str">
            <v>Klasse 2</v>
          </cell>
          <cell r="E31">
            <v>0.46525487439179164</v>
          </cell>
          <cell r="F31">
            <v>0.2403522940456744</v>
          </cell>
          <cell r="G31">
            <v>0.16834880323387197</v>
          </cell>
          <cell r="H31">
            <v>0.13195812222115458</v>
          </cell>
          <cell r="I31">
            <v>362.85404709620212</v>
          </cell>
          <cell r="J31">
            <v>635</v>
          </cell>
          <cell r="K31" t="str">
            <v>ja</v>
          </cell>
          <cell r="L31" t="str">
            <v>V</v>
          </cell>
          <cell r="M31" t="str">
            <v>Volledig</v>
          </cell>
          <cell r="N31" t="str">
            <v>naloop</v>
          </cell>
          <cell r="O31" t="str">
            <v>Volledig</v>
          </cell>
          <cell r="P31" t="str">
            <v>naloop</v>
          </cell>
          <cell r="Q31" t="str">
            <v>Volledig</v>
          </cell>
          <cell r="R31" t="str">
            <v>naloop</v>
          </cell>
          <cell r="S31" t="str">
            <v>Volledig</v>
          </cell>
        </row>
        <row r="32">
          <cell r="A32" t="str">
            <v>TRA.365.1a</v>
          </cell>
          <cell r="B32">
            <v>365</v>
          </cell>
          <cell r="C32" t="str">
            <v>Trappen</v>
          </cell>
          <cell r="D32" t="str">
            <v>Klasse 1</v>
          </cell>
          <cell r="E32">
            <v>0.23103577578350284</v>
          </cell>
          <cell r="F32">
            <v>0.25449717696484436</v>
          </cell>
          <cell r="G32"/>
          <cell r="H32">
            <v>0.18584991212564292</v>
          </cell>
          <cell r="I32">
            <v>543.65402975916845</v>
          </cell>
          <cell r="J32">
            <v>659.09</v>
          </cell>
          <cell r="K32" t="str">
            <v>ja</v>
          </cell>
          <cell r="L32" t="str">
            <v>V</v>
          </cell>
          <cell r="M32" t="str">
            <v>naloop</v>
          </cell>
          <cell r="N32" t="str">
            <v>Volledig</v>
          </cell>
          <cell r="O32" t="str">
            <v>naloop</v>
          </cell>
          <cell r="P32" t="str">
            <v>Volledig</v>
          </cell>
          <cell r="Q32" t="str">
            <v>naloop</v>
          </cell>
          <cell r="R32" t="str">
            <v>naloop</v>
          </cell>
          <cell r="S32" t="str">
            <v>naloop</v>
          </cell>
        </row>
        <row r="33">
          <cell r="A33" t="str">
            <v>TRA.365.2a</v>
          </cell>
          <cell r="B33">
            <v>365</v>
          </cell>
          <cell r="C33" t="str">
            <v>Trappen</v>
          </cell>
          <cell r="D33" t="str">
            <v>Klasse 2</v>
          </cell>
          <cell r="E33">
            <v>0.34428860704992581</v>
          </cell>
          <cell r="F33">
            <v>0.17786069759379905</v>
          </cell>
          <cell r="G33">
            <v>0.12457811439306525</v>
          </cell>
          <cell r="H33">
            <v>9.7649010443654385E-2</v>
          </cell>
          <cell r="I33">
            <v>490.34330688675965</v>
          </cell>
          <cell r="J33">
            <v>1705.9755</v>
          </cell>
          <cell r="K33" t="str">
            <v>ja</v>
          </cell>
          <cell r="L33" t="str">
            <v>V</v>
          </cell>
          <cell r="M33" t="str">
            <v>Volledig</v>
          </cell>
          <cell r="N33" t="str">
            <v>naloop</v>
          </cell>
          <cell r="O33" t="str">
            <v>Volledig</v>
          </cell>
          <cell r="P33" t="str">
            <v>naloop</v>
          </cell>
          <cell r="Q33" t="str">
            <v>Volledig</v>
          </cell>
          <cell r="R33" t="str">
            <v>naloop</v>
          </cell>
          <cell r="S33" t="str">
            <v>Volledig</v>
          </cell>
        </row>
        <row r="34">
          <cell r="A34" t="str">
            <v>HAL.0002</v>
          </cell>
          <cell r="B34">
            <v>2</v>
          </cell>
          <cell r="C34" t="str">
            <v>Hallen</v>
          </cell>
          <cell r="D34" t="str">
            <v>2 x per jaar</v>
          </cell>
          <cell r="E34">
            <v>5.0000000000000001E-3</v>
          </cell>
          <cell r="F34"/>
          <cell r="G34"/>
          <cell r="H34"/>
          <cell r="I34">
            <v>400</v>
          </cell>
          <cell r="J34">
            <v>30</v>
          </cell>
          <cell r="K34" t="str">
            <v>nee</v>
          </cell>
          <cell r="L34" t="str">
            <v>V</v>
          </cell>
          <cell r="M34" t="str">
            <v>Zie Freq</v>
          </cell>
          <cell r="N34" t="str">
            <v>Zie Freq</v>
          </cell>
          <cell r="O34" t="str">
            <v>Zie Freq</v>
          </cell>
          <cell r="P34" t="str">
            <v>Zie Freq</v>
          </cell>
          <cell r="Q34" t="str">
            <v>Zie Freq</v>
          </cell>
          <cell r="R34" t="str">
            <v>NVT</v>
          </cell>
          <cell r="S34" t="str">
            <v>NVT</v>
          </cell>
        </row>
        <row r="35">
          <cell r="A35" t="str">
            <v>HAL.365.1</v>
          </cell>
          <cell r="B35">
            <v>365</v>
          </cell>
          <cell r="C35" t="str">
            <v>Hallen</v>
          </cell>
          <cell r="D35" t="str">
            <v>Klasse 1</v>
          </cell>
          <cell r="E35">
            <v>0.13876642357928085</v>
          </cell>
          <cell r="F35">
            <v>0.14731966223086956</v>
          </cell>
          <cell r="G35"/>
          <cell r="H35">
            <v>0.1075821217607008</v>
          </cell>
          <cell r="I35">
            <v>927.17672644242782</v>
          </cell>
          <cell r="J35">
            <v>0</v>
          </cell>
          <cell r="K35" t="str">
            <v>ja</v>
          </cell>
          <cell r="L35" t="str">
            <v>V</v>
          </cell>
          <cell r="M35" t="str">
            <v>naloop</v>
          </cell>
          <cell r="N35" t="str">
            <v>Volledig</v>
          </cell>
          <cell r="O35" t="str">
            <v>naloop</v>
          </cell>
          <cell r="P35" t="str">
            <v>Volledig</v>
          </cell>
          <cell r="Q35" t="str">
            <v>naloop</v>
          </cell>
          <cell r="R35" t="str">
            <v>naloop</v>
          </cell>
          <cell r="S35" t="str">
            <v>naloop</v>
          </cell>
        </row>
        <row r="36">
          <cell r="A36" t="str">
            <v>HAL.365.2</v>
          </cell>
          <cell r="B36">
            <v>365</v>
          </cell>
          <cell r="C36" t="str">
            <v>Hallen</v>
          </cell>
          <cell r="D36" t="str">
            <v>Klasse 2</v>
          </cell>
          <cell r="E36">
            <v>0.20678918023579107</v>
          </cell>
          <cell r="F36">
            <v>9.5572690642024005E-2</v>
          </cell>
          <cell r="G36">
            <v>7.4825032322161242E-2</v>
          </cell>
          <cell r="H36">
            <v>5.2471281136797492E-2</v>
          </cell>
          <cell r="I36">
            <v>849.51250390684152</v>
          </cell>
          <cell r="J36">
            <v>2012</v>
          </cell>
          <cell r="K36" t="str">
            <v>ja</v>
          </cell>
          <cell r="L36" t="str">
            <v>V</v>
          </cell>
          <cell r="M36" t="str">
            <v>Volledig</v>
          </cell>
          <cell r="N36" t="str">
            <v>naloop</v>
          </cell>
          <cell r="O36" t="str">
            <v>Volledig</v>
          </cell>
          <cell r="P36" t="str">
            <v>naloop</v>
          </cell>
          <cell r="Q36" t="str">
            <v>Volledig</v>
          </cell>
          <cell r="R36" t="str">
            <v>naloop</v>
          </cell>
          <cell r="S36" t="str">
            <v>Volledig</v>
          </cell>
        </row>
        <row r="37">
          <cell r="A37" t="str">
            <v>HAL.365.1a</v>
          </cell>
          <cell r="B37">
            <v>365</v>
          </cell>
          <cell r="C37" t="str">
            <v>Hallen</v>
          </cell>
          <cell r="D37" t="str">
            <v>Klasse 1</v>
          </cell>
          <cell r="E37">
            <v>0.10268715344866783</v>
          </cell>
          <cell r="F37">
            <v>0.10901655005084347</v>
          </cell>
          <cell r="G37"/>
          <cell r="H37">
            <v>7.9610770102918588E-2</v>
          </cell>
          <cell r="I37">
            <v>1252.9415222194971</v>
          </cell>
          <cell r="J37">
            <v>2308.1786440677965</v>
          </cell>
          <cell r="K37" t="str">
            <v>ja</v>
          </cell>
          <cell r="L37" t="str">
            <v>V</v>
          </cell>
          <cell r="M37" t="str">
            <v>naloop</v>
          </cell>
          <cell r="N37" t="str">
            <v>Volledig</v>
          </cell>
          <cell r="O37" t="str">
            <v>naloop</v>
          </cell>
          <cell r="P37" t="str">
            <v>Volledig</v>
          </cell>
          <cell r="Q37" t="str">
            <v>naloop</v>
          </cell>
          <cell r="R37" t="str">
            <v>naloop</v>
          </cell>
          <cell r="S37" t="str">
            <v>naloop</v>
          </cell>
        </row>
        <row r="38">
          <cell r="A38" t="str">
            <v>HAL.365.2a</v>
          </cell>
          <cell r="B38">
            <v>365</v>
          </cell>
          <cell r="C38" t="str">
            <v>Hallen</v>
          </cell>
          <cell r="D38" t="str">
            <v>Klasse 2</v>
          </cell>
          <cell r="E38">
            <v>0.15302399337448538</v>
          </cell>
          <cell r="F38">
            <v>7.0723791075097769E-2</v>
          </cell>
          <cell r="G38">
            <v>5.537052391839932E-2</v>
          </cell>
          <cell r="H38">
            <v>3.8828748041230141E-2</v>
          </cell>
          <cell r="I38">
            <v>1147.9898701443806</v>
          </cell>
          <cell r="J38">
            <v>7088.5019999999995</v>
          </cell>
          <cell r="K38" t="str">
            <v>ja</v>
          </cell>
          <cell r="L38" t="str">
            <v>V</v>
          </cell>
          <cell r="M38" t="str">
            <v>Volledig</v>
          </cell>
          <cell r="N38" t="str">
            <v>naloop</v>
          </cell>
          <cell r="O38" t="str">
            <v>Volledig</v>
          </cell>
          <cell r="P38" t="str">
            <v>naloop</v>
          </cell>
          <cell r="Q38" t="str">
            <v>Volledig</v>
          </cell>
          <cell r="R38" t="str">
            <v>naloop</v>
          </cell>
          <cell r="S38" t="str">
            <v>Volledig</v>
          </cell>
        </row>
        <row r="39">
          <cell r="A39" t="str">
            <v>TEC.0001</v>
          </cell>
          <cell r="B39">
            <v>1</v>
          </cell>
          <cell r="C39" t="str">
            <v>Technische ruimten</v>
          </cell>
          <cell r="D39" t="str">
            <v>1 x per jaar</v>
          </cell>
          <cell r="E39">
            <v>2.5000000000000001E-3</v>
          </cell>
          <cell r="F39"/>
          <cell r="G39"/>
          <cell r="H39"/>
          <cell r="I39">
            <v>400</v>
          </cell>
          <cell r="J39">
            <v>5827.7610000000004</v>
          </cell>
          <cell r="K39" t="str">
            <v>nee</v>
          </cell>
          <cell r="L39" t="str">
            <v>V</v>
          </cell>
          <cell r="M39" t="str">
            <v>Zie Freq</v>
          </cell>
          <cell r="N39" t="str">
            <v>Zie Freq</v>
          </cell>
          <cell r="O39" t="str">
            <v>Zie Freq</v>
          </cell>
          <cell r="P39" t="str">
            <v>Zie Freq</v>
          </cell>
          <cell r="Q39" t="str">
            <v>Zie Freq</v>
          </cell>
          <cell r="R39" t="str">
            <v>NVT</v>
          </cell>
          <cell r="S39" t="str">
            <v>NVT</v>
          </cell>
        </row>
        <row r="40">
          <cell r="A40" t="str">
            <v>TEC.0002</v>
          </cell>
          <cell r="B40">
            <v>2</v>
          </cell>
          <cell r="C40" t="str">
            <v>Technische ruimten</v>
          </cell>
          <cell r="D40" t="str">
            <v>2 x per jaar</v>
          </cell>
          <cell r="E40">
            <v>4.9999999999999992E-3</v>
          </cell>
          <cell r="F40"/>
          <cell r="G40"/>
          <cell r="H40"/>
          <cell r="I40">
            <v>400.00000000000006</v>
          </cell>
          <cell r="J40">
            <v>6064.0425000000005</v>
          </cell>
          <cell r="K40" t="str">
            <v>nee</v>
          </cell>
          <cell r="L40" t="str">
            <v>V</v>
          </cell>
          <cell r="M40" t="str">
            <v>Zie Freq</v>
          </cell>
          <cell r="N40" t="str">
            <v>Zie Freq</v>
          </cell>
          <cell r="O40" t="str">
            <v>Zie Freq</v>
          </cell>
          <cell r="P40" t="str">
            <v>Zie Freq</v>
          </cell>
          <cell r="Q40" t="str">
            <v>Zie Freq</v>
          </cell>
          <cell r="R40" t="str">
            <v>NVT</v>
          </cell>
          <cell r="S40" t="str">
            <v>NVT</v>
          </cell>
        </row>
        <row r="41">
          <cell r="A41" t="str">
            <v>TEC.0003</v>
          </cell>
          <cell r="B41">
            <v>3</v>
          </cell>
          <cell r="C41" t="str">
            <v>Technische ruimten</v>
          </cell>
          <cell r="D41" t="str">
            <v>3 x per jaar</v>
          </cell>
          <cell r="E41">
            <v>7.5000000000000015E-3</v>
          </cell>
          <cell r="F41"/>
          <cell r="G41"/>
          <cell r="H41"/>
          <cell r="I41">
            <v>399.99999999999994</v>
          </cell>
          <cell r="J41">
            <v>2172.2428</v>
          </cell>
          <cell r="K41" t="str">
            <v>nee</v>
          </cell>
          <cell r="L41" t="str">
            <v>V</v>
          </cell>
          <cell r="M41" t="str">
            <v>Zie Freq</v>
          </cell>
          <cell r="N41" t="str">
            <v>Zie Freq</v>
          </cell>
          <cell r="O41" t="str">
            <v>Zie Freq</v>
          </cell>
          <cell r="P41" t="str">
            <v>Zie Freq</v>
          </cell>
          <cell r="Q41" t="str">
            <v>Zie Freq</v>
          </cell>
          <cell r="R41" t="str">
            <v>NVT</v>
          </cell>
          <cell r="S41" t="str">
            <v>NVT</v>
          </cell>
        </row>
        <row r="42">
          <cell r="A42" t="str">
            <v>TEC.365.1</v>
          </cell>
          <cell r="B42">
            <v>365</v>
          </cell>
          <cell r="C42" t="str">
            <v>Technische ruimten</v>
          </cell>
          <cell r="D42" t="str">
            <v>Klasse 1</v>
          </cell>
          <cell r="E42">
            <v>0.18545454545454548</v>
          </cell>
          <cell r="F42">
            <v>0.255</v>
          </cell>
          <cell r="G42"/>
          <cell r="H42">
            <v>0.18333333333333332</v>
          </cell>
          <cell r="I42">
            <v>585.13480689822688</v>
          </cell>
          <cell r="J42">
            <v>28.759999999999998</v>
          </cell>
          <cell r="K42" t="str">
            <v>nee</v>
          </cell>
          <cell r="L42" t="str">
            <v>V</v>
          </cell>
          <cell r="M42" t="str">
            <v>naloop</v>
          </cell>
          <cell r="N42" t="str">
            <v>Volledig</v>
          </cell>
          <cell r="O42" t="str">
            <v>naloop</v>
          </cell>
          <cell r="P42" t="str">
            <v>Volledig</v>
          </cell>
          <cell r="Q42" t="str">
            <v>naloop</v>
          </cell>
          <cell r="R42" t="str">
            <v>naloop</v>
          </cell>
          <cell r="S42" t="str">
            <v>naloop</v>
          </cell>
        </row>
        <row r="43">
          <cell r="A43" t="str">
            <v>TEC.365.2</v>
          </cell>
          <cell r="B43">
            <v>365</v>
          </cell>
          <cell r="C43" t="str">
            <v>Technische ruimten</v>
          </cell>
          <cell r="D43" t="str">
            <v>Klasse 2</v>
          </cell>
          <cell r="E43">
            <v>0.23181818181818181</v>
          </cell>
          <cell r="F43">
            <v>0.21249999999999999</v>
          </cell>
          <cell r="G43">
            <v>0.1</v>
          </cell>
          <cell r="H43">
            <v>9.166666666666666E-2</v>
          </cell>
          <cell r="I43">
            <v>573.91304347826087</v>
          </cell>
          <cell r="J43">
            <v>15.9</v>
          </cell>
          <cell r="K43" t="str">
            <v>nee</v>
          </cell>
          <cell r="L43" t="str">
            <v>V</v>
          </cell>
          <cell r="M43" t="str">
            <v>Volledig</v>
          </cell>
          <cell r="N43" t="str">
            <v>naloop</v>
          </cell>
          <cell r="O43" t="str">
            <v>Volledig</v>
          </cell>
          <cell r="P43" t="str">
            <v>naloop</v>
          </cell>
          <cell r="Q43" t="str">
            <v>Volledig</v>
          </cell>
          <cell r="R43" t="str">
            <v>naloop</v>
          </cell>
          <cell r="S43" t="str">
            <v>Volledig</v>
          </cell>
        </row>
        <row r="44">
          <cell r="A44" t="str">
            <v>ROL.365.1</v>
          </cell>
          <cell r="B44">
            <v>365</v>
          </cell>
          <cell r="C44" t="str">
            <v>Roltrappen(inclusief aangrenzende bouwdelen)</v>
          </cell>
          <cell r="D44" t="str">
            <v>Klasse 1</v>
          </cell>
          <cell r="E44">
            <v>0.58285714285714285</v>
          </cell>
          <cell r="F44">
            <v>0.58908834782816299</v>
          </cell>
          <cell r="G44"/>
          <cell r="H44">
            <v>0.43018951716398751</v>
          </cell>
          <cell r="I44">
            <v>227.82100023516506</v>
          </cell>
          <cell r="J44">
            <v>252</v>
          </cell>
          <cell r="K44" t="str">
            <v>ja</v>
          </cell>
          <cell r="L44" t="str">
            <v>V</v>
          </cell>
          <cell r="M44" t="str">
            <v>naloop</v>
          </cell>
          <cell r="N44" t="str">
            <v>Volledig</v>
          </cell>
          <cell r="O44" t="str">
            <v>naloop</v>
          </cell>
          <cell r="P44" t="str">
            <v>Volledig</v>
          </cell>
          <cell r="Q44" t="str">
            <v>naloop</v>
          </cell>
          <cell r="R44" t="str">
            <v>naloop</v>
          </cell>
          <cell r="S44" t="str">
            <v>naloop</v>
          </cell>
        </row>
        <row r="45">
          <cell r="A45" t="str">
            <v>ROL.365.2</v>
          </cell>
          <cell r="B45">
            <v>365</v>
          </cell>
          <cell r="C45" t="str">
            <v>Roltrappen(inclusief aangrenzende bouwdelen)</v>
          </cell>
          <cell r="D45" t="str">
            <v>Klasse 2</v>
          </cell>
          <cell r="E45">
            <v>0.86857142857142855</v>
          </cell>
          <cell r="F45">
            <v>0.38163096397273627</v>
          </cell>
          <cell r="G45">
            <v>0.31428571428571428</v>
          </cell>
          <cell r="H45">
            <v>0.20952288218111009</v>
          </cell>
          <cell r="I45">
            <v>205.74844364604948</v>
          </cell>
          <cell r="J45">
            <v>366</v>
          </cell>
          <cell r="K45" t="str">
            <v>ja</v>
          </cell>
          <cell r="L45" t="str">
            <v>V</v>
          </cell>
          <cell r="M45" t="str">
            <v>Volledig</v>
          </cell>
          <cell r="N45" t="str">
            <v>naloop</v>
          </cell>
          <cell r="O45" t="str">
            <v>Volledig</v>
          </cell>
          <cell r="P45" t="str">
            <v>naloop</v>
          </cell>
          <cell r="Q45" t="str">
            <v>Volledig</v>
          </cell>
          <cell r="R45" t="str">
            <v>naloop</v>
          </cell>
          <cell r="S45" t="str">
            <v>Volledig</v>
          </cell>
        </row>
        <row r="46">
          <cell r="A46" t="str">
            <v>ROL.365.1a</v>
          </cell>
          <cell r="B46">
            <v>365</v>
          </cell>
          <cell r="C46" t="str">
            <v>Roltrappen(inclusief aangrenzende bouwdelen)</v>
          </cell>
          <cell r="D46" t="str">
            <v>Klasse 1</v>
          </cell>
          <cell r="E46">
            <v>0.43131428571428571</v>
          </cell>
          <cell r="F46">
            <v>0.4359253773928406</v>
          </cell>
          <cell r="G46"/>
          <cell r="H46">
            <v>0.31834024270135075</v>
          </cell>
          <cell r="I46">
            <v>307.86621653400681</v>
          </cell>
          <cell r="J46">
            <v>499.07</v>
          </cell>
          <cell r="K46" t="str">
            <v>ja</v>
          </cell>
          <cell r="L46" t="str">
            <v>V</v>
          </cell>
          <cell r="M46" t="str">
            <v>naloop</v>
          </cell>
          <cell r="N46" t="str">
            <v>Volledig</v>
          </cell>
          <cell r="O46" t="str">
            <v>naloop</v>
          </cell>
          <cell r="P46" t="str">
            <v>Volledig</v>
          </cell>
          <cell r="Q46" t="str">
            <v>naloop</v>
          </cell>
          <cell r="R46" t="str">
            <v>naloop</v>
          </cell>
          <cell r="S46" t="str">
            <v>naloop</v>
          </cell>
        </row>
        <row r="47">
          <cell r="A47" t="str">
            <v>ROL.365.2a</v>
          </cell>
          <cell r="B47">
            <v>365</v>
          </cell>
          <cell r="C47" t="str">
            <v>Roltrappen(inclusief aangrenzende bouwdelen)</v>
          </cell>
          <cell r="D47" t="str">
            <v>Klasse 2</v>
          </cell>
          <cell r="E47">
            <v>0.64274285714285717</v>
          </cell>
          <cell r="F47">
            <v>0.28240691333982482</v>
          </cell>
          <cell r="G47">
            <v>0.23257142857142857</v>
          </cell>
          <cell r="H47">
            <v>0.15504693281402146</v>
          </cell>
          <cell r="I47">
            <v>278.03843735952631</v>
          </cell>
          <cell r="J47">
            <v>1021.39</v>
          </cell>
          <cell r="K47" t="str">
            <v>ja</v>
          </cell>
          <cell r="L47" t="str">
            <v>V</v>
          </cell>
          <cell r="M47" t="str">
            <v>Volledig</v>
          </cell>
          <cell r="N47" t="str">
            <v>naloop</v>
          </cell>
          <cell r="O47" t="str">
            <v>Volledig</v>
          </cell>
          <cell r="P47" t="str">
            <v>naloop</v>
          </cell>
          <cell r="Q47" t="str">
            <v>Volledig</v>
          </cell>
          <cell r="R47" t="str">
            <v>naloop</v>
          </cell>
          <cell r="S47" t="str">
            <v>Volledig</v>
          </cell>
        </row>
        <row r="48">
          <cell r="A48" t="str">
            <v>BES.0002</v>
          </cell>
          <cell r="B48">
            <v>2</v>
          </cell>
          <cell r="C48" t="str">
            <v>Bestrating</v>
          </cell>
          <cell r="D48" t="str">
            <v>2 x per jaar</v>
          </cell>
          <cell r="E48">
            <v>1.3333333333333332E-2</v>
          </cell>
          <cell r="F48"/>
          <cell r="G48"/>
          <cell r="H48"/>
          <cell r="I48">
            <v>150</v>
          </cell>
          <cell r="J48">
            <v>190</v>
          </cell>
          <cell r="K48" t="str">
            <v>ja</v>
          </cell>
          <cell r="L48" t="str">
            <v>V</v>
          </cell>
          <cell r="M48" t="str">
            <v>Zie Freq</v>
          </cell>
          <cell r="N48" t="str">
            <v>Zie Freq</v>
          </cell>
          <cell r="O48" t="str">
            <v>Zie Freq</v>
          </cell>
          <cell r="P48" t="str">
            <v>Zie Freq</v>
          </cell>
          <cell r="Q48" t="str">
            <v>Zie Freq</v>
          </cell>
          <cell r="R48" t="str">
            <v>NVT</v>
          </cell>
          <cell r="S48" t="str">
            <v>NVT</v>
          </cell>
        </row>
        <row r="49">
          <cell r="A49" t="str">
            <v>BES.0012</v>
          </cell>
          <cell r="B49">
            <v>12</v>
          </cell>
          <cell r="C49" t="str">
            <v>Bestrating</v>
          </cell>
          <cell r="D49" t="str">
            <v>12 x per jaar</v>
          </cell>
          <cell r="E49">
            <v>0.08</v>
          </cell>
          <cell r="F49"/>
          <cell r="G49"/>
          <cell r="H49"/>
          <cell r="I49">
            <v>150</v>
          </cell>
          <cell r="J49">
            <v>48</v>
          </cell>
          <cell r="K49" t="str">
            <v>ja</v>
          </cell>
          <cell r="L49" t="str">
            <v>V</v>
          </cell>
          <cell r="M49" t="str">
            <v>Zie Freq</v>
          </cell>
          <cell r="N49" t="str">
            <v>Zie Freq</v>
          </cell>
          <cell r="O49" t="str">
            <v>Zie Freq</v>
          </cell>
          <cell r="P49" t="str">
            <v>Zie Freq</v>
          </cell>
          <cell r="Q49" t="str">
            <v>Zie Freq</v>
          </cell>
          <cell r="R49" t="str">
            <v>NVT</v>
          </cell>
          <cell r="S49" t="str">
            <v>NVT</v>
          </cell>
        </row>
        <row r="50">
          <cell r="A50" t="str">
            <v>BES.365.1</v>
          </cell>
          <cell r="B50">
            <v>365</v>
          </cell>
          <cell r="C50" t="str">
            <v>Bestrating</v>
          </cell>
          <cell r="D50" t="str">
            <v>Klasse 1</v>
          </cell>
          <cell r="E50">
            <v>7.8057311714545011E-2</v>
          </cell>
          <cell r="F50">
            <v>8.7240524857432666E-2</v>
          </cell>
          <cell r="G50"/>
          <cell r="H50">
            <v>6.3708541178783065E-2</v>
          </cell>
          <cell r="I50">
            <v>1593.8420736790486</v>
          </cell>
          <cell r="J50">
            <v>513</v>
          </cell>
          <cell r="K50" t="str">
            <v>ja</v>
          </cell>
          <cell r="L50" t="str">
            <v>V</v>
          </cell>
          <cell r="M50" t="str">
            <v>naloop</v>
          </cell>
          <cell r="N50" t="str">
            <v>Volledig</v>
          </cell>
          <cell r="O50" t="str">
            <v>naloop</v>
          </cell>
          <cell r="P50" t="str">
            <v>Volledig</v>
          </cell>
          <cell r="Q50" t="str">
            <v>naloop</v>
          </cell>
          <cell r="R50" t="str">
            <v>naloop</v>
          </cell>
          <cell r="S50" t="str">
            <v>naloop</v>
          </cell>
        </row>
        <row r="51">
          <cell r="A51" t="str">
            <v>BES.365.2</v>
          </cell>
          <cell r="B51">
            <v>365</v>
          </cell>
          <cell r="C51" t="str">
            <v>Bestrating</v>
          </cell>
          <cell r="D51" t="str">
            <v>Klasse 2</v>
          </cell>
          <cell r="E51">
            <v>0.11632069980991021</v>
          </cell>
          <cell r="F51">
            <v>5.8542983785908796E-2</v>
          </cell>
          <cell r="G51">
            <v>4.2089726904901717E-2</v>
          </cell>
          <cell r="H51">
            <v>3.2141246000106788E-2</v>
          </cell>
          <cell r="I51">
            <v>1465.3064225758992</v>
          </cell>
          <cell r="J51">
            <v>738.2299999999999</v>
          </cell>
          <cell r="K51" t="str">
            <v>ja</v>
          </cell>
          <cell r="L51" t="str">
            <v>V</v>
          </cell>
          <cell r="M51" t="str">
            <v>Volledig</v>
          </cell>
          <cell r="N51" t="str">
            <v>naloop</v>
          </cell>
          <cell r="O51" t="str">
            <v>Volledig</v>
          </cell>
          <cell r="P51" t="str">
            <v>naloop</v>
          </cell>
          <cell r="Q51" t="str">
            <v>Volledig</v>
          </cell>
          <cell r="R51" t="str">
            <v>naloop</v>
          </cell>
          <cell r="S51" t="str">
            <v>Volledig</v>
          </cell>
        </row>
        <row r="52">
          <cell r="A52" t="str">
            <v>BES.365.1a</v>
          </cell>
          <cell r="B52">
            <v>365</v>
          </cell>
          <cell r="C52" t="str">
            <v>Bestrating</v>
          </cell>
          <cell r="D52" t="str">
            <v>Klasse 1</v>
          </cell>
          <cell r="E52">
            <v>5.7762410668763309E-2</v>
          </cell>
          <cell r="F52">
            <v>6.4557988394500179E-2</v>
          </cell>
          <cell r="G52"/>
          <cell r="H52">
            <v>4.7144320472299467E-2</v>
          </cell>
          <cell r="I52">
            <v>2153.8406401068219</v>
          </cell>
          <cell r="J52">
            <v>0</v>
          </cell>
          <cell r="K52" t="str">
            <v>ja</v>
          </cell>
          <cell r="L52" t="str">
            <v>V</v>
          </cell>
          <cell r="M52" t="str">
            <v>naloop</v>
          </cell>
          <cell r="N52" t="str">
            <v>Volledig</v>
          </cell>
          <cell r="O52" t="str">
            <v>naloop</v>
          </cell>
          <cell r="P52" t="str">
            <v>Volledig</v>
          </cell>
          <cell r="Q52" t="str">
            <v>naloop</v>
          </cell>
          <cell r="R52" t="str">
            <v>naloop</v>
          </cell>
          <cell r="S52" t="str">
            <v>naloop</v>
          </cell>
        </row>
        <row r="53">
          <cell r="A53" t="str">
            <v>BES.365.2a</v>
          </cell>
          <cell r="B53">
            <v>365</v>
          </cell>
          <cell r="C53" t="str">
            <v>Bestrating</v>
          </cell>
          <cell r="D53" t="str">
            <v>Klasse 2</v>
          </cell>
          <cell r="E53">
            <v>8.6077317859333549E-2</v>
          </cell>
          <cell r="F53">
            <v>4.3321808001572509E-2</v>
          </cell>
          <cell r="G53">
            <v>3.1146397909627269E-2</v>
          </cell>
          <cell r="H53">
            <v>2.3784522040079022E-2</v>
          </cell>
          <cell r="I53">
            <v>1980.1438142917557</v>
          </cell>
          <cell r="J53">
            <v>0</v>
          </cell>
          <cell r="K53" t="str">
            <v>ja</v>
          </cell>
          <cell r="L53" t="str">
            <v>V</v>
          </cell>
          <cell r="M53" t="str">
            <v>Volledig</v>
          </cell>
          <cell r="N53" t="str">
            <v>naloop</v>
          </cell>
          <cell r="O53" t="str">
            <v>Volledig</v>
          </cell>
          <cell r="P53" t="str">
            <v>naloop</v>
          </cell>
          <cell r="Q53" t="str">
            <v>Volledig</v>
          </cell>
          <cell r="R53" t="str">
            <v>naloop</v>
          </cell>
          <cell r="S53" t="str">
            <v>Volledig</v>
          </cell>
        </row>
        <row r="54">
          <cell r="A54" t="str">
            <v>BER.0001</v>
          </cell>
          <cell r="B54">
            <v>1</v>
          </cell>
          <cell r="C54" t="str">
            <v>Berging/opslag/magazijn</v>
          </cell>
          <cell r="D54" t="str">
            <v>1 x per jaar</v>
          </cell>
          <cell r="E54">
            <v>2.5000000000000001E-3</v>
          </cell>
          <cell r="F54"/>
          <cell r="G54"/>
          <cell r="H54"/>
          <cell r="I54">
            <v>400</v>
          </cell>
          <cell r="J54">
            <v>16</v>
          </cell>
          <cell r="K54" t="str">
            <v>nee</v>
          </cell>
          <cell r="L54" t="str">
            <v>V</v>
          </cell>
          <cell r="M54" t="str">
            <v>Zie Freq</v>
          </cell>
          <cell r="N54" t="str">
            <v>Zie Freq</v>
          </cell>
          <cell r="O54" t="str">
            <v>Zie Freq</v>
          </cell>
          <cell r="P54" t="str">
            <v>Zie Freq</v>
          </cell>
          <cell r="Q54" t="str">
            <v>Zie Freq</v>
          </cell>
          <cell r="R54" t="str">
            <v>NVT</v>
          </cell>
          <cell r="S54" t="str">
            <v>NVT</v>
          </cell>
        </row>
        <row r="55">
          <cell r="A55" t="str">
            <v>BER.0002</v>
          </cell>
          <cell r="B55">
            <v>2</v>
          </cell>
          <cell r="C55" t="str">
            <v>Berging/opslag/magazijn</v>
          </cell>
          <cell r="D55" t="str">
            <v>2 x per jaar</v>
          </cell>
          <cell r="E55">
            <v>4.9999999999999992E-3</v>
          </cell>
          <cell r="F55"/>
          <cell r="G55"/>
          <cell r="H55"/>
          <cell r="I55">
            <v>400.00000000000006</v>
          </cell>
          <cell r="J55">
            <v>415.64000000000004</v>
          </cell>
          <cell r="K55" t="str">
            <v>nee</v>
          </cell>
          <cell r="L55" t="str">
            <v>V</v>
          </cell>
          <cell r="M55" t="str">
            <v>Zie Freq</v>
          </cell>
          <cell r="N55" t="str">
            <v>Zie Freq</v>
          </cell>
          <cell r="O55" t="str">
            <v>Zie Freq</v>
          </cell>
          <cell r="P55" t="str">
            <v>Zie Freq</v>
          </cell>
          <cell r="Q55" t="str">
            <v>Zie Freq</v>
          </cell>
          <cell r="R55" t="str">
            <v>NVT</v>
          </cell>
          <cell r="S55" t="str">
            <v>NVT</v>
          </cell>
        </row>
        <row r="56">
          <cell r="A56" t="str">
            <v>BER.0003</v>
          </cell>
          <cell r="B56">
            <v>3</v>
          </cell>
          <cell r="C56" t="str">
            <v>Berging/opslag/magazijn</v>
          </cell>
          <cell r="D56" t="str">
            <v>3 x per jaar</v>
          </cell>
          <cell r="E56">
            <v>7.4999999999999989E-3</v>
          </cell>
          <cell r="F56"/>
          <cell r="G56"/>
          <cell r="H56"/>
          <cell r="I56">
            <v>400.00000000000006</v>
          </cell>
          <cell r="J56">
            <v>109.45100000000001</v>
          </cell>
          <cell r="K56" t="str">
            <v>nee</v>
          </cell>
          <cell r="L56" t="str">
            <v>V</v>
          </cell>
          <cell r="M56" t="str">
            <v>Zie Freq</v>
          </cell>
          <cell r="N56" t="str">
            <v>Zie Freq</v>
          </cell>
          <cell r="O56" t="str">
            <v>Zie Freq</v>
          </cell>
          <cell r="P56" t="str">
            <v>Zie Freq</v>
          </cell>
          <cell r="Q56" t="str">
            <v>Zie Freq</v>
          </cell>
          <cell r="R56" t="str">
            <v>NVT</v>
          </cell>
          <cell r="S56" t="str">
            <v>NVT</v>
          </cell>
        </row>
        <row r="57">
          <cell r="A57" t="str">
            <v>BER.365.1</v>
          </cell>
          <cell r="B57">
            <v>365</v>
          </cell>
          <cell r="C57" t="str">
            <v>Berging/opslag/magazijn</v>
          </cell>
          <cell r="D57" t="str">
            <v>Klasse 1</v>
          </cell>
          <cell r="E57">
            <v>0.17435897435897435</v>
          </cell>
          <cell r="F57">
            <v>0.23538461538461539</v>
          </cell>
          <cell r="G57"/>
          <cell r="H57">
            <v>0.16923076923076924</v>
          </cell>
          <cell r="I57">
            <v>630.42515500442869</v>
          </cell>
          <cell r="J57">
            <v>19.899999999999999</v>
          </cell>
          <cell r="K57" t="str">
            <v>nee</v>
          </cell>
          <cell r="L57" t="str">
            <v>V</v>
          </cell>
          <cell r="M57" t="str">
            <v>naloop</v>
          </cell>
          <cell r="N57" t="str">
            <v>Volledig</v>
          </cell>
          <cell r="O57" t="str">
            <v>naloop</v>
          </cell>
          <cell r="P57" t="str">
            <v>Volledig</v>
          </cell>
          <cell r="Q57" t="str">
            <v>naloop</v>
          </cell>
          <cell r="R57" t="str">
            <v>naloop</v>
          </cell>
          <cell r="S57" t="str">
            <v>naloop</v>
          </cell>
        </row>
        <row r="58">
          <cell r="A58" t="str">
            <v>KAN.0002</v>
          </cell>
          <cell r="B58">
            <v>2</v>
          </cell>
          <cell r="C58" t="str">
            <v>Kantoren/spreekkamers</v>
          </cell>
          <cell r="D58" t="str">
            <v>2 x per jaar</v>
          </cell>
          <cell r="E58">
            <v>0.02</v>
          </cell>
          <cell r="F58"/>
          <cell r="G58"/>
          <cell r="H58"/>
          <cell r="I58">
            <v>100</v>
          </cell>
          <cell r="J58">
            <v>89</v>
          </cell>
          <cell r="K58" t="str">
            <v>nee</v>
          </cell>
          <cell r="L58" t="str">
            <v>B</v>
          </cell>
          <cell r="M58" t="str">
            <v>Zie Freq</v>
          </cell>
          <cell r="N58" t="str">
            <v>Zie Freq</v>
          </cell>
          <cell r="O58" t="str">
            <v>Zie Freq</v>
          </cell>
          <cell r="P58" t="str">
            <v>Zie Freq</v>
          </cell>
          <cell r="Q58" t="str">
            <v>Zie Freq</v>
          </cell>
          <cell r="R58" t="str">
            <v>NVT</v>
          </cell>
          <cell r="S58" t="str">
            <v>NVT</v>
          </cell>
        </row>
        <row r="59">
          <cell r="A59" t="str">
            <v>KAN.365.1</v>
          </cell>
          <cell r="B59">
            <v>365</v>
          </cell>
          <cell r="C59" t="str">
            <v>Kantoren/spreekkamers</v>
          </cell>
          <cell r="D59" t="str">
            <v>Klasse 1</v>
          </cell>
          <cell r="E59">
            <v>0.27200000000000002</v>
          </cell>
          <cell r="F59">
            <v>0.30452840847365564</v>
          </cell>
          <cell r="G59"/>
          <cell r="H59">
            <v>0.22238587724063011</v>
          </cell>
          <cell r="I59">
            <v>456.87003790859018</v>
          </cell>
          <cell r="J59">
            <v>220.70999999999998</v>
          </cell>
          <cell r="K59" t="str">
            <v>nee</v>
          </cell>
          <cell r="L59" t="str">
            <v>B</v>
          </cell>
          <cell r="M59" t="str">
            <v>naloop</v>
          </cell>
          <cell r="N59" t="str">
            <v>Volledig</v>
          </cell>
          <cell r="O59" t="str">
            <v>naloop</v>
          </cell>
          <cell r="P59" t="str">
            <v>Volledig</v>
          </cell>
          <cell r="Q59" t="str">
            <v>naloop</v>
          </cell>
          <cell r="R59" t="str">
            <v>naloop</v>
          </cell>
          <cell r="S59" t="str">
            <v>naloop</v>
          </cell>
        </row>
        <row r="60">
          <cell r="A60" t="str">
            <v>KAN.365.2</v>
          </cell>
          <cell r="B60">
            <v>365</v>
          </cell>
          <cell r="C60" t="str">
            <v>Kantoren/spreekkamers</v>
          </cell>
          <cell r="D60" t="str">
            <v>Klasse 2</v>
          </cell>
          <cell r="E60">
            <v>0.40533333333333338</v>
          </cell>
          <cell r="F60">
            <v>0.19784556962025315</v>
          </cell>
          <cell r="G60">
            <v>0.1466666666666667</v>
          </cell>
          <cell r="H60">
            <v>0.1086210970464135</v>
          </cell>
          <cell r="I60">
            <v>425.17667158499643</v>
          </cell>
          <cell r="J60">
            <v>325.08</v>
          </cell>
          <cell r="K60" t="str">
            <v>nee</v>
          </cell>
          <cell r="L60" t="str">
            <v>B</v>
          </cell>
          <cell r="M60" t="str">
            <v>Volledig</v>
          </cell>
          <cell r="N60" t="str">
            <v>naloop</v>
          </cell>
          <cell r="O60" t="str">
            <v>Volledig</v>
          </cell>
          <cell r="P60" t="str">
            <v>naloop</v>
          </cell>
          <cell r="Q60" t="str">
            <v>Volledig</v>
          </cell>
          <cell r="R60" t="str">
            <v>naloop</v>
          </cell>
          <cell r="S60" t="str">
            <v>Volledig</v>
          </cell>
        </row>
        <row r="61">
          <cell r="A61" t="str">
            <v>OVE.0001</v>
          </cell>
          <cell r="B61">
            <v>1</v>
          </cell>
          <cell r="C61" t="str">
            <v>Overige</v>
          </cell>
          <cell r="D61" t="str">
            <v>1 x per jaar</v>
          </cell>
          <cell r="E61">
            <v>6.6666666666666688E-3</v>
          </cell>
          <cell r="F61"/>
          <cell r="G61"/>
          <cell r="H61"/>
          <cell r="I61">
            <v>149.99999999999994</v>
          </cell>
          <cell r="J61">
            <v>2038.1535349999997</v>
          </cell>
          <cell r="K61" t="str">
            <v>nee</v>
          </cell>
          <cell r="L61" t="str">
            <v>V</v>
          </cell>
          <cell r="M61" t="str">
            <v>Zie Freq</v>
          </cell>
          <cell r="N61" t="str">
            <v>Zie Freq</v>
          </cell>
          <cell r="O61" t="str">
            <v>Zie Freq</v>
          </cell>
          <cell r="P61" t="str">
            <v>Zie Freq</v>
          </cell>
          <cell r="Q61" t="str">
            <v>Zie Freq</v>
          </cell>
          <cell r="R61" t="str">
            <v>NVT</v>
          </cell>
          <cell r="S61" t="str">
            <v>NVT</v>
          </cell>
        </row>
        <row r="62">
          <cell r="A62" t="str">
            <v>OVE.0003</v>
          </cell>
          <cell r="B62">
            <v>3</v>
          </cell>
          <cell r="C62" t="str">
            <v>Overige</v>
          </cell>
          <cell r="D62" t="str">
            <v>3 x per jaar</v>
          </cell>
          <cell r="E62">
            <v>1.9999999999999997E-2</v>
          </cell>
          <cell r="F62"/>
          <cell r="G62"/>
          <cell r="H62"/>
          <cell r="I62">
            <v>150.00000000000003</v>
          </cell>
          <cell r="J62">
            <v>172.91300000000004</v>
          </cell>
          <cell r="K62" t="str">
            <v>nee</v>
          </cell>
          <cell r="L62" t="str">
            <v>V</v>
          </cell>
          <cell r="M62" t="str">
            <v>Zie Freq</v>
          </cell>
          <cell r="N62" t="str">
            <v>Zie Freq</v>
          </cell>
          <cell r="O62" t="str">
            <v>Zie Freq</v>
          </cell>
          <cell r="P62" t="str">
            <v>Zie Freq</v>
          </cell>
          <cell r="Q62" t="str">
            <v>Zie Freq</v>
          </cell>
          <cell r="R62" t="str">
            <v>NVT</v>
          </cell>
          <cell r="S62" t="str">
            <v>NVT</v>
          </cell>
        </row>
        <row r="63">
          <cell r="A63" t="str">
            <v>NVT.0000</v>
          </cell>
          <cell r="B63">
            <v>0</v>
          </cell>
          <cell r="C63" t="str">
            <v>Niet van toepassing</v>
          </cell>
          <cell r="D63" t="str">
            <v>Niet van toepassing</v>
          </cell>
          <cell r="E63"/>
          <cell r="F63"/>
          <cell r="G63"/>
          <cell r="H63"/>
          <cell r="I63"/>
          <cell r="J63">
            <v>2020.6954999999998</v>
          </cell>
          <cell r="K63"/>
          <cell r="L63"/>
          <cell r="M63" t="str">
            <v>NVT</v>
          </cell>
          <cell r="N63" t="str">
            <v>NVT</v>
          </cell>
          <cell r="O63" t="str">
            <v>NVT</v>
          </cell>
          <cell r="P63" t="str">
            <v>NVT</v>
          </cell>
          <cell r="Q63" t="str">
            <v>NVT</v>
          </cell>
          <cell r="R63" t="str">
            <v>NVT</v>
          </cell>
          <cell r="S63" t="str">
            <v>NVT</v>
          </cell>
        </row>
        <row r="64">
          <cell r="A64" t="str">
            <v>O.A.0000</v>
          </cell>
          <cell r="B64">
            <v>0</v>
          </cell>
          <cell r="C64" t="str">
            <v>Op afroep</v>
          </cell>
          <cell r="D64" t="str">
            <v>Op afroep</v>
          </cell>
          <cell r="E64"/>
          <cell r="F64"/>
          <cell r="G64"/>
          <cell r="H64"/>
          <cell r="I64"/>
          <cell r="J64">
            <v>5039.7832500000004</v>
          </cell>
          <cell r="K64"/>
          <cell r="L64"/>
          <cell r="M64" t="str">
            <v>o.a.</v>
          </cell>
          <cell r="N64" t="str">
            <v>o.a.</v>
          </cell>
          <cell r="O64" t="str">
            <v>o.a.</v>
          </cell>
          <cell r="P64" t="str">
            <v>o.a.</v>
          </cell>
          <cell r="Q64" t="str">
            <v>o.a.</v>
          </cell>
          <cell r="R64" t="str">
            <v>o.a.</v>
          </cell>
          <cell r="S64" t="str">
            <v>o.a.</v>
          </cell>
        </row>
        <row r="65">
          <cell r="A65"/>
          <cell r="B65"/>
          <cell r="C65"/>
          <cell r="D65"/>
          <cell r="E65"/>
          <cell r="F65"/>
          <cell r="G65"/>
          <cell r="H65"/>
          <cell r="I65"/>
          <cell r="J65">
            <v>109661.20737906775</v>
          </cell>
          <cell r="K65"/>
          <cell r="L65"/>
          <cell r="M65"/>
          <cell r="N65"/>
          <cell r="O65"/>
          <cell r="P65"/>
          <cell r="Q65"/>
          <cell r="R65"/>
          <cell r="S65"/>
        </row>
        <row r="66">
          <cell r="A66"/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Q66"/>
          <cell r="R66"/>
          <cell r="S66"/>
        </row>
      </sheetData>
      <sheetData sheetId="6"/>
      <sheetData sheetId="7"/>
      <sheetData sheetId="8"/>
      <sheetData sheetId="9">
        <row r="6">
          <cell r="A6" t="str">
            <v>Besteknummer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taties"/>
      <sheetName val="Kengetal"/>
    </sheetNames>
    <sheetDataSet>
      <sheetData sheetId="0" refreshError="1"/>
      <sheetData sheetId="1">
        <row r="10">
          <cell r="A10" t="str">
            <v>PROGR.CODE</v>
          </cell>
          <cell r="B10" t="str">
            <v>FREQ. PER JAAR</v>
          </cell>
          <cell r="C10" t="str">
            <v>RUIMTECATEGORIE</v>
          </cell>
          <cell r="D10" t="str">
            <v>FREQ. OMSCHRIJVING</v>
          </cell>
          <cell r="E10" t="str">
            <v>KENGETAL BASIS-BEURT</v>
          </cell>
          <cell r="F10" t="str">
            <v>KENGETAL NALOOP-BEURT</v>
          </cell>
          <cell r="G10" t="str">
            <v>KENGETAL ZA-ZO-FST</v>
          </cell>
          <cell r="H10" t="str">
            <v>KENGETAL ZA-ZO-FST NALOOP-BEURT</v>
          </cell>
        </row>
        <row r="12">
          <cell r="A12" t="str">
            <v>01.0012</v>
          </cell>
          <cell r="B12">
            <v>12</v>
          </cell>
          <cell r="C12" t="str">
            <v>diensten perrons</v>
          </cell>
          <cell r="D12" t="str">
            <v>1 x per maand</v>
          </cell>
          <cell r="E12">
            <v>0.11076255714285714</v>
          </cell>
        </row>
        <row r="13">
          <cell r="A13" t="str">
            <v>01.0730b</v>
          </cell>
          <cell r="B13">
            <v>730</v>
          </cell>
          <cell r="C13" t="str">
            <v>perrons Oost en Ringlijn</v>
          </cell>
          <cell r="D13" t="str">
            <v>14x per week</v>
          </cell>
          <cell r="E13">
            <v>0.64832109593023257</v>
          </cell>
          <cell r="F13">
            <v>0.21610169491525424</v>
          </cell>
          <cell r="G13">
            <v>0.10870596981132075</v>
          </cell>
          <cell r="H13">
            <v>9.3220338983050849E-2</v>
          </cell>
        </row>
        <row r="14">
          <cell r="A14" t="str">
            <v>01.1095b</v>
          </cell>
          <cell r="B14">
            <v>1095</v>
          </cell>
          <cell r="C14" t="str">
            <v>perrons Oost en Ringlijn</v>
          </cell>
          <cell r="D14" t="str">
            <v>21x per week</v>
          </cell>
          <cell r="E14">
            <v>0.64832109593023257</v>
          </cell>
          <cell r="F14">
            <v>0.34296729491525424</v>
          </cell>
          <cell r="G14">
            <v>0.10870596981132075</v>
          </cell>
          <cell r="H14">
            <v>0.14794667623795282</v>
          </cell>
        </row>
        <row r="15">
          <cell r="A15" t="str">
            <v>01.1460b</v>
          </cell>
          <cell r="B15">
            <v>1460</v>
          </cell>
          <cell r="C15" t="str">
            <v>perrons Oost en Ringlijn</v>
          </cell>
          <cell r="D15" t="str">
            <v>28x per week</v>
          </cell>
          <cell r="E15">
            <v>0.64832109593023257</v>
          </cell>
          <cell r="F15">
            <v>0.39709269491525423</v>
          </cell>
          <cell r="G15">
            <v>0.10870596981132075</v>
          </cell>
          <cell r="H15">
            <v>0.17129488800265869</v>
          </cell>
        </row>
        <row r="16">
          <cell r="A16" t="str">
            <v>02.0000</v>
          </cell>
          <cell r="B16" t="str">
            <v>0</v>
          </cell>
          <cell r="C16" t="str">
            <v>sanitair</v>
          </cell>
          <cell r="D16" t="str">
            <v>op afroep</v>
          </cell>
          <cell r="E16">
            <v>1.8749999999999999E-2</v>
          </cell>
        </row>
        <row r="17">
          <cell r="A17" t="str">
            <v>02.0004</v>
          </cell>
          <cell r="B17">
            <v>4</v>
          </cell>
          <cell r="C17" t="str">
            <v>sanitair</v>
          </cell>
          <cell r="D17" t="str">
            <v>4x per jaar</v>
          </cell>
          <cell r="E17">
            <v>7.4999999999999997E-2</v>
          </cell>
        </row>
        <row r="18">
          <cell r="A18" t="str">
            <v>02.0026</v>
          </cell>
          <cell r="B18">
            <v>26</v>
          </cell>
          <cell r="C18" t="str">
            <v>sanitair</v>
          </cell>
          <cell r="D18" t="str">
            <v xml:space="preserve">1 x per twee weken </v>
          </cell>
          <cell r="E18">
            <v>0.41935</v>
          </cell>
        </row>
        <row r="19">
          <cell r="A19" t="str">
            <v>02.0052</v>
          </cell>
          <cell r="B19">
            <v>52</v>
          </cell>
          <cell r="C19" t="str">
            <v>sanitair</v>
          </cell>
          <cell r="D19" t="str">
            <v>1x per week</v>
          </cell>
          <cell r="E19">
            <v>0.80913461538461495</v>
          </cell>
        </row>
        <row r="20">
          <cell r="A20" t="str">
            <v>02.0156</v>
          </cell>
          <cell r="B20">
            <v>156</v>
          </cell>
          <cell r="C20" t="str">
            <v>sanitair</v>
          </cell>
          <cell r="D20" t="str">
            <v>3x per week</v>
          </cell>
          <cell r="E20">
            <v>2.2655769230769232</v>
          </cell>
        </row>
        <row r="21">
          <cell r="A21" t="str">
            <v>02.0255</v>
          </cell>
          <cell r="B21">
            <v>255</v>
          </cell>
          <cell r="C21" t="str">
            <v>sanitair</v>
          </cell>
          <cell r="D21" t="str">
            <v>5 x per week</v>
          </cell>
          <cell r="E21">
            <v>3.236538461538462</v>
          </cell>
        </row>
        <row r="22">
          <cell r="A22" t="str">
            <v>02.0365</v>
          </cell>
          <cell r="B22">
            <v>365</v>
          </cell>
          <cell r="C22" t="str">
            <v>sanitair</v>
          </cell>
          <cell r="D22" t="str">
            <v>7x per week</v>
          </cell>
          <cell r="E22">
            <v>3.236538461538462</v>
          </cell>
          <cell r="G22">
            <v>1.2914423076923076</v>
          </cell>
        </row>
        <row r="23">
          <cell r="A23" t="str">
            <v>02.0730</v>
          </cell>
          <cell r="B23">
            <v>730</v>
          </cell>
          <cell r="C23" t="str">
            <v>sanitair</v>
          </cell>
          <cell r="D23" t="str">
            <v>14x per week</v>
          </cell>
          <cell r="E23">
            <v>3.236538461538462</v>
          </cell>
          <cell r="F23">
            <v>2.2636504120879128</v>
          </cell>
          <cell r="G23">
            <v>1.2914423076923076</v>
          </cell>
          <cell r="H23">
            <v>0.90546016483516523</v>
          </cell>
        </row>
        <row r="24">
          <cell r="A24" t="str">
            <v>03.0000</v>
          </cell>
          <cell r="B24" t="str">
            <v>0</v>
          </cell>
          <cell r="C24" t="str">
            <v>gangen</v>
          </cell>
          <cell r="D24" t="str">
            <v>op afroep</v>
          </cell>
          <cell r="E24">
            <v>8.4951923076923078E-3</v>
          </cell>
        </row>
        <row r="25">
          <cell r="A25" t="str">
            <v>03.0004</v>
          </cell>
          <cell r="B25">
            <v>4</v>
          </cell>
          <cell r="C25" t="str">
            <v>gangen</v>
          </cell>
          <cell r="D25" t="str">
            <v>4x per jaar</v>
          </cell>
          <cell r="E25">
            <v>3.3980769230769231E-2</v>
          </cell>
        </row>
        <row r="26">
          <cell r="A26" t="str">
            <v>03.0012</v>
          </cell>
          <cell r="B26">
            <v>12</v>
          </cell>
          <cell r="C26" t="str">
            <v>gangen</v>
          </cell>
          <cell r="D26" t="str">
            <v>1 x per maand</v>
          </cell>
          <cell r="E26">
            <v>1.7325791855203616E-2</v>
          </cell>
        </row>
        <row r="27">
          <cell r="A27" t="str">
            <v>03.0365</v>
          </cell>
          <cell r="B27">
            <v>365</v>
          </cell>
          <cell r="C27" t="str">
            <v>gangen</v>
          </cell>
          <cell r="D27" t="str">
            <v>7x per week</v>
          </cell>
          <cell r="E27">
            <v>0.3313557692307692</v>
          </cell>
          <cell r="G27">
            <v>0.11740384615384616</v>
          </cell>
        </row>
        <row r="28">
          <cell r="A28" t="str">
            <v>04.0012</v>
          </cell>
          <cell r="B28">
            <v>12</v>
          </cell>
          <cell r="C28" t="str">
            <v>liften</v>
          </cell>
          <cell r="D28" t="str">
            <v>1 x per maand</v>
          </cell>
          <cell r="E28">
            <v>6.6666666666666652E-2</v>
          </cell>
        </row>
        <row r="29">
          <cell r="A29" t="str">
            <v>04.0365</v>
          </cell>
          <cell r="B29">
            <v>365</v>
          </cell>
          <cell r="C29" t="str">
            <v>liften</v>
          </cell>
          <cell r="D29" t="str">
            <v>7x per week</v>
          </cell>
          <cell r="E29">
            <v>1.2749999999999999</v>
          </cell>
          <cell r="G29">
            <v>0.50875000000000004</v>
          </cell>
        </row>
        <row r="30">
          <cell r="A30" t="str">
            <v>05.0004</v>
          </cell>
          <cell r="B30">
            <v>4</v>
          </cell>
          <cell r="C30" t="str">
            <v>trappen</v>
          </cell>
          <cell r="D30" t="str">
            <v>4x per jaar</v>
          </cell>
          <cell r="E30">
            <v>7.4566465753424654E-3</v>
          </cell>
        </row>
        <row r="31">
          <cell r="A31" t="str">
            <v>05.0730b</v>
          </cell>
          <cell r="B31">
            <v>730</v>
          </cell>
          <cell r="C31" t="str">
            <v>trappen Ring en Oostlijn</v>
          </cell>
          <cell r="D31" t="str">
            <v>14x per week</v>
          </cell>
          <cell r="E31">
            <v>0.51031424999999997</v>
          </cell>
          <cell r="F31">
            <v>0.35416666666666663</v>
          </cell>
          <cell r="G31">
            <v>0.15262500000000001</v>
          </cell>
          <cell r="H31">
            <v>0.15277777777777776</v>
          </cell>
        </row>
        <row r="32">
          <cell r="A32" t="str">
            <v>06.0026</v>
          </cell>
          <cell r="B32">
            <v>26</v>
          </cell>
          <cell r="C32" t="str">
            <v>hallen</v>
          </cell>
          <cell r="D32" t="str">
            <v xml:space="preserve">1 x per twee weken </v>
          </cell>
          <cell r="E32">
            <v>5.4932954010953161E-2</v>
          </cell>
        </row>
        <row r="33">
          <cell r="A33" t="str">
            <v>06.0730</v>
          </cell>
          <cell r="B33">
            <v>730</v>
          </cell>
          <cell r="C33" t="str">
            <v>hallen</v>
          </cell>
          <cell r="D33" t="str">
            <v>14x per week</v>
          </cell>
          <cell r="E33">
            <v>0.45137975933740604</v>
          </cell>
          <cell r="F33">
            <v>0.19921875</v>
          </cell>
          <cell r="G33">
            <v>8.4217160369821104E-2</v>
          </cell>
          <cell r="H33">
            <v>8.59375E-2</v>
          </cell>
        </row>
        <row r="34">
          <cell r="A34" t="str">
            <v>06.1095</v>
          </cell>
          <cell r="B34">
            <v>1095</v>
          </cell>
          <cell r="C34" t="str">
            <v>hallen</v>
          </cell>
          <cell r="D34" t="str">
            <v>21x per week</v>
          </cell>
          <cell r="E34">
            <v>0.45137975933740604</v>
          </cell>
          <cell r="F34">
            <v>0.31617297499999997</v>
          </cell>
          <cell r="G34">
            <v>8.4217160369821104E-2</v>
          </cell>
          <cell r="H34">
            <v>0.13638834215686274</v>
          </cell>
        </row>
        <row r="35">
          <cell r="A35" t="str">
            <v>06.1460</v>
          </cell>
          <cell r="B35">
            <v>1460</v>
          </cell>
          <cell r="C35" t="str">
            <v>hallen</v>
          </cell>
          <cell r="D35" t="str">
            <v>28x per week</v>
          </cell>
          <cell r="E35">
            <v>0.45137975933740604</v>
          </cell>
          <cell r="F35">
            <v>0.366069828125</v>
          </cell>
          <cell r="G35">
            <v>8.4217160369821104E-2</v>
          </cell>
          <cell r="H35">
            <v>0.17</v>
          </cell>
        </row>
        <row r="36">
          <cell r="A36" t="str">
            <v>07.0000a</v>
          </cell>
          <cell r="B36" t="str">
            <v>0</v>
          </cell>
          <cell r="C36" t="str">
            <v>technische ruimten</v>
          </cell>
          <cell r="D36" t="str">
            <v xml:space="preserve">op afroep </v>
          </cell>
          <cell r="E36">
            <v>2E-3</v>
          </cell>
        </row>
        <row r="37">
          <cell r="A37" t="str">
            <v>07.0000b</v>
          </cell>
          <cell r="B37" t="str">
            <v>0</v>
          </cell>
          <cell r="C37" t="str">
            <v>technische ruimten</v>
          </cell>
          <cell r="D37" t="str">
            <v xml:space="preserve">op afroep </v>
          </cell>
          <cell r="E37">
            <v>3.6363636363636364E-3</v>
          </cell>
        </row>
        <row r="38">
          <cell r="A38" t="str">
            <v>07.0002</v>
          </cell>
          <cell r="B38">
            <v>2</v>
          </cell>
          <cell r="C38" t="str">
            <v>technische ruimten</v>
          </cell>
          <cell r="D38" t="str">
            <v>2x per jaar</v>
          </cell>
          <cell r="E38">
            <v>4.6153846153846149E-3</v>
          </cell>
        </row>
        <row r="39">
          <cell r="A39" t="str">
            <v>07.0004</v>
          </cell>
          <cell r="B39">
            <v>4</v>
          </cell>
          <cell r="C39" t="str">
            <v>technische ruimten</v>
          </cell>
          <cell r="D39" t="str">
            <v>4x per jaar</v>
          </cell>
          <cell r="E39">
            <v>1.673076923076923E-2</v>
          </cell>
        </row>
        <row r="40">
          <cell r="A40" t="str">
            <v>08.0730</v>
          </cell>
          <cell r="B40">
            <v>730</v>
          </cell>
          <cell r="C40" t="str">
            <v>roltrappen(inclusief aangrenzende bouwdelen)</v>
          </cell>
          <cell r="D40" t="str">
            <v>14x per week</v>
          </cell>
          <cell r="E40">
            <v>1.7006250000000001</v>
          </cell>
          <cell r="F40">
            <v>1.605</v>
          </cell>
          <cell r="G40">
            <v>0.69286290322580646</v>
          </cell>
          <cell r="H40">
            <v>0.6923529411764705</v>
          </cell>
        </row>
        <row r="41">
          <cell r="A41" t="str">
            <v>09.0000a</v>
          </cell>
          <cell r="B41" t="str">
            <v>0</v>
          </cell>
          <cell r="C41" t="str">
            <v>berging/opslag/magazijn</v>
          </cell>
          <cell r="D41" t="str">
            <v xml:space="preserve">op afroep </v>
          </cell>
          <cell r="E41">
            <v>1.3636363636363637E-3</v>
          </cell>
        </row>
        <row r="42">
          <cell r="A42" t="str">
            <v>09.0000b</v>
          </cell>
          <cell r="B42" t="str">
            <v>0</v>
          </cell>
          <cell r="C42" t="str">
            <v>berging/opslag/magazijn</v>
          </cell>
          <cell r="D42" t="str">
            <v xml:space="preserve">op afroep </v>
          </cell>
          <cell r="E42">
            <v>2.142857142857143E-3</v>
          </cell>
        </row>
        <row r="43">
          <cell r="A43" t="str">
            <v>09.0004</v>
          </cell>
          <cell r="B43">
            <v>4</v>
          </cell>
          <cell r="C43" t="str">
            <v>berging/opslag/magazijn</v>
          </cell>
          <cell r="D43" t="str">
            <v>4x per jaar</v>
          </cell>
          <cell r="E43">
            <v>1.2E-2</v>
          </cell>
        </row>
        <row r="44">
          <cell r="A44" t="str">
            <v>09.0012</v>
          </cell>
          <cell r="B44">
            <v>12</v>
          </cell>
          <cell r="C44" t="str">
            <v>berging/opslag/magazijn</v>
          </cell>
          <cell r="D44" t="str">
            <v>12x per jaar</v>
          </cell>
          <cell r="E44">
            <v>2.2499999999999999E-2</v>
          </cell>
        </row>
        <row r="45">
          <cell r="A45" t="str">
            <v>10.0000</v>
          </cell>
          <cell r="B45" t="str">
            <v>0</v>
          </cell>
          <cell r="C45" t="str">
            <v>kantoren/spreekkamers</v>
          </cell>
          <cell r="D45" t="str">
            <v xml:space="preserve">op afroep </v>
          </cell>
          <cell r="E45">
            <v>1.0760869565217393E-2</v>
          </cell>
        </row>
        <row r="46">
          <cell r="A46" t="str">
            <v>10.0004</v>
          </cell>
          <cell r="B46">
            <v>4</v>
          </cell>
          <cell r="C46" t="str">
            <v>kantoren/spreekkamers</v>
          </cell>
          <cell r="D46" t="str">
            <v>4x per jaar</v>
          </cell>
          <cell r="E46">
            <v>4.3043478260869572E-2</v>
          </cell>
        </row>
        <row r="47">
          <cell r="A47" t="str">
            <v>10.0012</v>
          </cell>
          <cell r="B47">
            <v>12</v>
          </cell>
          <cell r="C47" t="str">
            <v>kantoren/spreekkamers</v>
          </cell>
          <cell r="D47" t="str">
            <v>1 x per maand</v>
          </cell>
          <cell r="E47">
            <v>3.6955017301038055E-2</v>
          </cell>
        </row>
        <row r="48">
          <cell r="A48" t="str">
            <v>10.0026</v>
          </cell>
          <cell r="B48">
            <v>26</v>
          </cell>
          <cell r="C48" t="str">
            <v>kantoren/spreekkamers</v>
          </cell>
          <cell r="D48" t="str">
            <v xml:space="preserve">1 x per twee weken </v>
          </cell>
          <cell r="E48">
            <v>7.5620915032679731E-2</v>
          </cell>
        </row>
        <row r="49">
          <cell r="A49" t="str">
            <v>10.0156</v>
          </cell>
          <cell r="B49">
            <v>156</v>
          </cell>
          <cell r="C49" t="str">
            <v>kantoren/spreekkamers</v>
          </cell>
          <cell r="D49" t="str">
            <v>3x per week</v>
          </cell>
          <cell r="E49">
            <v>0.43333333333333335</v>
          </cell>
        </row>
        <row r="50">
          <cell r="A50" t="str">
            <v>10.0255</v>
          </cell>
          <cell r="B50">
            <v>255</v>
          </cell>
          <cell r="C50" t="str">
            <v>kantoren/spreekkamers</v>
          </cell>
          <cell r="D50" t="str">
            <v>5x per week</v>
          </cell>
          <cell r="E50">
            <v>0.66749999999999998</v>
          </cell>
        </row>
        <row r="51">
          <cell r="A51" t="str">
            <v>10.0365</v>
          </cell>
          <cell r="B51">
            <v>365</v>
          </cell>
          <cell r="C51" t="str">
            <v>kantoren/spreekkamers</v>
          </cell>
          <cell r="D51" t="str">
            <v>7x per week</v>
          </cell>
          <cell r="E51">
            <v>0.66749999999999998</v>
          </cell>
          <cell r="G51">
            <v>0.25437500000000002</v>
          </cell>
        </row>
        <row r="52">
          <cell r="A52" t="str">
            <v>10.0730</v>
          </cell>
          <cell r="B52">
            <v>730</v>
          </cell>
          <cell r="C52" t="str">
            <v>kantoren/spreekkamers</v>
          </cell>
          <cell r="D52" t="str">
            <v>14x per week</v>
          </cell>
          <cell r="E52">
            <v>0.66749999999999998</v>
          </cell>
          <cell r="F52">
            <v>0.61743749999999997</v>
          </cell>
          <cell r="G52">
            <v>0.25437500000000002</v>
          </cell>
          <cell r="H52">
            <v>0.25437500000000002</v>
          </cell>
        </row>
        <row r="53">
          <cell r="A53" t="str">
            <v>11.0004</v>
          </cell>
          <cell r="B53">
            <v>4</v>
          </cell>
          <cell r="C53" t="str">
            <v>kleedruimte</v>
          </cell>
          <cell r="D53" t="str">
            <v>4x per jaar</v>
          </cell>
          <cell r="E53">
            <v>4.2000000000000003E-2</v>
          </cell>
        </row>
        <row r="54">
          <cell r="A54" t="str">
            <v>12.0365</v>
          </cell>
          <cell r="B54">
            <v>365</v>
          </cell>
          <cell r="C54" t="str">
            <v>tussenruimte</v>
          </cell>
          <cell r="D54" t="str">
            <v>7x per week</v>
          </cell>
          <cell r="E54">
            <v>0.64832109593023257</v>
          </cell>
          <cell r="G54">
            <v>0.10870596981132075</v>
          </cell>
        </row>
        <row r="55">
          <cell r="A55" t="str">
            <v>13.0000</v>
          </cell>
          <cell r="B55" t="str">
            <v>0</v>
          </cell>
          <cell r="C55" t="str">
            <v>tegelwerk onder taluut</v>
          </cell>
          <cell r="D55" t="str">
            <v xml:space="preserve">op afroep </v>
          </cell>
          <cell r="E55">
            <v>2.5000000000000001E-3</v>
          </cell>
        </row>
        <row r="56">
          <cell r="A56" t="str">
            <v>14.0000</v>
          </cell>
          <cell r="B56" t="str">
            <v>0</v>
          </cell>
          <cell r="C56" t="str">
            <v>tegelwerk technische ruimten</v>
          </cell>
          <cell r="D56" t="str">
            <v xml:space="preserve">op afroep </v>
          </cell>
          <cell r="E56">
            <v>2.5000000000000001E-3</v>
          </cell>
        </row>
        <row r="57">
          <cell r="A57" t="str">
            <v>15.0000</v>
          </cell>
          <cell r="B57" t="str">
            <v>0</v>
          </cell>
          <cell r="C57" t="str">
            <v xml:space="preserve">fietsenstalling </v>
          </cell>
          <cell r="D57" t="str">
            <v>op afroep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 t="str">
            <v>00.0000</v>
          </cell>
          <cell r="B58" t="str">
            <v>nvt</v>
          </cell>
          <cell r="C58" t="str">
            <v>niet van toepassing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blad"/>
      <sheetName val="1-Contractblad BUDGET"/>
      <sheetName val="1-Contractblad totaal"/>
      <sheetName val="2-Kengetal"/>
      <sheetName val="3-Basis ruimtestaat"/>
      <sheetName val="4-Premies en opslagen"/>
      <sheetName val="5-Opbouw uurtarieven"/>
      <sheetName val="6- toeslagenmatrix"/>
      <sheetName val="7-Machine-investeringskosten"/>
      <sheetName val="8-Afroepprijs "/>
      <sheetName val="9-Glas"/>
    </sheetNames>
    <sheetDataSet>
      <sheetData sheetId="0" refreshError="1"/>
      <sheetData sheetId="1" refreshError="1"/>
      <sheetData sheetId="2"/>
      <sheetData sheetId="3" refreshError="1"/>
      <sheetData sheetId="4">
        <row r="9">
          <cell r="O9" t="str">
            <v>UREN P/JR     NALOOP</v>
          </cell>
        </row>
        <row r="10">
          <cell r="O10">
            <v>0</v>
          </cell>
        </row>
        <row r="11">
          <cell r="O11">
            <v>11.844000000000001</v>
          </cell>
        </row>
        <row r="12">
          <cell r="O12">
            <v>10.264800000000001</v>
          </cell>
        </row>
        <row r="13">
          <cell r="O13">
            <v>36.321600000000004</v>
          </cell>
        </row>
        <row r="14">
          <cell r="O14">
            <v>11.054400000000001</v>
          </cell>
        </row>
        <row r="15">
          <cell r="O15">
            <v>8.6856000000000027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18.160800000000002</v>
          </cell>
        </row>
        <row r="37">
          <cell r="O37">
            <v>18.160800000000002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0">
          <cell r="O50">
            <v>0</v>
          </cell>
        </row>
        <row r="51">
          <cell r="O51">
            <v>0</v>
          </cell>
        </row>
        <row r="52">
          <cell r="O52">
            <v>0</v>
          </cell>
        </row>
        <row r="53">
          <cell r="O53">
            <v>0</v>
          </cell>
        </row>
        <row r="54">
          <cell r="O54">
            <v>0</v>
          </cell>
        </row>
        <row r="55">
          <cell r="O55">
            <v>0</v>
          </cell>
        </row>
        <row r="56">
          <cell r="O56">
            <v>0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12.24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5.4</v>
          </cell>
        </row>
        <row r="79">
          <cell r="O79">
            <v>5.4</v>
          </cell>
        </row>
        <row r="80">
          <cell r="O80">
            <v>0</v>
          </cell>
        </row>
        <row r="81">
          <cell r="O81">
            <v>10.368000000000002</v>
          </cell>
        </row>
        <row r="82">
          <cell r="O82">
            <v>10.368000000000002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4.9920000000000009</v>
          </cell>
        </row>
        <row r="101">
          <cell r="O101">
            <v>5.3760000000000012</v>
          </cell>
        </row>
        <row r="102">
          <cell r="O102">
            <v>5.3760000000000012</v>
          </cell>
        </row>
        <row r="103">
          <cell r="O103">
            <v>19.968000000000004</v>
          </cell>
        </row>
        <row r="104">
          <cell r="O104">
            <v>24.192000000000004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5.3760000000000012</v>
          </cell>
        </row>
        <row r="121">
          <cell r="O121">
            <v>6.5280000000000005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5.7600000000000016</v>
          </cell>
        </row>
        <row r="135">
          <cell r="O135">
            <v>5.7600000000000016</v>
          </cell>
        </row>
        <row r="136">
          <cell r="O136">
            <v>25.344000000000005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4.9920000000000009</v>
          </cell>
        </row>
        <row r="154">
          <cell r="O154">
            <v>5.3760000000000012</v>
          </cell>
        </row>
        <row r="155">
          <cell r="O155">
            <v>5.3760000000000012</v>
          </cell>
        </row>
        <row r="156">
          <cell r="O156">
            <v>24.192000000000004</v>
          </cell>
        </row>
        <row r="157">
          <cell r="O157">
            <v>0</v>
          </cell>
        </row>
        <row r="158">
          <cell r="O158">
            <v>19.584000000000003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5.7600000000000016</v>
          </cell>
        </row>
        <row r="193">
          <cell r="O193">
            <v>5.7600000000000016</v>
          </cell>
        </row>
        <row r="194">
          <cell r="O194">
            <v>25.728000000000005</v>
          </cell>
        </row>
        <row r="195">
          <cell r="O195">
            <v>4.9920000000000009</v>
          </cell>
        </row>
        <row r="196">
          <cell r="O196">
            <v>4.9920000000000009</v>
          </cell>
        </row>
        <row r="197">
          <cell r="O197">
            <v>35.71200000000001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5.3760000000000012</v>
          </cell>
        </row>
        <row r="203">
          <cell r="O203">
            <v>8.8320000000000007</v>
          </cell>
        </row>
        <row r="204">
          <cell r="O204">
            <v>8.4480000000000022</v>
          </cell>
        </row>
        <row r="205">
          <cell r="O205">
            <v>7.2960000000000012</v>
          </cell>
        </row>
        <row r="206">
          <cell r="O206">
            <v>0</v>
          </cell>
        </row>
        <row r="207">
          <cell r="O207">
            <v>6.1440000000000019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  <row r="216">
          <cell r="O216">
            <v>0</v>
          </cell>
        </row>
        <row r="217">
          <cell r="O217">
            <v>0</v>
          </cell>
        </row>
        <row r="218">
          <cell r="O218">
            <v>0</v>
          </cell>
        </row>
        <row r="219">
          <cell r="O219">
            <v>0</v>
          </cell>
        </row>
        <row r="220">
          <cell r="O220">
            <v>0</v>
          </cell>
        </row>
        <row r="221">
          <cell r="O221">
            <v>0</v>
          </cell>
        </row>
        <row r="222">
          <cell r="O222">
            <v>0</v>
          </cell>
        </row>
        <row r="223">
          <cell r="O223">
            <v>0</v>
          </cell>
        </row>
        <row r="224">
          <cell r="O224">
            <v>0</v>
          </cell>
        </row>
        <row r="225">
          <cell r="O225">
            <v>4.6080000000000005</v>
          </cell>
        </row>
        <row r="226">
          <cell r="O226">
            <v>0.76800000000000024</v>
          </cell>
        </row>
        <row r="227">
          <cell r="O227">
            <v>0</v>
          </cell>
        </row>
        <row r="228">
          <cell r="O228">
            <v>6.9120000000000026</v>
          </cell>
        </row>
        <row r="229">
          <cell r="O229">
            <v>0</v>
          </cell>
        </row>
        <row r="230">
          <cell r="O230">
            <v>0</v>
          </cell>
        </row>
        <row r="231">
          <cell r="O231">
            <v>0</v>
          </cell>
        </row>
        <row r="232">
          <cell r="O232">
            <v>0</v>
          </cell>
        </row>
        <row r="233">
          <cell r="O233">
            <v>0</v>
          </cell>
        </row>
        <row r="234">
          <cell r="O234">
            <v>0</v>
          </cell>
        </row>
        <row r="235">
          <cell r="O235">
            <v>0</v>
          </cell>
        </row>
        <row r="236">
          <cell r="O236">
            <v>0</v>
          </cell>
        </row>
        <row r="237">
          <cell r="O237">
            <v>0</v>
          </cell>
        </row>
        <row r="238">
          <cell r="O238">
            <v>0</v>
          </cell>
        </row>
        <row r="239">
          <cell r="O239">
            <v>0</v>
          </cell>
        </row>
        <row r="240">
          <cell r="O240">
            <v>0</v>
          </cell>
        </row>
        <row r="241">
          <cell r="O241">
            <v>0</v>
          </cell>
        </row>
        <row r="242">
          <cell r="O242">
            <v>0</v>
          </cell>
        </row>
        <row r="243">
          <cell r="O243">
            <v>0</v>
          </cell>
        </row>
        <row r="244">
          <cell r="O244">
            <v>0</v>
          </cell>
        </row>
        <row r="245">
          <cell r="O245">
            <v>0</v>
          </cell>
        </row>
        <row r="246">
          <cell r="O246">
            <v>5.6784000000000008</v>
          </cell>
        </row>
        <row r="247">
          <cell r="O247">
            <v>0</v>
          </cell>
        </row>
        <row r="248">
          <cell r="O248">
            <v>0</v>
          </cell>
        </row>
        <row r="249">
          <cell r="O249">
            <v>0</v>
          </cell>
        </row>
        <row r="250">
          <cell r="O250">
            <v>0</v>
          </cell>
        </row>
        <row r="251">
          <cell r="O251">
            <v>19.063200000000005</v>
          </cell>
        </row>
        <row r="252">
          <cell r="O252">
            <v>0</v>
          </cell>
        </row>
        <row r="253">
          <cell r="O253">
            <v>11.356800000000002</v>
          </cell>
        </row>
        <row r="254">
          <cell r="O254">
            <v>4.8672000000000004</v>
          </cell>
        </row>
        <row r="255">
          <cell r="O255">
            <v>0</v>
          </cell>
        </row>
        <row r="256">
          <cell r="O256">
            <v>0</v>
          </cell>
        </row>
        <row r="257">
          <cell r="O257">
            <v>0</v>
          </cell>
        </row>
        <row r="258">
          <cell r="O258">
            <v>0</v>
          </cell>
        </row>
        <row r="259">
          <cell r="O259">
            <v>0</v>
          </cell>
        </row>
        <row r="260">
          <cell r="O260">
            <v>0</v>
          </cell>
        </row>
        <row r="261">
          <cell r="O261">
            <v>0</v>
          </cell>
        </row>
        <row r="262">
          <cell r="O262">
            <v>0</v>
          </cell>
        </row>
        <row r="263">
          <cell r="O263">
            <v>4.056</v>
          </cell>
        </row>
        <row r="264">
          <cell r="O264">
            <v>4.056</v>
          </cell>
        </row>
        <row r="265">
          <cell r="O265">
            <v>4.4616000000000007</v>
          </cell>
        </row>
        <row r="266">
          <cell r="O266">
            <v>37.315200000000004</v>
          </cell>
        </row>
        <row r="267">
          <cell r="O267">
            <v>56.378400000000006</v>
          </cell>
        </row>
        <row r="268">
          <cell r="O268">
            <v>4.4616000000000007</v>
          </cell>
        </row>
        <row r="269">
          <cell r="O269">
            <v>4.4616000000000007</v>
          </cell>
        </row>
        <row r="270">
          <cell r="O270">
            <v>0</v>
          </cell>
        </row>
        <row r="271">
          <cell r="O271">
            <v>0</v>
          </cell>
        </row>
        <row r="272">
          <cell r="O272">
            <v>0</v>
          </cell>
        </row>
        <row r="273">
          <cell r="O273">
            <v>0</v>
          </cell>
        </row>
        <row r="274">
          <cell r="O274">
            <v>0</v>
          </cell>
        </row>
        <row r="275">
          <cell r="O275">
            <v>0</v>
          </cell>
        </row>
        <row r="276">
          <cell r="O276">
            <v>0</v>
          </cell>
        </row>
        <row r="277">
          <cell r="O277">
            <v>0</v>
          </cell>
        </row>
        <row r="278">
          <cell r="O278">
            <v>0</v>
          </cell>
        </row>
        <row r="279">
          <cell r="O279">
            <v>0</v>
          </cell>
        </row>
        <row r="280">
          <cell r="O280">
            <v>0</v>
          </cell>
        </row>
        <row r="281">
          <cell r="O281">
            <v>0</v>
          </cell>
        </row>
        <row r="282">
          <cell r="O282">
            <v>0</v>
          </cell>
        </row>
        <row r="283">
          <cell r="O283">
            <v>0</v>
          </cell>
        </row>
        <row r="284">
          <cell r="O284">
            <v>0</v>
          </cell>
        </row>
        <row r="285">
          <cell r="O285">
            <v>0</v>
          </cell>
        </row>
        <row r="286">
          <cell r="O286">
            <v>0</v>
          </cell>
        </row>
        <row r="287">
          <cell r="O287">
            <v>12.573600000000003</v>
          </cell>
        </row>
        <row r="288">
          <cell r="O288">
            <v>0</v>
          </cell>
        </row>
        <row r="289">
          <cell r="O289">
            <v>0</v>
          </cell>
        </row>
        <row r="290">
          <cell r="O290">
            <v>0</v>
          </cell>
        </row>
        <row r="291">
          <cell r="O291">
            <v>0</v>
          </cell>
        </row>
        <row r="292">
          <cell r="O292">
            <v>0</v>
          </cell>
        </row>
        <row r="293">
          <cell r="O293">
            <v>0</v>
          </cell>
        </row>
        <row r="294">
          <cell r="O294">
            <v>0</v>
          </cell>
        </row>
        <row r="295">
          <cell r="O295">
            <v>0</v>
          </cell>
        </row>
        <row r="296">
          <cell r="O296">
            <v>0</v>
          </cell>
        </row>
        <row r="297">
          <cell r="O297">
            <v>0</v>
          </cell>
        </row>
        <row r="298">
          <cell r="O298">
            <v>0</v>
          </cell>
        </row>
        <row r="299">
          <cell r="O299">
            <v>0</v>
          </cell>
        </row>
        <row r="300">
          <cell r="O300">
            <v>0</v>
          </cell>
        </row>
        <row r="301">
          <cell r="O301">
            <v>0</v>
          </cell>
        </row>
        <row r="302">
          <cell r="O302">
            <v>0</v>
          </cell>
        </row>
        <row r="303">
          <cell r="O303">
            <v>0</v>
          </cell>
        </row>
        <row r="304">
          <cell r="O304">
            <v>0</v>
          </cell>
        </row>
        <row r="305">
          <cell r="O305">
            <v>10.8</v>
          </cell>
        </row>
        <row r="306">
          <cell r="O306">
            <v>10.8</v>
          </cell>
        </row>
        <row r="307">
          <cell r="O307">
            <v>19.800000000000004</v>
          </cell>
        </row>
        <row r="308">
          <cell r="O308">
            <v>38.700000000000003</v>
          </cell>
        </row>
        <row r="309">
          <cell r="O309">
            <v>0</v>
          </cell>
        </row>
        <row r="310">
          <cell r="O310">
            <v>0</v>
          </cell>
        </row>
        <row r="311">
          <cell r="O311">
            <v>0</v>
          </cell>
        </row>
        <row r="312">
          <cell r="O312">
            <v>0</v>
          </cell>
        </row>
        <row r="313">
          <cell r="O313">
            <v>0</v>
          </cell>
        </row>
        <row r="314">
          <cell r="O314">
            <v>0</v>
          </cell>
        </row>
        <row r="315">
          <cell r="O315">
            <v>0</v>
          </cell>
        </row>
        <row r="316">
          <cell r="O316">
            <v>0</v>
          </cell>
        </row>
        <row r="317">
          <cell r="O317">
            <v>0</v>
          </cell>
        </row>
        <row r="318">
          <cell r="O318">
            <v>0</v>
          </cell>
        </row>
        <row r="319">
          <cell r="O319">
            <v>0</v>
          </cell>
        </row>
        <row r="320">
          <cell r="O320">
            <v>0</v>
          </cell>
        </row>
        <row r="321">
          <cell r="O321">
            <v>0</v>
          </cell>
        </row>
        <row r="322">
          <cell r="O322">
            <v>0</v>
          </cell>
        </row>
        <row r="323">
          <cell r="O323">
            <v>0</v>
          </cell>
        </row>
        <row r="324">
          <cell r="O324">
            <v>0</v>
          </cell>
        </row>
        <row r="325">
          <cell r="O325">
            <v>0</v>
          </cell>
        </row>
        <row r="326">
          <cell r="O326">
            <v>0</v>
          </cell>
        </row>
        <row r="327">
          <cell r="O327">
            <v>0</v>
          </cell>
        </row>
        <row r="328">
          <cell r="O328">
            <v>9.9000000000000021</v>
          </cell>
        </row>
        <row r="329">
          <cell r="O329">
            <v>11.700000000000003</v>
          </cell>
        </row>
        <row r="330">
          <cell r="O330">
            <v>9.9000000000000021</v>
          </cell>
        </row>
        <row r="331">
          <cell r="O331">
            <v>11.700000000000003</v>
          </cell>
        </row>
        <row r="332">
          <cell r="O332">
            <v>0</v>
          </cell>
        </row>
        <row r="333">
          <cell r="O333">
            <v>0</v>
          </cell>
        </row>
        <row r="334">
          <cell r="O334">
            <v>0</v>
          </cell>
        </row>
        <row r="335">
          <cell r="O335">
            <v>0</v>
          </cell>
        </row>
        <row r="336">
          <cell r="O336">
            <v>0</v>
          </cell>
        </row>
        <row r="337">
          <cell r="O337">
            <v>0</v>
          </cell>
        </row>
        <row r="338">
          <cell r="O338">
            <v>0</v>
          </cell>
        </row>
        <row r="339">
          <cell r="O339">
            <v>0</v>
          </cell>
        </row>
        <row r="340">
          <cell r="O340">
            <v>0</v>
          </cell>
        </row>
        <row r="341">
          <cell r="O341">
            <v>0</v>
          </cell>
        </row>
        <row r="342">
          <cell r="O342">
            <v>0</v>
          </cell>
        </row>
        <row r="343">
          <cell r="O343">
            <v>0</v>
          </cell>
        </row>
        <row r="344">
          <cell r="O344">
            <v>0</v>
          </cell>
        </row>
        <row r="345">
          <cell r="O345">
            <v>0</v>
          </cell>
        </row>
        <row r="346">
          <cell r="O346">
            <v>13.500000000000002</v>
          </cell>
        </row>
        <row r="347">
          <cell r="O347">
            <v>11.700000000000003</v>
          </cell>
        </row>
        <row r="348">
          <cell r="O348">
            <v>11.700000000000003</v>
          </cell>
        </row>
        <row r="349">
          <cell r="O349">
            <v>11.700000000000003</v>
          </cell>
        </row>
        <row r="350">
          <cell r="O350">
            <v>11.700000000000003</v>
          </cell>
        </row>
        <row r="351">
          <cell r="O351">
            <v>11.700000000000003</v>
          </cell>
        </row>
        <row r="352">
          <cell r="O352">
            <v>40.5</v>
          </cell>
        </row>
        <row r="353">
          <cell r="O353">
            <v>12.600000000000001</v>
          </cell>
        </row>
        <row r="354">
          <cell r="O354">
            <v>9.9000000000000021</v>
          </cell>
        </row>
        <row r="355">
          <cell r="O355">
            <v>0</v>
          </cell>
        </row>
        <row r="356">
          <cell r="O356">
            <v>0</v>
          </cell>
        </row>
        <row r="357">
          <cell r="O357">
            <v>0</v>
          </cell>
        </row>
        <row r="358">
          <cell r="O358">
            <v>0</v>
          </cell>
        </row>
        <row r="359">
          <cell r="O359">
            <v>0</v>
          </cell>
        </row>
        <row r="360">
          <cell r="O360">
            <v>0</v>
          </cell>
        </row>
        <row r="361">
          <cell r="O361">
            <v>0</v>
          </cell>
        </row>
        <row r="362">
          <cell r="O362">
            <v>0</v>
          </cell>
        </row>
        <row r="363">
          <cell r="O363">
            <v>3.9072000000000009</v>
          </cell>
        </row>
        <row r="364">
          <cell r="O364">
            <v>0</v>
          </cell>
        </row>
        <row r="365">
          <cell r="O365">
            <v>0</v>
          </cell>
        </row>
        <row r="366">
          <cell r="O366">
            <v>0</v>
          </cell>
        </row>
        <row r="367">
          <cell r="O367">
            <v>0</v>
          </cell>
        </row>
        <row r="368">
          <cell r="O368">
            <v>0</v>
          </cell>
        </row>
        <row r="369">
          <cell r="O369">
            <v>0</v>
          </cell>
        </row>
        <row r="370">
          <cell r="O370">
            <v>0</v>
          </cell>
        </row>
        <row r="371">
          <cell r="O371">
            <v>0</v>
          </cell>
        </row>
        <row r="372">
          <cell r="O372">
            <v>0</v>
          </cell>
        </row>
        <row r="373">
          <cell r="O373">
            <v>0</v>
          </cell>
        </row>
        <row r="374">
          <cell r="O374">
            <v>0</v>
          </cell>
        </row>
        <row r="375">
          <cell r="O375">
            <v>0</v>
          </cell>
        </row>
        <row r="376">
          <cell r="O376">
            <v>0</v>
          </cell>
        </row>
        <row r="377">
          <cell r="O377">
            <v>0</v>
          </cell>
        </row>
        <row r="378">
          <cell r="O378">
            <v>0</v>
          </cell>
        </row>
        <row r="379">
          <cell r="O379">
            <v>15.628800000000004</v>
          </cell>
        </row>
        <row r="380">
          <cell r="O380">
            <v>3.9072000000000009</v>
          </cell>
        </row>
        <row r="381">
          <cell r="O381">
            <v>3.9072000000000009</v>
          </cell>
        </row>
        <row r="382">
          <cell r="O382">
            <v>10.656000000000001</v>
          </cell>
        </row>
        <row r="383">
          <cell r="O383">
            <v>3.9072000000000009</v>
          </cell>
        </row>
        <row r="384">
          <cell r="O384">
            <v>3.9072000000000009</v>
          </cell>
        </row>
        <row r="385">
          <cell r="O385">
            <v>19.891200000000001</v>
          </cell>
        </row>
        <row r="386">
          <cell r="O386">
            <v>0</v>
          </cell>
        </row>
        <row r="387">
          <cell r="O387">
            <v>0</v>
          </cell>
        </row>
        <row r="388">
          <cell r="O388">
            <v>0</v>
          </cell>
        </row>
        <row r="389">
          <cell r="O389">
            <v>0</v>
          </cell>
        </row>
        <row r="390">
          <cell r="O390">
            <v>0</v>
          </cell>
        </row>
        <row r="391">
          <cell r="O391">
            <v>0</v>
          </cell>
        </row>
        <row r="392">
          <cell r="O392">
            <v>0</v>
          </cell>
        </row>
        <row r="393">
          <cell r="O393">
            <v>0</v>
          </cell>
        </row>
        <row r="394">
          <cell r="O394">
            <v>0</v>
          </cell>
        </row>
        <row r="395">
          <cell r="O395">
            <v>0</v>
          </cell>
        </row>
        <row r="396">
          <cell r="O396">
            <v>0</v>
          </cell>
        </row>
        <row r="397">
          <cell r="O397">
            <v>0</v>
          </cell>
        </row>
        <row r="398">
          <cell r="O398">
            <v>0</v>
          </cell>
        </row>
        <row r="399">
          <cell r="O399">
            <v>0</v>
          </cell>
        </row>
        <row r="400">
          <cell r="O400">
            <v>0</v>
          </cell>
        </row>
        <row r="401">
          <cell r="O401">
            <v>0</v>
          </cell>
        </row>
        <row r="402">
          <cell r="O402">
            <v>0</v>
          </cell>
        </row>
        <row r="403">
          <cell r="O403">
            <v>0</v>
          </cell>
        </row>
        <row r="404">
          <cell r="O404">
            <v>0</v>
          </cell>
        </row>
        <row r="405">
          <cell r="O405">
            <v>0</v>
          </cell>
        </row>
        <row r="406">
          <cell r="O406">
            <v>0</v>
          </cell>
        </row>
        <row r="407">
          <cell r="O407">
            <v>0</v>
          </cell>
        </row>
        <row r="408">
          <cell r="O408">
            <v>0</v>
          </cell>
        </row>
        <row r="409">
          <cell r="O409">
            <v>0</v>
          </cell>
        </row>
        <row r="410">
          <cell r="O410">
            <v>0</v>
          </cell>
        </row>
        <row r="411">
          <cell r="O411">
            <v>0</v>
          </cell>
        </row>
        <row r="412">
          <cell r="O412">
            <v>0</v>
          </cell>
        </row>
        <row r="413">
          <cell r="O413">
            <v>0</v>
          </cell>
        </row>
        <row r="414">
          <cell r="O414">
            <v>6.3936000000000019</v>
          </cell>
        </row>
        <row r="415">
          <cell r="O415">
            <v>22.022400000000005</v>
          </cell>
        </row>
        <row r="416">
          <cell r="O416">
            <v>0</v>
          </cell>
        </row>
        <row r="417">
          <cell r="O417">
            <v>0</v>
          </cell>
        </row>
        <row r="418">
          <cell r="O418">
            <v>0</v>
          </cell>
        </row>
        <row r="419">
          <cell r="O419">
            <v>0</v>
          </cell>
        </row>
        <row r="420">
          <cell r="O420">
            <v>0</v>
          </cell>
        </row>
        <row r="421">
          <cell r="O421">
            <v>0</v>
          </cell>
        </row>
        <row r="422">
          <cell r="O422">
            <v>0</v>
          </cell>
        </row>
        <row r="423">
          <cell r="O423">
            <v>0</v>
          </cell>
        </row>
        <row r="424">
          <cell r="O424">
            <v>4.9728000000000003</v>
          </cell>
        </row>
        <row r="425">
          <cell r="O425">
            <v>4.9728000000000003</v>
          </cell>
        </row>
        <row r="426">
          <cell r="O426">
            <v>15.2736</v>
          </cell>
        </row>
        <row r="427">
          <cell r="O427">
            <v>21.667200000000001</v>
          </cell>
        </row>
        <row r="428">
          <cell r="O428">
            <v>0</v>
          </cell>
        </row>
        <row r="429">
          <cell r="O429">
            <v>0</v>
          </cell>
        </row>
        <row r="430">
          <cell r="O430">
            <v>0</v>
          </cell>
        </row>
        <row r="431">
          <cell r="O431">
            <v>0</v>
          </cell>
        </row>
        <row r="432">
          <cell r="O432">
            <v>0</v>
          </cell>
        </row>
        <row r="433">
          <cell r="O433">
            <v>0</v>
          </cell>
        </row>
        <row r="434">
          <cell r="O434">
            <v>0</v>
          </cell>
        </row>
        <row r="435">
          <cell r="O435">
            <v>0</v>
          </cell>
        </row>
        <row r="436">
          <cell r="O436">
            <v>0</v>
          </cell>
        </row>
        <row r="437">
          <cell r="O437">
            <v>0</v>
          </cell>
        </row>
        <row r="438">
          <cell r="O438">
            <v>0</v>
          </cell>
        </row>
        <row r="439">
          <cell r="O439">
            <v>0</v>
          </cell>
        </row>
        <row r="440">
          <cell r="O440">
            <v>0</v>
          </cell>
        </row>
        <row r="441">
          <cell r="O441">
            <v>0</v>
          </cell>
        </row>
        <row r="442">
          <cell r="O442">
            <v>0</v>
          </cell>
        </row>
        <row r="443">
          <cell r="O443">
            <v>0</v>
          </cell>
        </row>
        <row r="444">
          <cell r="O444">
            <v>0</v>
          </cell>
        </row>
        <row r="445">
          <cell r="O445">
            <v>0</v>
          </cell>
        </row>
        <row r="446">
          <cell r="O446">
            <v>0</v>
          </cell>
        </row>
        <row r="447">
          <cell r="O447">
            <v>14.208000000000002</v>
          </cell>
        </row>
        <row r="448">
          <cell r="O448">
            <v>4.2624000000000004</v>
          </cell>
        </row>
        <row r="449">
          <cell r="O449">
            <v>6.0384000000000002</v>
          </cell>
        </row>
        <row r="450">
          <cell r="O450">
            <v>0</v>
          </cell>
        </row>
        <row r="451">
          <cell r="O451">
            <v>0</v>
          </cell>
        </row>
        <row r="452">
          <cell r="O452">
            <v>0</v>
          </cell>
        </row>
        <row r="453">
          <cell r="O453">
            <v>0</v>
          </cell>
        </row>
        <row r="454">
          <cell r="O454">
            <v>0</v>
          </cell>
        </row>
        <row r="455">
          <cell r="O455">
            <v>0</v>
          </cell>
        </row>
        <row r="456">
          <cell r="O456">
            <v>0</v>
          </cell>
        </row>
        <row r="457">
          <cell r="O457">
            <v>0</v>
          </cell>
        </row>
        <row r="458">
          <cell r="O458">
            <v>0</v>
          </cell>
        </row>
        <row r="459">
          <cell r="O459">
            <v>0</v>
          </cell>
        </row>
        <row r="460">
          <cell r="O460">
            <v>0</v>
          </cell>
        </row>
        <row r="461">
          <cell r="O461">
            <v>0</v>
          </cell>
        </row>
        <row r="462">
          <cell r="O462">
            <v>0</v>
          </cell>
        </row>
        <row r="463">
          <cell r="O463">
            <v>0</v>
          </cell>
        </row>
        <row r="464">
          <cell r="O464">
            <v>0</v>
          </cell>
        </row>
        <row r="465">
          <cell r="O465">
            <v>0</v>
          </cell>
        </row>
        <row r="466">
          <cell r="O466">
            <v>0</v>
          </cell>
        </row>
        <row r="467">
          <cell r="O467">
            <v>0</v>
          </cell>
        </row>
        <row r="468">
          <cell r="O468">
            <v>3.9072000000000009</v>
          </cell>
        </row>
        <row r="469">
          <cell r="O469">
            <v>3.9072000000000009</v>
          </cell>
        </row>
        <row r="470">
          <cell r="O470">
            <v>12.787200000000004</v>
          </cell>
        </row>
        <row r="471">
          <cell r="O471">
            <v>0</v>
          </cell>
        </row>
        <row r="472">
          <cell r="O472">
            <v>0</v>
          </cell>
        </row>
        <row r="473">
          <cell r="O473">
            <v>0</v>
          </cell>
        </row>
        <row r="474">
          <cell r="O474">
            <v>0</v>
          </cell>
        </row>
        <row r="475">
          <cell r="O475">
            <v>0</v>
          </cell>
        </row>
        <row r="476">
          <cell r="O476">
            <v>0</v>
          </cell>
        </row>
        <row r="477">
          <cell r="O477">
            <v>0</v>
          </cell>
        </row>
        <row r="478">
          <cell r="O478">
            <v>0</v>
          </cell>
        </row>
        <row r="479">
          <cell r="O479">
            <v>0</v>
          </cell>
        </row>
        <row r="480">
          <cell r="O480">
            <v>0</v>
          </cell>
        </row>
        <row r="481">
          <cell r="O481">
            <v>3.9072000000000009</v>
          </cell>
        </row>
        <row r="482">
          <cell r="O482">
            <v>3.9072000000000009</v>
          </cell>
        </row>
        <row r="483">
          <cell r="O483">
            <v>11.011200000000002</v>
          </cell>
        </row>
        <row r="484">
          <cell r="O484">
            <v>0</v>
          </cell>
        </row>
        <row r="485">
          <cell r="O485">
            <v>0</v>
          </cell>
        </row>
        <row r="486">
          <cell r="O486">
            <v>18.470400000000001</v>
          </cell>
        </row>
        <row r="487">
          <cell r="O487">
            <v>3.5520000000000005</v>
          </cell>
        </row>
        <row r="488">
          <cell r="O488">
            <v>3.196800000000001</v>
          </cell>
        </row>
        <row r="489">
          <cell r="O489">
            <v>0</v>
          </cell>
        </row>
        <row r="490">
          <cell r="O490">
            <v>0</v>
          </cell>
        </row>
        <row r="491">
          <cell r="O491">
            <v>0</v>
          </cell>
        </row>
        <row r="492">
          <cell r="O492">
            <v>0</v>
          </cell>
        </row>
        <row r="493">
          <cell r="O493">
            <v>0</v>
          </cell>
        </row>
        <row r="494">
          <cell r="O494">
            <v>0</v>
          </cell>
        </row>
        <row r="495">
          <cell r="O495">
            <v>6.3936000000000019</v>
          </cell>
        </row>
        <row r="496">
          <cell r="O496">
            <v>0</v>
          </cell>
        </row>
        <row r="497">
          <cell r="O497">
            <v>0</v>
          </cell>
        </row>
        <row r="498">
          <cell r="O498">
            <v>0</v>
          </cell>
        </row>
        <row r="499">
          <cell r="O499">
            <v>0</v>
          </cell>
        </row>
        <row r="500">
          <cell r="O500">
            <v>0</v>
          </cell>
        </row>
        <row r="501">
          <cell r="O501">
            <v>0</v>
          </cell>
        </row>
        <row r="502">
          <cell r="O502">
            <v>0</v>
          </cell>
        </row>
        <row r="503">
          <cell r="O503">
            <v>0</v>
          </cell>
        </row>
        <row r="504">
          <cell r="O504">
            <v>0</v>
          </cell>
        </row>
        <row r="505">
          <cell r="O505">
            <v>0</v>
          </cell>
        </row>
        <row r="506">
          <cell r="O506">
            <v>0</v>
          </cell>
        </row>
        <row r="507">
          <cell r="O507">
            <v>21.667200000000001</v>
          </cell>
        </row>
        <row r="508">
          <cell r="O508">
            <v>3.9072000000000009</v>
          </cell>
        </row>
        <row r="509">
          <cell r="O509">
            <v>3.9072000000000009</v>
          </cell>
        </row>
        <row r="510">
          <cell r="O510">
            <v>0</v>
          </cell>
        </row>
        <row r="511">
          <cell r="O511">
            <v>0</v>
          </cell>
        </row>
        <row r="512">
          <cell r="O512">
            <v>0</v>
          </cell>
        </row>
        <row r="513">
          <cell r="O513">
            <v>0</v>
          </cell>
        </row>
        <row r="514">
          <cell r="O514">
            <v>0</v>
          </cell>
        </row>
        <row r="515">
          <cell r="O515">
            <v>0</v>
          </cell>
        </row>
        <row r="516">
          <cell r="O516">
            <v>0</v>
          </cell>
        </row>
        <row r="517">
          <cell r="O517">
            <v>0</v>
          </cell>
        </row>
        <row r="518">
          <cell r="O518">
            <v>0</v>
          </cell>
        </row>
        <row r="519">
          <cell r="O519">
            <v>0</v>
          </cell>
        </row>
        <row r="520">
          <cell r="O520">
            <v>0</v>
          </cell>
        </row>
        <row r="521">
          <cell r="O521">
            <v>0</v>
          </cell>
        </row>
        <row r="522">
          <cell r="O522">
            <v>0</v>
          </cell>
        </row>
        <row r="523">
          <cell r="O523">
            <v>7.4592000000000009</v>
          </cell>
        </row>
        <row r="524">
          <cell r="O524">
            <v>5.3280000000000003</v>
          </cell>
        </row>
        <row r="525">
          <cell r="O525">
            <v>5.6832000000000011</v>
          </cell>
        </row>
        <row r="526">
          <cell r="O526">
            <v>6.748800000000001</v>
          </cell>
        </row>
        <row r="527">
          <cell r="O527">
            <v>0</v>
          </cell>
        </row>
        <row r="528">
          <cell r="O528">
            <v>0</v>
          </cell>
        </row>
        <row r="529">
          <cell r="O529">
            <v>0</v>
          </cell>
        </row>
        <row r="530">
          <cell r="O530">
            <v>0</v>
          </cell>
        </row>
        <row r="531">
          <cell r="O531">
            <v>0</v>
          </cell>
        </row>
        <row r="532">
          <cell r="O532">
            <v>0</v>
          </cell>
        </row>
        <row r="533">
          <cell r="O533">
            <v>0</v>
          </cell>
        </row>
        <row r="534">
          <cell r="O534">
            <v>0</v>
          </cell>
        </row>
        <row r="535">
          <cell r="O535">
            <v>0</v>
          </cell>
        </row>
        <row r="536">
          <cell r="O536">
            <v>0</v>
          </cell>
        </row>
        <row r="537">
          <cell r="O537">
            <v>0</v>
          </cell>
        </row>
        <row r="538">
          <cell r="O538">
            <v>0</v>
          </cell>
        </row>
        <row r="539">
          <cell r="O539">
            <v>0</v>
          </cell>
        </row>
        <row r="540">
          <cell r="O540">
            <v>0</v>
          </cell>
        </row>
        <row r="541">
          <cell r="O541">
            <v>0</v>
          </cell>
        </row>
        <row r="542">
          <cell r="O542">
            <v>0</v>
          </cell>
        </row>
        <row r="543">
          <cell r="O543">
            <v>0</v>
          </cell>
        </row>
        <row r="544">
          <cell r="O544">
            <v>0</v>
          </cell>
        </row>
        <row r="545">
          <cell r="O545">
            <v>0</v>
          </cell>
        </row>
        <row r="546">
          <cell r="O546">
            <v>0</v>
          </cell>
        </row>
        <row r="547">
          <cell r="O547">
            <v>0</v>
          </cell>
        </row>
        <row r="548">
          <cell r="O548">
            <v>0</v>
          </cell>
        </row>
        <row r="549">
          <cell r="O549">
            <v>0</v>
          </cell>
        </row>
        <row r="550">
          <cell r="O550">
            <v>0</v>
          </cell>
        </row>
        <row r="551">
          <cell r="O551">
            <v>0</v>
          </cell>
        </row>
        <row r="552">
          <cell r="O552">
            <v>0</v>
          </cell>
        </row>
        <row r="553">
          <cell r="O553">
            <v>0</v>
          </cell>
        </row>
        <row r="554">
          <cell r="O554">
            <v>0</v>
          </cell>
        </row>
        <row r="555">
          <cell r="O555">
            <v>0</v>
          </cell>
        </row>
        <row r="556">
          <cell r="O556">
            <v>0</v>
          </cell>
        </row>
        <row r="557">
          <cell r="O557">
            <v>0</v>
          </cell>
        </row>
        <row r="558">
          <cell r="O558">
            <v>0</v>
          </cell>
        </row>
        <row r="559">
          <cell r="O559">
            <v>0</v>
          </cell>
        </row>
        <row r="560">
          <cell r="O560">
            <v>0</v>
          </cell>
        </row>
        <row r="561">
          <cell r="O561">
            <v>0</v>
          </cell>
        </row>
        <row r="562">
          <cell r="O562">
            <v>0</v>
          </cell>
        </row>
        <row r="563">
          <cell r="O563">
            <v>0</v>
          </cell>
        </row>
        <row r="564">
          <cell r="O564">
            <v>0</v>
          </cell>
        </row>
        <row r="565">
          <cell r="O565">
            <v>0</v>
          </cell>
        </row>
        <row r="566">
          <cell r="O566">
            <v>0</v>
          </cell>
        </row>
        <row r="567">
          <cell r="O567">
            <v>0</v>
          </cell>
        </row>
        <row r="568">
          <cell r="O568">
            <v>0</v>
          </cell>
        </row>
        <row r="569">
          <cell r="O569">
            <v>0</v>
          </cell>
        </row>
        <row r="570">
          <cell r="O570">
            <v>0</v>
          </cell>
        </row>
        <row r="571">
          <cell r="O571">
            <v>0</v>
          </cell>
        </row>
        <row r="572">
          <cell r="O572">
            <v>0</v>
          </cell>
        </row>
        <row r="573">
          <cell r="O573">
            <v>0</v>
          </cell>
        </row>
        <row r="574">
          <cell r="O574">
            <v>0</v>
          </cell>
        </row>
        <row r="575">
          <cell r="O575">
            <v>11.587199999999999</v>
          </cell>
        </row>
        <row r="576">
          <cell r="O576">
            <v>0</v>
          </cell>
        </row>
        <row r="577">
          <cell r="O577">
            <v>14.654399999999999</v>
          </cell>
        </row>
        <row r="578">
          <cell r="O578">
            <v>15.6768</v>
          </cell>
        </row>
        <row r="579">
          <cell r="O579">
            <v>0</v>
          </cell>
        </row>
        <row r="580">
          <cell r="O580">
            <v>0</v>
          </cell>
        </row>
        <row r="581">
          <cell r="O581">
            <v>0</v>
          </cell>
        </row>
        <row r="582">
          <cell r="O582">
            <v>0</v>
          </cell>
        </row>
        <row r="583">
          <cell r="O583">
            <v>0</v>
          </cell>
        </row>
        <row r="584">
          <cell r="O584">
            <v>0</v>
          </cell>
        </row>
        <row r="585">
          <cell r="O585">
            <v>0</v>
          </cell>
        </row>
        <row r="586">
          <cell r="O586">
            <v>0</v>
          </cell>
        </row>
        <row r="587">
          <cell r="O587">
            <v>0</v>
          </cell>
        </row>
        <row r="588">
          <cell r="O588">
            <v>0</v>
          </cell>
        </row>
        <row r="589">
          <cell r="O589">
            <v>0</v>
          </cell>
        </row>
        <row r="590">
          <cell r="O590">
            <v>0</v>
          </cell>
        </row>
        <row r="591">
          <cell r="O591">
            <v>23.515200000000004</v>
          </cell>
        </row>
        <row r="592">
          <cell r="O592">
            <v>18.744000000000003</v>
          </cell>
        </row>
        <row r="593">
          <cell r="O593">
            <v>0</v>
          </cell>
        </row>
        <row r="594">
          <cell r="O594">
            <v>0</v>
          </cell>
        </row>
        <row r="595">
          <cell r="O595">
            <v>0</v>
          </cell>
        </row>
        <row r="596">
          <cell r="O596">
            <v>0</v>
          </cell>
        </row>
        <row r="597">
          <cell r="O597">
            <v>0</v>
          </cell>
        </row>
        <row r="598">
          <cell r="O598">
            <v>0</v>
          </cell>
        </row>
        <row r="599">
          <cell r="O599">
            <v>0</v>
          </cell>
        </row>
        <row r="600">
          <cell r="O600">
            <v>0</v>
          </cell>
        </row>
        <row r="601">
          <cell r="O601">
            <v>0</v>
          </cell>
        </row>
        <row r="602">
          <cell r="O602">
            <v>0</v>
          </cell>
        </row>
        <row r="603">
          <cell r="O603">
            <v>0</v>
          </cell>
        </row>
        <row r="604">
          <cell r="O604">
            <v>0</v>
          </cell>
        </row>
        <row r="605">
          <cell r="O605">
            <v>0</v>
          </cell>
        </row>
        <row r="606">
          <cell r="O606">
            <v>0</v>
          </cell>
        </row>
        <row r="607">
          <cell r="O607">
            <v>0</v>
          </cell>
        </row>
        <row r="608">
          <cell r="O608">
            <v>0</v>
          </cell>
        </row>
        <row r="609">
          <cell r="O609">
            <v>0</v>
          </cell>
        </row>
        <row r="610">
          <cell r="O610">
            <v>0</v>
          </cell>
        </row>
        <row r="611">
          <cell r="O611">
            <v>0</v>
          </cell>
        </row>
        <row r="612">
          <cell r="O612">
            <v>0</v>
          </cell>
        </row>
        <row r="613">
          <cell r="O613">
            <v>0</v>
          </cell>
        </row>
        <row r="614">
          <cell r="O614">
            <v>0</v>
          </cell>
        </row>
        <row r="615">
          <cell r="O615">
            <v>0</v>
          </cell>
        </row>
        <row r="616">
          <cell r="O616">
            <v>36.465600000000002</v>
          </cell>
        </row>
        <row r="617">
          <cell r="O617">
            <v>13.632000000000001</v>
          </cell>
        </row>
        <row r="618">
          <cell r="O618">
            <v>0</v>
          </cell>
        </row>
        <row r="619">
          <cell r="O619">
            <v>0</v>
          </cell>
        </row>
        <row r="620">
          <cell r="O620">
            <v>0</v>
          </cell>
        </row>
        <row r="621">
          <cell r="O621">
            <v>0</v>
          </cell>
        </row>
        <row r="622">
          <cell r="O622">
            <v>0</v>
          </cell>
        </row>
        <row r="623">
          <cell r="O623">
            <v>0</v>
          </cell>
        </row>
        <row r="624">
          <cell r="O624">
            <v>0</v>
          </cell>
        </row>
        <row r="625">
          <cell r="O625">
            <v>0</v>
          </cell>
        </row>
        <row r="626">
          <cell r="O626">
            <v>0</v>
          </cell>
        </row>
        <row r="627">
          <cell r="O627">
            <v>0</v>
          </cell>
        </row>
        <row r="628">
          <cell r="O628">
            <v>0</v>
          </cell>
        </row>
        <row r="629">
          <cell r="O629">
            <v>0</v>
          </cell>
        </row>
        <row r="630">
          <cell r="O630">
            <v>20.107200000000006</v>
          </cell>
        </row>
        <row r="631">
          <cell r="O631">
            <v>26.923200000000005</v>
          </cell>
        </row>
        <row r="632">
          <cell r="O632">
            <v>5.7935999999999996</v>
          </cell>
        </row>
        <row r="633">
          <cell r="O633">
            <v>0</v>
          </cell>
        </row>
        <row r="634">
          <cell r="O634">
            <v>0</v>
          </cell>
        </row>
        <row r="635">
          <cell r="O635">
            <v>0</v>
          </cell>
        </row>
        <row r="636">
          <cell r="O636">
            <v>0</v>
          </cell>
        </row>
        <row r="637">
          <cell r="O637">
            <v>0</v>
          </cell>
        </row>
        <row r="638">
          <cell r="O638">
            <v>0</v>
          </cell>
        </row>
        <row r="639">
          <cell r="O639">
            <v>0</v>
          </cell>
        </row>
        <row r="640">
          <cell r="O640">
            <v>0</v>
          </cell>
        </row>
        <row r="641">
          <cell r="O641">
            <v>0</v>
          </cell>
        </row>
        <row r="642">
          <cell r="O642">
            <v>0</v>
          </cell>
        </row>
        <row r="643">
          <cell r="O643">
            <v>0</v>
          </cell>
        </row>
        <row r="644">
          <cell r="O644">
            <v>0</v>
          </cell>
        </row>
        <row r="645">
          <cell r="O645">
            <v>0</v>
          </cell>
        </row>
        <row r="646">
          <cell r="O646">
            <v>0</v>
          </cell>
        </row>
        <row r="647">
          <cell r="O647">
            <v>0</v>
          </cell>
        </row>
        <row r="648">
          <cell r="O648">
            <v>0</v>
          </cell>
        </row>
        <row r="649">
          <cell r="O649">
            <v>0</v>
          </cell>
        </row>
        <row r="650">
          <cell r="O650">
            <v>0</v>
          </cell>
        </row>
        <row r="651">
          <cell r="O651">
            <v>0</v>
          </cell>
        </row>
        <row r="652">
          <cell r="O652">
            <v>0</v>
          </cell>
        </row>
        <row r="653">
          <cell r="O653">
            <v>0</v>
          </cell>
        </row>
        <row r="654">
          <cell r="O654">
            <v>0</v>
          </cell>
        </row>
        <row r="655">
          <cell r="O655">
            <v>0</v>
          </cell>
        </row>
        <row r="656">
          <cell r="O656">
            <v>0</v>
          </cell>
        </row>
        <row r="657">
          <cell r="O657">
            <v>0</v>
          </cell>
        </row>
        <row r="658">
          <cell r="O658">
            <v>0</v>
          </cell>
        </row>
        <row r="659">
          <cell r="O659">
            <v>36.465600000000002</v>
          </cell>
        </row>
        <row r="660">
          <cell r="O660">
            <v>0</v>
          </cell>
        </row>
        <row r="661">
          <cell r="O661">
            <v>0</v>
          </cell>
        </row>
        <row r="662">
          <cell r="O662">
            <v>0</v>
          </cell>
        </row>
        <row r="663">
          <cell r="O663">
            <v>0</v>
          </cell>
        </row>
        <row r="664">
          <cell r="O664">
            <v>0</v>
          </cell>
        </row>
        <row r="665">
          <cell r="O665">
            <v>0</v>
          </cell>
        </row>
        <row r="666">
          <cell r="O666">
            <v>0</v>
          </cell>
        </row>
        <row r="667">
          <cell r="O667">
            <v>0</v>
          </cell>
        </row>
        <row r="668">
          <cell r="O668">
            <v>0</v>
          </cell>
        </row>
        <row r="669">
          <cell r="O669">
            <v>0</v>
          </cell>
        </row>
        <row r="670">
          <cell r="O670">
            <v>0</v>
          </cell>
        </row>
        <row r="671">
          <cell r="O671">
            <v>0</v>
          </cell>
        </row>
        <row r="672">
          <cell r="O672">
            <v>0</v>
          </cell>
        </row>
        <row r="673">
          <cell r="O673">
            <v>0</v>
          </cell>
        </row>
        <row r="674">
          <cell r="O674">
            <v>11.587199999999999</v>
          </cell>
        </row>
        <row r="675">
          <cell r="O675">
            <v>25.219200000000004</v>
          </cell>
        </row>
        <row r="676">
          <cell r="O676">
            <v>5.7935999999999996</v>
          </cell>
        </row>
        <row r="677">
          <cell r="O677">
            <v>0</v>
          </cell>
        </row>
        <row r="678">
          <cell r="O678">
            <v>0</v>
          </cell>
        </row>
        <row r="679">
          <cell r="O679">
            <v>0</v>
          </cell>
        </row>
        <row r="680">
          <cell r="O680">
            <v>0</v>
          </cell>
        </row>
        <row r="681">
          <cell r="O681">
            <v>0</v>
          </cell>
        </row>
        <row r="682">
          <cell r="O682">
            <v>0</v>
          </cell>
        </row>
        <row r="683">
          <cell r="O683">
            <v>0</v>
          </cell>
        </row>
        <row r="684">
          <cell r="O684">
            <v>0</v>
          </cell>
        </row>
        <row r="685">
          <cell r="O685">
            <v>0</v>
          </cell>
        </row>
        <row r="686">
          <cell r="O686">
            <v>0</v>
          </cell>
        </row>
        <row r="687">
          <cell r="O687">
            <v>0</v>
          </cell>
        </row>
        <row r="688">
          <cell r="O688">
            <v>0</v>
          </cell>
        </row>
        <row r="689">
          <cell r="O689">
            <v>35.10240000000001</v>
          </cell>
        </row>
        <row r="690">
          <cell r="O690">
            <v>0</v>
          </cell>
        </row>
        <row r="691">
          <cell r="O691">
            <v>0</v>
          </cell>
        </row>
        <row r="692">
          <cell r="O692">
            <v>0</v>
          </cell>
        </row>
        <row r="693">
          <cell r="O693">
            <v>0</v>
          </cell>
        </row>
        <row r="694">
          <cell r="O694">
            <v>0</v>
          </cell>
        </row>
        <row r="695">
          <cell r="O695">
            <v>0</v>
          </cell>
        </row>
        <row r="696">
          <cell r="O696">
            <v>0</v>
          </cell>
        </row>
        <row r="697">
          <cell r="O697">
            <v>0</v>
          </cell>
        </row>
        <row r="698">
          <cell r="O698">
            <v>0</v>
          </cell>
        </row>
        <row r="699">
          <cell r="O699">
            <v>0</v>
          </cell>
        </row>
        <row r="700">
          <cell r="O700">
            <v>0</v>
          </cell>
        </row>
        <row r="701">
          <cell r="O701">
            <v>0</v>
          </cell>
        </row>
        <row r="702">
          <cell r="O702">
            <v>0</v>
          </cell>
        </row>
        <row r="703">
          <cell r="O703">
            <v>0</v>
          </cell>
        </row>
        <row r="704">
          <cell r="O704">
            <v>0</v>
          </cell>
        </row>
        <row r="705">
          <cell r="O705">
            <v>0</v>
          </cell>
        </row>
        <row r="706">
          <cell r="O706">
            <v>11.587199999999999</v>
          </cell>
        </row>
        <row r="707">
          <cell r="O707">
            <v>25.219200000000004</v>
          </cell>
        </row>
        <row r="708">
          <cell r="O708">
            <v>5.7935999999999996</v>
          </cell>
        </row>
        <row r="709">
          <cell r="O709">
            <v>0</v>
          </cell>
        </row>
        <row r="710">
          <cell r="O710">
            <v>0</v>
          </cell>
        </row>
        <row r="711">
          <cell r="O711">
            <v>0</v>
          </cell>
        </row>
        <row r="712">
          <cell r="O712">
            <v>0</v>
          </cell>
        </row>
        <row r="713">
          <cell r="O713">
            <v>0</v>
          </cell>
        </row>
        <row r="714">
          <cell r="O714">
            <v>0</v>
          </cell>
        </row>
        <row r="715">
          <cell r="O715">
            <v>0</v>
          </cell>
        </row>
        <row r="716">
          <cell r="O716">
            <v>0</v>
          </cell>
        </row>
        <row r="717">
          <cell r="O717">
            <v>0</v>
          </cell>
        </row>
        <row r="718">
          <cell r="O718">
            <v>0</v>
          </cell>
        </row>
        <row r="719">
          <cell r="O719">
            <v>0</v>
          </cell>
        </row>
        <row r="720">
          <cell r="O720">
            <v>0</v>
          </cell>
        </row>
        <row r="721">
          <cell r="O721">
            <v>0</v>
          </cell>
        </row>
        <row r="722">
          <cell r="O722">
            <v>0</v>
          </cell>
        </row>
        <row r="723">
          <cell r="O723">
            <v>0</v>
          </cell>
        </row>
        <row r="724">
          <cell r="O724">
            <v>0</v>
          </cell>
        </row>
        <row r="725">
          <cell r="O725">
            <v>0</v>
          </cell>
        </row>
        <row r="726">
          <cell r="O726">
            <v>0</v>
          </cell>
        </row>
        <row r="727">
          <cell r="O727">
            <v>0</v>
          </cell>
        </row>
        <row r="728">
          <cell r="O728">
            <v>0</v>
          </cell>
        </row>
        <row r="729">
          <cell r="O729">
            <v>13.3848</v>
          </cell>
        </row>
        <row r="730">
          <cell r="O730">
            <v>7.3008000000000015</v>
          </cell>
        </row>
        <row r="731">
          <cell r="O731">
            <v>7.3008000000000015</v>
          </cell>
        </row>
        <row r="732">
          <cell r="O732">
            <v>7.3008000000000015</v>
          </cell>
        </row>
        <row r="733">
          <cell r="O733">
            <v>7.3008000000000015</v>
          </cell>
        </row>
        <row r="734">
          <cell r="O734">
            <v>15.818400000000002</v>
          </cell>
        </row>
        <row r="735">
          <cell r="O735">
            <v>0</v>
          </cell>
        </row>
        <row r="736">
          <cell r="O736">
            <v>0</v>
          </cell>
        </row>
        <row r="737">
          <cell r="O737">
            <v>0</v>
          </cell>
        </row>
        <row r="738">
          <cell r="O738">
            <v>0</v>
          </cell>
        </row>
        <row r="739">
          <cell r="O739">
            <v>0</v>
          </cell>
        </row>
        <row r="740">
          <cell r="O740">
            <v>0</v>
          </cell>
        </row>
        <row r="741">
          <cell r="O741">
            <v>0</v>
          </cell>
        </row>
        <row r="742">
          <cell r="O742">
            <v>0</v>
          </cell>
        </row>
        <row r="743">
          <cell r="O743">
            <v>0</v>
          </cell>
        </row>
        <row r="744">
          <cell r="O744">
            <v>0</v>
          </cell>
        </row>
        <row r="745">
          <cell r="O745">
            <v>5.272800000000001</v>
          </cell>
        </row>
        <row r="746">
          <cell r="O746">
            <v>6.4896000000000011</v>
          </cell>
        </row>
        <row r="747">
          <cell r="O747">
            <v>5.272800000000001</v>
          </cell>
        </row>
        <row r="748">
          <cell r="O748">
            <v>6.4896000000000011</v>
          </cell>
        </row>
        <row r="749">
          <cell r="O749">
            <v>0</v>
          </cell>
        </row>
        <row r="750">
          <cell r="O750">
            <v>0</v>
          </cell>
        </row>
        <row r="751">
          <cell r="O751">
            <v>0</v>
          </cell>
        </row>
        <row r="752">
          <cell r="O752">
            <v>0</v>
          </cell>
        </row>
        <row r="753">
          <cell r="O753">
            <v>0</v>
          </cell>
        </row>
        <row r="754">
          <cell r="O754">
            <v>3.6504000000000008</v>
          </cell>
        </row>
        <row r="755">
          <cell r="O755">
            <v>4.4616000000000007</v>
          </cell>
        </row>
        <row r="756">
          <cell r="O756">
            <v>0</v>
          </cell>
        </row>
        <row r="757">
          <cell r="O757">
            <v>7.3008000000000015</v>
          </cell>
        </row>
        <row r="758">
          <cell r="O758">
            <v>0</v>
          </cell>
        </row>
        <row r="759">
          <cell r="O759">
            <v>0</v>
          </cell>
        </row>
        <row r="760">
          <cell r="O760">
            <v>0</v>
          </cell>
        </row>
        <row r="761">
          <cell r="O761">
            <v>0</v>
          </cell>
        </row>
        <row r="762">
          <cell r="O762">
            <v>0</v>
          </cell>
        </row>
        <row r="763">
          <cell r="O763">
            <v>0</v>
          </cell>
        </row>
        <row r="764">
          <cell r="O764">
            <v>7.3008000000000015</v>
          </cell>
        </row>
        <row r="765">
          <cell r="O765">
            <v>7.3008000000000015</v>
          </cell>
        </row>
        <row r="766">
          <cell r="O766">
            <v>7.3008000000000015</v>
          </cell>
        </row>
        <row r="767">
          <cell r="O767">
            <v>7.3008000000000015</v>
          </cell>
        </row>
        <row r="768">
          <cell r="O768">
            <v>15.818400000000002</v>
          </cell>
        </row>
        <row r="769">
          <cell r="O769">
            <v>0</v>
          </cell>
        </row>
        <row r="770">
          <cell r="O770">
            <v>0</v>
          </cell>
        </row>
        <row r="771">
          <cell r="O771">
            <v>0</v>
          </cell>
        </row>
        <row r="772">
          <cell r="O772">
            <v>0</v>
          </cell>
        </row>
        <row r="773">
          <cell r="O773">
            <v>0</v>
          </cell>
        </row>
        <row r="774">
          <cell r="O774">
            <v>0</v>
          </cell>
        </row>
        <row r="775">
          <cell r="O775">
            <v>0</v>
          </cell>
        </row>
        <row r="776">
          <cell r="O776">
            <v>0</v>
          </cell>
        </row>
        <row r="777">
          <cell r="O777">
            <v>0</v>
          </cell>
        </row>
        <row r="778">
          <cell r="O778">
            <v>0</v>
          </cell>
        </row>
        <row r="779">
          <cell r="O779">
            <v>0</v>
          </cell>
        </row>
        <row r="780">
          <cell r="O780">
            <v>5.272800000000001</v>
          </cell>
        </row>
        <row r="781">
          <cell r="O781">
            <v>6.4896000000000011</v>
          </cell>
        </row>
        <row r="782">
          <cell r="O782">
            <v>5.272800000000001</v>
          </cell>
        </row>
        <row r="783">
          <cell r="O783">
            <v>6.4896000000000011</v>
          </cell>
        </row>
        <row r="784">
          <cell r="O784">
            <v>0</v>
          </cell>
        </row>
        <row r="785">
          <cell r="O785">
            <v>0</v>
          </cell>
        </row>
        <row r="786">
          <cell r="O786">
            <v>0</v>
          </cell>
        </row>
        <row r="787">
          <cell r="O787">
            <v>0</v>
          </cell>
        </row>
        <row r="788">
          <cell r="O788">
            <v>0</v>
          </cell>
        </row>
        <row r="789">
          <cell r="O789">
            <v>0</v>
          </cell>
        </row>
        <row r="790">
          <cell r="O790">
            <v>0</v>
          </cell>
        </row>
        <row r="791">
          <cell r="O791">
            <v>0</v>
          </cell>
        </row>
        <row r="792">
          <cell r="O792">
            <v>0</v>
          </cell>
        </row>
        <row r="793">
          <cell r="O793">
            <v>0</v>
          </cell>
        </row>
        <row r="794">
          <cell r="O794">
            <v>0</v>
          </cell>
        </row>
        <row r="795">
          <cell r="O795">
            <v>0</v>
          </cell>
        </row>
        <row r="796">
          <cell r="O796">
            <v>0</v>
          </cell>
        </row>
        <row r="797">
          <cell r="O797">
            <v>0</v>
          </cell>
        </row>
        <row r="798">
          <cell r="O798">
            <v>0</v>
          </cell>
        </row>
        <row r="799">
          <cell r="O799">
            <v>0</v>
          </cell>
        </row>
        <row r="800">
          <cell r="O800">
            <v>0</v>
          </cell>
        </row>
        <row r="801">
          <cell r="O801">
            <v>9.3288000000000011</v>
          </cell>
        </row>
        <row r="802">
          <cell r="O802">
            <v>0</v>
          </cell>
        </row>
        <row r="803">
          <cell r="O803">
            <v>0</v>
          </cell>
        </row>
        <row r="804">
          <cell r="O804">
            <v>0</v>
          </cell>
        </row>
        <row r="805">
          <cell r="O805">
            <v>0</v>
          </cell>
        </row>
        <row r="806">
          <cell r="O806">
            <v>0</v>
          </cell>
        </row>
        <row r="807">
          <cell r="O807">
            <v>0</v>
          </cell>
        </row>
        <row r="808">
          <cell r="O808">
            <v>0</v>
          </cell>
        </row>
        <row r="809">
          <cell r="O809">
            <v>0</v>
          </cell>
        </row>
        <row r="810">
          <cell r="O810">
            <v>0</v>
          </cell>
        </row>
        <row r="811">
          <cell r="O811">
            <v>0</v>
          </cell>
        </row>
        <row r="812">
          <cell r="O812">
            <v>0</v>
          </cell>
        </row>
        <row r="813">
          <cell r="O813">
            <v>0</v>
          </cell>
        </row>
        <row r="814">
          <cell r="O814">
            <v>0</v>
          </cell>
        </row>
        <row r="815">
          <cell r="O815">
            <v>0</v>
          </cell>
        </row>
        <row r="816">
          <cell r="O816">
            <v>25.080000000000002</v>
          </cell>
        </row>
        <row r="817">
          <cell r="O817">
            <v>25.740000000000002</v>
          </cell>
        </row>
        <row r="818">
          <cell r="O818">
            <v>0</v>
          </cell>
        </row>
        <row r="819">
          <cell r="O819">
            <v>0</v>
          </cell>
        </row>
        <row r="820">
          <cell r="O820">
            <v>0</v>
          </cell>
        </row>
        <row r="821">
          <cell r="O821">
            <v>7.2600000000000016</v>
          </cell>
        </row>
        <row r="822">
          <cell r="O822">
            <v>7.2600000000000016</v>
          </cell>
        </row>
        <row r="823">
          <cell r="O823">
            <v>8.5800000000000018</v>
          </cell>
        </row>
        <row r="824">
          <cell r="O824">
            <v>0</v>
          </cell>
        </row>
        <row r="825">
          <cell r="O825">
            <v>122.10000000000002</v>
          </cell>
        </row>
        <row r="826">
          <cell r="O826">
            <v>9.9000000000000021</v>
          </cell>
        </row>
        <row r="827">
          <cell r="O827">
            <v>0</v>
          </cell>
        </row>
        <row r="828">
          <cell r="O828">
            <v>23.100000000000005</v>
          </cell>
        </row>
        <row r="829">
          <cell r="O829">
            <v>0</v>
          </cell>
        </row>
        <row r="830">
          <cell r="O830">
            <v>0</v>
          </cell>
        </row>
        <row r="831">
          <cell r="O831">
            <v>0</v>
          </cell>
        </row>
        <row r="832">
          <cell r="O832">
            <v>0</v>
          </cell>
        </row>
        <row r="833">
          <cell r="O833">
            <v>0</v>
          </cell>
        </row>
        <row r="834">
          <cell r="O834">
            <v>0</v>
          </cell>
        </row>
        <row r="835">
          <cell r="O835">
            <v>0</v>
          </cell>
        </row>
        <row r="836">
          <cell r="O836">
            <v>0</v>
          </cell>
        </row>
        <row r="837">
          <cell r="O837">
            <v>0</v>
          </cell>
        </row>
        <row r="838">
          <cell r="O838">
            <v>0</v>
          </cell>
        </row>
        <row r="839">
          <cell r="O839">
            <v>0</v>
          </cell>
        </row>
        <row r="840">
          <cell r="O840">
            <v>0</v>
          </cell>
        </row>
        <row r="841">
          <cell r="O841">
            <v>0</v>
          </cell>
        </row>
        <row r="842">
          <cell r="O842">
            <v>0</v>
          </cell>
        </row>
        <row r="843">
          <cell r="O843">
            <v>0</v>
          </cell>
        </row>
        <row r="844">
          <cell r="O844">
            <v>0</v>
          </cell>
        </row>
        <row r="845">
          <cell r="O845">
            <v>0</v>
          </cell>
        </row>
        <row r="846">
          <cell r="O846">
            <v>0</v>
          </cell>
        </row>
        <row r="847">
          <cell r="O847">
            <v>0</v>
          </cell>
        </row>
        <row r="848">
          <cell r="O848">
            <v>11.22</v>
          </cell>
        </row>
        <row r="849">
          <cell r="O849">
            <v>22.44</v>
          </cell>
        </row>
        <row r="850">
          <cell r="O850">
            <v>44.88</v>
          </cell>
        </row>
        <row r="851">
          <cell r="O851">
            <v>8.5800000000000018</v>
          </cell>
        </row>
        <row r="852">
          <cell r="O852">
            <v>8.5800000000000018</v>
          </cell>
        </row>
        <row r="853">
          <cell r="O853">
            <v>34.320000000000007</v>
          </cell>
        </row>
        <row r="854">
          <cell r="O854">
            <v>0</v>
          </cell>
        </row>
        <row r="855">
          <cell r="O855">
            <v>0</v>
          </cell>
        </row>
        <row r="856">
          <cell r="O856">
            <v>0</v>
          </cell>
        </row>
        <row r="857">
          <cell r="O857">
            <v>0</v>
          </cell>
        </row>
        <row r="858">
          <cell r="O858">
            <v>0</v>
          </cell>
        </row>
        <row r="859">
          <cell r="O859">
            <v>0</v>
          </cell>
        </row>
        <row r="860">
          <cell r="O860">
            <v>0</v>
          </cell>
        </row>
        <row r="861">
          <cell r="O861">
            <v>0</v>
          </cell>
        </row>
        <row r="862">
          <cell r="O862">
            <v>0</v>
          </cell>
        </row>
        <row r="863">
          <cell r="O863">
            <v>0</v>
          </cell>
        </row>
        <row r="864">
          <cell r="O864">
            <v>0</v>
          </cell>
        </row>
        <row r="865">
          <cell r="O865">
            <v>0</v>
          </cell>
        </row>
        <row r="866">
          <cell r="O866">
            <v>0</v>
          </cell>
        </row>
        <row r="867">
          <cell r="O867">
            <v>0</v>
          </cell>
        </row>
        <row r="868">
          <cell r="O868">
            <v>0</v>
          </cell>
        </row>
        <row r="869">
          <cell r="O869">
            <v>0</v>
          </cell>
        </row>
        <row r="870">
          <cell r="O870">
            <v>0</v>
          </cell>
        </row>
        <row r="871">
          <cell r="O871">
            <v>0</v>
          </cell>
        </row>
        <row r="872">
          <cell r="O872">
            <v>0</v>
          </cell>
        </row>
        <row r="873">
          <cell r="O873">
            <v>0</v>
          </cell>
        </row>
        <row r="874">
          <cell r="O874">
            <v>0</v>
          </cell>
        </row>
        <row r="875">
          <cell r="O875">
            <v>0</v>
          </cell>
        </row>
        <row r="876">
          <cell r="O876">
            <v>0</v>
          </cell>
        </row>
        <row r="877">
          <cell r="O877">
            <v>0</v>
          </cell>
        </row>
        <row r="878">
          <cell r="O878">
            <v>0</v>
          </cell>
        </row>
        <row r="879">
          <cell r="O879">
            <v>0</v>
          </cell>
        </row>
        <row r="880">
          <cell r="O880">
            <v>0</v>
          </cell>
        </row>
        <row r="881">
          <cell r="O881">
            <v>0</v>
          </cell>
        </row>
        <row r="882">
          <cell r="O882">
            <v>0</v>
          </cell>
        </row>
        <row r="883">
          <cell r="O883">
            <v>0</v>
          </cell>
        </row>
        <row r="884">
          <cell r="O884">
            <v>0</v>
          </cell>
        </row>
        <row r="885">
          <cell r="O885">
            <v>0</v>
          </cell>
        </row>
        <row r="886">
          <cell r="O886">
            <v>0</v>
          </cell>
        </row>
        <row r="887">
          <cell r="O887">
            <v>0</v>
          </cell>
        </row>
        <row r="888">
          <cell r="O888">
            <v>0</v>
          </cell>
        </row>
        <row r="889">
          <cell r="O889">
            <v>0</v>
          </cell>
        </row>
        <row r="890">
          <cell r="O890">
            <v>0</v>
          </cell>
        </row>
        <row r="891">
          <cell r="O891">
            <v>0</v>
          </cell>
        </row>
        <row r="892">
          <cell r="O892">
            <v>0</v>
          </cell>
        </row>
        <row r="893">
          <cell r="O893">
            <v>0</v>
          </cell>
        </row>
        <row r="894">
          <cell r="O894">
            <v>0</v>
          </cell>
        </row>
        <row r="895">
          <cell r="O895">
            <v>0</v>
          </cell>
        </row>
        <row r="896">
          <cell r="O896">
            <v>0</v>
          </cell>
        </row>
        <row r="897">
          <cell r="O897">
            <v>0</v>
          </cell>
        </row>
        <row r="898">
          <cell r="O898">
            <v>0</v>
          </cell>
        </row>
        <row r="899">
          <cell r="O899">
            <v>0</v>
          </cell>
        </row>
        <row r="900">
          <cell r="O900">
            <v>0</v>
          </cell>
        </row>
        <row r="901">
          <cell r="O901">
            <v>0</v>
          </cell>
        </row>
        <row r="902">
          <cell r="O902">
            <v>0</v>
          </cell>
        </row>
        <row r="903">
          <cell r="O903">
            <v>0</v>
          </cell>
        </row>
        <row r="904">
          <cell r="O904">
            <v>0</v>
          </cell>
        </row>
        <row r="905">
          <cell r="O905">
            <v>0</v>
          </cell>
        </row>
        <row r="906">
          <cell r="O906">
            <v>0</v>
          </cell>
        </row>
        <row r="907">
          <cell r="O907">
            <v>0</v>
          </cell>
        </row>
        <row r="908">
          <cell r="O908">
            <v>0</v>
          </cell>
        </row>
        <row r="909">
          <cell r="O909">
            <v>0</v>
          </cell>
        </row>
        <row r="910">
          <cell r="O910">
            <v>0</v>
          </cell>
        </row>
        <row r="911">
          <cell r="O911">
            <v>0</v>
          </cell>
        </row>
        <row r="912">
          <cell r="O912">
            <v>0</v>
          </cell>
        </row>
        <row r="913">
          <cell r="O913">
            <v>0</v>
          </cell>
        </row>
        <row r="914">
          <cell r="O914">
            <v>0</v>
          </cell>
        </row>
        <row r="915">
          <cell r="O915">
            <v>0</v>
          </cell>
        </row>
        <row r="916">
          <cell r="O916">
            <v>0</v>
          </cell>
        </row>
        <row r="917">
          <cell r="O917">
            <v>0</v>
          </cell>
        </row>
        <row r="918">
          <cell r="O918">
            <v>0</v>
          </cell>
        </row>
        <row r="919">
          <cell r="O919">
            <v>0</v>
          </cell>
        </row>
        <row r="920">
          <cell r="O920">
            <v>0</v>
          </cell>
        </row>
        <row r="921">
          <cell r="O921">
            <v>0</v>
          </cell>
        </row>
        <row r="922">
          <cell r="O922">
            <v>0</v>
          </cell>
        </row>
        <row r="923">
          <cell r="O923">
            <v>0</v>
          </cell>
        </row>
        <row r="924">
          <cell r="O924">
            <v>0</v>
          </cell>
        </row>
        <row r="925">
          <cell r="O925">
            <v>0</v>
          </cell>
        </row>
        <row r="926">
          <cell r="O926">
            <v>0</v>
          </cell>
        </row>
        <row r="927">
          <cell r="O927">
            <v>0</v>
          </cell>
        </row>
        <row r="928">
          <cell r="O928">
            <v>0</v>
          </cell>
        </row>
        <row r="929">
          <cell r="O929">
            <v>0</v>
          </cell>
        </row>
        <row r="930">
          <cell r="O930">
            <v>0</v>
          </cell>
        </row>
        <row r="931">
          <cell r="O931">
            <v>0</v>
          </cell>
        </row>
        <row r="932">
          <cell r="O932">
            <v>0</v>
          </cell>
        </row>
        <row r="933">
          <cell r="O933">
            <v>0</v>
          </cell>
        </row>
        <row r="934">
          <cell r="O934">
            <v>0</v>
          </cell>
        </row>
        <row r="935">
          <cell r="O935">
            <v>0</v>
          </cell>
        </row>
        <row r="936">
          <cell r="O936">
            <v>0</v>
          </cell>
        </row>
        <row r="937">
          <cell r="O937">
            <v>0</v>
          </cell>
        </row>
        <row r="938">
          <cell r="O938">
            <v>0</v>
          </cell>
        </row>
        <row r="939">
          <cell r="O939">
            <v>0</v>
          </cell>
        </row>
        <row r="940">
          <cell r="O940">
            <v>0</v>
          </cell>
        </row>
        <row r="941">
          <cell r="O941">
            <v>0</v>
          </cell>
        </row>
        <row r="942">
          <cell r="O942">
            <v>0</v>
          </cell>
        </row>
        <row r="943">
          <cell r="O943">
            <v>0</v>
          </cell>
        </row>
        <row r="944">
          <cell r="O944">
            <v>0</v>
          </cell>
        </row>
        <row r="945">
          <cell r="O945">
            <v>0</v>
          </cell>
        </row>
        <row r="946">
          <cell r="O946">
            <v>0</v>
          </cell>
        </row>
        <row r="947">
          <cell r="O947">
            <v>0</v>
          </cell>
        </row>
        <row r="948">
          <cell r="O948">
            <v>0</v>
          </cell>
        </row>
        <row r="949">
          <cell r="O949">
            <v>0</v>
          </cell>
        </row>
        <row r="950">
          <cell r="O950">
            <v>0</v>
          </cell>
        </row>
        <row r="951">
          <cell r="O951">
            <v>0</v>
          </cell>
        </row>
        <row r="952">
          <cell r="O952">
            <v>0</v>
          </cell>
        </row>
        <row r="953">
          <cell r="O953">
            <v>0</v>
          </cell>
        </row>
        <row r="954">
          <cell r="O954">
            <v>0</v>
          </cell>
        </row>
        <row r="955">
          <cell r="O955">
            <v>0</v>
          </cell>
        </row>
        <row r="956">
          <cell r="O956">
            <v>0</v>
          </cell>
        </row>
        <row r="957">
          <cell r="O957">
            <v>0</v>
          </cell>
        </row>
        <row r="958">
          <cell r="O958">
            <v>0</v>
          </cell>
        </row>
        <row r="959">
          <cell r="O959">
            <v>0</v>
          </cell>
        </row>
        <row r="960">
          <cell r="O960">
            <v>0</v>
          </cell>
        </row>
        <row r="961">
          <cell r="O961">
            <v>0</v>
          </cell>
        </row>
        <row r="962">
          <cell r="O962">
            <v>0</v>
          </cell>
        </row>
        <row r="963">
          <cell r="O963">
            <v>0</v>
          </cell>
        </row>
        <row r="964">
          <cell r="O964">
            <v>0</v>
          </cell>
        </row>
        <row r="965">
          <cell r="O965">
            <v>0</v>
          </cell>
        </row>
        <row r="966">
          <cell r="O966">
            <v>0</v>
          </cell>
        </row>
        <row r="967">
          <cell r="O967">
            <v>0</v>
          </cell>
        </row>
        <row r="968">
          <cell r="O968">
            <v>0</v>
          </cell>
        </row>
        <row r="969">
          <cell r="O969">
            <v>0</v>
          </cell>
        </row>
        <row r="970">
          <cell r="O970">
            <v>0</v>
          </cell>
        </row>
        <row r="971">
          <cell r="O971">
            <v>0</v>
          </cell>
        </row>
        <row r="972">
          <cell r="O972">
            <v>0</v>
          </cell>
        </row>
        <row r="973">
          <cell r="O973">
            <v>0</v>
          </cell>
        </row>
        <row r="974">
          <cell r="O974">
            <v>0</v>
          </cell>
        </row>
        <row r="975">
          <cell r="O975">
            <v>0</v>
          </cell>
        </row>
        <row r="976">
          <cell r="O976">
            <v>0</v>
          </cell>
        </row>
        <row r="977">
          <cell r="O977">
            <v>0</v>
          </cell>
        </row>
        <row r="978">
          <cell r="O978">
            <v>0</v>
          </cell>
        </row>
        <row r="979">
          <cell r="O979">
            <v>0</v>
          </cell>
        </row>
        <row r="980">
          <cell r="O980">
            <v>0</v>
          </cell>
        </row>
        <row r="981">
          <cell r="O981">
            <v>0</v>
          </cell>
        </row>
        <row r="982">
          <cell r="O982">
            <v>0</v>
          </cell>
        </row>
        <row r="983">
          <cell r="O983">
            <v>0</v>
          </cell>
        </row>
        <row r="984">
          <cell r="O984">
            <v>0</v>
          </cell>
        </row>
        <row r="985">
          <cell r="O985">
            <v>0</v>
          </cell>
        </row>
        <row r="986">
          <cell r="O986">
            <v>0</v>
          </cell>
        </row>
        <row r="987">
          <cell r="O987">
            <v>0</v>
          </cell>
        </row>
        <row r="988">
          <cell r="O988">
            <v>0</v>
          </cell>
        </row>
        <row r="989">
          <cell r="O989">
            <v>0</v>
          </cell>
        </row>
        <row r="990">
          <cell r="O990">
            <v>0</v>
          </cell>
        </row>
        <row r="991">
          <cell r="O991">
            <v>0</v>
          </cell>
        </row>
        <row r="992">
          <cell r="O992">
            <v>0</v>
          </cell>
        </row>
        <row r="993">
          <cell r="O993">
            <v>0</v>
          </cell>
        </row>
        <row r="994">
          <cell r="O994">
            <v>0</v>
          </cell>
        </row>
        <row r="995">
          <cell r="O995">
            <v>0</v>
          </cell>
        </row>
        <row r="996">
          <cell r="O996">
            <v>0</v>
          </cell>
        </row>
        <row r="997">
          <cell r="O997">
            <v>0</v>
          </cell>
        </row>
        <row r="998">
          <cell r="O998">
            <v>0</v>
          </cell>
        </row>
        <row r="999">
          <cell r="O999">
            <v>0</v>
          </cell>
        </row>
        <row r="1000">
          <cell r="O1000">
            <v>0</v>
          </cell>
        </row>
        <row r="1001">
          <cell r="O1001">
            <v>0</v>
          </cell>
        </row>
        <row r="1002">
          <cell r="O1002">
            <v>0</v>
          </cell>
        </row>
        <row r="1003">
          <cell r="O1003">
            <v>0</v>
          </cell>
        </row>
        <row r="1004">
          <cell r="O1004">
            <v>0</v>
          </cell>
        </row>
        <row r="1005">
          <cell r="O1005">
            <v>0</v>
          </cell>
        </row>
        <row r="1006">
          <cell r="O1006">
            <v>0</v>
          </cell>
        </row>
        <row r="1007">
          <cell r="O1007">
            <v>0</v>
          </cell>
        </row>
        <row r="1008">
          <cell r="O1008">
            <v>0</v>
          </cell>
        </row>
        <row r="1009">
          <cell r="O1009">
            <v>0</v>
          </cell>
        </row>
        <row r="1010">
          <cell r="O1010">
            <v>0</v>
          </cell>
        </row>
        <row r="1011">
          <cell r="O1011">
            <v>0</v>
          </cell>
        </row>
        <row r="1012">
          <cell r="O1012">
            <v>0</v>
          </cell>
        </row>
        <row r="1013">
          <cell r="O1013">
            <v>0</v>
          </cell>
        </row>
        <row r="1014">
          <cell r="O1014">
            <v>0</v>
          </cell>
        </row>
        <row r="1015">
          <cell r="O1015">
            <v>0</v>
          </cell>
        </row>
        <row r="1016">
          <cell r="O1016">
            <v>0</v>
          </cell>
        </row>
        <row r="1017">
          <cell r="O1017">
            <v>0</v>
          </cell>
        </row>
        <row r="1018">
          <cell r="O1018">
            <v>0</v>
          </cell>
        </row>
        <row r="1019">
          <cell r="O1019">
            <v>0</v>
          </cell>
        </row>
        <row r="1020">
          <cell r="O1020">
            <v>0</v>
          </cell>
        </row>
        <row r="1021">
          <cell r="O1021">
            <v>0</v>
          </cell>
        </row>
        <row r="1022">
          <cell r="O1022">
            <v>0</v>
          </cell>
        </row>
        <row r="1023">
          <cell r="O1023">
            <v>0</v>
          </cell>
        </row>
        <row r="1024">
          <cell r="O1024">
            <v>0</v>
          </cell>
        </row>
        <row r="1025">
          <cell r="O1025">
            <v>0</v>
          </cell>
        </row>
        <row r="1026">
          <cell r="O1026">
            <v>0</v>
          </cell>
        </row>
        <row r="1027">
          <cell r="O1027">
            <v>0</v>
          </cell>
        </row>
        <row r="1028">
          <cell r="O1028">
            <v>0</v>
          </cell>
        </row>
        <row r="1029">
          <cell r="O1029">
            <v>0</v>
          </cell>
        </row>
        <row r="1030">
          <cell r="O1030">
            <v>0</v>
          </cell>
        </row>
        <row r="1031">
          <cell r="O1031">
            <v>0</v>
          </cell>
        </row>
        <row r="1032">
          <cell r="O1032">
            <v>0</v>
          </cell>
        </row>
        <row r="1033">
          <cell r="O1033">
            <v>0</v>
          </cell>
        </row>
        <row r="1034">
          <cell r="O1034">
            <v>0</v>
          </cell>
        </row>
        <row r="1035">
          <cell r="O1035">
            <v>0</v>
          </cell>
        </row>
        <row r="1036">
          <cell r="O1036">
            <v>0</v>
          </cell>
        </row>
        <row r="1037">
          <cell r="O1037">
            <v>0</v>
          </cell>
        </row>
        <row r="1038">
          <cell r="O1038">
            <v>0</v>
          </cell>
        </row>
        <row r="1039">
          <cell r="O1039">
            <v>0</v>
          </cell>
        </row>
        <row r="1040">
          <cell r="O1040">
            <v>0</v>
          </cell>
        </row>
        <row r="1041">
          <cell r="O1041">
            <v>0</v>
          </cell>
        </row>
        <row r="1042">
          <cell r="O1042">
            <v>0</v>
          </cell>
        </row>
        <row r="1043">
          <cell r="O1043">
            <v>0</v>
          </cell>
        </row>
        <row r="1044">
          <cell r="O1044">
            <v>0</v>
          </cell>
        </row>
        <row r="1045">
          <cell r="O1045">
            <v>0</v>
          </cell>
        </row>
        <row r="1046">
          <cell r="O1046">
            <v>0</v>
          </cell>
        </row>
        <row r="1047">
          <cell r="O1047">
            <v>0</v>
          </cell>
        </row>
        <row r="1048">
          <cell r="O1048">
            <v>0</v>
          </cell>
        </row>
        <row r="1049">
          <cell r="O1049">
            <v>0</v>
          </cell>
        </row>
        <row r="1050">
          <cell r="O1050">
            <v>0</v>
          </cell>
        </row>
        <row r="1051">
          <cell r="O1051">
            <v>0</v>
          </cell>
        </row>
        <row r="1052">
          <cell r="O1052">
            <v>0</v>
          </cell>
        </row>
        <row r="1053">
          <cell r="O1053">
            <v>0</v>
          </cell>
        </row>
        <row r="1054">
          <cell r="O1054">
            <v>0</v>
          </cell>
        </row>
        <row r="1055">
          <cell r="O1055">
            <v>0</v>
          </cell>
        </row>
        <row r="1056">
          <cell r="O1056">
            <v>0</v>
          </cell>
        </row>
        <row r="1057">
          <cell r="O1057">
            <v>0</v>
          </cell>
        </row>
        <row r="1058">
          <cell r="O1058">
            <v>0</v>
          </cell>
        </row>
        <row r="1059">
          <cell r="O1059">
            <v>0</v>
          </cell>
        </row>
        <row r="1060">
          <cell r="O1060">
            <v>0</v>
          </cell>
        </row>
        <row r="1061">
          <cell r="O1061">
            <v>0</v>
          </cell>
        </row>
        <row r="1062">
          <cell r="O1062">
            <v>0</v>
          </cell>
        </row>
        <row r="1063">
          <cell r="O1063">
            <v>0</v>
          </cell>
        </row>
        <row r="1064">
          <cell r="O1064">
            <v>0</v>
          </cell>
        </row>
        <row r="1065">
          <cell r="O1065">
            <v>0</v>
          </cell>
        </row>
        <row r="1066">
          <cell r="O1066">
            <v>0</v>
          </cell>
        </row>
        <row r="1067">
          <cell r="O1067">
            <v>0</v>
          </cell>
        </row>
        <row r="1068">
          <cell r="O1068">
            <v>0</v>
          </cell>
        </row>
        <row r="1069">
          <cell r="O1069">
            <v>0</v>
          </cell>
        </row>
        <row r="1070">
          <cell r="O1070">
            <v>0</v>
          </cell>
        </row>
        <row r="1071">
          <cell r="O1071">
            <v>0</v>
          </cell>
        </row>
        <row r="1072">
          <cell r="O1072">
            <v>0</v>
          </cell>
        </row>
        <row r="1073">
          <cell r="O1073">
            <v>0</v>
          </cell>
        </row>
        <row r="1074">
          <cell r="O1074">
            <v>0</v>
          </cell>
        </row>
        <row r="1075">
          <cell r="O1075">
            <v>0</v>
          </cell>
        </row>
        <row r="1076">
          <cell r="O1076">
            <v>0</v>
          </cell>
        </row>
        <row r="1077">
          <cell r="O1077">
            <v>0</v>
          </cell>
        </row>
        <row r="1078">
          <cell r="O1078">
            <v>0</v>
          </cell>
        </row>
        <row r="1079">
          <cell r="O1079">
            <v>0</v>
          </cell>
        </row>
        <row r="1080">
          <cell r="O1080">
            <v>0</v>
          </cell>
        </row>
        <row r="1081">
          <cell r="O1081">
            <v>0</v>
          </cell>
        </row>
        <row r="1082">
          <cell r="O1082">
            <v>0</v>
          </cell>
        </row>
        <row r="1083">
          <cell r="O1083">
            <v>0</v>
          </cell>
        </row>
        <row r="1084">
          <cell r="O1084">
            <v>0</v>
          </cell>
        </row>
        <row r="1085">
          <cell r="O1085">
            <v>0</v>
          </cell>
        </row>
        <row r="1086">
          <cell r="O1086">
            <v>0</v>
          </cell>
        </row>
        <row r="1087">
          <cell r="O1087">
            <v>0</v>
          </cell>
        </row>
        <row r="1088">
          <cell r="O1088">
            <v>0</v>
          </cell>
        </row>
        <row r="1089">
          <cell r="O1089">
            <v>0</v>
          </cell>
        </row>
        <row r="1090">
          <cell r="O1090">
            <v>0</v>
          </cell>
        </row>
        <row r="1091">
          <cell r="O1091">
            <v>0</v>
          </cell>
        </row>
        <row r="1092">
          <cell r="O1092">
            <v>0</v>
          </cell>
        </row>
        <row r="1093">
          <cell r="O1093">
            <v>0</v>
          </cell>
        </row>
        <row r="1094">
          <cell r="O1094">
            <v>0</v>
          </cell>
        </row>
        <row r="1095">
          <cell r="O1095">
            <v>0</v>
          </cell>
        </row>
        <row r="1096">
          <cell r="O1096">
            <v>0</v>
          </cell>
        </row>
        <row r="1097">
          <cell r="O1097">
            <v>0</v>
          </cell>
        </row>
        <row r="1098">
          <cell r="O1098">
            <v>0</v>
          </cell>
        </row>
        <row r="1099">
          <cell r="O1099">
            <v>0</v>
          </cell>
        </row>
        <row r="1100">
          <cell r="O1100">
            <v>0</v>
          </cell>
        </row>
        <row r="1101">
          <cell r="O1101">
            <v>0</v>
          </cell>
        </row>
        <row r="1102">
          <cell r="O1102">
            <v>0</v>
          </cell>
        </row>
        <row r="1103">
          <cell r="O1103">
            <v>0</v>
          </cell>
        </row>
        <row r="1104">
          <cell r="O1104">
            <v>0</v>
          </cell>
        </row>
        <row r="1105">
          <cell r="O1105">
            <v>0</v>
          </cell>
        </row>
        <row r="1106">
          <cell r="O1106">
            <v>0</v>
          </cell>
        </row>
        <row r="1107">
          <cell r="O1107">
            <v>0</v>
          </cell>
        </row>
        <row r="1108">
          <cell r="O1108">
            <v>0</v>
          </cell>
        </row>
        <row r="1109">
          <cell r="O1109">
            <v>0</v>
          </cell>
        </row>
        <row r="1110">
          <cell r="O1110">
            <v>0</v>
          </cell>
        </row>
        <row r="1111">
          <cell r="O1111">
            <v>0</v>
          </cell>
        </row>
        <row r="1112">
          <cell r="O1112">
            <v>0</v>
          </cell>
        </row>
        <row r="1113">
          <cell r="O1113">
            <v>0</v>
          </cell>
        </row>
        <row r="1114">
          <cell r="O1114">
            <v>0</v>
          </cell>
        </row>
        <row r="1115">
          <cell r="O1115">
            <v>0</v>
          </cell>
        </row>
        <row r="1116">
          <cell r="O1116">
            <v>0</v>
          </cell>
        </row>
        <row r="1117">
          <cell r="O1117">
            <v>0</v>
          </cell>
        </row>
        <row r="1118">
          <cell r="O1118">
            <v>0</v>
          </cell>
        </row>
        <row r="1119">
          <cell r="O1119">
            <v>0</v>
          </cell>
        </row>
        <row r="1120">
          <cell r="O1120">
            <v>0</v>
          </cell>
        </row>
        <row r="1121">
          <cell r="O1121">
            <v>0</v>
          </cell>
        </row>
        <row r="1122">
          <cell r="O1122">
            <v>0</v>
          </cell>
        </row>
        <row r="1123">
          <cell r="O1123">
            <v>0</v>
          </cell>
        </row>
        <row r="1124">
          <cell r="O1124">
            <v>0</v>
          </cell>
        </row>
        <row r="1125">
          <cell r="O1125">
            <v>0</v>
          </cell>
        </row>
        <row r="1126">
          <cell r="O1126">
            <v>0</v>
          </cell>
        </row>
        <row r="1127">
          <cell r="O1127">
            <v>0</v>
          </cell>
        </row>
        <row r="1128">
          <cell r="O1128">
            <v>0</v>
          </cell>
        </row>
        <row r="1129">
          <cell r="O1129">
            <v>0</v>
          </cell>
        </row>
        <row r="1130">
          <cell r="O1130">
            <v>0</v>
          </cell>
        </row>
        <row r="1131">
          <cell r="O1131">
            <v>0</v>
          </cell>
        </row>
        <row r="1132">
          <cell r="O1132">
            <v>0</v>
          </cell>
        </row>
        <row r="1133">
          <cell r="O1133">
            <v>0</v>
          </cell>
        </row>
        <row r="1134">
          <cell r="O1134">
            <v>0</v>
          </cell>
        </row>
        <row r="1135">
          <cell r="O1135">
            <v>0</v>
          </cell>
        </row>
        <row r="1136">
          <cell r="O1136">
            <v>0</v>
          </cell>
        </row>
        <row r="1137">
          <cell r="O1137">
            <v>0</v>
          </cell>
        </row>
        <row r="1138">
          <cell r="O1138">
            <v>0</v>
          </cell>
        </row>
        <row r="1139">
          <cell r="O1139">
            <v>0</v>
          </cell>
        </row>
        <row r="1140">
          <cell r="O1140">
            <v>0</v>
          </cell>
        </row>
        <row r="1141">
          <cell r="O1141">
            <v>0</v>
          </cell>
        </row>
        <row r="1142">
          <cell r="O1142">
            <v>0</v>
          </cell>
        </row>
        <row r="1143">
          <cell r="O1143">
            <v>0</v>
          </cell>
        </row>
        <row r="1144">
          <cell r="O1144">
            <v>0</v>
          </cell>
        </row>
        <row r="1145">
          <cell r="O1145">
            <v>0</v>
          </cell>
        </row>
        <row r="1146">
          <cell r="O1146">
            <v>0</v>
          </cell>
        </row>
        <row r="1147">
          <cell r="O1147">
            <v>0</v>
          </cell>
        </row>
        <row r="1148">
          <cell r="O1148">
            <v>0</v>
          </cell>
        </row>
        <row r="1149">
          <cell r="O1149">
            <v>0</v>
          </cell>
        </row>
        <row r="1150">
          <cell r="O1150">
            <v>0</v>
          </cell>
        </row>
        <row r="1151">
          <cell r="O1151">
            <v>0</v>
          </cell>
        </row>
        <row r="1152">
          <cell r="O1152">
            <v>0</v>
          </cell>
        </row>
        <row r="1153">
          <cell r="O1153">
            <v>0</v>
          </cell>
        </row>
        <row r="1154">
          <cell r="O1154">
            <v>0</v>
          </cell>
        </row>
        <row r="1155">
          <cell r="O1155">
            <v>0</v>
          </cell>
        </row>
        <row r="1156">
          <cell r="O1156">
            <v>0</v>
          </cell>
        </row>
        <row r="1157">
          <cell r="O1157">
            <v>0</v>
          </cell>
        </row>
        <row r="1158">
          <cell r="O1158">
            <v>0</v>
          </cell>
        </row>
        <row r="1159">
          <cell r="O1159">
            <v>0</v>
          </cell>
        </row>
        <row r="1160">
          <cell r="O1160">
            <v>0</v>
          </cell>
        </row>
        <row r="1161">
          <cell r="O1161">
            <v>0</v>
          </cell>
        </row>
        <row r="1162">
          <cell r="O1162">
            <v>0</v>
          </cell>
        </row>
        <row r="1163">
          <cell r="O1163">
            <v>0</v>
          </cell>
        </row>
        <row r="1164">
          <cell r="O1164">
            <v>0</v>
          </cell>
        </row>
        <row r="1165">
          <cell r="O1165">
            <v>0</v>
          </cell>
        </row>
        <row r="1166">
          <cell r="O1166">
            <v>0</v>
          </cell>
        </row>
        <row r="1167">
          <cell r="O1167">
            <v>0</v>
          </cell>
        </row>
        <row r="1168">
          <cell r="O1168">
            <v>0</v>
          </cell>
        </row>
        <row r="1169">
          <cell r="O1169">
            <v>0</v>
          </cell>
        </row>
        <row r="1170">
          <cell r="O1170">
            <v>0</v>
          </cell>
        </row>
        <row r="1171">
          <cell r="O1171">
            <v>0</v>
          </cell>
        </row>
        <row r="1172">
          <cell r="O1172">
            <v>0</v>
          </cell>
        </row>
        <row r="1173">
          <cell r="O1173">
            <v>0</v>
          </cell>
        </row>
        <row r="1174">
          <cell r="O1174">
            <v>0</v>
          </cell>
        </row>
        <row r="1175">
          <cell r="O1175">
            <v>0</v>
          </cell>
        </row>
        <row r="1176">
          <cell r="O1176">
            <v>0</v>
          </cell>
        </row>
        <row r="1177">
          <cell r="O1177">
            <v>0</v>
          </cell>
        </row>
        <row r="1178">
          <cell r="O1178">
            <v>0</v>
          </cell>
        </row>
        <row r="1179">
          <cell r="O1179">
            <v>0</v>
          </cell>
        </row>
        <row r="1180">
          <cell r="O1180">
            <v>0</v>
          </cell>
        </row>
        <row r="1181">
          <cell r="O1181">
            <v>0</v>
          </cell>
        </row>
        <row r="1182">
          <cell r="O1182">
            <v>0</v>
          </cell>
        </row>
        <row r="1183">
          <cell r="O1183">
            <v>0</v>
          </cell>
        </row>
        <row r="1184">
          <cell r="O1184">
            <v>0</v>
          </cell>
        </row>
        <row r="1185">
          <cell r="O1185">
            <v>0</v>
          </cell>
        </row>
        <row r="1186">
          <cell r="O1186">
            <v>0</v>
          </cell>
        </row>
        <row r="1187">
          <cell r="O1187">
            <v>0</v>
          </cell>
        </row>
        <row r="1188">
          <cell r="O1188">
            <v>0</v>
          </cell>
        </row>
        <row r="1189">
          <cell r="O1189">
            <v>0</v>
          </cell>
        </row>
        <row r="1190">
          <cell r="O1190">
            <v>0</v>
          </cell>
        </row>
        <row r="1191">
          <cell r="O1191">
            <v>0</v>
          </cell>
        </row>
        <row r="1192">
          <cell r="O1192">
            <v>0</v>
          </cell>
        </row>
        <row r="1193">
          <cell r="O1193">
            <v>0</v>
          </cell>
        </row>
        <row r="1194">
          <cell r="O1194">
            <v>0</v>
          </cell>
        </row>
        <row r="1195">
          <cell r="O1195">
            <v>0</v>
          </cell>
        </row>
        <row r="1196">
          <cell r="O1196">
            <v>0</v>
          </cell>
        </row>
        <row r="1197">
          <cell r="O1197">
            <v>0</v>
          </cell>
        </row>
        <row r="1198">
          <cell r="O1198">
            <v>0</v>
          </cell>
        </row>
        <row r="1199">
          <cell r="O1199">
            <v>0</v>
          </cell>
        </row>
        <row r="1200">
          <cell r="O1200">
            <v>0</v>
          </cell>
        </row>
        <row r="1201">
          <cell r="O1201">
            <v>0</v>
          </cell>
        </row>
        <row r="1202">
          <cell r="O1202">
            <v>0</v>
          </cell>
        </row>
        <row r="1203">
          <cell r="O1203">
            <v>0</v>
          </cell>
        </row>
        <row r="1204">
          <cell r="O1204">
            <v>0</v>
          </cell>
        </row>
        <row r="1205">
          <cell r="O1205">
            <v>0</v>
          </cell>
        </row>
        <row r="1206">
          <cell r="O1206">
            <v>0</v>
          </cell>
        </row>
        <row r="1207">
          <cell r="O1207">
            <v>0</v>
          </cell>
        </row>
        <row r="1208">
          <cell r="O1208">
            <v>0</v>
          </cell>
        </row>
        <row r="1209">
          <cell r="O1209">
            <v>0</v>
          </cell>
        </row>
        <row r="1210">
          <cell r="O1210">
            <v>0</v>
          </cell>
        </row>
        <row r="1211">
          <cell r="O1211">
            <v>0</v>
          </cell>
        </row>
        <row r="1212">
          <cell r="O1212">
            <v>0</v>
          </cell>
        </row>
        <row r="1213">
          <cell r="O1213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blad"/>
      <sheetName val="1a-Data"/>
      <sheetName val="1b-Contractblad totaal"/>
      <sheetName val="1c-Contractblad per locatie"/>
      <sheetName val="2-Kengetal"/>
      <sheetName val="3-Basis ruimtestaat"/>
      <sheetName val="4-Premies en opslagen"/>
      <sheetName val="5-Opbouw uurtarieven"/>
      <sheetName val="6-Tarievenmatrix"/>
      <sheetName val="7-Afroepprijs"/>
    </sheetNames>
    <sheetDataSet>
      <sheetData sheetId="0"/>
      <sheetData sheetId="1"/>
      <sheetData sheetId="2"/>
      <sheetData sheetId="3"/>
      <sheetData sheetId="4"/>
      <sheetData sheetId="5">
        <row r="9">
          <cell r="M9" t="str">
            <v>UREN P/JR        MA-VR</v>
          </cell>
          <cell r="N9" t="str">
            <v>UREN P/JR     NALOOP</v>
          </cell>
        </row>
        <row r="10">
          <cell r="M10">
            <v>0</v>
          </cell>
          <cell r="N10">
            <v>0</v>
          </cell>
        </row>
        <row r="11">
          <cell r="M11">
            <v>0</v>
          </cell>
          <cell r="N11">
            <v>0</v>
          </cell>
        </row>
        <row r="12">
          <cell r="M12">
            <v>0</v>
          </cell>
          <cell r="N12">
            <v>0</v>
          </cell>
        </row>
        <row r="13">
          <cell r="M13">
            <v>0</v>
          </cell>
          <cell r="N13">
            <v>0</v>
          </cell>
        </row>
        <row r="14">
          <cell r="M14">
            <v>0</v>
          </cell>
          <cell r="N14">
            <v>0</v>
          </cell>
        </row>
        <row r="15">
          <cell r="M15">
            <v>0</v>
          </cell>
          <cell r="N15">
            <v>0</v>
          </cell>
        </row>
        <row r="16">
          <cell r="M16">
            <v>0</v>
          </cell>
          <cell r="N16">
            <v>0</v>
          </cell>
        </row>
        <row r="17">
          <cell r="M17">
            <v>0</v>
          </cell>
          <cell r="N17">
            <v>0</v>
          </cell>
        </row>
        <row r="18">
          <cell r="M18">
            <v>0</v>
          </cell>
          <cell r="N18">
            <v>0</v>
          </cell>
        </row>
        <row r="19">
          <cell r="M19">
            <v>0</v>
          </cell>
          <cell r="N19">
            <v>0</v>
          </cell>
        </row>
        <row r="20">
          <cell r="M20">
            <v>0</v>
          </cell>
          <cell r="N20">
            <v>0</v>
          </cell>
        </row>
        <row r="21">
          <cell r="M21">
            <v>0</v>
          </cell>
          <cell r="N21">
            <v>0</v>
          </cell>
        </row>
        <row r="22">
          <cell r="M22">
            <v>0</v>
          </cell>
          <cell r="N22">
            <v>0</v>
          </cell>
        </row>
        <row r="23">
          <cell r="M23">
            <v>0</v>
          </cell>
          <cell r="N23">
            <v>0</v>
          </cell>
        </row>
        <row r="24">
          <cell r="M24">
            <v>0</v>
          </cell>
          <cell r="N24">
            <v>0</v>
          </cell>
        </row>
        <row r="25">
          <cell r="M25">
            <v>0</v>
          </cell>
          <cell r="N25">
            <v>0</v>
          </cell>
        </row>
        <row r="26">
          <cell r="M26">
            <v>0</v>
          </cell>
          <cell r="N26">
            <v>0</v>
          </cell>
        </row>
        <row r="27">
          <cell r="M27">
            <v>0</v>
          </cell>
          <cell r="N27">
            <v>0</v>
          </cell>
        </row>
        <row r="28">
          <cell r="M28">
            <v>0</v>
          </cell>
          <cell r="N28">
            <v>0</v>
          </cell>
        </row>
        <row r="29">
          <cell r="M29">
            <v>0</v>
          </cell>
          <cell r="N29">
            <v>0</v>
          </cell>
        </row>
        <row r="30">
          <cell r="M30">
            <v>0</v>
          </cell>
          <cell r="N30">
            <v>0</v>
          </cell>
        </row>
        <row r="31">
          <cell r="M31">
            <v>0</v>
          </cell>
          <cell r="N31">
            <v>0</v>
          </cell>
        </row>
        <row r="32">
          <cell r="M32">
            <v>0</v>
          </cell>
          <cell r="N32">
            <v>0</v>
          </cell>
        </row>
        <row r="33">
          <cell r="M33">
            <v>0</v>
          </cell>
          <cell r="N33">
            <v>0</v>
          </cell>
        </row>
        <row r="34">
          <cell r="M34">
            <v>0</v>
          </cell>
          <cell r="N34">
            <v>0</v>
          </cell>
        </row>
        <row r="35">
          <cell r="M35">
            <v>0</v>
          </cell>
          <cell r="N35">
            <v>0</v>
          </cell>
        </row>
        <row r="36">
          <cell r="M36">
            <v>0</v>
          </cell>
          <cell r="N36">
            <v>0</v>
          </cell>
        </row>
        <row r="37">
          <cell r="M37">
            <v>0</v>
          </cell>
          <cell r="N37">
            <v>0</v>
          </cell>
        </row>
        <row r="38">
          <cell r="M38">
            <v>0</v>
          </cell>
          <cell r="N38">
            <v>0</v>
          </cell>
        </row>
        <row r="39">
          <cell r="M39">
            <v>0</v>
          </cell>
          <cell r="N39">
            <v>0</v>
          </cell>
        </row>
        <row r="40">
          <cell r="M40">
            <v>0</v>
          </cell>
          <cell r="N40">
            <v>0</v>
          </cell>
        </row>
        <row r="41">
          <cell r="M41">
            <v>0</v>
          </cell>
          <cell r="N41">
            <v>0</v>
          </cell>
        </row>
        <row r="42">
          <cell r="M42">
            <v>0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5">
          <cell r="M45">
            <v>0</v>
          </cell>
          <cell r="N45">
            <v>0</v>
          </cell>
        </row>
        <row r="46">
          <cell r="M46">
            <v>0</v>
          </cell>
          <cell r="N46">
            <v>0</v>
          </cell>
        </row>
        <row r="47">
          <cell r="M47">
            <v>0</v>
          </cell>
          <cell r="N47">
            <v>0</v>
          </cell>
        </row>
        <row r="48">
          <cell r="M48">
            <v>0</v>
          </cell>
          <cell r="N48">
            <v>0</v>
          </cell>
        </row>
        <row r="49">
          <cell r="M49">
            <v>0</v>
          </cell>
          <cell r="N49">
            <v>0</v>
          </cell>
        </row>
        <row r="50">
          <cell r="M50">
            <v>0</v>
          </cell>
          <cell r="N50">
            <v>0</v>
          </cell>
        </row>
        <row r="51">
          <cell r="M51">
            <v>0</v>
          </cell>
          <cell r="N51">
            <v>0</v>
          </cell>
        </row>
        <row r="52">
          <cell r="M52">
            <v>0</v>
          </cell>
          <cell r="N52">
            <v>0</v>
          </cell>
        </row>
        <row r="53">
          <cell r="M53">
            <v>0</v>
          </cell>
          <cell r="N53">
            <v>0</v>
          </cell>
        </row>
        <row r="54">
          <cell r="M54">
            <v>0</v>
          </cell>
          <cell r="N54">
            <v>0</v>
          </cell>
        </row>
        <row r="55">
          <cell r="M55">
            <v>0</v>
          </cell>
          <cell r="N55">
            <v>0</v>
          </cell>
        </row>
        <row r="56">
          <cell r="M56">
            <v>0</v>
          </cell>
          <cell r="N56">
            <v>0</v>
          </cell>
        </row>
        <row r="57">
          <cell r="M57">
            <v>0</v>
          </cell>
          <cell r="N57">
            <v>0</v>
          </cell>
        </row>
        <row r="58">
          <cell r="M58">
            <v>0</v>
          </cell>
          <cell r="N58">
            <v>0</v>
          </cell>
        </row>
        <row r="59">
          <cell r="M59">
            <v>0</v>
          </cell>
          <cell r="N59">
            <v>0</v>
          </cell>
        </row>
        <row r="60">
          <cell r="M60">
            <v>0</v>
          </cell>
          <cell r="N60">
            <v>0</v>
          </cell>
        </row>
        <row r="61">
          <cell r="M61">
            <v>0</v>
          </cell>
          <cell r="N61">
            <v>0</v>
          </cell>
        </row>
        <row r="62">
          <cell r="M62">
            <v>0</v>
          </cell>
          <cell r="N62">
            <v>0</v>
          </cell>
        </row>
        <row r="63">
          <cell r="M63">
            <v>0</v>
          </cell>
          <cell r="N63">
            <v>0</v>
          </cell>
        </row>
        <row r="64">
          <cell r="M64">
            <v>0</v>
          </cell>
          <cell r="N64">
            <v>0</v>
          </cell>
        </row>
        <row r="65">
          <cell r="M65">
            <v>0</v>
          </cell>
          <cell r="N65">
            <v>0</v>
          </cell>
        </row>
        <row r="66">
          <cell r="M66">
            <v>0</v>
          </cell>
          <cell r="N66">
            <v>0</v>
          </cell>
        </row>
        <row r="67">
          <cell r="M67">
            <v>0</v>
          </cell>
          <cell r="N67">
            <v>0</v>
          </cell>
        </row>
        <row r="68">
          <cell r="M68">
            <v>0</v>
          </cell>
          <cell r="N68">
            <v>0</v>
          </cell>
        </row>
        <row r="69">
          <cell r="M69">
            <v>0</v>
          </cell>
          <cell r="N69">
            <v>0</v>
          </cell>
        </row>
        <row r="70">
          <cell r="M70">
            <v>0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  <row r="77">
          <cell r="M77">
            <v>0</v>
          </cell>
          <cell r="N77">
            <v>0</v>
          </cell>
        </row>
        <row r="78">
          <cell r="M78">
            <v>0</v>
          </cell>
          <cell r="N78">
            <v>0</v>
          </cell>
        </row>
        <row r="79">
          <cell r="M79">
            <v>0</v>
          </cell>
          <cell r="N79">
            <v>0</v>
          </cell>
        </row>
        <row r="80">
          <cell r="M80">
            <v>0</v>
          </cell>
          <cell r="N80">
            <v>0</v>
          </cell>
        </row>
        <row r="81">
          <cell r="M81">
            <v>0</v>
          </cell>
          <cell r="N81">
            <v>0</v>
          </cell>
        </row>
        <row r="82">
          <cell r="M82">
            <v>0</v>
          </cell>
          <cell r="N82">
            <v>0</v>
          </cell>
        </row>
        <row r="83">
          <cell r="M83">
            <v>0</v>
          </cell>
          <cell r="N83">
            <v>0</v>
          </cell>
        </row>
        <row r="84">
          <cell r="M84">
            <v>0</v>
          </cell>
          <cell r="N84">
            <v>0</v>
          </cell>
        </row>
        <row r="85">
          <cell r="M85">
            <v>0</v>
          </cell>
          <cell r="N85">
            <v>0</v>
          </cell>
        </row>
        <row r="86">
          <cell r="M86">
            <v>0</v>
          </cell>
          <cell r="N86">
            <v>0</v>
          </cell>
        </row>
        <row r="87">
          <cell r="M87">
            <v>0</v>
          </cell>
          <cell r="N87">
            <v>0</v>
          </cell>
        </row>
        <row r="88">
          <cell r="M88">
            <v>0</v>
          </cell>
          <cell r="N88">
            <v>0</v>
          </cell>
        </row>
        <row r="89">
          <cell r="M89">
            <v>0</v>
          </cell>
          <cell r="N89">
            <v>0</v>
          </cell>
        </row>
        <row r="90">
          <cell r="M90">
            <v>0</v>
          </cell>
          <cell r="N90">
            <v>0</v>
          </cell>
        </row>
        <row r="91">
          <cell r="M91">
            <v>0</v>
          </cell>
          <cell r="N91">
            <v>0</v>
          </cell>
        </row>
        <row r="92">
          <cell r="M92">
            <v>0</v>
          </cell>
          <cell r="N92">
            <v>0</v>
          </cell>
        </row>
        <row r="93">
          <cell r="M93">
            <v>0</v>
          </cell>
          <cell r="N93">
            <v>0</v>
          </cell>
        </row>
        <row r="94">
          <cell r="M94">
            <v>0</v>
          </cell>
          <cell r="N94">
            <v>0</v>
          </cell>
        </row>
        <row r="95">
          <cell r="M95">
            <v>0</v>
          </cell>
          <cell r="N95">
            <v>0</v>
          </cell>
        </row>
        <row r="96">
          <cell r="M96">
            <v>0</v>
          </cell>
          <cell r="N96">
            <v>0</v>
          </cell>
        </row>
        <row r="97">
          <cell r="M97">
            <v>0</v>
          </cell>
          <cell r="N97">
            <v>0</v>
          </cell>
        </row>
        <row r="98">
          <cell r="M98">
            <v>0</v>
          </cell>
          <cell r="N98">
            <v>0</v>
          </cell>
        </row>
        <row r="99">
          <cell r="M99">
            <v>0</v>
          </cell>
          <cell r="N99">
            <v>0</v>
          </cell>
        </row>
        <row r="100">
          <cell r="M100">
            <v>0</v>
          </cell>
          <cell r="N100">
            <v>0</v>
          </cell>
        </row>
        <row r="101">
          <cell r="M101">
            <v>0</v>
          </cell>
          <cell r="N101">
            <v>0</v>
          </cell>
        </row>
        <row r="102">
          <cell r="M102">
            <v>0</v>
          </cell>
          <cell r="N102">
            <v>0</v>
          </cell>
        </row>
        <row r="103">
          <cell r="M103">
            <v>0</v>
          </cell>
          <cell r="N103">
            <v>0</v>
          </cell>
        </row>
        <row r="104">
          <cell r="M104">
            <v>0</v>
          </cell>
          <cell r="N104">
            <v>0</v>
          </cell>
        </row>
        <row r="105">
          <cell r="M105">
            <v>0</v>
          </cell>
          <cell r="N105">
            <v>0</v>
          </cell>
        </row>
        <row r="106">
          <cell r="M106">
            <v>0</v>
          </cell>
          <cell r="N106">
            <v>0</v>
          </cell>
        </row>
        <row r="107">
          <cell r="M107">
            <v>0</v>
          </cell>
          <cell r="N107">
            <v>0</v>
          </cell>
        </row>
        <row r="108">
          <cell r="M108">
            <v>0</v>
          </cell>
          <cell r="N108">
            <v>0</v>
          </cell>
        </row>
        <row r="109">
          <cell r="M109">
            <v>0</v>
          </cell>
          <cell r="N109">
            <v>0</v>
          </cell>
        </row>
        <row r="110">
          <cell r="M110">
            <v>0</v>
          </cell>
          <cell r="N110">
            <v>0</v>
          </cell>
        </row>
        <row r="111">
          <cell r="M111">
            <v>0</v>
          </cell>
          <cell r="N111">
            <v>0</v>
          </cell>
        </row>
        <row r="112">
          <cell r="M112">
            <v>0</v>
          </cell>
          <cell r="N112">
            <v>0</v>
          </cell>
        </row>
        <row r="113">
          <cell r="M113">
            <v>0</v>
          </cell>
          <cell r="N113">
            <v>0</v>
          </cell>
        </row>
        <row r="114">
          <cell r="M114">
            <v>0</v>
          </cell>
          <cell r="N114">
            <v>0</v>
          </cell>
        </row>
        <row r="115">
          <cell r="M115">
            <v>0</v>
          </cell>
          <cell r="N115">
            <v>0</v>
          </cell>
        </row>
        <row r="116">
          <cell r="M116">
            <v>0</v>
          </cell>
          <cell r="N116">
            <v>0</v>
          </cell>
        </row>
        <row r="117">
          <cell r="M117">
            <v>0</v>
          </cell>
          <cell r="N117">
            <v>0</v>
          </cell>
        </row>
        <row r="118">
          <cell r="M118">
            <v>0</v>
          </cell>
          <cell r="N118">
            <v>0</v>
          </cell>
        </row>
        <row r="119">
          <cell r="M119">
            <v>0</v>
          </cell>
          <cell r="N119">
            <v>0</v>
          </cell>
        </row>
        <row r="120">
          <cell r="M120">
            <v>0</v>
          </cell>
          <cell r="N120">
            <v>0</v>
          </cell>
        </row>
        <row r="121">
          <cell r="M121">
            <v>0</v>
          </cell>
          <cell r="N121">
            <v>0</v>
          </cell>
        </row>
        <row r="122">
          <cell r="M122">
            <v>0</v>
          </cell>
          <cell r="N122">
            <v>0</v>
          </cell>
        </row>
        <row r="123">
          <cell r="M123">
            <v>0</v>
          </cell>
          <cell r="N123">
            <v>0</v>
          </cell>
        </row>
        <row r="124">
          <cell r="M124">
            <v>0</v>
          </cell>
          <cell r="N124">
            <v>0</v>
          </cell>
        </row>
        <row r="125">
          <cell r="M125">
            <v>0</v>
          </cell>
          <cell r="N125">
            <v>0</v>
          </cell>
        </row>
        <row r="126">
          <cell r="M126">
            <v>0</v>
          </cell>
          <cell r="N126">
            <v>0</v>
          </cell>
        </row>
        <row r="127">
          <cell r="M127">
            <v>0</v>
          </cell>
          <cell r="N127">
            <v>0</v>
          </cell>
        </row>
        <row r="128">
          <cell r="M128">
            <v>0</v>
          </cell>
          <cell r="N128">
            <v>0</v>
          </cell>
        </row>
        <row r="129">
          <cell r="M129">
            <v>0</v>
          </cell>
          <cell r="N129">
            <v>0</v>
          </cell>
        </row>
        <row r="130">
          <cell r="M130">
            <v>0</v>
          </cell>
          <cell r="N130">
            <v>0</v>
          </cell>
        </row>
        <row r="131">
          <cell r="M131">
            <v>0</v>
          </cell>
          <cell r="N131">
            <v>0</v>
          </cell>
        </row>
        <row r="132">
          <cell r="M132">
            <v>0</v>
          </cell>
          <cell r="N132">
            <v>0</v>
          </cell>
        </row>
        <row r="133">
          <cell r="M133">
            <v>0</v>
          </cell>
          <cell r="N133">
            <v>0</v>
          </cell>
        </row>
        <row r="134">
          <cell r="M134">
            <v>0</v>
          </cell>
          <cell r="N134">
            <v>0</v>
          </cell>
        </row>
        <row r="135">
          <cell r="M135">
            <v>0</v>
          </cell>
          <cell r="N135">
            <v>0</v>
          </cell>
        </row>
        <row r="136">
          <cell r="M136">
            <v>0</v>
          </cell>
          <cell r="N136">
            <v>0</v>
          </cell>
        </row>
        <row r="137">
          <cell r="M137">
            <v>0</v>
          </cell>
          <cell r="N137">
            <v>0</v>
          </cell>
        </row>
        <row r="138">
          <cell r="M138">
            <v>0</v>
          </cell>
          <cell r="N138">
            <v>0</v>
          </cell>
        </row>
        <row r="139">
          <cell r="M139">
            <v>0</v>
          </cell>
          <cell r="N139">
            <v>0</v>
          </cell>
        </row>
        <row r="140">
          <cell r="M140">
            <v>0</v>
          </cell>
          <cell r="N140">
            <v>0</v>
          </cell>
        </row>
        <row r="141">
          <cell r="M141">
            <v>0</v>
          </cell>
          <cell r="N141">
            <v>0</v>
          </cell>
        </row>
        <row r="142">
          <cell r="M142">
            <v>0</v>
          </cell>
          <cell r="N142">
            <v>0</v>
          </cell>
        </row>
        <row r="143">
          <cell r="M143">
            <v>0</v>
          </cell>
          <cell r="N143">
            <v>0</v>
          </cell>
        </row>
        <row r="144">
          <cell r="M144">
            <v>0</v>
          </cell>
          <cell r="N144">
            <v>0</v>
          </cell>
        </row>
        <row r="145">
          <cell r="M145">
            <v>0</v>
          </cell>
          <cell r="N145">
            <v>0</v>
          </cell>
        </row>
        <row r="146">
          <cell r="M146">
            <v>0</v>
          </cell>
          <cell r="N146">
            <v>0</v>
          </cell>
        </row>
        <row r="147">
          <cell r="M147">
            <v>0</v>
          </cell>
          <cell r="N147">
            <v>0</v>
          </cell>
        </row>
        <row r="148">
          <cell r="M148">
            <v>0</v>
          </cell>
          <cell r="N148">
            <v>0</v>
          </cell>
        </row>
        <row r="149">
          <cell r="M149">
            <v>0</v>
          </cell>
          <cell r="N149">
            <v>0</v>
          </cell>
        </row>
        <row r="150">
          <cell r="M150">
            <v>0</v>
          </cell>
          <cell r="N150">
            <v>0</v>
          </cell>
        </row>
        <row r="151">
          <cell r="M151">
            <v>0</v>
          </cell>
          <cell r="N151">
            <v>0</v>
          </cell>
        </row>
        <row r="152">
          <cell r="M152">
            <v>0</v>
          </cell>
          <cell r="N152">
            <v>0</v>
          </cell>
        </row>
        <row r="153">
          <cell r="M153">
            <v>0</v>
          </cell>
          <cell r="N153">
            <v>0</v>
          </cell>
        </row>
        <row r="154">
          <cell r="M154">
            <v>0</v>
          </cell>
          <cell r="N154">
            <v>0</v>
          </cell>
        </row>
        <row r="155">
          <cell r="M155">
            <v>0</v>
          </cell>
          <cell r="N155">
            <v>0</v>
          </cell>
        </row>
        <row r="156">
          <cell r="M156">
            <v>0</v>
          </cell>
          <cell r="N156">
            <v>0</v>
          </cell>
        </row>
        <row r="157">
          <cell r="M157">
            <v>0</v>
          </cell>
          <cell r="N157">
            <v>0</v>
          </cell>
        </row>
        <row r="158">
          <cell r="M158">
            <v>0</v>
          </cell>
          <cell r="N158">
            <v>0</v>
          </cell>
        </row>
        <row r="159">
          <cell r="M159">
            <v>0</v>
          </cell>
          <cell r="N159">
            <v>0</v>
          </cell>
        </row>
        <row r="160">
          <cell r="M160">
            <v>0</v>
          </cell>
          <cell r="N160">
            <v>0</v>
          </cell>
        </row>
        <row r="161">
          <cell r="M161">
            <v>0</v>
          </cell>
          <cell r="N161">
            <v>0</v>
          </cell>
        </row>
        <row r="162">
          <cell r="M162">
            <v>0</v>
          </cell>
          <cell r="N162">
            <v>0</v>
          </cell>
        </row>
        <row r="163">
          <cell r="M163">
            <v>0</v>
          </cell>
          <cell r="N163">
            <v>0</v>
          </cell>
        </row>
        <row r="164">
          <cell r="M164">
            <v>0</v>
          </cell>
          <cell r="N164">
            <v>0</v>
          </cell>
        </row>
        <row r="165">
          <cell r="M165">
            <v>0</v>
          </cell>
          <cell r="N165">
            <v>0</v>
          </cell>
        </row>
        <row r="166">
          <cell r="M166">
            <v>0</v>
          </cell>
          <cell r="N166">
            <v>0</v>
          </cell>
        </row>
        <row r="167">
          <cell r="M167">
            <v>0</v>
          </cell>
          <cell r="N167">
            <v>0</v>
          </cell>
        </row>
        <row r="168">
          <cell r="M168">
            <v>0</v>
          </cell>
          <cell r="N168">
            <v>0</v>
          </cell>
        </row>
        <row r="169">
          <cell r="M169">
            <v>0</v>
          </cell>
          <cell r="N169">
            <v>0</v>
          </cell>
        </row>
        <row r="170">
          <cell r="M170">
            <v>0</v>
          </cell>
          <cell r="N170">
            <v>0</v>
          </cell>
        </row>
        <row r="171">
          <cell r="M171">
            <v>0</v>
          </cell>
          <cell r="N171">
            <v>0</v>
          </cell>
        </row>
        <row r="172">
          <cell r="M172">
            <v>0</v>
          </cell>
          <cell r="N172">
            <v>0</v>
          </cell>
        </row>
        <row r="173">
          <cell r="M173">
            <v>0</v>
          </cell>
          <cell r="N173">
            <v>0</v>
          </cell>
        </row>
        <row r="174">
          <cell r="M174">
            <v>0</v>
          </cell>
          <cell r="N174">
            <v>0</v>
          </cell>
        </row>
        <row r="175">
          <cell r="M175">
            <v>0</v>
          </cell>
          <cell r="N175">
            <v>0</v>
          </cell>
        </row>
        <row r="176">
          <cell r="M176">
            <v>0</v>
          </cell>
          <cell r="N176">
            <v>0</v>
          </cell>
        </row>
        <row r="177">
          <cell r="M177">
            <v>0</v>
          </cell>
          <cell r="N177">
            <v>0</v>
          </cell>
        </row>
        <row r="178">
          <cell r="M178">
            <v>0</v>
          </cell>
          <cell r="N178">
            <v>0</v>
          </cell>
        </row>
        <row r="179">
          <cell r="M179">
            <v>0</v>
          </cell>
          <cell r="N179">
            <v>0</v>
          </cell>
        </row>
        <row r="180">
          <cell r="M180">
            <v>0</v>
          </cell>
          <cell r="N180">
            <v>0</v>
          </cell>
        </row>
        <row r="181">
          <cell r="M181">
            <v>0</v>
          </cell>
          <cell r="N181">
            <v>0</v>
          </cell>
        </row>
        <row r="182">
          <cell r="M182">
            <v>0</v>
          </cell>
          <cell r="N182">
            <v>0</v>
          </cell>
        </row>
        <row r="183">
          <cell r="M183">
            <v>0</v>
          </cell>
          <cell r="N183">
            <v>0</v>
          </cell>
        </row>
        <row r="184">
          <cell r="M184">
            <v>0</v>
          </cell>
          <cell r="N184">
            <v>0</v>
          </cell>
        </row>
        <row r="185">
          <cell r="M185">
            <v>0</v>
          </cell>
          <cell r="N185">
            <v>0</v>
          </cell>
        </row>
        <row r="186">
          <cell r="M186">
            <v>0</v>
          </cell>
          <cell r="N186">
            <v>0</v>
          </cell>
        </row>
        <row r="187">
          <cell r="M187">
            <v>0</v>
          </cell>
          <cell r="N187">
            <v>0</v>
          </cell>
        </row>
        <row r="188">
          <cell r="M188">
            <v>0</v>
          </cell>
          <cell r="N188">
            <v>0</v>
          </cell>
        </row>
        <row r="189">
          <cell r="M189">
            <v>0</v>
          </cell>
          <cell r="N189">
            <v>0</v>
          </cell>
        </row>
        <row r="190">
          <cell r="M190">
            <v>0</v>
          </cell>
          <cell r="N190">
            <v>0</v>
          </cell>
        </row>
        <row r="191">
          <cell r="M191">
            <v>0</v>
          </cell>
          <cell r="N191">
            <v>0</v>
          </cell>
        </row>
        <row r="192">
          <cell r="M192">
            <v>0</v>
          </cell>
          <cell r="N192">
            <v>0</v>
          </cell>
        </row>
        <row r="193">
          <cell r="M193">
            <v>0</v>
          </cell>
          <cell r="N193">
            <v>0</v>
          </cell>
        </row>
        <row r="194">
          <cell r="M194">
            <v>0</v>
          </cell>
          <cell r="N194">
            <v>0</v>
          </cell>
        </row>
        <row r="195">
          <cell r="M195">
            <v>0</v>
          </cell>
          <cell r="N195">
            <v>0</v>
          </cell>
        </row>
        <row r="196">
          <cell r="M196">
            <v>0</v>
          </cell>
          <cell r="N196">
            <v>0</v>
          </cell>
        </row>
        <row r="197">
          <cell r="M197">
            <v>0</v>
          </cell>
          <cell r="N197">
            <v>0</v>
          </cell>
        </row>
        <row r="198">
          <cell r="M198">
            <v>0</v>
          </cell>
          <cell r="N198">
            <v>0</v>
          </cell>
        </row>
        <row r="199">
          <cell r="M199">
            <v>0</v>
          </cell>
          <cell r="N199">
            <v>0</v>
          </cell>
        </row>
        <row r="200">
          <cell r="M200">
            <v>0</v>
          </cell>
          <cell r="N200">
            <v>0</v>
          </cell>
        </row>
        <row r="201">
          <cell r="M201">
            <v>0</v>
          </cell>
          <cell r="N201">
            <v>0</v>
          </cell>
        </row>
        <row r="202">
          <cell r="M202">
            <v>0</v>
          </cell>
          <cell r="N202">
            <v>0</v>
          </cell>
        </row>
        <row r="203">
          <cell r="M203">
            <v>0</v>
          </cell>
          <cell r="N203">
            <v>0</v>
          </cell>
        </row>
        <row r="204">
          <cell r="M204">
            <v>0</v>
          </cell>
          <cell r="N204">
            <v>0</v>
          </cell>
        </row>
        <row r="205">
          <cell r="M205">
            <v>0</v>
          </cell>
          <cell r="N205">
            <v>0</v>
          </cell>
        </row>
        <row r="206">
          <cell r="M206">
            <v>0</v>
          </cell>
          <cell r="N206">
            <v>0</v>
          </cell>
        </row>
        <row r="207">
          <cell r="M207">
            <v>0</v>
          </cell>
          <cell r="N207">
            <v>0</v>
          </cell>
        </row>
        <row r="208">
          <cell r="M208">
            <v>0</v>
          </cell>
          <cell r="N208">
            <v>0</v>
          </cell>
        </row>
        <row r="209">
          <cell r="M209">
            <v>0</v>
          </cell>
          <cell r="N209">
            <v>0</v>
          </cell>
        </row>
        <row r="210">
          <cell r="M210">
            <v>0</v>
          </cell>
          <cell r="N210">
            <v>0</v>
          </cell>
        </row>
        <row r="211">
          <cell r="M211">
            <v>0</v>
          </cell>
          <cell r="N211">
            <v>0</v>
          </cell>
        </row>
        <row r="212">
          <cell r="M212">
            <v>0</v>
          </cell>
          <cell r="N212">
            <v>0</v>
          </cell>
        </row>
        <row r="213">
          <cell r="M213">
            <v>0</v>
          </cell>
          <cell r="N213">
            <v>0</v>
          </cell>
        </row>
        <row r="214">
          <cell r="M214">
            <v>0</v>
          </cell>
          <cell r="N214">
            <v>0</v>
          </cell>
        </row>
        <row r="215">
          <cell r="M215">
            <v>0</v>
          </cell>
          <cell r="N215">
            <v>0</v>
          </cell>
        </row>
        <row r="216">
          <cell r="M216">
            <v>0</v>
          </cell>
          <cell r="N216">
            <v>0</v>
          </cell>
        </row>
        <row r="217">
          <cell r="M217">
            <v>0</v>
          </cell>
          <cell r="N217">
            <v>0</v>
          </cell>
        </row>
        <row r="218">
          <cell r="M218">
            <v>0</v>
          </cell>
          <cell r="N218">
            <v>0</v>
          </cell>
        </row>
        <row r="219">
          <cell r="M219">
            <v>0</v>
          </cell>
          <cell r="N219">
            <v>0</v>
          </cell>
        </row>
        <row r="220">
          <cell r="M220">
            <v>0</v>
          </cell>
          <cell r="N220">
            <v>0</v>
          </cell>
        </row>
        <row r="221">
          <cell r="M221">
            <v>0</v>
          </cell>
          <cell r="N221">
            <v>0</v>
          </cell>
        </row>
        <row r="222">
          <cell r="M222">
            <v>0</v>
          </cell>
          <cell r="N222">
            <v>0</v>
          </cell>
        </row>
        <row r="223">
          <cell r="M223">
            <v>0</v>
          </cell>
          <cell r="N223">
            <v>0</v>
          </cell>
        </row>
        <row r="224">
          <cell r="M224">
            <v>0</v>
          </cell>
          <cell r="N224">
            <v>0</v>
          </cell>
        </row>
        <row r="225">
          <cell r="M225">
            <v>0</v>
          </cell>
          <cell r="N225">
            <v>0</v>
          </cell>
        </row>
        <row r="226">
          <cell r="M226">
            <v>0</v>
          </cell>
          <cell r="N226">
            <v>0</v>
          </cell>
        </row>
        <row r="227">
          <cell r="M227">
            <v>0</v>
          </cell>
          <cell r="N227">
            <v>0</v>
          </cell>
        </row>
        <row r="228">
          <cell r="M228">
            <v>0</v>
          </cell>
          <cell r="N228">
            <v>0</v>
          </cell>
        </row>
        <row r="229">
          <cell r="M229">
            <v>0</v>
          </cell>
          <cell r="N229">
            <v>0</v>
          </cell>
        </row>
        <row r="230">
          <cell r="M230">
            <v>0</v>
          </cell>
          <cell r="N230">
            <v>0</v>
          </cell>
        </row>
        <row r="231">
          <cell r="M231">
            <v>0</v>
          </cell>
          <cell r="N231">
            <v>0</v>
          </cell>
        </row>
        <row r="232">
          <cell r="M232">
            <v>0</v>
          </cell>
          <cell r="N232">
            <v>0</v>
          </cell>
        </row>
        <row r="233">
          <cell r="M233">
            <v>0</v>
          </cell>
          <cell r="N233">
            <v>0</v>
          </cell>
        </row>
        <row r="234">
          <cell r="M234">
            <v>0</v>
          </cell>
          <cell r="N234">
            <v>0</v>
          </cell>
        </row>
        <row r="235">
          <cell r="M235">
            <v>0</v>
          </cell>
          <cell r="N235">
            <v>0</v>
          </cell>
        </row>
        <row r="236">
          <cell r="M236">
            <v>0</v>
          </cell>
          <cell r="N236">
            <v>0</v>
          </cell>
        </row>
        <row r="237">
          <cell r="M237">
            <v>0</v>
          </cell>
          <cell r="N237">
            <v>0</v>
          </cell>
        </row>
        <row r="238">
          <cell r="M238">
            <v>0</v>
          </cell>
          <cell r="N238">
            <v>0</v>
          </cell>
        </row>
        <row r="239">
          <cell r="M239">
            <v>0</v>
          </cell>
          <cell r="N239">
            <v>0</v>
          </cell>
        </row>
        <row r="240">
          <cell r="M240">
            <v>0</v>
          </cell>
          <cell r="N240">
            <v>0</v>
          </cell>
        </row>
        <row r="241">
          <cell r="M241">
            <v>0</v>
          </cell>
          <cell r="N241">
            <v>0</v>
          </cell>
        </row>
        <row r="242">
          <cell r="M242">
            <v>0</v>
          </cell>
          <cell r="N242">
            <v>0</v>
          </cell>
        </row>
        <row r="243">
          <cell r="M243">
            <v>0</v>
          </cell>
          <cell r="N243">
            <v>0</v>
          </cell>
        </row>
        <row r="244">
          <cell r="M244">
            <v>0</v>
          </cell>
          <cell r="N244">
            <v>0</v>
          </cell>
        </row>
        <row r="245">
          <cell r="M245">
            <v>0</v>
          </cell>
          <cell r="N245">
            <v>0</v>
          </cell>
        </row>
        <row r="246">
          <cell r="M246">
            <v>0</v>
          </cell>
          <cell r="N246">
            <v>0</v>
          </cell>
        </row>
        <row r="247">
          <cell r="M247">
            <v>0</v>
          </cell>
          <cell r="N247">
            <v>0</v>
          </cell>
        </row>
        <row r="248">
          <cell r="M248">
            <v>0</v>
          </cell>
          <cell r="N248">
            <v>0</v>
          </cell>
        </row>
        <row r="249">
          <cell r="M249">
            <v>0</v>
          </cell>
          <cell r="N249">
            <v>0</v>
          </cell>
        </row>
        <row r="250">
          <cell r="M250">
            <v>0</v>
          </cell>
          <cell r="N250">
            <v>0</v>
          </cell>
        </row>
        <row r="251">
          <cell r="M251">
            <v>0</v>
          </cell>
          <cell r="N251">
            <v>0</v>
          </cell>
        </row>
        <row r="252">
          <cell r="M252">
            <v>0</v>
          </cell>
          <cell r="N252">
            <v>0</v>
          </cell>
        </row>
        <row r="253">
          <cell r="M253">
            <v>0</v>
          </cell>
          <cell r="N253">
            <v>0</v>
          </cell>
        </row>
        <row r="254">
          <cell r="M254">
            <v>0</v>
          </cell>
          <cell r="N254">
            <v>0</v>
          </cell>
        </row>
        <row r="255">
          <cell r="M255">
            <v>0</v>
          </cell>
          <cell r="N255">
            <v>0</v>
          </cell>
        </row>
        <row r="256">
          <cell r="M256">
            <v>0</v>
          </cell>
          <cell r="N256">
            <v>0</v>
          </cell>
        </row>
        <row r="257">
          <cell r="M257">
            <v>0</v>
          </cell>
          <cell r="N257">
            <v>0</v>
          </cell>
        </row>
        <row r="258">
          <cell r="M258">
            <v>0</v>
          </cell>
          <cell r="N258">
            <v>0</v>
          </cell>
        </row>
        <row r="259">
          <cell r="M259">
            <v>0</v>
          </cell>
          <cell r="N259">
            <v>0</v>
          </cell>
        </row>
        <row r="260">
          <cell r="M260">
            <v>0</v>
          </cell>
          <cell r="N260">
            <v>0</v>
          </cell>
        </row>
        <row r="261">
          <cell r="M261">
            <v>0</v>
          </cell>
          <cell r="N261">
            <v>0</v>
          </cell>
        </row>
        <row r="262">
          <cell r="M262">
            <v>0</v>
          </cell>
          <cell r="N262">
            <v>0</v>
          </cell>
        </row>
        <row r="263">
          <cell r="M263">
            <v>0</v>
          </cell>
          <cell r="N263">
            <v>0</v>
          </cell>
        </row>
        <row r="264">
          <cell r="M264">
            <v>0</v>
          </cell>
          <cell r="N264">
            <v>0</v>
          </cell>
        </row>
        <row r="265">
          <cell r="M265">
            <v>0</v>
          </cell>
          <cell r="N265">
            <v>0</v>
          </cell>
        </row>
        <row r="266">
          <cell r="M266">
            <v>0</v>
          </cell>
          <cell r="N266">
            <v>0</v>
          </cell>
        </row>
        <row r="267">
          <cell r="M267">
            <v>0</v>
          </cell>
          <cell r="N267">
            <v>0</v>
          </cell>
        </row>
        <row r="268">
          <cell r="M268">
            <v>0</v>
          </cell>
          <cell r="N268">
            <v>0</v>
          </cell>
        </row>
        <row r="269">
          <cell r="M269">
            <v>0</v>
          </cell>
          <cell r="N269">
            <v>0</v>
          </cell>
        </row>
        <row r="270">
          <cell r="M270">
            <v>0</v>
          </cell>
          <cell r="N270">
            <v>0</v>
          </cell>
        </row>
        <row r="271">
          <cell r="M271">
            <v>0</v>
          </cell>
          <cell r="N271">
            <v>0</v>
          </cell>
        </row>
        <row r="272">
          <cell r="M272">
            <v>0</v>
          </cell>
          <cell r="N272">
            <v>0</v>
          </cell>
        </row>
        <row r="273">
          <cell r="M273">
            <v>0</v>
          </cell>
          <cell r="N273">
            <v>0</v>
          </cell>
        </row>
        <row r="274">
          <cell r="M274">
            <v>0</v>
          </cell>
          <cell r="N274">
            <v>0</v>
          </cell>
        </row>
        <row r="275">
          <cell r="M275">
            <v>0</v>
          </cell>
          <cell r="N275">
            <v>0</v>
          </cell>
        </row>
        <row r="276">
          <cell r="M276">
            <v>0</v>
          </cell>
          <cell r="N276">
            <v>0</v>
          </cell>
        </row>
        <row r="277">
          <cell r="M277">
            <v>0</v>
          </cell>
          <cell r="N277">
            <v>0</v>
          </cell>
        </row>
        <row r="278">
          <cell r="M278">
            <v>0</v>
          </cell>
          <cell r="N278">
            <v>0</v>
          </cell>
        </row>
        <row r="279">
          <cell r="M279">
            <v>0</v>
          </cell>
          <cell r="N279">
            <v>0</v>
          </cell>
        </row>
        <row r="280">
          <cell r="M280">
            <v>0</v>
          </cell>
          <cell r="N280">
            <v>0</v>
          </cell>
        </row>
        <row r="281">
          <cell r="M281">
            <v>0</v>
          </cell>
          <cell r="N281">
            <v>0</v>
          </cell>
        </row>
        <row r="282">
          <cell r="M282">
            <v>0</v>
          </cell>
          <cell r="N282">
            <v>0</v>
          </cell>
        </row>
        <row r="283">
          <cell r="M283">
            <v>0</v>
          </cell>
          <cell r="N283">
            <v>0</v>
          </cell>
        </row>
        <row r="284">
          <cell r="M284">
            <v>0</v>
          </cell>
          <cell r="N284">
            <v>0</v>
          </cell>
        </row>
        <row r="285">
          <cell r="M285">
            <v>0</v>
          </cell>
          <cell r="N285">
            <v>0</v>
          </cell>
        </row>
        <row r="286">
          <cell r="M286">
            <v>0</v>
          </cell>
          <cell r="N286">
            <v>0</v>
          </cell>
        </row>
        <row r="287">
          <cell r="M287">
            <v>0</v>
          </cell>
          <cell r="N287">
            <v>0</v>
          </cell>
        </row>
        <row r="288">
          <cell r="M288">
            <v>0</v>
          </cell>
          <cell r="N288">
            <v>0</v>
          </cell>
        </row>
        <row r="289">
          <cell r="M289">
            <v>0</v>
          </cell>
          <cell r="N289">
            <v>0</v>
          </cell>
        </row>
        <row r="290">
          <cell r="M290">
            <v>0</v>
          </cell>
          <cell r="N290">
            <v>0</v>
          </cell>
        </row>
        <row r="291">
          <cell r="M291">
            <v>0</v>
          </cell>
          <cell r="N291">
            <v>0</v>
          </cell>
        </row>
        <row r="292">
          <cell r="M292">
            <v>0</v>
          </cell>
          <cell r="N292">
            <v>0</v>
          </cell>
        </row>
        <row r="293">
          <cell r="M293">
            <v>0</v>
          </cell>
          <cell r="N293">
            <v>0</v>
          </cell>
        </row>
        <row r="294">
          <cell r="M294">
            <v>0</v>
          </cell>
          <cell r="N294">
            <v>0</v>
          </cell>
        </row>
        <row r="295">
          <cell r="M295">
            <v>0</v>
          </cell>
          <cell r="N295">
            <v>0</v>
          </cell>
        </row>
        <row r="296">
          <cell r="M296">
            <v>0</v>
          </cell>
          <cell r="N296">
            <v>0</v>
          </cell>
        </row>
        <row r="297">
          <cell r="M297">
            <v>0</v>
          </cell>
          <cell r="N297">
            <v>0</v>
          </cell>
        </row>
        <row r="298">
          <cell r="M298">
            <v>0</v>
          </cell>
          <cell r="N298">
            <v>0</v>
          </cell>
        </row>
        <row r="299">
          <cell r="M299">
            <v>0</v>
          </cell>
          <cell r="N299">
            <v>0</v>
          </cell>
        </row>
        <row r="300">
          <cell r="M300">
            <v>0</v>
          </cell>
          <cell r="N300">
            <v>0</v>
          </cell>
        </row>
        <row r="301">
          <cell r="M301">
            <v>0</v>
          </cell>
          <cell r="N301">
            <v>0</v>
          </cell>
        </row>
        <row r="302">
          <cell r="M302">
            <v>0</v>
          </cell>
          <cell r="N302">
            <v>0</v>
          </cell>
        </row>
        <row r="303">
          <cell r="M303">
            <v>0</v>
          </cell>
          <cell r="N303">
            <v>0</v>
          </cell>
        </row>
        <row r="304">
          <cell r="M304">
            <v>0</v>
          </cell>
          <cell r="N304">
            <v>0</v>
          </cell>
        </row>
        <row r="305">
          <cell r="M305">
            <v>0</v>
          </cell>
          <cell r="N305">
            <v>0</v>
          </cell>
        </row>
        <row r="306">
          <cell r="M306">
            <v>0</v>
          </cell>
          <cell r="N306">
            <v>0</v>
          </cell>
        </row>
        <row r="307">
          <cell r="M307">
            <v>0</v>
          </cell>
          <cell r="N307">
            <v>0</v>
          </cell>
        </row>
        <row r="308">
          <cell r="M308">
            <v>0</v>
          </cell>
          <cell r="N308">
            <v>0</v>
          </cell>
        </row>
        <row r="309">
          <cell r="M309">
            <v>0</v>
          </cell>
          <cell r="N309">
            <v>0</v>
          </cell>
        </row>
        <row r="310">
          <cell r="M310">
            <v>0</v>
          </cell>
          <cell r="N310">
            <v>0</v>
          </cell>
        </row>
        <row r="311">
          <cell r="M311">
            <v>0</v>
          </cell>
          <cell r="N311">
            <v>0</v>
          </cell>
        </row>
        <row r="312">
          <cell r="M312">
            <v>0</v>
          </cell>
          <cell r="N312">
            <v>0</v>
          </cell>
        </row>
        <row r="313">
          <cell r="M313">
            <v>0</v>
          </cell>
          <cell r="N313">
            <v>0</v>
          </cell>
        </row>
        <row r="314">
          <cell r="M314">
            <v>0</v>
          </cell>
          <cell r="N314">
            <v>0</v>
          </cell>
        </row>
        <row r="315">
          <cell r="M315">
            <v>0</v>
          </cell>
          <cell r="N315">
            <v>0</v>
          </cell>
        </row>
        <row r="316">
          <cell r="M316">
            <v>0</v>
          </cell>
          <cell r="N316">
            <v>0</v>
          </cell>
        </row>
        <row r="317">
          <cell r="M317">
            <v>0</v>
          </cell>
          <cell r="N317">
            <v>0</v>
          </cell>
        </row>
        <row r="318">
          <cell r="M318">
            <v>0</v>
          </cell>
          <cell r="N318">
            <v>0</v>
          </cell>
        </row>
        <row r="319">
          <cell r="M319">
            <v>0</v>
          </cell>
          <cell r="N319">
            <v>0</v>
          </cell>
        </row>
        <row r="320">
          <cell r="M320">
            <v>0</v>
          </cell>
          <cell r="N320">
            <v>0</v>
          </cell>
        </row>
        <row r="321">
          <cell r="M321">
            <v>0</v>
          </cell>
          <cell r="N321">
            <v>0</v>
          </cell>
        </row>
        <row r="322">
          <cell r="M322">
            <v>0</v>
          </cell>
          <cell r="N322">
            <v>0</v>
          </cell>
        </row>
        <row r="323">
          <cell r="M323">
            <v>0</v>
          </cell>
          <cell r="N323">
            <v>0</v>
          </cell>
        </row>
        <row r="324">
          <cell r="M324">
            <v>0</v>
          </cell>
          <cell r="N324">
            <v>0</v>
          </cell>
        </row>
        <row r="325">
          <cell r="M325">
            <v>0</v>
          </cell>
          <cell r="N325">
            <v>0</v>
          </cell>
        </row>
        <row r="326">
          <cell r="M326">
            <v>0</v>
          </cell>
          <cell r="N326">
            <v>0</v>
          </cell>
        </row>
        <row r="327">
          <cell r="M327">
            <v>0</v>
          </cell>
          <cell r="N327">
            <v>0</v>
          </cell>
        </row>
        <row r="328">
          <cell r="M328">
            <v>0</v>
          </cell>
          <cell r="N328">
            <v>0</v>
          </cell>
        </row>
        <row r="329">
          <cell r="M329">
            <v>0</v>
          </cell>
          <cell r="N329">
            <v>0</v>
          </cell>
        </row>
        <row r="330">
          <cell r="M330">
            <v>0</v>
          </cell>
          <cell r="N330">
            <v>0</v>
          </cell>
        </row>
        <row r="331">
          <cell r="M331">
            <v>0</v>
          </cell>
          <cell r="N331">
            <v>0</v>
          </cell>
        </row>
        <row r="332">
          <cell r="M332">
            <v>0</v>
          </cell>
          <cell r="N332">
            <v>0</v>
          </cell>
        </row>
        <row r="333">
          <cell r="M333">
            <v>0</v>
          </cell>
          <cell r="N333">
            <v>0</v>
          </cell>
        </row>
        <row r="334">
          <cell r="M334">
            <v>0</v>
          </cell>
          <cell r="N334">
            <v>0</v>
          </cell>
        </row>
        <row r="335">
          <cell r="M335">
            <v>0</v>
          </cell>
          <cell r="N335">
            <v>0</v>
          </cell>
        </row>
        <row r="336">
          <cell r="M336">
            <v>0</v>
          </cell>
          <cell r="N336">
            <v>0</v>
          </cell>
        </row>
        <row r="337">
          <cell r="M337">
            <v>0</v>
          </cell>
          <cell r="N337">
            <v>0</v>
          </cell>
        </row>
        <row r="338">
          <cell r="M338">
            <v>0</v>
          </cell>
          <cell r="N338">
            <v>0</v>
          </cell>
        </row>
        <row r="339">
          <cell r="M339">
            <v>0</v>
          </cell>
          <cell r="N339">
            <v>0</v>
          </cell>
        </row>
        <row r="340">
          <cell r="M340">
            <v>0</v>
          </cell>
          <cell r="N340">
            <v>0</v>
          </cell>
        </row>
        <row r="341">
          <cell r="M341">
            <v>0</v>
          </cell>
          <cell r="N341">
            <v>0</v>
          </cell>
        </row>
        <row r="342">
          <cell r="M342">
            <v>0</v>
          </cell>
          <cell r="N342">
            <v>0</v>
          </cell>
        </row>
        <row r="343">
          <cell r="M343">
            <v>0</v>
          </cell>
          <cell r="N343">
            <v>0</v>
          </cell>
        </row>
        <row r="344">
          <cell r="M344">
            <v>0</v>
          </cell>
          <cell r="N344">
            <v>0</v>
          </cell>
        </row>
        <row r="345">
          <cell r="M345">
            <v>0</v>
          </cell>
          <cell r="N345">
            <v>0</v>
          </cell>
        </row>
        <row r="346">
          <cell r="M346">
            <v>0</v>
          </cell>
          <cell r="N346">
            <v>0</v>
          </cell>
        </row>
        <row r="347">
          <cell r="M347">
            <v>0</v>
          </cell>
          <cell r="N347">
            <v>0</v>
          </cell>
        </row>
        <row r="348">
          <cell r="M348">
            <v>0</v>
          </cell>
          <cell r="N348">
            <v>0</v>
          </cell>
        </row>
        <row r="349">
          <cell r="M349">
            <v>0</v>
          </cell>
          <cell r="N349">
            <v>0</v>
          </cell>
        </row>
        <row r="350">
          <cell r="M350">
            <v>0</v>
          </cell>
          <cell r="N350">
            <v>0</v>
          </cell>
        </row>
        <row r="351">
          <cell r="M351">
            <v>0</v>
          </cell>
          <cell r="N351">
            <v>0</v>
          </cell>
        </row>
        <row r="352">
          <cell r="M352">
            <v>0</v>
          </cell>
          <cell r="N352">
            <v>0</v>
          </cell>
        </row>
        <row r="353">
          <cell r="M353">
            <v>0</v>
          </cell>
          <cell r="N353">
            <v>0</v>
          </cell>
        </row>
        <row r="354">
          <cell r="M354">
            <v>0</v>
          </cell>
          <cell r="N354">
            <v>0</v>
          </cell>
        </row>
        <row r="355">
          <cell r="M355">
            <v>0</v>
          </cell>
          <cell r="N355">
            <v>0</v>
          </cell>
        </row>
        <row r="356">
          <cell r="M356">
            <v>0</v>
          </cell>
          <cell r="N356">
            <v>0</v>
          </cell>
        </row>
        <row r="357">
          <cell r="M357">
            <v>0</v>
          </cell>
          <cell r="N357">
            <v>0</v>
          </cell>
        </row>
        <row r="358">
          <cell r="M358">
            <v>0</v>
          </cell>
          <cell r="N358">
            <v>0</v>
          </cell>
        </row>
        <row r="359">
          <cell r="M359">
            <v>0</v>
          </cell>
          <cell r="N359">
            <v>0</v>
          </cell>
        </row>
        <row r="360">
          <cell r="M360">
            <v>0</v>
          </cell>
          <cell r="N360">
            <v>0</v>
          </cell>
        </row>
        <row r="361">
          <cell r="M361">
            <v>0</v>
          </cell>
          <cell r="N361">
            <v>0</v>
          </cell>
        </row>
        <row r="362">
          <cell r="M362">
            <v>0</v>
          </cell>
          <cell r="N362">
            <v>0</v>
          </cell>
        </row>
        <row r="363">
          <cell r="M363">
            <v>0</v>
          </cell>
          <cell r="N363">
            <v>0</v>
          </cell>
        </row>
        <row r="364">
          <cell r="M364">
            <v>0</v>
          </cell>
          <cell r="N364">
            <v>0</v>
          </cell>
        </row>
        <row r="365">
          <cell r="M365">
            <v>0</v>
          </cell>
          <cell r="N365">
            <v>0</v>
          </cell>
        </row>
        <row r="366">
          <cell r="M366">
            <v>0</v>
          </cell>
          <cell r="N366">
            <v>0</v>
          </cell>
        </row>
        <row r="367">
          <cell r="M367">
            <v>0</v>
          </cell>
          <cell r="N367">
            <v>0</v>
          </cell>
        </row>
        <row r="368">
          <cell r="M368">
            <v>0</v>
          </cell>
          <cell r="N368">
            <v>0</v>
          </cell>
        </row>
        <row r="369">
          <cell r="M369">
            <v>0</v>
          </cell>
          <cell r="N369">
            <v>0</v>
          </cell>
        </row>
        <row r="370">
          <cell r="M370">
            <v>0</v>
          </cell>
          <cell r="N370">
            <v>0</v>
          </cell>
        </row>
        <row r="371">
          <cell r="M371">
            <v>0</v>
          </cell>
          <cell r="N371">
            <v>0</v>
          </cell>
        </row>
        <row r="372">
          <cell r="M372">
            <v>0</v>
          </cell>
          <cell r="N372">
            <v>0</v>
          </cell>
        </row>
        <row r="373">
          <cell r="M373">
            <v>0</v>
          </cell>
          <cell r="N373">
            <v>0</v>
          </cell>
        </row>
        <row r="374">
          <cell r="M374">
            <v>0</v>
          </cell>
          <cell r="N374">
            <v>0</v>
          </cell>
        </row>
        <row r="375">
          <cell r="M375">
            <v>0</v>
          </cell>
          <cell r="N375">
            <v>0</v>
          </cell>
        </row>
        <row r="376">
          <cell r="M376">
            <v>0</v>
          </cell>
          <cell r="N376">
            <v>0</v>
          </cell>
        </row>
        <row r="377">
          <cell r="M377">
            <v>0</v>
          </cell>
          <cell r="N377">
            <v>0</v>
          </cell>
        </row>
        <row r="378">
          <cell r="M378">
            <v>0</v>
          </cell>
          <cell r="N378">
            <v>0</v>
          </cell>
        </row>
        <row r="379">
          <cell r="M379">
            <v>0</v>
          </cell>
          <cell r="N379">
            <v>0</v>
          </cell>
        </row>
        <row r="380">
          <cell r="M380">
            <v>0</v>
          </cell>
          <cell r="N380">
            <v>0</v>
          </cell>
        </row>
        <row r="381">
          <cell r="M381">
            <v>0</v>
          </cell>
          <cell r="N381">
            <v>0</v>
          </cell>
        </row>
        <row r="382">
          <cell r="M382">
            <v>0</v>
          </cell>
          <cell r="N382">
            <v>0</v>
          </cell>
        </row>
        <row r="383">
          <cell r="M383">
            <v>0</v>
          </cell>
          <cell r="N383">
            <v>0</v>
          </cell>
        </row>
        <row r="384">
          <cell r="M384">
            <v>0</v>
          </cell>
          <cell r="N384">
            <v>0</v>
          </cell>
        </row>
        <row r="385">
          <cell r="M385">
            <v>0</v>
          </cell>
          <cell r="N385">
            <v>0</v>
          </cell>
        </row>
        <row r="386">
          <cell r="M386">
            <v>0</v>
          </cell>
          <cell r="N386">
            <v>0</v>
          </cell>
        </row>
        <row r="387">
          <cell r="M387">
            <v>0</v>
          </cell>
          <cell r="N387">
            <v>0</v>
          </cell>
        </row>
        <row r="388">
          <cell r="M388">
            <v>0</v>
          </cell>
          <cell r="N388">
            <v>0</v>
          </cell>
        </row>
        <row r="389">
          <cell r="M389">
            <v>0</v>
          </cell>
          <cell r="N389">
            <v>0</v>
          </cell>
        </row>
        <row r="390">
          <cell r="M390">
            <v>0</v>
          </cell>
          <cell r="N390">
            <v>0</v>
          </cell>
        </row>
        <row r="391">
          <cell r="M391">
            <v>0</v>
          </cell>
          <cell r="N391">
            <v>0</v>
          </cell>
        </row>
        <row r="392">
          <cell r="M392">
            <v>0</v>
          </cell>
          <cell r="N392">
            <v>0</v>
          </cell>
        </row>
        <row r="393">
          <cell r="M393">
            <v>0</v>
          </cell>
          <cell r="N393">
            <v>0</v>
          </cell>
        </row>
        <row r="394">
          <cell r="M394">
            <v>0</v>
          </cell>
          <cell r="N394">
            <v>0</v>
          </cell>
        </row>
        <row r="395">
          <cell r="M395">
            <v>0</v>
          </cell>
          <cell r="N395">
            <v>0</v>
          </cell>
        </row>
        <row r="396">
          <cell r="M396">
            <v>0</v>
          </cell>
          <cell r="N396">
            <v>0</v>
          </cell>
        </row>
        <row r="397">
          <cell r="M397">
            <v>0</v>
          </cell>
          <cell r="N397">
            <v>0</v>
          </cell>
        </row>
        <row r="398">
          <cell r="M398">
            <v>0</v>
          </cell>
          <cell r="N398">
            <v>0</v>
          </cell>
        </row>
        <row r="399">
          <cell r="M399">
            <v>0</v>
          </cell>
          <cell r="N399">
            <v>0</v>
          </cell>
        </row>
        <row r="400">
          <cell r="M400">
            <v>0</v>
          </cell>
          <cell r="N400">
            <v>0</v>
          </cell>
        </row>
        <row r="401">
          <cell r="M401">
            <v>0</v>
          </cell>
          <cell r="N401">
            <v>0</v>
          </cell>
        </row>
        <row r="402">
          <cell r="M402">
            <v>0</v>
          </cell>
          <cell r="N402">
            <v>0</v>
          </cell>
        </row>
        <row r="403">
          <cell r="M403">
            <v>0</v>
          </cell>
          <cell r="N403">
            <v>0</v>
          </cell>
        </row>
        <row r="404">
          <cell r="M404">
            <v>0</v>
          </cell>
          <cell r="N404">
            <v>0</v>
          </cell>
        </row>
        <row r="405">
          <cell r="M405">
            <v>0</v>
          </cell>
          <cell r="N405">
            <v>0</v>
          </cell>
        </row>
        <row r="406">
          <cell r="M406">
            <v>0</v>
          </cell>
          <cell r="N406">
            <v>0</v>
          </cell>
        </row>
        <row r="407">
          <cell r="M407">
            <v>0</v>
          </cell>
          <cell r="N407">
            <v>0</v>
          </cell>
        </row>
        <row r="408">
          <cell r="M408">
            <v>0</v>
          </cell>
          <cell r="N408">
            <v>0</v>
          </cell>
        </row>
        <row r="409">
          <cell r="M409">
            <v>0</v>
          </cell>
          <cell r="N409">
            <v>0</v>
          </cell>
        </row>
        <row r="410">
          <cell r="M410">
            <v>0</v>
          </cell>
          <cell r="N410">
            <v>0</v>
          </cell>
        </row>
        <row r="411">
          <cell r="M411">
            <v>0</v>
          </cell>
          <cell r="N411">
            <v>0</v>
          </cell>
        </row>
        <row r="412">
          <cell r="M412">
            <v>0</v>
          </cell>
          <cell r="N412">
            <v>0</v>
          </cell>
        </row>
        <row r="413">
          <cell r="M413">
            <v>0</v>
          </cell>
          <cell r="N413">
            <v>0</v>
          </cell>
        </row>
        <row r="414">
          <cell r="M414">
            <v>0</v>
          </cell>
          <cell r="N414">
            <v>0</v>
          </cell>
        </row>
        <row r="415">
          <cell r="M415">
            <v>0</v>
          </cell>
          <cell r="N415">
            <v>0</v>
          </cell>
        </row>
        <row r="416">
          <cell r="M416">
            <v>0</v>
          </cell>
          <cell r="N416">
            <v>0</v>
          </cell>
        </row>
        <row r="417">
          <cell r="M417">
            <v>0</v>
          </cell>
          <cell r="N417">
            <v>0</v>
          </cell>
        </row>
        <row r="418">
          <cell r="M418">
            <v>0</v>
          </cell>
          <cell r="N418">
            <v>0</v>
          </cell>
        </row>
        <row r="419">
          <cell r="M419">
            <v>0</v>
          </cell>
          <cell r="N419">
            <v>0</v>
          </cell>
        </row>
        <row r="420">
          <cell r="M420">
            <v>0</v>
          </cell>
          <cell r="N420">
            <v>0</v>
          </cell>
        </row>
        <row r="421">
          <cell r="M421">
            <v>0</v>
          </cell>
          <cell r="N421">
            <v>0</v>
          </cell>
        </row>
        <row r="422">
          <cell r="M422">
            <v>0</v>
          </cell>
          <cell r="N422">
            <v>0</v>
          </cell>
        </row>
        <row r="423">
          <cell r="M423">
            <v>0</v>
          </cell>
          <cell r="N423">
            <v>0</v>
          </cell>
        </row>
        <row r="424">
          <cell r="M424">
            <v>0</v>
          </cell>
          <cell r="N424">
            <v>0</v>
          </cell>
        </row>
        <row r="425">
          <cell r="M425">
            <v>0</v>
          </cell>
          <cell r="N425">
            <v>0</v>
          </cell>
        </row>
        <row r="426">
          <cell r="M426">
            <v>0</v>
          </cell>
          <cell r="N426">
            <v>0</v>
          </cell>
        </row>
        <row r="427">
          <cell r="M427">
            <v>0</v>
          </cell>
          <cell r="N427">
            <v>0</v>
          </cell>
        </row>
        <row r="428">
          <cell r="M428">
            <v>0</v>
          </cell>
          <cell r="N428">
            <v>0</v>
          </cell>
        </row>
        <row r="429">
          <cell r="M429">
            <v>0</v>
          </cell>
          <cell r="N429">
            <v>0</v>
          </cell>
        </row>
        <row r="430">
          <cell r="M430">
            <v>0</v>
          </cell>
          <cell r="N430">
            <v>0</v>
          </cell>
        </row>
        <row r="431">
          <cell r="M431">
            <v>0</v>
          </cell>
          <cell r="N431">
            <v>0</v>
          </cell>
        </row>
        <row r="432">
          <cell r="M432">
            <v>0</v>
          </cell>
          <cell r="N432">
            <v>0</v>
          </cell>
        </row>
        <row r="433">
          <cell r="M433">
            <v>0</v>
          </cell>
          <cell r="N433">
            <v>0</v>
          </cell>
        </row>
        <row r="434">
          <cell r="M434">
            <v>0</v>
          </cell>
          <cell r="N434">
            <v>0</v>
          </cell>
        </row>
        <row r="435">
          <cell r="M435">
            <v>0</v>
          </cell>
          <cell r="N435">
            <v>0</v>
          </cell>
        </row>
        <row r="436">
          <cell r="M436">
            <v>0</v>
          </cell>
          <cell r="N436">
            <v>0</v>
          </cell>
        </row>
        <row r="437">
          <cell r="M437">
            <v>0</v>
          </cell>
          <cell r="N437">
            <v>0</v>
          </cell>
        </row>
        <row r="438">
          <cell r="M438">
            <v>0</v>
          </cell>
          <cell r="N438">
            <v>0</v>
          </cell>
        </row>
        <row r="439">
          <cell r="M439">
            <v>0</v>
          </cell>
          <cell r="N439">
            <v>0</v>
          </cell>
        </row>
        <row r="440">
          <cell r="M440">
            <v>0</v>
          </cell>
          <cell r="N440">
            <v>0</v>
          </cell>
        </row>
        <row r="441">
          <cell r="M441">
            <v>0</v>
          </cell>
          <cell r="N441">
            <v>0</v>
          </cell>
        </row>
        <row r="442">
          <cell r="M442">
            <v>0</v>
          </cell>
          <cell r="N442">
            <v>0</v>
          </cell>
        </row>
        <row r="443">
          <cell r="M443">
            <v>0</v>
          </cell>
          <cell r="N443">
            <v>0</v>
          </cell>
        </row>
        <row r="444">
          <cell r="M444">
            <v>0</v>
          </cell>
          <cell r="N444">
            <v>0</v>
          </cell>
        </row>
        <row r="445">
          <cell r="M445">
            <v>0</v>
          </cell>
          <cell r="N445">
            <v>0</v>
          </cell>
        </row>
        <row r="446">
          <cell r="M446">
            <v>0</v>
          </cell>
          <cell r="N446">
            <v>0</v>
          </cell>
        </row>
        <row r="447">
          <cell r="M447">
            <v>0</v>
          </cell>
          <cell r="N447">
            <v>0</v>
          </cell>
        </row>
        <row r="448">
          <cell r="M448">
            <v>0</v>
          </cell>
          <cell r="N448">
            <v>0</v>
          </cell>
        </row>
        <row r="449">
          <cell r="M449">
            <v>0</v>
          </cell>
          <cell r="N449">
            <v>0</v>
          </cell>
        </row>
        <row r="450">
          <cell r="M450">
            <v>0</v>
          </cell>
          <cell r="N450">
            <v>0</v>
          </cell>
        </row>
        <row r="451">
          <cell r="M451">
            <v>0</v>
          </cell>
          <cell r="N451">
            <v>0</v>
          </cell>
        </row>
        <row r="452">
          <cell r="M452">
            <v>0</v>
          </cell>
          <cell r="N452">
            <v>0</v>
          </cell>
        </row>
        <row r="453">
          <cell r="M453">
            <v>0</v>
          </cell>
          <cell r="N453">
            <v>0</v>
          </cell>
        </row>
        <row r="454">
          <cell r="M454">
            <v>0</v>
          </cell>
          <cell r="N454">
            <v>0</v>
          </cell>
        </row>
        <row r="455">
          <cell r="M455">
            <v>0</v>
          </cell>
          <cell r="N455">
            <v>0</v>
          </cell>
        </row>
        <row r="456">
          <cell r="M456">
            <v>0</v>
          </cell>
          <cell r="N456">
            <v>0</v>
          </cell>
        </row>
        <row r="457">
          <cell r="M457">
            <v>0</v>
          </cell>
          <cell r="N457">
            <v>0</v>
          </cell>
        </row>
        <row r="458">
          <cell r="M458">
            <v>0</v>
          </cell>
          <cell r="N458">
            <v>0</v>
          </cell>
        </row>
        <row r="459">
          <cell r="M459">
            <v>0</v>
          </cell>
          <cell r="N459">
            <v>0</v>
          </cell>
        </row>
        <row r="460">
          <cell r="M460">
            <v>0</v>
          </cell>
          <cell r="N460">
            <v>0</v>
          </cell>
        </row>
        <row r="461">
          <cell r="M461">
            <v>0</v>
          </cell>
          <cell r="N461">
            <v>0</v>
          </cell>
        </row>
        <row r="462">
          <cell r="M462">
            <v>0</v>
          </cell>
          <cell r="N462">
            <v>0</v>
          </cell>
        </row>
        <row r="463">
          <cell r="M463">
            <v>0</v>
          </cell>
          <cell r="N463">
            <v>0</v>
          </cell>
        </row>
        <row r="464">
          <cell r="M464">
            <v>0</v>
          </cell>
          <cell r="N464">
            <v>0</v>
          </cell>
        </row>
        <row r="465">
          <cell r="M465">
            <v>0</v>
          </cell>
          <cell r="N465">
            <v>0</v>
          </cell>
        </row>
        <row r="466">
          <cell r="M466">
            <v>0</v>
          </cell>
          <cell r="N466">
            <v>0</v>
          </cell>
        </row>
        <row r="467">
          <cell r="M467">
            <v>0</v>
          </cell>
          <cell r="N467">
            <v>0</v>
          </cell>
        </row>
        <row r="468">
          <cell r="M468">
            <v>0</v>
          </cell>
          <cell r="N468">
            <v>0</v>
          </cell>
        </row>
        <row r="469">
          <cell r="M469">
            <v>0</v>
          </cell>
          <cell r="N469">
            <v>0</v>
          </cell>
        </row>
        <row r="470">
          <cell r="M470">
            <v>0</v>
          </cell>
          <cell r="N470">
            <v>0</v>
          </cell>
        </row>
        <row r="471">
          <cell r="M471">
            <v>0</v>
          </cell>
          <cell r="N471">
            <v>0</v>
          </cell>
        </row>
        <row r="472">
          <cell r="M472">
            <v>0</v>
          </cell>
          <cell r="N472">
            <v>0</v>
          </cell>
        </row>
        <row r="473">
          <cell r="M473">
            <v>0</v>
          </cell>
          <cell r="N473">
            <v>0</v>
          </cell>
        </row>
        <row r="474">
          <cell r="M474">
            <v>0</v>
          </cell>
          <cell r="N474">
            <v>0</v>
          </cell>
        </row>
        <row r="475">
          <cell r="M475">
            <v>0</v>
          </cell>
          <cell r="N475">
            <v>0</v>
          </cell>
        </row>
        <row r="476">
          <cell r="M476">
            <v>0</v>
          </cell>
          <cell r="N476">
            <v>0</v>
          </cell>
        </row>
        <row r="477">
          <cell r="M477">
            <v>0</v>
          </cell>
          <cell r="N477">
            <v>0</v>
          </cell>
        </row>
        <row r="478">
          <cell r="M478">
            <v>0</v>
          </cell>
          <cell r="N478">
            <v>0</v>
          </cell>
        </row>
        <row r="479">
          <cell r="M479">
            <v>0</v>
          </cell>
          <cell r="N479">
            <v>0</v>
          </cell>
        </row>
        <row r="480">
          <cell r="M480">
            <v>0</v>
          </cell>
          <cell r="N480">
            <v>0</v>
          </cell>
        </row>
        <row r="481">
          <cell r="M481">
            <v>0</v>
          </cell>
          <cell r="N481">
            <v>0</v>
          </cell>
        </row>
        <row r="482">
          <cell r="M482">
            <v>0</v>
          </cell>
          <cell r="N482">
            <v>0</v>
          </cell>
        </row>
        <row r="483">
          <cell r="M483">
            <v>0</v>
          </cell>
          <cell r="N483">
            <v>0</v>
          </cell>
        </row>
        <row r="484">
          <cell r="M484">
            <v>0</v>
          </cell>
          <cell r="N484">
            <v>0</v>
          </cell>
        </row>
        <row r="485">
          <cell r="M485">
            <v>0</v>
          </cell>
          <cell r="N485">
            <v>0</v>
          </cell>
        </row>
        <row r="486">
          <cell r="M486">
            <v>0</v>
          </cell>
          <cell r="N486">
            <v>0</v>
          </cell>
        </row>
        <row r="487">
          <cell r="M487">
            <v>0</v>
          </cell>
          <cell r="N487">
            <v>0</v>
          </cell>
        </row>
        <row r="488">
          <cell r="M488">
            <v>0</v>
          </cell>
          <cell r="N488">
            <v>0</v>
          </cell>
        </row>
        <row r="489">
          <cell r="M489">
            <v>0</v>
          </cell>
          <cell r="N489">
            <v>0</v>
          </cell>
        </row>
        <row r="490">
          <cell r="M490">
            <v>0</v>
          </cell>
          <cell r="N490">
            <v>0</v>
          </cell>
        </row>
        <row r="491">
          <cell r="M491">
            <v>0</v>
          </cell>
          <cell r="N491">
            <v>0</v>
          </cell>
        </row>
        <row r="492">
          <cell r="M492">
            <v>0</v>
          </cell>
          <cell r="N492">
            <v>0</v>
          </cell>
        </row>
        <row r="493">
          <cell r="M493">
            <v>0</v>
          </cell>
          <cell r="N493">
            <v>0</v>
          </cell>
        </row>
        <row r="494">
          <cell r="M494">
            <v>0</v>
          </cell>
          <cell r="N494">
            <v>0</v>
          </cell>
        </row>
        <row r="495">
          <cell r="M495">
            <v>0</v>
          </cell>
          <cell r="N495">
            <v>0</v>
          </cell>
        </row>
        <row r="496">
          <cell r="M496">
            <v>0</v>
          </cell>
          <cell r="N496">
            <v>0</v>
          </cell>
        </row>
        <row r="497">
          <cell r="M497">
            <v>0</v>
          </cell>
          <cell r="N497">
            <v>0</v>
          </cell>
        </row>
        <row r="498">
          <cell r="M498">
            <v>0</v>
          </cell>
          <cell r="N498">
            <v>0</v>
          </cell>
        </row>
        <row r="499">
          <cell r="M499">
            <v>0</v>
          </cell>
          <cell r="N499">
            <v>0</v>
          </cell>
        </row>
        <row r="500">
          <cell r="M500">
            <v>0</v>
          </cell>
          <cell r="N500">
            <v>0</v>
          </cell>
        </row>
        <row r="501">
          <cell r="M501">
            <v>0</v>
          </cell>
          <cell r="N501">
            <v>0</v>
          </cell>
        </row>
        <row r="502">
          <cell r="M502">
            <v>0</v>
          </cell>
          <cell r="N502">
            <v>0</v>
          </cell>
        </row>
        <row r="503">
          <cell r="M503">
            <v>0</v>
          </cell>
          <cell r="N503">
            <v>0</v>
          </cell>
        </row>
        <row r="504">
          <cell r="M504">
            <v>0</v>
          </cell>
          <cell r="N504">
            <v>0</v>
          </cell>
        </row>
        <row r="505">
          <cell r="M505">
            <v>0</v>
          </cell>
          <cell r="N505">
            <v>0</v>
          </cell>
        </row>
        <row r="506">
          <cell r="M506">
            <v>0</v>
          </cell>
          <cell r="N506">
            <v>0</v>
          </cell>
        </row>
        <row r="507">
          <cell r="M507">
            <v>0</v>
          </cell>
          <cell r="N507">
            <v>0</v>
          </cell>
        </row>
        <row r="508">
          <cell r="M508">
            <v>0</v>
          </cell>
          <cell r="N508">
            <v>0</v>
          </cell>
        </row>
        <row r="509">
          <cell r="M509">
            <v>0</v>
          </cell>
          <cell r="N509">
            <v>0</v>
          </cell>
        </row>
        <row r="510">
          <cell r="M510">
            <v>0</v>
          </cell>
          <cell r="N510">
            <v>0</v>
          </cell>
        </row>
        <row r="511">
          <cell r="M511">
            <v>0</v>
          </cell>
          <cell r="N511">
            <v>0</v>
          </cell>
        </row>
        <row r="512">
          <cell r="M512">
            <v>0</v>
          </cell>
          <cell r="N512">
            <v>0</v>
          </cell>
        </row>
        <row r="513">
          <cell r="M513">
            <v>0</v>
          </cell>
          <cell r="N513">
            <v>0</v>
          </cell>
        </row>
        <row r="514">
          <cell r="M514">
            <v>0</v>
          </cell>
          <cell r="N514">
            <v>0</v>
          </cell>
        </row>
        <row r="515">
          <cell r="M515">
            <v>0</v>
          </cell>
          <cell r="N515">
            <v>0</v>
          </cell>
        </row>
        <row r="516">
          <cell r="M516">
            <v>0</v>
          </cell>
          <cell r="N516">
            <v>0</v>
          </cell>
        </row>
        <row r="517">
          <cell r="M517">
            <v>0</v>
          </cell>
          <cell r="N517">
            <v>0</v>
          </cell>
        </row>
        <row r="518">
          <cell r="M518">
            <v>0</v>
          </cell>
          <cell r="N518">
            <v>0</v>
          </cell>
        </row>
        <row r="519">
          <cell r="M519">
            <v>0</v>
          </cell>
          <cell r="N519">
            <v>0</v>
          </cell>
        </row>
        <row r="520">
          <cell r="M520">
            <v>0</v>
          </cell>
          <cell r="N520">
            <v>0</v>
          </cell>
        </row>
        <row r="521">
          <cell r="M521">
            <v>0</v>
          </cell>
          <cell r="N521">
            <v>0</v>
          </cell>
        </row>
        <row r="522">
          <cell r="M522">
            <v>0</v>
          </cell>
          <cell r="N522">
            <v>0</v>
          </cell>
        </row>
        <row r="523">
          <cell r="M523">
            <v>0</v>
          </cell>
          <cell r="N523">
            <v>0</v>
          </cell>
        </row>
        <row r="524">
          <cell r="M524">
            <v>0</v>
          </cell>
          <cell r="N524">
            <v>0</v>
          </cell>
        </row>
        <row r="525">
          <cell r="M525">
            <v>0</v>
          </cell>
          <cell r="N525">
            <v>0</v>
          </cell>
        </row>
        <row r="526">
          <cell r="M526">
            <v>0</v>
          </cell>
          <cell r="N526">
            <v>0</v>
          </cell>
        </row>
        <row r="527">
          <cell r="M527">
            <v>0</v>
          </cell>
          <cell r="N527">
            <v>0</v>
          </cell>
        </row>
        <row r="528">
          <cell r="M528">
            <v>0</v>
          </cell>
          <cell r="N528">
            <v>0</v>
          </cell>
        </row>
        <row r="529">
          <cell r="M529">
            <v>0</v>
          </cell>
          <cell r="N529">
            <v>0</v>
          </cell>
        </row>
        <row r="530">
          <cell r="M530">
            <v>0</v>
          </cell>
          <cell r="N530">
            <v>0</v>
          </cell>
        </row>
        <row r="531">
          <cell r="M531">
            <v>0</v>
          </cell>
          <cell r="N531">
            <v>0</v>
          </cell>
        </row>
        <row r="532">
          <cell r="M532">
            <v>0</v>
          </cell>
          <cell r="N532">
            <v>0</v>
          </cell>
        </row>
        <row r="533">
          <cell r="M533">
            <v>0</v>
          </cell>
          <cell r="N533">
            <v>0</v>
          </cell>
        </row>
        <row r="534">
          <cell r="M534">
            <v>0</v>
          </cell>
          <cell r="N534">
            <v>0</v>
          </cell>
        </row>
        <row r="535">
          <cell r="M535">
            <v>0</v>
          </cell>
          <cell r="N535">
            <v>0</v>
          </cell>
        </row>
        <row r="536">
          <cell r="M536">
            <v>0</v>
          </cell>
          <cell r="N536">
            <v>0</v>
          </cell>
        </row>
        <row r="537">
          <cell r="M537">
            <v>0</v>
          </cell>
          <cell r="N537">
            <v>0</v>
          </cell>
        </row>
        <row r="538">
          <cell r="M538">
            <v>0</v>
          </cell>
          <cell r="N538">
            <v>0</v>
          </cell>
        </row>
        <row r="539">
          <cell r="M539">
            <v>0</v>
          </cell>
          <cell r="N539">
            <v>0</v>
          </cell>
        </row>
        <row r="540">
          <cell r="M540">
            <v>0</v>
          </cell>
          <cell r="N540">
            <v>0</v>
          </cell>
        </row>
        <row r="541">
          <cell r="M541">
            <v>0</v>
          </cell>
          <cell r="N541">
            <v>0</v>
          </cell>
        </row>
        <row r="542">
          <cell r="M542">
            <v>0</v>
          </cell>
          <cell r="N542">
            <v>0</v>
          </cell>
        </row>
        <row r="543">
          <cell r="M543">
            <v>0</v>
          </cell>
          <cell r="N543">
            <v>0</v>
          </cell>
        </row>
        <row r="544">
          <cell r="M544">
            <v>0</v>
          </cell>
          <cell r="N544">
            <v>0</v>
          </cell>
        </row>
        <row r="545">
          <cell r="M545">
            <v>0</v>
          </cell>
          <cell r="N545">
            <v>0</v>
          </cell>
        </row>
        <row r="546">
          <cell r="M546">
            <v>0</v>
          </cell>
          <cell r="N546">
            <v>0</v>
          </cell>
        </row>
        <row r="547">
          <cell r="M547">
            <v>0</v>
          </cell>
          <cell r="N547">
            <v>0</v>
          </cell>
        </row>
        <row r="548">
          <cell r="M548">
            <v>0</v>
          </cell>
          <cell r="N548">
            <v>0</v>
          </cell>
        </row>
        <row r="549">
          <cell r="M549">
            <v>0</v>
          </cell>
          <cell r="N549">
            <v>0</v>
          </cell>
        </row>
        <row r="550">
          <cell r="M550">
            <v>0</v>
          </cell>
          <cell r="N550">
            <v>0</v>
          </cell>
        </row>
        <row r="551">
          <cell r="M551">
            <v>0</v>
          </cell>
          <cell r="N551">
            <v>0</v>
          </cell>
        </row>
        <row r="552">
          <cell r="M552">
            <v>0</v>
          </cell>
          <cell r="N552">
            <v>0</v>
          </cell>
        </row>
        <row r="553">
          <cell r="M553">
            <v>0</v>
          </cell>
          <cell r="N553">
            <v>0</v>
          </cell>
        </row>
        <row r="554">
          <cell r="M554">
            <v>0</v>
          </cell>
          <cell r="N554">
            <v>0</v>
          </cell>
        </row>
        <row r="555">
          <cell r="M555">
            <v>0</v>
          </cell>
          <cell r="N555">
            <v>0</v>
          </cell>
        </row>
        <row r="556">
          <cell r="M556">
            <v>0</v>
          </cell>
          <cell r="N556">
            <v>0</v>
          </cell>
        </row>
        <row r="557">
          <cell r="M557">
            <v>0</v>
          </cell>
          <cell r="N557">
            <v>0</v>
          </cell>
        </row>
        <row r="558">
          <cell r="M558">
            <v>0</v>
          </cell>
          <cell r="N558">
            <v>0</v>
          </cell>
        </row>
        <row r="559">
          <cell r="M559">
            <v>0</v>
          </cell>
          <cell r="N559">
            <v>0</v>
          </cell>
        </row>
        <row r="560">
          <cell r="M560">
            <v>0</v>
          </cell>
          <cell r="N560">
            <v>0</v>
          </cell>
        </row>
        <row r="561">
          <cell r="M561">
            <v>0</v>
          </cell>
          <cell r="N561">
            <v>0</v>
          </cell>
        </row>
        <row r="562">
          <cell r="M562">
            <v>0</v>
          </cell>
          <cell r="N562">
            <v>0</v>
          </cell>
        </row>
        <row r="563">
          <cell r="M563">
            <v>0</v>
          </cell>
          <cell r="N563">
            <v>0</v>
          </cell>
        </row>
        <row r="564">
          <cell r="M564">
            <v>0</v>
          </cell>
          <cell r="N564">
            <v>0</v>
          </cell>
        </row>
        <row r="565">
          <cell r="M565">
            <v>0</v>
          </cell>
          <cell r="N565">
            <v>0</v>
          </cell>
        </row>
        <row r="566">
          <cell r="M566">
            <v>0</v>
          </cell>
          <cell r="N566">
            <v>0</v>
          </cell>
        </row>
        <row r="567">
          <cell r="M567">
            <v>0</v>
          </cell>
          <cell r="N567">
            <v>0</v>
          </cell>
        </row>
        <row r="568">
          <cell r="M568">
            <v>0</v>
          </cell>
          <cell r="N568">
            <v>0</v>
          </cell>
        </row>
        <row r="569">
          <cell r="M569">
            <v>0</v>
          </cell>
          <cell r="N569">
            <v>0</v>
          </cell>
        </row>
        <row r="570">
          <cell r="M570">
            <v>0</v>
          </cell>
          <cell r="N570">
            <v>0</v>
          </cell>
        </row>
        <row r="571">
          <cell r="M571">
            <v>0</v>
          </cell>
          <cell r="N571">
            <v>0</v>
          </cell>
        </row>
        <row r="572">
          <cell r="M572">
            <v>0</v>
          </cell>
          <cell r="N572">
            <v>0</v>
          </cell>
        </row>
        <row r="573">
          <cell r="M573">
            <v>0</v>
          </cell>
          <cell r="N573">
            <v>0</v>
          </cell>
        </row>
        <row r="574">
          <cell r="M574">
            <v>0</v>
          </cell>
          <cell r="N574">
            <v>0</v>
          </cell>
        </row>
        <row r="575">
          <cell r="M575">
            <v>0</v>
          </cell>
          <cell r="N575">
            <v>0</v>
          </cell>
        </row>
        <row r="576">
          <cell r="M576">
            <v>0</v>
          </cell>
          <cell r="N576">
            <v>0</v>
          </cell>
        </row>
        <row r="577">
          <cell r="M577">
            <v>0</v>
          </cell>
          <cell r="N577">
            <v>0</v>
          </cell>
        </row>
        <row r="578">
          <cell r="M578">
            <v>0</v>
          </cell>
          <cell r="N578">
            <v>0</v>
          </cell>
        </row>
        <row r="579">
          <cell r="M579">
            <v>0</v>
          </cell>
          <cell r="N579">
            <v>0</v>
          </cell>
        </row>
        <row r="580">
          <cell r="M580">
            <v>0</v>
          </cell>
          <cell r="N580">
            <v>0</v>
          </cell>
        </row>
        <row r="581">
          <cell r="M581">
            <v>0</v>
          </cell>
          <cell r="N581">
            <v>0</v>
          </cell>
        </row>
        <row r="582">
          <cell r="M582">
            <v>0</v>
          </cell>
          <cell r="N582">
            <v>0</v>
          </cell>
        </row>
        <row r="583">
          <cell r="M583">
            <v>0</v>
          </cell>
          <cell r="N583">
            <v>0</v>
          </cell>
        </row>
        <row r="584">
          <cell r="M584">
            <v>0</v>
          </cell>
          <cell r="N584">
            <v>0</v>
          </cell>
        </row>
        <row r="585">
          <cell r="M585">
            <v>0</v>
          </cell>
          <cell r="N585">
            <v>0</v>
          </cell>
        </row>
        <row r="586">
          <cell r="M586">
            <v>0</v>
          </cell>
          <cell r="N586">
            <v>0</v>
          </cell>
        </row>
        <row r="587">
          <cell r="M587">
            <v>0</v>
          </cell>
          <cell r="N587">
            <v>0</v>
          </cell>
        </row>
        <row r="588">
          <cell r="M588">
            <v>0</v>
          </cell>
          <cell r="N588">
            <v>0</v>
          </cell>
        </row>
        <row r="589">
          <cell r="M589">
            <v>0</v>
          </cell>
          <cell r="N589">
            <v>0</v>
          </cell>
        </row>
        <row r="590">
          <cell r="M590">
            <v>0</v>
          </cell>
          <cell r="N590">
            <v>0</v>
          </cell>
        </row>
        <row r="591">
          <cell r="M591">
            <v>0</v>
          </cell>
          <cell r="N591">
            <v>0</v>
          </cell>
        </row>
        <row r="592">
          <cell r="M592">
            <v>0</v>
          </cell>
          <cell r="N592">
            <v>0</v>
          </cell>
        </row>
        <row r="593">
          <cell r="M593">
            <v>0</v>
          </cell>
          <cell r="N593">
            <v>0</v>
          </cell>
        </row>
        <row r="594">
          <cell r="M594">
            <v>0</v>
          </cell>
          <cell r="N594">
            <v>0</v>
          </cell>
        </row>
        <row r="595">
          <cell r="M595">
            <v>0</v>
          </cell>
          <cell r="N595">
            <v>0</v>
          </cell>
        </row>
        <row r="596">
          <cell r="M596">
            <v>0</v>
          </cell>
          <cell r="N596">
            <v>0</v>
          </cell>
        </row>
        <row r="597">
          <cell r="M597">
            <v>0</v>
          </cell>
          <cell r="N597">
            <v>0</v>
          </cell>
        </row>
        <row r="598">
          <cell r="M598">
            <v>0</v>
          </cell>
          <cell r="N598">
            <v>0</v>
          </cell>
        </row>
        <row r="599">
          <cell r="M599">
            <v>0</v>
          </cell>
          <cell r="N599">
            <v>0</v>
          </cell>
        </row>
        <row r="600">
          <cell r="M600">
            <v>0</v>
          </cell>
          <cell r="N600">
            <v>0</v>
          </cell>
        </row>
        <row r="601">
          <cell r="M601">
            <v>0</v>
          </cell>
          <cell r="N601">
            <v>0</v>
          </cell>
        </row>
        <row r="602">
          <cell r="M602">
            <v>0</v>
          </cell>
          <cell r="N602">
            <v>0</v>
          </cell>
        </row>
        <row r="603">
          <cell r="M603">
            <v>0</v>
          </cell>
          <cell r="N603">
            <v>0</v>
          </cell>
        </row>
        <row r="604">
          <cell r="M604">
            <v>0</v>
          </cell>
          <cell r="N604">
            <v>0</v>
          </cell>
        </row>
        <row r="605">
          <cell r="M605">
            <v>0</v>
          </cell>
          <cell r="N605">
            <v>0</v>
          </cell>
        </row>
        <row r="606">
          <cell r="M606">
            <v>0</v>
          </cell>
          <cell r="N606">
            <v>0</v>
          </cell>
        </row>
        <row r="607">
          <cell r="M607">
            <v>0</v>
          </cell>
          <cell r="N607">
            <v>0</v>
          </cell>
        </row>
        <row r="608">
          <cell r="M608">
            <v>0</v>
          </cell>
          <cell r="N608">
            <v>0</v>
          </cell>
        </row>
        <row r="609">
          <cell r="M609">
            <v>0</v>
          </cell>
          <cell r="N609">
            <v>0</v>
          </cell>
        </row>
        <row r="610">
          <cell r="M610">
            <v>0</v>
          </cell>
          <cell r="N610">
            <v>0</v>
          </cell>
        </row>
        <row r="611">
          <cell r="M611">
            <v>0</v>
          </cell>
          <cell r="N611">
            <v>0</v>
          </cell>
        </row>
        <row r="612">
          <cell r="M612">
            <v>0</v>
          </cell>
          <cell r="N612">
            <v>0</v>
          </cell>
        </row>
        <row r="613">
          <cell r="M613">
            <v>0</v>
          </cell>
          <cell r="N613">
            <v>0</v>
          </cell>
        </row>
        <row r="614">
          <cell r="M614">
            <v>0</v>
          </cell>
          <cell r="N614">
            <v>0</v>
          </cell>
        </row>
        <row r="615">
          <cell r="M615">
            <v>0</v>
          </cell>
          <cell r="N615">
            <v>0</v>
          </cell>
        </row>
        <row r="616">
          <cell r="M616">
            <v>0</v>
          </cell>
          <cell r="N616">
            <v>0</v>
          </cell>
        </row>
        <row r="617">
          <cell r="M617">
            <v>0</v>
          </cell>
          <cell r="N617">
            <v>0</v>
          </cell>
        </row>
        <row r="618">
          <cell r="M618">
            <v>0</v>
          </cell>
          <cell r="N618">
            <v>0</v>
          </cell>
        </row>
        <row r="619">
          <cell r="M619">
            <v>0</v>
          </cell>
          <cell r="N619">
            <v>0</v>
          </cell>
        </row>
        <row r="620">
          <cell r="M620">
            <v>0</v>
          </cell>
          <cell r="N620">
            <v>0</v>
          </cell>
        </row>
        <row r="621">
          <cell r="M621">
            <v>0</v>
          </cell>
          <cell r="N621">
            <v>0</v>
          </cell>
        </row>
        <row r="622">
          <cell r="M622">
            <v>0</v>
          </cell>
          <cell r="N622">
            <v>0</v>
          </cell>
        </row>
        <row r="623">
          <cell r="M623">
            <v>0</v>
          </cell>
          <cell r="N623">
            <v>0</v>
          </cell>
        </row>
        <row r="624">
          <cell r="M624">
            <v>0</v>
          </cell>
          <cell r="N624">
            <v>0</v>
          </cell>
        </row>
        <row r="625">
          <cell r="M625">
            <v>0</v>
          </cell>
          <cell r="N625">
            <v>0</v>
          </cell>
        </row>
        <row r="626">
          <cell r="M626">
            <v>0</v>
          </cell>
          <cell r="N626">
            <v>0</v>
          </cell>
        </row>
        <row r="627">
          <cell r="M627">
            <v>0</v>
          </cell>
          <cell r="N627">
            <v>0</v>
          </cell>
        </row>
        <row r="628">
          <cell r="M628">
            <v>0</v>
          </cell>
          <cell r="N628">
            <v>0</v>
          </cell>
        </row>
        <row r="629">
          <cell r="M629">
            <v>0</v>
          </cell>
          <cell r="N629">
            <v>0</v>
          </cell>
        </row>
        <row r="630">
          <cell r="M630">
            <v>0</v>
          </cell>
          <cell r="N630">
            <v>0</v>
          </cell>
        </row>
        <row r="631">
          <cell r="M631">
            <v>0</v>
          </cell>
          <cell r="N631">
            <v>0</v>
          </cell>
        </row>
        <row r="632">
          <cell r="M632">
            <v>0</v>
          </cell>
          <cell r="N632">
            <v>0</v>
          </cell>
        </row>
        <row r="633">
          <cell r="M633">
            <v>0</v>
          </cell>
          <cell r="N633">
            <v>0</v>
          </cell>
        </row>
        <row r="634">
          <cell r="M634">
            <v>0</v>
          </cell>
          <cell r="N634">
            <v>0</v>
          </cell>
        </row>
        <row r="635">
          <cell r="M635">
            <v>0</v>
          </cell>
          <cell r="N635">
            <v>0</v>
          </cell>
        </row>
        <row r="636">
          <cell r="M636">
            <v>0</v>
          </cell>
          <cell r="N636">
            <v>0</v>
          </cell>
        </row>
        <row r="637">
          <cell r="M637">
            <v>0</v>
          </cell>
          <cell r="N637">
            <v>0</v>
          </cell>
        </row>
        <row r="638">
          <cell r="M638">
            <v>0</v>
          </cell>
          <cell r="N638">
            <v>0</v>
          </cell>
        </row>
        <row r="639">
          <cell r="M639">
            <v>0</v>
          </cell>
          <cell r="N639">
            <v>0</v>
          </cell>
        </row>
        <row r="640">
          <cell r="M640">
            <v>0</v>
          </cell>
          <cell r="N640">
            <v>0</v>
          </cell>
        </row>
        <row r="641">
          <cell r="M641">
            <v>0</v>
          </cell>
          <cell r="N641">
            <v>0</v>
          </cell>
        </row>
        <row r="642">
          <cell r="M642">
            <v>0</v>
          </cell>
          <cell r="N642">
            <v>0</v>
          </cell>
        </row>
        <row r="643">
          <cell r="M643">
            <v>0</v>
          </cell>
          <cell r="N643">
            <v>0</v>
          </cell>
        </row>
        <row r="644">
          <cell r="M644">
            <v>0</v>
          </cell>
          <cell r="N644">
            <v>0</v>
          </cell>
        </row>
        <row r="645">
          <cell r="M645">
            <v>0</v>
          </cell>
          <cell r="N645">
            <v>0</v>
          </cell>
        </row>
        <row r="646">
          <cell r="M646">
            <v>0</v>
          </cell>
          <cell r="N646">
            <v>0</v>
          </cell>
        </row>
        <row r="647">
          <cell r="M647">
            <v>0</v>
          </cell>
          <cell r="N647">
            <v>0</v>
          </cell>
        </row>
        <row r="648">
          <cell r="M648">
            <v>0</v>
          </cell>
          <cell r="N648">
            <v>0</v>
          </cell>
        </row>
        <row r="649">
          <cell r="M649">
            <v>0</v>
          </cell>
          <cell r="N649">
            <v>0</v>
          </cell>
        </row>
        <row r="650">
          <cell r="M650">
            <v>0</v>
          </cell>
          <cell r="N650">
            <v>0</v>
          </cell>
        </row>
        <row r="651">
          <cell r="M651">
            <v>0</v>
          </cell>
          <cell r="N651">
            <v>0</v>
          </cell>
        </row>
        <row r="652">
          <cell r="M652">
            <v>0</v>
          </cell>
          <cell r="N652">
            <v>0</v>
          </cell>
        </row>
        <row r="653">
          <cell r="M653">
            <v>0</v>
          </cell>
          <cell r="N653">
            <v>0</v>
          </cell>
        </row>
        <row r="654">
          <cell r="M654">
            <v>0</v>
          </cell>
          <cell r="N654">
            <v>0</v>
          </cell>
        </row>
        <row r="655">
          <cell r="M655">
            <v>0</v>
          </cell>
          <cell r="N655">
            <v>0</v>
          </cell>
        </row>
        <row r="656">
          <cell r="M656">
            <v>0</v>
          </cell>
          <cell r="N656">
            <v>0</v>
          </cell>
        </row>
        <row r="657">
          <cell r="M657">
            <v>0</v>
          </cell>
          <cell r="N657">
            <v>0</v>
          </cell>
        </row>
        <row r="658">
          <cell r="M658">
            <v>0</v>
          </cell>
          <cell r="N658">
            <v>0</v>
          </cell>
        </row>
        <row r="659">
          <cell r="M659">
            <v>0</v>
          </cell>
          <cell r="N659">
            <v>0</v>
          </cell>
        </row>
        <row r="660">
          <cell r="M660">
            <v>0</v>
          </cell>
          <cell r="N660">
            <v>0</v>
          </cell>
        </row>
        <row r="661">
          <cell r="M661">
            <v>0</v>
          </cell>
          <cell r="N661">
            <v>0</v>
          </cell>
        </row>
        <row r="662">
          <cell r="M662">
            <v>0</v>
          </cell>
          <cell r="N662">
            <v>0</v>
          </cell>
        </row>
        <row r="663">
          <cell r="M663">
            <v>0</v>
          </cell>
          <cell r="N663">
            <v>0</v>
          </cell>
        </row>
        <row r="664">
          <cell r="M664">
            <v>0</v>
          </cell>
          <cell r="N664">
            <v>0</v>
          </cell>
        </row>
        <row r="665">
          <cell r="M665">
            <v>0</v>
          </cell>
          <cell r="N665">
            <v>0</v>
          </cell>
        </row>
        <row r="666">
          <cell r="M666">
            <v>0</v>
          </cell>
          <cell r="N666">
            <v>0</v>
          </cell>
        </row>
        <row r="667">
          <cell r="M667">
            <v>0</v>
          </cell>
          <cell r="N667">
            <v>0</v>
          </cell>
        </row>
        <row r="668">
          <cell r="M668">
            <v>0</v>
          </cell>
          <cell r="N668">
            <v>0</v>
          </cell>
        </row>
        <row r="669">
          <cell r="M669">
            <v>0</v>
          </cell>
          <cell r="N669">
            <v>0</v>
          </cell>
        </row>
        <row r="670">
          <cell r="M670">
            <v>0</v>
          </cell>
          <cell r="N670">
            <v>0</v>
          </cell>
        </row>
        <row r="671">
          <cell r="M671">
            <v>0</v>
          </cell>
          <cell r="N671">
            <v>0</v>
          </cell>
        </row>
        <row r="672">
          <cell r="M672">
            <v>0</v>
          </cell>
          <cell r="N672">
            <v>0</v>
          </cell>
        </row>
        <row r="673">
          <cell r="M673">
            <v>0</v>
          </cell>
          <cell r="N673">
            <v>0</v>
          </cell>
        </row>
        <row r="674">
          <cell r="M674">
            <v>0</v>
          </cell>
          <cell r="N674">
            <v>0</v>
          </cell>
        </row>
        <row r="675">
          <cell r="M675">
            <v>0</v>
          </cell>
          <cell r="N675">
            <v>0</v>
          </cell>
        </row>
        <row r="676">
          <cell r="M676">
            <v>0</v>
          </cell>
          <cell r="N676">
            <v>0</v>
          </cell>
        </row>
        <row r="677">
          <cell r="M677">
            <v>0</v>
          </cell>
          <cell r="N677">
            <v>0</v>
          </cell>
        </row>
        <row r="678">
          <cell r="M678">
            <v>0</v>
          </cell>
          <cell r="N678">
            <v>0</v>
          </cell>
        </row>
        <row r="679">
          <cell r="M679">
            <v>0</v>
          </cell>
          <cell r="N679">
            <v>0</v>
          </cell>
        </row>
        <row r="680">
          <cell r="M680">
            <v>0</v>
          </cell>
          <cell r="N680">
            <v>0</v>
          </cell>
        </row>
        <row r="681">
          <cell r="M681">
            <v>0</v>
          </cell>
          <cell r="N681">
            <v>0</v>
          </cell>
        </row>
        <row r="682">
          <cell r="M682">
            <v>0</v>
          </cell>
          <cell r="N682">
            <v>0</v>
          </cell>
        </row>
        <row r="683">
          <cell r="M683">
            <v>0</v>
          </cell>
          <cell r="N683">
            <v>0</v>
          </cell>
        </row>
        <row r="684">
          <cell r="M684">
            <v>0</v>
          </cell>
          <cell r="N684">
            <v>0</v>
          </cell>
        </row>
        <row r="685">
          <cell r="M685">
            <v>0</v>
          </cell>
          <cell r="N685">
            <v>0</v>
          </cell>
        </row>
        <row r="686">
          <cell r="M686">
            <v>0</v>
          </cell>
          <cell r="N686">
            <v>0</v>
          </cell>
        </row>
        <row r="687">
          <cell r="M687">
            <v>0</v>
          </cell>
          <cell r="N687">
            <v>0</v>
          </cell>
        </row>
        <row r="688">
          <cell r="M688">
            <v>0</v>
          </cell>
          <cell r="N688">
            <v>0</v>
          </cell>
        </row>
        <row r="689">
          <cell r="M689">
            <v>0</v>
          </cell>
          <cell r="N689">
            <v>0</v>
          </cell>
        </row>
        <row r="690">
          <cell r="M690">
            <v>0</v>
          </cell>
          <cell r="N690">
            <v>0</v>
          </cell>
        </row>
        <row r="691">
          <cell r="M691">
            <v>0</v>
          </cell>
          <cell r="N691">
            <v>0</v>
          </cell>
        </row>
        <row r="692">
          <cell r="M692">
            <v>0</v>
          </cell>
          <cell r="N692">
            <v>0</v>
          </cell>
        </row>
        <row r="693">
          <cell r="M693">
            <v>0</v>
          </cell>
          <cell r="N693">
            <v>0</v>
          </cell>
        </row>
        <row r="694">
          <cell r="M694">
            <v>0</v>
          </cell>
          <cell r="N694">
            <v>0</v>
          </cell>
        </row>
        <row r="695">
          <cell r="M695">
            <v>0</v>
          </cell>
          <cell r="N695">
            <v>0</v>
          </cell>
        </row>
        <row r="696">
          <cell r="M696">
            <v>0</v>
          </cell>
          <cell r="N696">
            <v>0</v>
          </cell>
        </row>
        <row r="697">
          <cell r="M697">
            <v>0</v>
          </cell>
          <cell r="N697">
            <v>0</v>
          </cell>
        </row>
        <row r="698">
          <cell r="M698">
            <v>0</v>
          </cell>
          <cell r="N698">
            <v>0</v>
          </cell>
        </row>
        <row r="699">
          <cell r="M699">
            <v>0</v>
          </cell>
          <cell r="N699">
            <v>0</v>
          </cell>
        </row>
        <row r="700">
          <cell r="M700">
            <v>0</v>
          </cell>
          <cell r="N700">
            <v>0</v>
          </cell>
        </row>
        <row r="701">
          <cell r="M701">
            <v>0</v>
          </cell>
          <cell r="N701">
            <v>0</v>
          </cell>
        </row>
        <row r="702">
          <cell r="M702">
            <v>0</v>
          </cell>
          <cell r="N702">
            <v>0</v>
          </cell>
        </row>
        <row r="703">
          <cell r="M703">
            <v>0</v>
          </cell>
          <cell r="N703">
            <v>0</v>
          </cell>
        </row>
        <row r="704">
          <cell r="M704">
            <v>0</v>
          </cell>
          <cell r="N704">
            <v>0</v>
          </cell>
        </row>
        <row r="705">
          <cell r="M705">
            <v>0</v>
          </cell>
          <cell r="N705">
            <v>0</v>
          </cell>
        </row>
        <row r="706">
          <cell r="M706">
            <v>0</v>
          </cell>
          <cell r="N706">
            <v>0</v>
          </cell>
        </row>
        <row r="707">
          <cell r="M707">
            <v>0</v>
          </cell>
          <cell r="N707">
            <v>0</v>
          </cell>
        </row>
        <row r="708">
          <cell r="M708">
            <v>0</v>
          </cell>
          <cell r="N708">
            <v>0</v>
          </cell>
        </row>
        <row r="709">
          <cell r="M709">
            <v>0</v>
          </cell>
          <cell r="N709">
            <v>0</v>
          </cell>
        </row>
        <row r="710">
          <cell r="M710">
            <v>0</v>
          </cell>
          <cell r="N710">
            <v>0</v>
          </cell>
        </row>
        <row r="711">
          <cell r="M711">
            <v>0</v>
          </cell>
          <cell r="N711">
            <v>0</v>
          </cell>
        </row>
        <row r="712">
          <cell r="M712">
            <v>0</v>
          </cell>
          <cell r="N712">
            <v>0</v>
          </cell>
        </row>
        <row r="713">
          <cell r="M713">
            <v>0</v>
          </cell>
          <cell r="N713">
            <v>0</v>
          </cell>
        </row>
        <row r="714">
          <cell r="M714">
            <v>0</v>
          </cell>
          <cell r="N714">
            <v>0</v>
          </cell>
        </row>
        <row r="715">
          <cell r="M715">
            <v>0</v>
          </cell>
          <cell r="N715">
            <v>0</v>
          </cell>
        </row>
        <row r="716">
          <cell r="M716">
            <v>0</v>
          </cell>
          <cell r="N716">
            <v>0</v>
          </cell>
        </row>
        <row r="717">
          <cell r="M717">
            <v>0</v>
          </cell>
          <cell r="N717">
            <v>0</v>
          </cell>
        </row>
        <row r="718">
          <cell r="M718">
            <v>0</v>
          </cell>
          <cell r="N718">
            <v>0</v>
          </cell>
        </row>
        <row r="719">
          <cell r="M719">
            <v>0</v>
          </cell>
          <cell r="N719">
            <v>0</v>
          </cell>
        </row>
        <row r="720">
          <cell r="M720">
            <v>0</v>
          </cell>
          <cell r="N720">
            <v>0</v>
          </cell>
        </row>
        <row r="721">
          <cell r="M721">
            <v>0</v>
          </cell>
          <cell r="N721">
            <v>0</v>
          </cell>
        </row>
        <row r="722">
          <cell r="M722">
            <v>0</v>
          </cell>
          <cell r="N722">
            <v>0</v>
          </cell>
        </row>
        <row r="723">
          <cell r="M723">
            <v>0</v>
          </cell>
          <cell r="N723">
            <v>0</v>
          </cell>
        </row>
        <row r="724">
          <cell r="M724">
            <v>0</v>
          </cell>
          <cell r="N724">
            <v>0</v>
          </cell>
        </row>
        <row r="725">
          <cell r="M725">
            <v>0</v>
          </cell>
          <cell r="N725">
            <v>0</v>
          </cell>
        </row>
        <row r="726">
          <cell r="M726">
            <v>0</v>
          </cell>
          <cell r="N726">
            <v>0</v>
          </cell>
        </row>
        <row r="727">
          <cell r="M727">
            <v>0</v>
          </cell>
          <cell r="N727">
            <v>0</v>
          </cell>
        </row>
        <row r="728">
          <cell r="M728">
            <v>0</v>
          </cell>
          <cell r="N728">
            <v>0</v>
          </cell>
        </row>
        <row r="729">
          <cell r="M729">
            <v>0</v>
          </cell>
          <cell r="N729">
            <v>0</v>
          </cell>
        </row>
        <row r="730">
          <cell r="M730">
            <v>0</v>
          </cell>
          <cell r="N730">
            <v>0</v>
          </cell>
        </row>
        <row r="731">
          <cell r="M731">
            <v>0</v>
          </cell>
          <cell r="N731">
            <v>0</v>
          </cell>
        </row>
        <row r="732">
          <cell r="M732">
            <v>0</v>
          </cell>
          <cell r="N732">
            <v>0</v>
          </cell>
        </row>
        <row r="733">
          <cell r="M733">
            <v>0</v>
          </cell>
          <cell r="N733">
            <v>0</v>
          </cell>
        </row>
        <row r="734">
          <cell r="M734">
            <v>0</v>
          </cell>
          <cell r="N734">
            <v>0</v>
          </cell>
        </row>
        <row r="735">
          <cell r="M735">
            <v>0</v>
          </cell>
          <cell r="N735">
            <v>0</v>
          </cell>
        </row>
        <row r="736">
          <cell r="M736">
            <v>0</v>
          </cell>
          <cell r="N736">
            <v>0</v>
          </cell>
        </row>
        <row r="737">
          <cell r="M737">
            <v>0</v>
          </cell>
          <cell r="N737">
            <v>0</v>
          </cell>
        </row>
        <row r="738">
          <cell r="M738">
            <v>0</v>
          </cell>
          <cell r="N738">
            <v>0</v>
          </cell>
        </row>
        <row r="739">
          <cell r="M739">
            <v>0</v>
          </cell>
          <cell r="N739">
            <v>0</v>
          </cell>
        </row>
        <row r="740">
          <cell r="M740">
            <v>0</v>
          </cell>
          <cell r="N740">
            <v>0</v>
          </cell>
        </row>
        <row r="741">
          <cell r="M741">
            <v>0</v>
          </cell>
          <cell r="N741">
            <v>0</v>
          </cell>
        </row>
        <row r="742">
          <cell r="M742">
            <v>0</v>
          </cell>
          <cell r="N742">
            <v>0</v>
          </cell>
        </row>
        <row r="743">
          <cell r="M743">
            <v>0</v>
          </cell>
          <cell r="N743">
            <v>0</v>
          </cell>
        </row>
        <row r="744">
          <cell r="M744">
            <v>0</v>
          </cell>
          <cell r="N744">
            <v>0</v>
          </cell>
        </row>
        <row r="745">
          <cell r="M745">
            <v>0</v>
          </cell>
          <cell r="N745">
            <v>0</v>
          </cell>
        </row>
        <row r="746">
          <cell r="M746">
            <v>0</v>
          </cell>
          <cell r="N746">
            <v>0</v>
          </cell>
        </row>
        <row r="747">
          <cell r="M747">
            <v>0</v>
          </cell>
          <cell r="N747">
            <v>0</v>
          </cell>
        </row>
        <row r="748">
          <cell r="M748">
            <v>0</v>
          </cell>
          <cell r="N748">
            <v>0</v>
          </cell>
        </row>
        <row r="749">
          <cell r="M749">
            <v>0</v>
          </cell>
          <cell r="N749">
            <v>0</v>
          </cell>
        </row>
        <row r="750">
          <cell r="M750">
            <v>0</v>
          </cell>
          <cell r="N750">
            <v>0</v>
          </cell>
        </row>
        <row r="751">
          <cell r="M751">
            <v>0</v>
          </cell>
          <cell r="N751">
            <v>0</v>
          </cell>
        </row>
        <row r="752">
          <cell r="M752">
            <v>0</v>
          </cell>
          <cell r="N752">
            <v>0</v>
          </cell>
        </row>
        <row r="753">
          <cell r="M753">
            <v>0</v>
          </cell>
          <cell r="N753">
            <v>0</v>
          </cell>
        </row>
        <row r="754">
          <cell r="M754">
            <v>0</v>
          </cell>
          <cell r="N754">
            <v>0</v>
          </cell>
        </row>
        <row r="755">
          <cell r="M755">
            <v>0</v>
          </cell>
          <cell r="N755">
            <v>0</v>
          </cell>
        </row>
        <row r="756">
          <cell r="M756">
            <v>0</v>
          </cell>
          <cell r="N756">
            <v>0</v>
          </cell>
        </row>
        <row r="757">
          <cell r="M757">
            <v>0</v>
          </cell>
          <cell r="N757">
            <v>0</v>
          </cell>
        </row>
        <row r="758">
          <cell r="M758">
            <v>0</v>
          </cell>
          <cell r="N758">
            <v>0</v>
          </cell>
        </row>
        <row r="759">
          <cell r="M759">
            <v>0</v>
          </cell>
          <cell r="N759">
            <v>0</v>
          </cell>
        </row>
        <row r="760">
          <cell r="M760">
            <v>0</v>
          </cell>
          <cell r="N760">
            <v>0</v>
          </cell>
        </row>
        <row r="761">
          <cell r="M761">
            <v>0</v>
          </cell>
          <cell r="N761">
            <v>0</v>
          </cell>
        </row>
        <row r="762">
          <cell r="M762">
            <v>0</v>
          </cell>
          <cell r="N762">
            <v>0</v>
          </cell>
        </row>
        <row r="763">
          <cell r="M763">
            <v>0</v>
          </cell>
          <cell r="N763">
            <v>0</v>
          </cell>
        </row>
        <row r="764">
          <cell r="M764">
            <v>0</v>
          </cell>
          <cell r="N764">
            <v>0</v>
          </cell>
        </row>
        <row r="765">
          <cell r="M765">
            <v>0</v>
          </cell>
          <cell r="N765">
            <v>0</v>
          </cell>
        </row>
        <row r="766">
          <cell r="M766">
            <v>0</v>
          </cell>
          <cell r="N766">
            <v>0</v>
          </cell>
        </row>
        <row r="767">
          <cell r="M767">
            <v>0</v>
          </cell>
          <cell r="N767">
            <v>0</v>
          </cell>
        </row>
        <row r="768">
          <cell r="M768">
            <v>0</v>
          </cell>
          <cell r="N768">
            <v>0</v>
          </cell>
        </row>
        <row r="769">
          <cell r="M769">
            <v>0</v>
          </cell>
          <cell r="N769">
            <v>0</v>
          </cell>
        </row>
        <row r="770">
          <cell r="M770">
            <v>0</v>
          </cell>
          <cell r="N770">
            <v>0</v>
          </cell>
        </row>
        <row r="771">
          <cell r="M771">
            <v>0</v>
          </cell>
          <cell r="N771">
            <v>0</v>
          </cell>
        </row>
        <row r="772">
          <cell r="M772">
            <v>0</v>
          </cell>
          <cell r="N772">
            <v>0</v>
          </cell>
        </row>
        <row r="773">
          <cell r="M773">
            <v>0</v>
          </cell>
          <cell r="N773">
            <v>0</v>
          </cell>
        </row>
        <row r="774">
          <cell r="M774">
            <v>0</v>
          </cell>
          <cell r="N774">
            <v>0</v>
          </cell>
        </row>
        <row r="775">
          <cell r="M775">
            <v>0</v>
          </cell>
          <cell r="N775">
            <v>0</v>
          </cell>
        </row>
        <row r="776">
          <cell r="M776">
            <v>0</v>
          </cell>
          <cell r="N776">
            <v>0</v>
          </cell>
        </row>
        <row r="777">
          <cell r="M777">
            <v>0</v>
          </cell>
          <cell r="N777">
            <v>0</v>
          </cell>
        </row>
        <row r="778">
          <cell r="M778">
            <v>0</v>
          </cell>
          <cell r="N778">
            <v>0</v>
          </cell>
        </row>
        <row r="779">
          <cell r="M779">
            <v>0</v>
          </cell>
          <cell r="N779">
            <v>0</v>
          </cell>
        </row>
        <row r="780">
          <cell r="M780">
            <v>0</v>
          </cell>
          <cell r="N780">
            <v>0</v>
          </cell>
        </row>
        <row r="781">
          <cell r="M781">
            <v>0</v>
          </cell>
          <cell r="N781">
            <v>0</v>
          </cell>
        </row>
        <row r="782">
          <cell r="M782">
            <v>0</v>
          </cell>
          <cell r="N782">
            <v>0</v>
          </cell>
        </row>
        <row r="783">
          <cell r="M783">
            <v>0</v>
          </cell>
          <cell r="N783">
            <v>0</v>
          </cell>
        </row>
        <row r="784">
          <cell r="M784">
            <v>0</v>
          </cell>
          <cell r="N784">
            <v>0</v>
          </cell>
        </row>
        <row r="785">
          <cell r="M785">
            <v>0</v>
          </cell>
          <cell r="N785">
            <v>0</v>
          </cell>
        </row>
        <row r="786">
          <cell r="M786">
            <v>0</v>
          </cell>
          <cell r="N786">
            <v>0</v>
          </cell>
        </row>
        <row r="787">
          <cell r="M787">
            <v>0</v>
          </cell>
          <cell r="N787">
            <v>0</v>
          </cell>
        </row>
        <row r="788">
          <cell r="M788">
            <v>0</v>
          </cell>
          <cell r="N788">
            <v>0</v>
          </cell>
        </row>
        <row r="789">
          <cell r="M789">
            <v>0</v>
          </cell>
          <cell r="N789">
            <v>0</v>
          </cell>
        </row>
        <row r="790">
          <cell r="M790">
            <v>0</v>
          </cell>
          <cell r="N790">
            <v>0</v>
          </cell>
        </row>
        <row r="791">
          <cell r="M791">
            <v>0</v>
          </cell>
          <cell r="N791">
            <v>0</v>
          </cell>
        </row>
        <row r="792">
          <cell r="M792">
            <v>0</v>
          </cell>
          <cell r="N792">
            <v>0</v>
          </cell>
        </row>
        <row r="793">
          <cell r="M793">
            <v>0</v>
          </cell>
          <cell r="N793">
            <v>0</v>
          </cell>
        </row>
        <row r="794">
          <cell r="M794">
            <v>0</v>
          </cell>
          <cell r="N794">
            <v>0</v>
          </cell>
        </row>
        <row r="795">
          <cell r="M795">
            <v>0</v>
          </cell>
          <cell r="N795">
            <v>0</v>
          </cell>
        </row>
        <row r="796">
          <cell r="M796">
            <v>0</v>
          </cell>
          <cell r="N796">
            <v>0</v>
          </cell>
        </row>
        <row r="797">
          <cell r="M797">
            <v>0</v>
          </cell>
          <cell r="N797">
            <v>0</v>
          </cell>
        </row>
        <row r="798">
          <cell r="M798">
            <v>0</v>
          </cell>
          <cell r="N798">
            <v>0</v>
          </cell>
        </row>
        <row r="799">
          <cell r="M799">
            <v>0</v>
          </cell>
          <cell r="N799">
            <v>0</v>
          </cell>
        </row>
        <row r="800">
          <cell r="M800">
            <v>0</v>
          </cell>
          <cell r="N800">
            <v>0</v>
          </cell>
        </row>
        <row r="801">
          <cell r="M801">
            <v>0</v>
          </cell>
          <cell r="N801">
            <v>0</v>
          </cell>
        </row>
        <row r="802">
          <cell r="M802">
            <v>0</v>
          </cell>
          <cell r="N802">
            <v>0</v>
          </cell>
        </row>
        <row r="803">
          <cell r="M803">
            <v>0</v>
          </cell>
          <cell r="N803">
            <v>0</v>
          </cell>
        </row>
        <row r="804">
          <cell r="M804">
            <v>0</v>
          </cell>
          <cell r="N804">
            <v>0</v>
          </cell>
        </row>
        <row r="805">
          <cell r="M805">
            <v>0</v>
          </cell>
          <cell r="N805">
            <v>0</v>
          </cell>
        </row>
        <row r="806">
          <cell r="M806">
            <v>0</v>
          </cell>
          <cell r="N806">
            <v>0</v>
          </cell>
        </row>
        <row r="807">
          <cell r="M807">
            <v>0</v>
          </cell>
          <cell r="N807">
            <v>0</v>
          </cell>
        </row>
        <row r="808">
          <cell r="M808">
            <v>0</v>
          </cell>
          <cell r="N808">
            <v>0</v>
          </cell>
        </row>
        <row r="809">
          <cell r="M809">
            <v>0</v>
          </cell>
          <cell r="N809">
            <v>0</v>
          </cell>
        </row>
        <row r="810">
          <cell r="M810">
            <v>0</v>
          </cell>
          <cell r="N810">
            <v>0</v>
          </cell>
        </row>
        <row r="811">
          <cell r="M811">
            <v>0</v>
          </cell>
          <cell r="N811">
            <v>0</v>
          </cell>
        </row>
        <row r="812">
          <cell r="M812">
            <v>0</v>
          </cell>
          <cell r="N812">
            <v>0</v>
          </cell>
        </row>
        <row r="813">
          <cell r="M813">
            <v>0</v>
          </cell>
          <cell r="N813">
            <v>0</v>
          </cell>
        </row>
        <row r="814">
          <cell r="M814">
            <v>0</v>
          </cell>
          <cell r="N814">
            <v>0</v>
          </cell>
        </row>
        <row r="815">
          <cell r="M815">
            <v>0</v>
          </cell>
          <cell r="N815">
            <v>0</v>
          </cell>
        </row>
        <row r="816">
          <cell r="M816">
            <v>0</v>
          </cell>
          <cell r="N816">
            <v>0</v>
          </cell>
        </row>
        <row r="817">
          <cell r="M817">
            <v>0</v>
          </cell>
          <cell r="N817">
            <v>0</v>
          </cell>
        </row>
        <row r="818">
          <cell r="M818">
            <v>0</v>
          </cell>
          <cell r="N818">
            <v>0</v>
          </cell>
        </row>
        <row r="819">
          <cell r="M819">
            <v>0</v>
          </cell>
          <cell r="N819">
            <v>0</v>
          </cell>
        </row>
        <row r="820">
          <cell r="M820">
            <v>0</v>
          </cell>
          <cell r="N820">
            <v>0</v>
          </cell>
        </row>
        <row r="821">
          <cell r="M821">
            <v>0</v>
          </cell>
          <cell r="N821">
            <v>0</v>
          </cell>
        </row>
        <row r="822">
          <cell r="M822">
            <v>0</v>
          </cell>
          <cell r="N822">
            <v>0</v>
          </cell>
        </row>
        <row r="823">
          <cell r="M823">
            <v>0</v>
          </cell>
          <cell r="N823">
            <v>0</v>
          </cell>
        </row>
        <row r="824">
          <cell r="M824">
            <v>0</v>
          </cell>
          <cell r="N824">
            <v>0</v>
          </cell>
        </row>
        <row r="825">
          <cell r="M825">
            <v>0</v>
          </cell>
          <cell r="N825">
            <v>0</v>
          </cell>
        </row>
        <row r="826">
          <cell r="M826">
            <v>0</v>
          </cell>
          <cell r="N826">
            <v>0</v>
          </cell>
        </row>
        <row r="827">
          <cell r="M827">
            <v>0</v>
          </cell>
          <cell r="N827">
            <v>0</v>
          </cell>
        </row>
        <row r="828">
          <cell r="M828">
            <v>0</v>
          </cell>
          <cell r="N828">
            <v>0</v>
          </cell>
        </row>
        <row r="829">
          <cell r="M829">
            <v>0</v>
          </cell>
          <cell r="N829">
            <v>0</v>
          </cell>
        </row>
        <row r="830">
          <cell r="M830">
            <v>0</v>
          </cell>
          <cell r="N830">
            <v>0</v>
          </cell>
        </row>
        <row r="831">
          <cell r="M831">
            <v>0</v>
          </cell>
          <cell r="N831">
            <v>0</v>
          </cell>
        </row>
        <row r="832">
          <cell r="M832">
            <v>0</v>
          </cell>
          <cell r="N832">
            <v>0</v>
          </cell>
        </row>
        <row r="833">
          <cell r="M833">
            <v>0</v>
          </cell>
          <cell r="N833">
            <v>0</v>
          </cell>
        </row>
        <row r="834">
          <cell r="M834">
            <v>0</v>
          </cell>
          <cell r="N834">
            <v>0</v>
          </cell>
        </row>
        <row r="835">
          <cell r="M835">
            <v>0</v>
          </cell>
          <cell r="N835">
            <v>0</v>
          </cell>
        </row>
        <row r="836">
          <cell r="M836">
            <v>0</v>
          </cell>
          <cell r="N836">
            <v>0</v>
          </cell>
        </row>
        <row r="837">
          <cell r="M837">
            <v>0</v>
          </cell>
          <cell r="N837">
            <v>0</v>
          </cell>
        </row>
        <row r="838">
          <cell r="M838">
            <v>0</v>
          </cell>
          <cell r="N838">
            <v>0</v>
          </cell>
        </row>
        <row r="839">
          <cell r="M839">
            <v>0</v>
          </cell>
          <cell r="N839">
            <v>0</v>
          </cell>
        </row>
        <row r="840">
          <cell r="M840">
            <v>0</v>
          </cell>
          <cell r="N840">
            <v>0</v>
          </cell>
        </row>
        <row r="841">
          <cell r="M841">
            <v>0</v>
          </cell>
          <cell r="N841">
            <v>0</v>
          </cell>
        </row>
        <row r="842">
          <cell r="M842">
            <v>0</v>
          </cell>
          <cell r="N842">
            <v>0</v>
          </cell>
        </row>
        <row r="843">
          <cell r="M843">
            <v>0</v>
          </cell>
          <cell r="N843">
            <v>0</v>
          </cell>
        </row>
        <row r="844">
          <cell r="M844">
            <v>0</v>
          </cell>
          <cell r="N844">
            <v>0</v>
          </cell>
        </row>
        <row r="845">
          <cell r="M845">
            <v>0</v>
          </cell>
          <cell r="N845">
            <v>0</v>
          </cell>
        </row>
        <row r="846">
          <cell r="M846">
            <v>0</v>
          </cell>
          <cell r="N846">
            <v>0</v>
          </cell>
        </row>
        <row r="847">
          <cell r="M847">
            <v>0</v>
          </cell>
          <cell r="N847">
            <v>0</v>
          </cell>
        </row>
        <row r="848">
          <cell r="M848">
            <v>0</v>
          </cell>
          <cell r="N848">
            <v>0</v>
          </cell>
        </row>
        <row r="849">
          <cell r="M849">
            <v>0</v>
          </cell>
          <cell r="N849">
            <v>0</v>
          </cell>
        </row>
        <row r="850">
          <cell r="M850">
            <v>0</v>
          </cell>
          <cell r="N850">
            <v>0</v>
          </cell>
        </row>
        <row r="851">
          <cell r="M851">
            <v>0</v>
          </cell>
          <cell r="N851">
            <v>0</v>
          </cell>
        </row>
        <row r="852">
          <cell r="M852">
            <v>0</v>
          </cell>
          <cell r="N852">
            <v>0</v>
          </cell>
        </row>
        <row r="853">
          <cell r="M853">
            <v>0</v>
          </cell>
          <cell r="N853">
            <v>0</v>
          </cell>
        </row>
        <row r="854">
          <cell r="M854">
            <v>0</v>
          </cell>
          <cell r="N854">
            <v>0</v>
          </cell>
        </row>
        <row r="855">
          <cell r="M855">
            <v>0</v>
          </cell>
          <cell r="N855">
            <v>0</v>
          </cell>
        </row>
        <row r="856">
          <cell r="M856">
            <v>0</v>
          </cell>
          <cell r="N856">
            <v>0</v>
          </cell>
        </row>
        <row r="857">
          <cell r="M857">
            <v>0</v>
          </cell>
          <cell r="N857">
            <v>0</v>
          </cell>
        </row>
        <row r="858">
          <cell r="M858">
            <v>0</v>
          </cell>
          <cell r="N858">
            <v>0</v>
          </cell>
        </row>
        <row r="859">
          <cell r="M859">
            <v>0</v>
          </cell>
          <cell r="N859">
            <v>0</v>
          </cell>
        </row>
        <row r="860">
          <cell r="M860">
            <v>0</v>
          </cell>
          <cell r="N860">
            <v>0</v>
          </cell>
        </row>
        <row r="861">
          <cell r="M861">
            <v>0</v>
          </cell>
          <cell r="N861">
            <v>0</v>
          </cell>
        </row>
        <row r="862">
          <cell r="M862">
            <v>0</v>
          </cell>
          <cell r="N862">
            <v>0</v>
          </cell>
        </row>
        <row r="863">
          <cell r="M863">
            <v>0</v>
          </cell>
          <cell r="N863">
            <v>0</v>
          </cell>
        </row>
        <row r="864">
          <cell r="M864">
            <v>0</v>
          </cell>
          <cell r="N864">
            <v>0</v>
          </cell>
        </row>
        <row r="865">
          <cell r="M865">
            <v>0</v>
          </cell>
          <cell r="N865">
            <v>0</v>
          </cell>
        </row>
        <row r="866">
          <cell r="M866">
            <v>0</v>
          </cell>
          <cell r="N866">
            <v>0</v>
          </cell>
        </row>
        <row r="867">
          <cell r="M867">
            <v>0</v>
          </cell>
          <cell r="N867">
            <v>0</v>
          </cell>
        </row>
        <row r="868">
          <cell r="M868">
            <v>0</v>
          </cell>
          <cell r="N868">
            <v>0</v>
          </cell>
        </row>
        <row r="869">
          <cell r="M869">
            <v>0</v>
          </cell>
          <cell r="N869">
            <v>0</v>
          </cell>
        </row>
        <row r="870">
          <cell r="M870">
            <v>0</v>
          </cell>
          <cell r="N870">
            <v>0</v>
          </cell>
        </row>
        <row r="871">
          <cell r="M871">
            <v>0</v>
          </cell>
          <cell r="N871">
            <v>0</v>
          </cell>
        </row>
        <row r="872">
          <cell r="M872">
            <v>0</v>
          </cell>
          <cell r="N872">
            <v>0</v>
          </cell>
        </row>
        <row r="873">
          <cell r="M873">
            <v>0</v>
          </cell>
          <cell r="N873">
            <v>0</v>
          </cell>
        </row>
        <row r="874">
          <cell r="M874">
            <v>0</v>
          </cell>
          <cell r="N874">
            <v>0</v>
          </cell>
        </row>
        <row r="875">
          <cell r="M875">
            <v>0</v>
          </cell>
          <cell r="N875">
            <v>0</v>
          </cell>
        </row>
        <row r="876">
          <cell r="M876">
            <v>0</v>
          </cell>
          <cell r="N876">
            <v>0</v>
          </cell>
        </row>
        <row r="877">
          <cell r="M877">
            <v>0</v>
          </cell>
          <cell r="N877">
            <v>0</v>
          </cell>
        </row>
        <row r="878">
          <cell r="M878">
            <v>0</v>
          </cell>
          <cell r="N878">
            <v>0</v>
          </cell>
        </row>
        <row r="879">
          <cell r="M879">
            <v>0</v>
          </cell>
          <cell r="N879">
            <v>0</v>
          </cell>
        </row>
        <row r="880">
          <cell r="M880">
            <v>0</v>
          </cell>
          <cell r="N880">
            <v>0</v>
          </cell>
        </row>
        <row r="881">
          <cell r="M881">
            <v>0</v>
          </cell>
          <cell r="N881">
            <v>0</v>
          </cell>
        </row>
        <row r="882">
          <cell r="M882">
            <v>0</v>
          </cell>
          <cell r="N882">
            <v>0</v>
          </cell>
        </row>
        <row r="883">
          <cell r="M883">
            <v>0</v>
          </cell>
          <cell r="N883">
            <v>0</v>
          </cell>
        </row>
        <row r="884">
          <cell r="M884">
            <v>0</v>
          </cell>
          <cell r="N884">
            <v>0</v>
          </cell>
        </row>
        <row r="885">
          <cell r="M885">
            <v>0</v>
          </cell>
          <cell r="N885">
            <v>0</v>
          </cell>
        </row>
        <row r="886">
          <cell r="M886">
            <v>0</v>
          </cell>
          <cell r="N886">
            <v>0</v>
          </cell>
        </row>
        <row r="887">
          <cell r="M887">
            <v>0</v>
          </cell>
          <cell r="N887">
            <v>0</v>
          </cell>
        </row>
        <row r="888">
          <cell r="M888">
            <v>0</v>
          </cell>
          <cell r="N888">
            <v>0</v>
          </cell>
        </row>
        <row r="889">
          <cell r="M889">
            <v>0</v>
          </cell>
          <cell r="N889">
            <v>0</v>
          </cell>
        </row>
        <row r="890">
          <cell r="M890">
            <v>0</v>
          </cell>
          <cell r="N890">
            <v>0</v>
          </cell>
        </row>
        <row r="891">
          <cell r="M891">
            <v>0</v>
          </cell>
          <cell r="N891">
            <v>0</v>
          </cell>
        </row>
        <row r="892">
          <cell r="M892">
            <v>0</v>
          </cell>
          <cell r="N892">
            <v>0</v>
          </cell>
        </row>
        <row r="893">
          <cell r="M893">
            <v>0</v>
          </cell>
          <cell r="N893">
            <v>0</v>
          </cell>
        </row>
        <row r="894">
          <cell r="M894">
            <v>0</v>
          </cell>
          <cell r="N894">
            <v>0</v>
          </cell>
        </row>
        <row r="895">
          <cell r="M895">
            <v>0</v>
          </cell>
          <cell r="N895">
            <v>0</v>
          </cell>
        </row>
        <row r="896">
          <cell r="M896">
            <v>0</v>
          </cell>
          <cell r="N896">
            <v>0</v>
          </cell>
        </row>
        <row r="897">
          <cell r="M897">
            <v>0</v>
          </cell>
          <cell r="N897">
            <v>0</v>
          </cell>
        </row>
        <row r="898">
          <cell r="M898">
            <v>0</v>
          </cell>
          <cell r="N898">
            <v>0</v>
          </cell>
        </row>
        <row r="899">
          <cell r="M899">
            <v>0</v>
          </cell>
          <cell r="N899">
            <v>0</v>
          </cell>
        </row>
        <row r="900">
          <cell r="M900">
            <v>0</v>
          </cell>
          <cell r="N900">
            <v>0</v>
          </cell>
        </row>
        <row r="901">
          <cell r="M901">
            <v>0</v>
          </cell>
          <cell r="N901">
            <v>0</v>
          </cell>
        </row>
        <row r="902">
          <cell r="M902">
            <v>0</v>
          </cell>
          <cell r="N902">
            <v>0</v>
          </cell>
        </row>
        <row r="903">
          <cell r="M903">
            <v>0</v>
          </cell>
          <cell r="N903">
            <v>0</v>
          </cell>
        </row>
        <row r="904">
          <cell r="M904">
            <v>0</v>
          </cell>
          <cell r="N904">
            <v>0</v>
          </cell>
        </row>
        <row r="905">
          <cell r="M905">
            <v>0</v>
          </cell>
          <cell r="N905">
            <v>0</v>
          </cell>
        </row>
        <row r="906">
          <cell r="M906">
            <v>0</v>
          </cell>
          <cell r="N906">
            <v>0</v>
          </cell>
        </row>
        <row r="907">
          <cell r="M907">
            <v>0</v>
          </cell>
          <cell r="N907">
            <v>0</v>
          </cell>
        </row>
        <row r="908">
          <cell r="M908">
            <v>0</v>
          </cell>
          <cell r="N908">
            <v>0</v>
          </cell>
        </row>
        <row r="909">
          <cell r="M909">
            <v>0</v>
          </cell>
          <cell r="N909">
            <v>0</v>
          </cell>
        </row>
        <row r="910">
          <cell r="M910">
            <v>0</v>
          </cell>
          <cell r="N910">
            <v>0</v>
          </cell>
        </row>
        <row r="911">
          <cell r="M911">
            <v>0</v>
          </cell>
          <cell r="N911">
            <v>0</v>
          </cell>
        </row>
        <row r="912">
          <cell r="M912">
            <v>0</v>
          </cell>
          <cell r="N912">
            <v>0</v>
          </cell>
        </row>
        <row r="913">
          <cell r="M913">
            <v>0</v>
          </cell>
          <cell r="N913">
            <v>0</v>
          </cell>
        </row>
        <row r="914">
          <cell r="M914">
            <v>0</v>
          </cell>
          <cell r="N914">
            <v>0</v>
          </cell>
        </row>
        <row r="915">
          <cell r="M915">
            <v>0</v>
          </cell>
          <cell r="N915">
            <v>0</v>
          </cell>
        </row>
        <row r="916">
          <cell r="M916">
            <v>0</v>
          </cell>
          <cell r="N916">
            <v>0</v>
          </cell>
        </row>
        <row r="917">
          <cell r="M917">
            <v>0</v>
          </cell>
          <cell r="N917">
            <v>0</v>
          </cell>
        </row>
        <row r="918">
          <cell r="M918">
            <v>0</v>
          </cell>
          <cell r="N918">
            <v>0</v>
          </cell>
        </row>
        <row r="919">
          <cell r="M919">
            <v>0</v>
          </cell>
          <cell r="N919">
            <v>0</v>
          </cell>
        </row>
        <row r="920">
          <cell r="M920">
            <v>0</v>
          </cell>
          <cell r="N920">
            <v>0</v>
          </cell>
        </row>
        <row r="921">
          <cell r="M921">
            <v>0</v>
          </cell>
          <cell r="N921">
            <v>0</v>
          </cell>
        </row>
        <row r="922">
          <cell r="M922">
            <v>0</v>
          </cell>
          <cell r="N922">
            <v>0</v>
          </cell>
        </row>
        <row r="923">
          <cell r="M923">
            <v>0</v>
          </cell>
          <cell r="N923">
            <v>0</v>
          </cell>
        </row>
        <row r="924">
          <cell r="M924">
            <v>0</v>
          </cell>
          <cell r="N924">
            <v>0</v>
          </cell>
        </row>
        <row r="925">
          <cell r="M925">
            <v>0</v>
          </cell>
          <cell r="N925">
            <v>0</v>
          </cell>
        </row>
        <row r="926">
          <cell r="M926">
            <v>0</v>
          </cell>
          <cell r="N926">
            <v>0</v>
          </cell>
        </row>
        <row r="927">
          <cell r="M927">
            <v>0</v>
          </cell>
          <cell r="N927">
            <v>0</v>
          </cell>
        </row>
        <row r="928">
          <cell r="M928">
            <v>0</v>
          </cell>
          <cell r="N928">
            <v>0</v>
          </cell>
        </row>
        <row r="929">
          <cell r="M929">
            <v>0</v>
          </cell>
          <cell r="N929">
            <v>0</v>
          </cell>
        </row>
        <row r="930">
          <cell r="M930">
            <v>0</v>
          </cell>
          <cell r="N930">
            <v>0</v>
          </cell>
        </row>
        <row r="931">
          <cell r="M931">
            <v>0</v>
          </cell>
          <cell r="N931">
            <v>0</v>
          </cell>
        </row>
        <row r="932">
          <cell r="M932">
            <v>0</v>
          </cell>
          <cell r="N932">
            <v>0</v>
          </cell>
        </row>
        <row r="933">
          <cell r="M933">
            <v>0</v>
          </cell>
          <cell r="N933">
            <v>0</v>
          </cell>
        </row>
        <row r="934">
          <cell r="M934">
            <v>0</v>
          </cell>
          <cell r="N934">
            <v>0</v>
          </cell>
        </row>
        <row r="935">
          <cell r="M935">
            <v>0</v>
          </cell>
          <cell r="N935">
            <v>0</v>
          </cell>
        </row>
        <row r="936">
          <cell r="M936">
            <v>0</v>
          </cell>
          <cell r="N936">
            <v>0</v>
          </cell>
        </row>
        <row r="937">
          <cell r="M937">
            <v>0</v>
          </cell>
          <cell r="N937">
            <v>0</v>
          </cell>
        </row>
        <row r="938">
          <cell r="M938">
            <v>0</v>
          </cell>
          <cell r="N938">
            <v>0</v>
          </cell>
        </row>
        <row r="939">
          <cell r="M939">
            <v>0</v>
          </cell>
          <cell r="N939">
            <v>0</v>
          </cell>
        </row>
        <row r="940">
          <cell r="M940">
            <v>0</v>
          </cell>
          <cell r="N940">
            <v>0</v>
          </cell>
        </row>
        <row r="941">
          <cell r="M941">
            <v>0</v>
          </cell>
          <cell r="N941">
            <v>0</v>
          </cell>
        </row>
        <row r="942">
          <cell r="M942">
            <v>0</v>
          </cell>
          <cell r="N942">
            <v>0</v>
          </cell>
        </row>
        <row r="943">
          <cell r="M943">
            <v>0</v>
          </cell>
          <cell r="N943">
            <v>0</v>
          </cell>
        </row>
        <row r="944">
          <cell r="M944">
            <v>0</v>
          </cell>
          <cell r="N944">
            <v>0</v>
          </cell>
        </row>
        <row r="945">
          <cell r="M945">
            <v>0</v>
          </cell>
          <cell r="N945">
            <v>0</v>
          </cell>
        </row>
        <row r="946">
          <cell r="M946">
            <v>0</v>
          </cell>
          <cell r="N946">
            <v>0</v>
          </cell>
        </row>
        <row r="947">
          <cell r="M947">
            <v>0</v>
          </cell>
          <cell r="N947">
            <v>0</v>
          </cell>
        </row>
        <row r="948">
          <cell r="M948">
            <v>0</v>
          </cell>
          <cell r="N948">
            <v>0</v>
          </cell>
        </row>
        <row r="949">
          <cell r="M949">
            <v>0</v>
          </cell>
          <cell r="N949">
            <v>0</v>
          </cell>
        </row>
        <row r="950">
          <cell r="M950">
            <v>0</v>
          </cell>
          <cell r="N950">
            <v>0</v>
          </cell>
        </row>
        <row r="951">
          <cell r="M951">
            <v>0</v>
          </cell>
          <cell r="N951">
            <v>0</v>
          </cell>
        </row>
        <row r="952">
          <cell r="M952">
            <v>0</v>
          </cell>
          <cell r="N952">
            <v>0</v>
          </cell>
        </row>
        <row r="953">
          <cell r="M953">
            <v>0</v>
          </cell>
          <cell r="N953">
            <v>0</v>
          </cell>
        </row>
        <row r="954">
          <cell r="M954">
            <v>0</v>
          </cell>
          <cell r="N954">
            <v>0</v>
          </cell>
        </row>
        <row r="955">
          <cell r="M955">
            <v>0</v>
          </cell>
          <cell r="N955">
            <v>0</v>
          </cell>
        </row>
        <row r="956">
          <cell r="M956">
            <v>0</v>
          </cell>
          <cell r="N956">
            <v>0</v>
          </cell>
        </row>
        <row r="957">
          <cell r="M957">
            <v>0</v>
          </cell>
          <cell r="N957">
            <v>0</v>
          </cell>
        </row>
        <row r="958">
          <cell r="M958">
            <v>0</v>
          </cell>
          <cell r="N958">
            <v>0</v>
          </cell>
        </row>
        <row r="959">
          <cell r="M959">
            <v>0</v>
          </cell>
          <cell r="N959">
            <v>0</v>
          </cell>
        </row>
        <row r="960">
          <cell r="M960">
            <v>0</v>
          </cell>
          <cell r="N960">
            <v>0</v>
          </cell>
        </row>
        <row r="961">
          <cell r="M961">
            <v>0</v>
          </cell>
          <cell r="N961">
            <v>0</v>
          </cell>
        </row>
        <row r="962">
          <cell r="M962">
            <v>0</v>
          </cell>
          <cell r="N962">
            <v>0</v>
          </cell>
        </row>
        <row r="963">
          <cell r="M963">
            <v>0</v>
          </cell>
          <cell r="N963">
            <v>0</v>
          </cell>
        </row>
        <row r="964">
          <cell r="M964">
            <v>0</v>
          </cell>
          <cell r="N964">
            <v>0</v>
          </cell>
        </row>
        <row r="965">
          <cell r="M965">
            <v>0</v>
          </cell>
          <cell r="N965">
            <v>0</v>
          </cell>
        </row>
        <row r="966">
          <cell r="M966">
            <v>0</v>
          </cell>
          <cell r="N966">
            <v>0</v>
          </cell>
        </row>
        <row r="967">
          <cell r="M967">
            <v>0</v>
          </cell>
          <cell r="N967">
            <v>0</v>
          </cell>
        </row>
        <row r="968">
          <cell r="M968">
            <v>0</v>
          </cell>
          <cell r="N968">
            <v>0</v>
          </cell>
        </row>
        <row r="969">
          <cell r="M969">
            <v>0</v>
          </cell>
          <cell r="N969">
            <v>0</v>
          </cell>
        </row>
        <row r="970">
          <cell r="M970">
            <v>0</v>
          </cell>
          <cell r="N970">
            <v>0</v>
          </cell>
        </row>
        <row r="971">
          <cell r="M971">
            <v>0</v>
          </cell>
          <cell r="N971">
            <v>0</v>
          </cell>
        </row>
        <row r="972">
          <cell r="M972">
            <v>0</v>
          </cell>
          <cell r="N972">
            <v>0</v>
          </cell>
        </row>
        <row r="973">
          <cell r="M973">
            <v>0</v>
          </cell>
          <cell r="N973">
            <v>0</v>
          </cell>
        </row>
        <row r="974">
          <cell r="M974">
            <v>0</v>
          </cell>
          <cell r="N974">
            <v>0</v>
          </cell>
        </row>
        <row r="975">
          <cell r="M975">
            <v>0</v>
          </cell>
          <cell r="N975">
            <v>0</v>
          </cell>
        </row>
        <row r="976">
          <cell r="M976">
            <v>0</v>
          </cell>
          <cell r="N976">
            <v>0</v>
          </cell>
        </row>
        <row r="977">
          <cell r="M977">
            <v>0</v>
          </cell>
          <cell r="N977">
            <v>0</v>
          </cell>
        </row>
        <row r="978">
          <cell r="M978">
            <v>0</v>
          </cell>
          <cell r="N978">
            <v>0</v>
          </cell>
        </row>
        <row r="979">
          <cell r="M979">
            <v>0</v>
          </cell>
          <cell r="N979">
            <v>0</v>
          </cell>
        </row>
        <row r="980">
          <cell r="M980">
            <v>0</v>
          </cell>
          <cell r="N980">
            <v>0</v>
          </cell>
        </row>
        <row r="981">
          <cell r="M981">
            <v>0</v>
          </cell>
          <cell r="N981">
            <v>0</v>
          </cell>
        </row>
        <row r="982">
          <cell r="M982">
            <v>0</v>
          </cell>
          <cell r="N982">
            <v>0</v>
          </cell>
        </row>
        <row r="983">
          <cell r="M983">
            <v>0</v>
          </cell>
          <cell r="N983">
            <v>0</v>
          </cell>
        </row>
        <row r="984">
          <cell r="M984">
            <v>0</v>
          </cell>
          <cell r="N984">
            <v>0</v>
          </cell>
        </row>
        <row r="985">
          <cell r="M985">
            <v>0</v>
          </cell>
          <cell r="N985">
            <v>0</v>
          </cell>
        </row>
        <row r="986">
          <cell r="M986">
            <v>0</v>
          </cell>
          <cell r="N986">
            <v>0</v>
          </cell>
        </row>
        <row r="987">
          <cell r="M987">
            <v>0</v>
          </cell>
          <cell r="N987">
            <v>0</v>
          </cell>
        </row>
        <row r="988">
          <cell r="M988">
            <v>0</v>
          </cell>
          <cell r="N988">
            <v>0</v>
          </cell>
        </row>
        <row r="989">
          <cell r="M989">
            <v>0</v>
          </cell>
          <cell r="N989">
            <v>0</v>
          </cell>
        </row>
        <row r="990">
          <cell r="M990">
            <v>0</v>
          </cell>
          <cell r="N990">
            <v>0</v>
          </cell>
        </row>
        <row r="991">
          <cell r="M991">
            <v>0</v>
          </cell>
          <cell r="N991">
            <v>0</v>
          </cell>
        </row>
        <row r="992">
          <cell r="M992">
            <v>0</v>
          </cell>
          <cell r="N992">
            <v>0</v>
          </cell>
        </row>
        <row r="993">
          <cell r="M993">
            <v>0</v>
          </cell>
          <cell r="N993">
            <v>0</v>
          </cell>
        </row>
        <row r="994">
          <cell r="M994">
            <v>0</v>
          </cell>
          <cell r="N994">
            <v>0</v>
          </cell>
        </row>
        <row r="995">
          <cell r="M995">
            <v>0</v>
          </cell>
          <cell r="N995">
            <v>0</v>
          </cell>
        </row>
        <row r="996">
          <cell r="M996">
            <v>0</v>
          </cell>
          <cell r="N996">
            <v>0</v>
          </cell>
        </row>
        <row r="997">
          <cell r="M997">
            <v>0</v>
          </cell>
          <cell r="N997">
            <v>0</v>
          </cell>
        </row>
        <row r="998">
          <cell r="M998">
            <v>0</v>
          </cell>
          <cell r="N998">
            <v>0</v>
          </cell>
        </row>
        <row r="999">
          <cell r="M999">
            <v>0</v>
          </cell>
          <cell r="N999">
            <v>0</v>
          </cell>
        </row>
        <row r="1000">
          <cell r="M1000">
            <v>0</v>
          </cell>
          <cell r="N1000">
            <v>0</v>
          </cell>
        </row>
        <row r="1001">
          <cell r="M1001">
            <v>0</v>
          </cell>
          <cell r="N1001">
            <v>0</v>
          </cell>
        </row>
        <row r="1002">
          <cell r="M1002">
            <v>0</v>
          </cell>
          <cell r="N1002">
            <v>0</v>
          </cell>
        </row>
        <row r="1003">
          <cell r="M1003">
            <v>0</v>
          </cell>
          <cell r="N1003">
            <v>0</v>
          </cell>
        </row>
        <row r="1004">
          <cell r="M1004">
            <v>0</v>
          </cell>
          <cell r="N1004">
            <v>0</v>
          </cell>
        </row>
        <row r="1005">
          <cell r="M1005">
            <v>0</v>
          </cell>
          <cell r="N1005">
            <v>0</v>
          </cell>
        </row>
        <row r="1006">
          <cell r="M1006">
            <v>0</v>
          </cell>
          <cell r="N1006">
            <v>0</v>
          </cell>
        </row>
        <row r="1007">
          <cell r="M1007">
            <v>0</v>
          </cell>
          <cell r="N1007">
            <v>0</v>
          </cell>
        </row>
        <row r="1008">
          <cell r="M1008">
            <v>0</v>
          </cell>
          <cell r="N1008">
            <v>0</v>
          </cell>
        </row>
        <row r="1009">
          <cell r="M1009">
            <v>0</v>
          </cell>
          <cell r="N1009">
            <v>0</v>
          </cell>
        </row>
        <row r="1010">
          <cell r="M1010">
            <v>0</v>
          </cell>
          <cell r="N1010">
            <v>0</v>
          </cell>
        </row>
        <row r="1011">
          <cell r="M1011">
            <v>0</v>
          </cell>
          <cell r="N1011">
            <v>0</v>
          </cell>
        </row>
        <row r="1012">
          <cell r="M1012">
            <v>0</v>
          </cell>
          <cell r="N1012">
            <v>0</v>
          </cell>
        </row>
        <row r="1013">
          <cell r="M1013">
            <v>0</v>
          </cell>
          <cell r="N1013">
            <v>0</v>
          </cell>
        </row>
        <row r="1014">
          <cell r="M1014">
            <v>0</v>
          </cell>
          <cell r="N1014">
            <v>0</v>
          </cell>
        </row>
        <row r="1015">
          <cell r="M1015">
            <v>0</v>
          </cell>
          <cell r="N1015">
            <v>0</v>
          </cell>
        </row>
        <row r="1016">
          <cell r="M1016">
            <v>0</v>
          </cell>
          <cell r="N1016">
            <v>0</v>
          </cell>
        </row>
        <row r="1017">
          <cell r="M1017">
            <v>0</v>
          </cell>
          <cell r="N1017">
            <v>0</v>
          </cell>
        </row>
        <row r="1018">
          <cell r="M1018">
            <v>0</v>
          </cell>
          <cell r="N1018">
            <v>0</v>
          </cell>
        </row>
        <row r="1019">
          <cell r="M1019">
            <v>0</v>
          </cell>
          <cell r="N1019">
            <v>0</v>
          </cell>
        </row>
        <row r="1020">
          <cell r="M1020">
            <v>0</v>
          </cell>
          <cell r="N1020">
            <v>0</v>
          </cell>
        </row>
        <row r="1021">
          <cell r="M1021">
            <v>0</v>
          </cell>
          <cell r="N1021">
            <v>0</v>
          </cell>
        </row>
        <row r="1022">
          <cell r="M1022">
            <v>0</v>
          </cell>
          <cell r="N1022">
            <v>0</v>
          </cell>
        </row>
        <row r="1023">
          <cell r="M1023">
            <v>0</v>
          </cell>
          <cell r="N1023">
            <v>0</v>
          </cell>
        </row>
        <row r="1024">
          <cell r="M1024">
            <v>0</v>
          </cell>
          <cell r="N1024">
            <v>0</v>
          </cell>
        </row>
        <row r="1025">
          <cell r="M1025">
            <v>0</v>
          </cell>
          <cell r="N1025">
            <v>0</v>
          </cell>
        </row>
        <row r="1026">
          <cell r="M1026">
            <v>0</v>
          </cell>
          <cell r="N1026">
            <v>0</v>
          </cell>
        </row>
        <row r="1027">
          <cell r="M1027">
            <v>0</v>
          </cell>
          <cell r="N1027">
            <v>0</v>
          </cell>
        </row>
        <row r="1028">
          <cell r="M1028">
            <v>0</v>
          </cell>
          <cell r="N1028">
            <v>0</v>
          </cell>
        </row>
        <row r="1029">
          <cell r="M1029">
            <v>0</v>
          </cell>
          <cell r="N1029">
            <v>0</v>
          </cell>
        </row>
        <row r="1030">
          <cell r="M1030">
            <v>0</v>
          </cell>
          <cell r="N1030">
            <v>0</v>
          </cell>
        </row>
        <row r="1031">
          <cell r="M1031">
            <v>0</v>
          </cell>
          <cell r="N1031">
            <v>0</v>
          </cell>
        </row>
        <row r="1032">
          <cell r="M1032">
            <v>0</v>
          </cell>
          <cell r="N1032">
            <v>0</v>
          </cell>
        </row>
        <row r="1033">
          <cell r="M1033">
            <v>0</v>
          </cell>
          <cell r="N1033">
            <v>0</v>
          </cell>
        </row>
        <row r="1034">
          <cell r="M1034">
            <v>0</v>
          </cell>
          <cell r="N1034">
            <v>0</v>
          </cell>
        </row>
        <row r="1035">
          <cell r="M1035">
            <v>0</v>
          </cell>
          <cell r="N1035">
            <v>0</v>
          </cell>
        </row>
        <row r="1036">
          <cell r="M1036">
            <v>0</v>
          </cell>
          <cell r="N1036">
            <v>0</v>
          </cell>
        </row>
        <row r="1037">
          <cell r="M1037">
            <v>0</v>
          </cell>
          <cell r="N1037">
            <v>0</v>
          </cell>
        </row>
        <row r="1038">
          <cell r="M1038">
            <v>0</v>
          </cell>
          <cell r="N1038">
            <v>0</v>
          </cell>
        </row>
        <row r="1039">
          <cell r="M1039">
            <v>0</v>
          </cell>
          <cell r="N1039">
            <v>0</v>
          </cell>
        </row>
        <row r="1040">
          <cell r="M1040">
            <v>0</v>
          </cell>
          <cell r="N1040">
            <v>0</v>
          </cell>
        </row>
        <row r="1041">
          <cell r="M1041">
            <v>0</v>
          </cell>
          <cell r="N1041">
            <v>0</v>
          </cell>
        </row>
        <row r="1042">
          <cell r="M1042">
            <v>0</v>
          </cell>
          <cell r="N1042">
            <v>0</v>
          </cell>
        </row>
        <row r="1043">
          <cell r="M1043">
            <v>0</v>
          </cell>
          <cell r="N1043">
            <v>0</v>
          </cell>
        </row>
        <row r="1044">
          <cell r="M1044">
            <v>0</v>
          </cell>
          <cell r="N1044">
            <v>0</v>
          </cell>
        </row>
        <row r="1045">
          <cell r="M1045">
            <v>0</v>
          </cell>
          <cell r="N1045">
            <v>0</v>
          </cell>
        </row>
        <row r="1046">
          <cell r="M1046">
            <v>0</v>
          </cell>
          <cell r="N1046">
            <v>0</v>
          </cell>
        </row>
        <row r="1047">
          <cell r="M1047">
            <v>0</v>
          </cell>
          <cell r="N1047">
            <v>0</v>
          </cell>
        </row>
        <row r="1048">
          <cell r="M1048">
            <v>0</v>
          </cell>
          <cell r="N1048">
            <v>0</v>
          </cell>
        </row>
        <row r="1049">
          <cell r="M1049">
            <v>0</v>
          </cell>
          <cell r="N1049">
            <v>0</v>
          </cell>
        </row>
        <row r="1050">
          <cell r="M1050">
            <v>0</v>
          </cell>
          <cell r="N1050">
            <v>0</v>
          </cell>
        </row>
        <row r="1051">
          <cell r="M1051">
            <v>0</v>
          </cell>
          <cell r="N1051">
            <v>0</v>
          </cell>
        </row>
        <row r="1052">
          <cell r="M1052">
            <v>0</v>
          </cell>
          <cell r="N1052">
            <v>0</v>
          </cell>
        </row>
        <row r="1053">
          <cell r="M1053">
            <v>0</v>
          </cell>
          <cell r="N1053">
            <v>0</v>
          </cell>
        </row>
        <row r="1054">
          <cell r="M1054">
            <v>0</v>
          </cell>
          <cell r="N1054">
            <v>0</v>
          </cell>
        </row>
        <row r="1055">
          <cell r="M1055">
            <v>0</v>
          </cell>
          <cell r="N1055">
            <v>0</v>
          </cell>
        </row>
        <row r="1056">
          <cell r="M1056">
            <v>0</v>
          </cell>
          <cell r="N1056">
            <v>0</v>
          </cell>
        </row>
        <row r="1057">
          <cell r="M1057">
            <v>0</v>
          </cell>
          <cell r="N1057">
            <v>0</v>
          </cell>
        </row>
        <row r="1058">
          <cell r="M1058">
            <v>0</v>
          </cell>
          <cell r="N1058">
            <v>0</v>
          </cell>
        </row>
        <row r="1059">
          <cell r="M1059">
            <v>0</v>
          </cell>
          <cell r="N1059">
            <v>0</v>
          </cell>
        </row>
        <row r="1060">
          <cell r="M1060">
            <v>0</v>
          </cell>
          <cell r="N1060">
            <v>0</v>
          </cell>
        </row>
        <row r="1061">
          <cell r="M1061">
            <v>0</v>
          </cell>
          <cell r="N1061">
            <v>0</v>
          </cell>
        </row>
        <row r="1062">
          <cell r="M1062">
            <v>0</v>
          </cell>
          <cell r="N1062">
            <v>0</v>
          </cell>
        </row>
        <row r="1063">
          <cell r="M1063">
            <v>0</v>
          </cell>
          <cell r="N1063">
            <v>0</v>
          </cell>
        </row>
        <row r="1064">
          <cell r="M1064">
            <v>0</v>
          </cell>
          <cell r="N1064">
            <v>0</v>
          </cell>
        </row>
        <row r="1065">
          <cell r="M1065">
            <v>0</v>
          </cell>
          <cell r="N1065">
            <v>0</v>
          </cell>
        </row>
        <row r="1066">
          <cell r="M1066">
            <v>0</v>
          </cell>
          <cell r="N1066">
            <v>0</v>
          </cell>
        </row>
        <row r="1067">
          <cell r="M1067">
            <v>0</v>
          </cell>
          <cell r="N1067">
            <v>0</v>
          </cell>
        </row>
        <row r="1068">
          <cell r="M1068">
            <v>0</v>
          </cell>
          <cell r="N1068">
            <v>0</v>
          </cell>
        </row>
        <row r="1069">
          <cell r="M1069">
            <v>0</v>
          </cell>
          <cell r="N1069">
            <v>0</v>
          </cell>
        </row>
        <row r="1070">
          <cell r="M1070">
            <v>0</v>
          </cell>
          <cell r="N1070">
            <v>0</v>
          </cell>
        </row>
        <row r="1071">
          <cell r="M1071">
            <v>0</v>
          </cell>
          <cell r="N1071">
            <v>0</v>
          </cell>
        </row>
        <row r="1072">
          <cell r="M1072">
            <v>0</v>
          </cell>
          <cell r="N1072">
            <v>0</v>
          </cell>
        </row>
        <row r="1073">
          <cell r="M1073">
            <v>0</v>
          </cell>
          <cell r="N1073">
            <v>0</v>
          </cell>
        </row>
        <row r="1074">
          <cell r="M1074">
            <v>0</v>
          </cell>
          <cell r="N1074">
            <v>0</v>
          </cell>
        </row>
        <row r="1075">
          <cell r="M1075">
            <v>0</v>
          </cell>
          <cell r="N1075">
            <v>0</v>
          </cell>
        </row>
        <row r="1076">
          <cell r="M1076">
            <v>0</v>
          </cell>
          <cell r="N1076">
            <v>0</v>
          </cell>
        </row>
        <row r="1077">
          <cell r="M1077">
            <v>0</v>
          </cell>
        </row>
        <row r="1078">
          <cell r="N1078">
            <v>0</v>
          </cell>
        </row>
        <row r="1079">
          <cell r="N1079">
            <v>0</v>
          </cell>
        </row>
        <row r="1080">
          <cell r="N1080">
            <v>0</v>
          </cell>
        </row>
        <row r="1081">
          <cell r="N1081">
            <v>0</v>
          </cell>
        </row>
        <row r="1082">
          <cell r="N1082">
            <v>0</v>
          </cell>
        </row>
        <row r="1083">
          <cell r="N1083">
            <v>0</v>
          </cell>
        </row>
        <row r="1084">
          <cell r="N1084">
            <v>0</v>
          </cell>
        </row>
        <row r="1085">
          <cell r="N1085">
            <v>0</v>
          </cell>
        </row>
        <row r="1086">
          <cell r="N1086">
            <v>0</v>
          </cell>
        </row>
        <row r="1087">
          <cell r="N1087">
            <v>0</v>
          </cell>
        </row>
        <row r="1088">
          <cell r="N1088">
            <v>0</v>
          </cell>
        </row>
        <row r="1089">
          <cell r="N1089">
            <v>0</v>
          </cell>
        </row>
        <row r="1090">
          <cell r="N1090">
            <v>0</v>
          </cell>
        </row>
        <row r="1091">
          <cell r="N1091">
            <v>0</v>
          </cell>
        </row>
        <row r="1092">
          <cell r="N1092">
            <v>0</v>
          </cell>
        </row>
        <row r="1093">
          <cell r="N1093">
            <v>0</v>
          </cell>
        </row>
        <row r="1094">
          <cell r="N1094">
            <v>0</v>
          </cell>
        </row>
        <row r="1095">
          <cell r="N1095">
            <v>0</v>
          </cell>
        </row>
        <row r="1096">
          <cell r="N1096">
            <v>0</v>
          </cell>
        </row>
        <row r="1097">
          <cell r="N1097">
            <v>0</v>
          </cell>
        </row>
        <row r="1098">
          <cell r="N1098">
            <v>0</v>
          </cell>
        </row>
        <row r="1099">
          <cell r="N1099">
            <v>0</v>
          </cell>
        </row>
        <row r="1100">
          <cell r="N1100">
            <v>0</v>
          </cell>
        </row>
        <row r="1101">
          <cell r="N1101">
            <v>0</v>
          </cell>
        </row>
        <row r="1102">
          <cell r="N1102">
            <v>0</v>
          </cell>
        </row>
        <row r="1103">
          <cell r="N1103">
            <v>0</v>
          </cell>
        </row>
        <row r="1104">
          <cell r="N1104">
            <v>0</v>
          </cell>
        </row>
        <row r="1105">
          <cell r="N1105">
            <v>0</v>
          </cell>
        </row>
        <row r="1106">
          <cell r="N1106">
            <v>0</v>
          </cell>
        </row>
        <row r="1107">
          <cell r="N1107">
            <v>0</v>
          </cell>
        </row>
        <row r="1108">
          <cell r="N1108">
            <v>0</v>
          </cell>
        </row>
        <row r="1109">
          <cell r="N1109">
            <v>0</v>
          </cell>
        </row>
        <row r="1110">
          <cell r="M1110">
            <v>0</v>
          </cell>
          <cell r="N1110">
            <v>0</v>
          </cell>
        </row>
        <row r="1111">
          <cell r="M1111">
            <v>0</v>
          </cell>
          <cell r="N1111">
            <v>0</v>
          </cell>
        </row>
        <row r="1112">
          <cell r="M1112">
            <v>0</v>
          </cell>
          <cell r="N1112">
            <v>0</v>
          </cell>
        </row>
        <row r="1113">
          <cell r="M1113">
            <v>0</v>
          </cell>
          <cell r="N1113">
            <v>0</v>
          </cell>
        </row>
        <row r="1114">
          <cell r="M1114">
            <v>0</v>
          </cell>
          <cell r="N1114">
            <v>0</v>
          </cell>
        </row>
        <row r="1115">
          <cell r="M1115">
            <v>0</v>
          </cell>
          <cell r="N1115">
            <v>0</v>
          </cell>
        </row>
        <row r="1116">
          <cell r="M1116">
            <v>0</v>
          </cell>
          <cell r="N1116">
            <v>0</v>
          </cell>
        </row>
        <row r="1117">
          <cell r="M1117">
            <v>0</v>
          </cell>
          <cell r="N1117">
            <v>0</v>
          </cell>
        </row>
        <row r="1118">
          <cell r="M1118">
            <v>0</v>
          </cell>
          <cell r="N1118">
            <v>0</v>
          </cell>
        </row>
        <row r="1119">
          <cell r="M1119">
            <v>0</v>
          </cell>
          <cell r="N1119">
            <v>0</v>
          </cell>
        </row>
        <row r="1120">
          <cell r="M1120">
            <v>0</v>
          </cell>
          <cell r="N1120">
            <v>0</v>
          </cell>
        </row>
        <row r="1121">
          <cell r="M1121">
            <v>0</v>
          </cell>
          <cell r="N1121">
            <v>0</v>
          </cell>
        </row>
        <row r="1122">
          <cell r="M1122">
            <v>0</v>
          </cell>
          <cell r="N1122">
            <v>0</v>
          </cell>
        </row>
        <row r="1123">
          <cell r="M1123">
            <v>0</v>
          </cell>
          <cell r="N1123">
            <v>0</v>
          </cell>
        </row>
        <row r="1124">
          <cell r="M1124">
            <v>0</v>
          </cell>
          <cell r="N1124">
            <v>0</v>
          </cell>
        </row>
        <row r="1125">
          <cell r="M1125">
            <v>0</v>
          </cell>
          <cell r="N1125">
            <v>0</v>
          </cell>
        </row>
        <row r="1126">
          <cell r="M1126">
            <v>0</v>
          </cell>
          <cell r="N1126">
            <v>0</v>
          </cell>
        </row>
        <row r="1127">
          <cell r="M1127">
            <v>0</v>
          </cell>
          <cell r="N1127">
            <v>0</v>
          </cell>
        </row>
        <row r="1128">
          <cell r="M1128">
            <v>0</v>
          </cell>
          <cell r="N1128">
            <v>0</v>
          </cell>
        </row>
        <row r="1129">
          <cell r="M1129">
            <v>0</v>
          </cell>
          <cell r="N1129">
            <v>0</v>
          </cell>
        </row>
        <row r="1130">
          <cell r="M1130">
            <v>0</v>
          </cell>
          <cell r="N1130">
            <v>0</v>
          </cell>
        </row>
        <row r="1131">
          <cell r="M1131">
            <v>0</v>
          </cell>
          <cell r="N1131">
            <v>0</v>
          </cell>
        </row>
        <row r="1132">
          <cell r="M1132">
            <v>0</v>
          </cell>
          <cell r="N1132">
            <v>0</v>
          </cell>
        </row>
        <row r="1133">
          <cell r="M1133">
            <v>0</v>
          </cell>
          <cell r="N1133">
            <v>0</v>
          </cell>
        </row>
        <row r="1134">
          <cell r="M1134">
            <v>0</v>
          </cell>
          <cell r="N1134">
            <v>0</v>
          </cell>
        </row>
        <row r="1135">
          <cell r="M1135">
            <v>0</v>
          </cell>
          <cell r="N1135">
            <v>0</v>
          </cell>
        </row>
        <row r="1136">
          <cell r="M1136">
            <v>0</v>
          </cell>
          <cell r="N1136">
            <v>0</v>
          </cell>
        </row>
        <row r="1137">
          <cell r="M1137">
            <v>0</v>
          </cell>
          <cell r="N1137">
            <v>0</v>
          </cell>
        </row>
        <row r="1138">
          <cell r="M1138">
            <v>0</v>
          </cell>
          <cell r="N1138">
            <v>0</v>
          </cell>
        </row>
        <row r="1139">
          <cell r="M1139">
            <v>0</v>
          </cell>
          <cell r="N1139">
            <v>0</v>
          </cell>
        </row>
        <row r="1140">
          <cell r="M1140">
            <v>0</v>
          </cell>
          <cell r="N1140">
            <v>0</v>
          </cell>
        </row>
        <row r="1141">
          <cell r="M1141">
            <v>0</v>
          </cell>
          <cell r="N1141">
            <v>0</v>
          </cell>
        </row>
        <row r="1142">
          <cell r="M1142">
            <v>0</v>
          </cell>
          <cell r="N1142">
            <v>0</v>
          </cell>
        </row>
        <row r="1143">
          <cell r="M1143">
            <v>0</v>
          </cell>
          <cell r="N1143">
            <v>0</v>
          </cell>
        </row>
        <row r="1144">
          <cell r="M1144">
            <v>0</v>
          </cell>
          <cell r="N1144">
            <v>0</v>
          </cell>
        </row>
        <row r="1145">
          <cell r="M1145">
            <v>0</v>
          </cell>
          <cell r="N1145">
            <v>0</v>
          </cell>
        </row>
        <row r="1146">
          <cell r="M1146">
            <v>0</v>
          </cell>
          <cell r="N1146">
            <v>0</v>
          </cell>
        </row>
        <row r="1147">
          <cell r="M1147">
            <v>0</v>
          </cell>
          <cell r="N1147">
            <v>0</v>
          </cell>
        </row>
        <row r="1148">
          <cell r="M1148">
            <v>0</v>
          </cell>
          <cell r="N1148">
            <v>0</v>
          </cell>
        </row>
        <row r="1149">
          <cell r="M1149">
            <v>0</v>
          </cell>
          <cell r="N1149">
            <v>0</v>
          </cell>
        </row>
        <row r="1150">
          <cell r="M1150">
            <v>0</v>
          </cell>
          <cell r="N1150">
            <v>0</v>
          </cell>
        </row>
        <row r="1151">
          <cell r="M1151">
            <v>0</v>
          </cell>
          <cell r="N1151">
            <v>0</v>
          </cell>
        </row>
        <row r="1152">
          <cell r="M1152">
            <v>0</v>
          </cell>
          <cell r="N1152">
            <v>0</v>
          </cell>
        </row>
        <row r="1153">
          <cell r="M1153">
            <v>0</v>
          </cell>
          <cell r="N1153">
            <v>0</v>
          </cell>
        </row>
        <row r="1154">
          <cell r="M1154">
            <v>0</v>
          </cell>
          <cell r="N1154">
            <v>0</v>
          </cell>
        </row>
        <row r="1155">
          <cell r="M1155">
            <v>0</v>
          </cell>
          <cell r="N1155">
            <v>0</v>
          </cell>
        </row>
        <row r="1156">
          <cell r="M1156">
            <v>0</v>
          </cell>
          <cell r="N1156">
            <v>0</v>
          </cell>
        </row>
        <row r="1157">
          <cell r="M1157">
            <v>0</v>
          </cell>
          <cell r="N1157">
            <v>0</v>
          </cell>
        </row>
        <row r="1158">
          <cell r="M1158">
            <v>0</v>
          </cell>
          <cell r="N1158">
            <v>0</v>
          </cell>
        </row>
        <row r="1159">
          <cell r="M1159">
            <v>0</v>
          </cell>
          <cell r="N1159">
            <v>0</v>
          </cell>
        </row>
        <row r="1160">
          <cell r="M1160">
            <v>0</v>
          </cell>
          <cell r="N1160">
            <v>0</v>
          </cell>
        </row>
        <row r="1161">
          <cell r="M1161">
            <v>0</v>
          </cell>
          <cell r="N1161">
            <v>0</v>
          </cell>
        </row>
        <row r="1162">
          <cell r="M1162">
            <v>0</v>
          </cell>
          <cell r="N1162">
            <v>0</v>
          </cell>
        </row>
        <row r="1163">
          <cell r="M1163">
            <v>0</v>
          </cell>
          <cell r="N1163">
            <v>0</v>
          </cell>
        </row>
        <row r="1164">
          <cell r="M1164">
            <v>0</v>
          </cell>
          <cell r="N1164">
            <v>0</v>
          </cell>
        </row>
        <row r="1165">
          <cell r="M1165">
            <v>0</v>
          </cell>
          <cell r="N1165">
            <v>0</v>
          </cell>
        </row>
        <row r="1166">
          <cell r="M1166">
            <v>0</v>
          </cell>
          <cell r="N1166">
            <v>0</v>
          </cell>
        </row>
        <row r="1167">
          <cell r="M1167">
            <v>0</v>
          </cell>
          <cell r="N1167">
            <v>0</v>
          </cell>
        </row>
        <row r="1168">
          <cell r="M1168">
            <v>0</v>
          </cell>
          <cell r="N1168">
            <v>0</v>
          </cell>
        </row>
        <row r="1169">
          <cell r="M1169">
            <v>0</v>
          </cell>
          <cell r="N1169">
            <v>0</v>
          </cell>
        </row>
        <row r="1170">
          <cell r="M1170">
            <v>0</v>
          </cell>
          <cell r="N1170">
            <v>0</v>
          </cell>
        </row>
        <row r="1171">
          <cell r="M1171">
            <v>0</v>
          </cell>
          <cell r="N1171">
            <v>0</v>
          </cell>
        </row>
        <row r="1172">
          <cell r="M1172">
            <v>0</v>
          </cell>
          <cell r="N1172">
            <v>0</v>
          </cell>
        </row>
        <row r="1173">
          <cell r="M1173">
            <v>0</v>
          </cell>
          <cell r="N1173">
            <v>0</v>
          </cell>
        </row>
        <row r="1174">
          <cell r="M1174">
            <v>0</v>
          </cell>
          <cell r="N1174">
            <v>0</v>
          </cell>
        </row>
        <row r="1175">
          <cell r="M1175">
            <v>0</v>
          </cell>
          <cell r="N1175">
            <v>0</v>
          </cell>
        </row>
        <row r="1176">
          <cell r="M1176">
            <v>0</v>
          </cell>
          <cell r="N1176">
            <v>0</v>
          </cell>
        </row>
        <row r="1177">
          <cell r="M1177">
            <v>0</v>
          </cell>
          <cell r="N1177">
            <v>0</v>
          </cell>
        </row>
        <row r="1178">
          <cell r="M1178">
            <v>0</v>
          </cell>
          <cell r="N1178">
            <v>0</v>
          </cell>
        </row>
        <row r="1179">
          <cell r="M1179">
            <v>0</v>
          </cell>
          <cell r="N1179">
            <v>0</v>
          </cell>
        </row>
        <row r="1180">
          <cell r="M1180">
            <v>0</v>
          </cell>
          <cell r="N1180">
            <v>0</v>
          </cell>
        </row>
        <row r="1181">
          <cell r="M1181">
            <v>0</v>
          </cell>
          <cell r="N1181">
            <v>0</v>
          </cell>
        </row>
        <row r="1182">
          <cell r="M1182">
            <v>0</v>
          </cell>
          <cell r="N1182">
            <v>0</v>
          </cell>
        </row>
        <row r="1183">
          <cell r="M1183">
            <v>0</v>
          </cell>
          <cell r="N1183">
            <v>0</v>
          </cell>
        </row>
        <row r="1184">
          <cell r="M1184">
            <v>0</v>
          </cell>
          <cell r="N1184">
            <v>0</v>
          </cell>
        </row>
        <row r="1185">
          <cell r="M1185">
            <v>0</v>
          </cell>
          <cell r="N1185">
            <v>0</v>
          </cell>
        </row>
        <row r="1186">
          <cell r="M1186">
            <v>0</v>
          </cell>
          <cell r="N1186">
            <v>0</v>
          </cell>
        </row>
        <row r="1187">
          <cell r="M1187">
            <v>0</v>
          </cell>
          <cell r="N1187">
            <v>0</v>
          </cell>
        </row>
        <row r="1188">
          <cell r="M1188">
            <v>0</v>
          </cell>
          <cell r="N1188">
            <v>0</v>
          </cell>
        </row>
        <row r="1189">
          <cell r="M1189">
            <v>0</v>
          </cell>
          <cell r="N1189">
            <v>0</v>
          </cell>
        </row>
        <row r="1190">
          <cell r="M1190">
            <v>0</v>
          </cell>
          <cell r="N1190">
            <v>0</v>
          </cell>
        </row>
        <row r="1191">
          <cell r="M1191">
            <v>0</v>
          </cell>
          <cell r="N1191">
            <v>0</v>
          </cell>
        </row>
        <row r="1192">
          <cell r="M1192">
            <v>0</v>
          </cell>
          <cell r="N1192">
            <v>0</v>
          </cell>
        </row>
        <row r="1193">
          <cell r="M1193">
            <v>0</v>
          </cell>
          <cell r="N1193">
            <v>0</v>
          </cell>
        </row>
        <row r="1194">
          <cell r="M1194">
            <v>0</v>
          </cell>
          <cell r="N1194">
            <v>0</v>
          </cell>
        </row>
        <row r="1195">
          <cell r="M1195">
            <v>0</v>
          </cell>
          <cell r="N1195">
            <v>0</v>
          </cell>
        </row>
        <row r="1196">
          <cell r="M1196">
            <v>0</v>
          </cell>
          <cell r="N1196">
            <v>0</v>
          </cell>
        </row>
        <row r="1197">
          <cell r="M1197">
            <v>0</v>
          </cell>
          <cell r="N1197">
            <v>0</v>
          </cell>
        </row>
        <row r="1198">
          <cell r="M1198">
            <v>0</v>
          </cell>
          <cell r="N1198">
            <v>0</v>
          </cell>
        </row>
        <row r="1199">
          <cell r="M1199">
            <v>0</v>
          </cell>
          <cell r="N1199">
            <v>0</v>
          </cell>
        </row>
        <row r="1200">
          <cell r="M1200">
            <v>0</v>
          </cell>
          <cell r="N1200">
            <v>0</v>
          </cell>
        </row>
        <row r="1201">
          <cell r="M1201">
            <v>0</v>
          </cell>
          <cell r="N1201">
            <v>0</v>
          </cell>
        </row>
        <row r="1202">
          <cell r="M1202">
            <v>0</v>
          </cell>
          <cell r="N1202">
            <v>0</v>
          </cell>
        </row>
        <row r="1203">
          <cell r="M1203">
            <v>0</v>
          </cell>
          <cell r="N1203">
            <v>0</v>
          </cell>
        </row>
        <row r="1204">
          <cell r="M1204">
            <v>0</v>
          </cell>
          <cell r="N1204">
            <v>0</v>
          </cell>
        </row>
        <row r="1205">
          <cell r="M1205">
            <v>0</v>
          </cell>
          <cell r="N1205">
            <v>0</v>
          </cell>
        </row>
        <row r="1206">
          <cell r="M1206">
            <v>0</v>
          </cell>
          <cell r="N1206">
            <v>0</v>
          </cell>
        </row>
        <row r="1207">
          <cell r="M1207">
            <v>0</v>
          </cell>
          <cell r="N1207">
            <v>0</v>
          </cell>
        </row>
        <row r="1208">
          <cell r="M1208">
            <v>0</v>
          </cell>
          <cell r="N1208">
            <v>0</v>
          </cell>
        </row>
        <row r="1209">
          <cell r="M1209">
            <v>0</v>
          </cell>
          <cell r="N1209">
            <v>0</v>
          </cell>
        </row>
        <row r="1210">
          <cell r="M1210">
            <v>0</v>
          </cell>
          <cell r="N1210">
            <v>0</v>
          </cell>
        </row>
        <row r="1211">
          <cell r="M1211">
            <v>0</v>
          </cell>
          <cell r="N1211">
            <v>0</v>
          </cell>
        </row>
        <row r="1212">
          <cell r="M1212">
            <v>0</v>
          </cell>
          <cell r="N1212">
            <v>0</v>
          </cell>
        </row>
        <row r="1213">
          <cell r="M1213">
            <v>0</v>
          </cell>
          <cell r="N1213">
            <v>0</v>
          </cell>
        </row>
        <row r="1214">
          <cell r="M1214">
            <v>0</v>
          </cell>
          <cell r="N1214">
            <v>0</v>
          </cell>
        </row>
        <row r="1215">
          <cell r="M1215">
            <v>0</v>
          </cell>
          <cell r="N1215">
            <v>0</v>
          </cell>
        </row>
        <row r="1216">
          <cell r="M1216">
            <v>0</v>
          </cell>
          <cell r="N1216">
            <v>0</v>
          </cell>
        </row>
        <row r="1217">
          <cell r="M1217">
            <v>0</v>
          </cell>
          <cell r="N1217">
            <v>0</v>
          </cell>
        </row>
        <row r="1218">
          <cell r="M1218">
            <v>0</v>
          </cell>
          <cell r="N1218">
            <v>0</v>
          </cell>
        </row>
        <row r="1219">
          <cell r="M1219">
            <v>0</v>
          </cell>
          <cell r="N1219">
            <v>0</v>
          </cell>
        </row>
        <row r="1220">
          <cell r="M1220">
            <v>0</v>
          </cell>
          <cell r="N1220">
            <v>0</v>
          </cell>
        </row>
        <row r="1221">
          <cell r="M1221">
            <v>0</v>
          </cell>
          <cell r="N1221">
            <v>0</v>
          </cell>
        </row>
        <row r="1222">
          <cell r="M1222">
            <v>0</v>
          </cell>
          <cell r="N1222">
            <v>0</v>
          </cell>
        </row>
        <row r="1223">
          <cell r="M1223">
            <v>0</v>
          </cell>
          <cell r="N1223">
            <v>0</v>
          </cell>
        </row>
        <row r="1224">
          <cell r="M1224">
            <v>0</v>
          </cell>
          <cell r="N1224">
            <v>0</v>
          </cell>
        </row>
        <row r="1225">
          <cell r="M1225">
            <v>0</v>
          </cell>
          <cell r="N1225">
            <v>0</v>
          </cell>
        </row>
        <row r="1226">
          <cell r="M1226">
            <v>0</v>
          </cell>
          <cell r="N1226">
            <v>0</v>
          </cell>
        </row>
        <row r="1227">
          <cell r="M1227">
            <v>0</v>
          </cell>
          <cell r="N1227">
            <v>0</v>
          </cell>
        </row>
        <row r="1228">
          <cell r="M1228">
            <v>0</v>
          </cell>
          <cell r="N1228">
            <v>0</v>
          </cell>
        </row>
        <row r="1229">
          <cell r="M1229">
            <v>0</v>
          </cell>
          <cell r="N1229">
            <v>0</v>
          </cell>
        </row>
        <row r="1230">
          <cell r="M1230">
            <v>0</v>
          </cell>
          <cell r="N1230">
            <v>0</v>
          </cell>
        </row>
        <row r="1231">
          <cell r="M1231">
            <v>0</v>
          </cell>
          <cell r="N1231">
            <v>0</v>
          </cell>
        </row>
        <row r="1232">
          <cell r="M1232">
            <v>0</v>
          </cell>
          <cell r="N1232">
            <v>0</v>
          </cell>
        </row>
        <row r="1233">
          <cell r="M1233">
            <v>0</v>
          </cell>
          <cell r="N1233">
            <v>0</v>
          </cell>
        </row>
        <row r="1234">
          <cell r="M1234">
            <v>0</v>
          </cell>
          <cell r="N1234">
            <v>0</v>
          </cell>
        </row>
        <row r="1235">
          <cell r="M1235">
            <v>0</v>
          </cell>
          <cell r="N1235">
            <v>0</v>
          </cell>
        </row>
        <row r="1236">
          <cell r="M1236">
            <v>0</v>
          </cell>
          <cell r="N1236">
            <v>0</v>
          </cell>
        </row>
        <row r="1237">
          <cell r="M1237">
            <v>0</v>
          </cell>
          <cell r="N1237">
            <v>0</v>
          </cell>
        </row>
        <row r="1238">
          <cell r="M1238">
            <v>0</v>
          </cell>
          <cell r="N1238">
            <v>0</v>
          </cell>
        </row>
        <row r="1239">
          <cell r="M1239">
            <v>0</v>
          </cell>
          <cell r="N1239">
            <v>0</v>
          </cell>
        </row>
        <row r="1240">
          <cell r="M1240">
            <v>0</v>
          </cell>
          <cell r="N1240">
            <v>0</v>
          </cell>
        </row>
        <row r="1241">
          <cell r="M1241">
            <v>0</v>
          </cell>
          <cell r="N1241">
            <v>0</v>
          </cell>
        </row>
        <row r="1242">
          <cell r="M1242">
            <v>0</v>
          </cell>
          <cell r="N1242">
            <v>0</v>
          </cell>
        </row>
        <row r="1243">
          <cell r="M1243">
            <v>0</v>
          </cell>
          <cell r="N1243">
            <v>0</v>
          </cell>
        </row>
        <row r="1244">
          <cell r="M1244">
            <v>0</v>
          </cell>
          <cell r="N1244">
            <v>0</v>
          </cell>
        </row>
        <row r="1245">
          <cell r="M1245">
            <v>0</v>
          </cell>
          <cell r="N1245">
            <v>0</v>
          </cell>
        </row>
        <row r="1246">
          <cell r="M1246">
            <v>0</v>
          </cell>
          <cell r="N1246">
            <v>0</v>
          </cell>
        </row>
        <row r="1247">
          <cell r="M1247">
            <v>0</v>
          </cell>
          <cell r="N1247">
            <v>0</v>
          </cell>
        </row>
        <row r="1248">
          <cell r="M1248">
            <v>0</v>
          </cell>
          <cell r="N1248">
            <v>0</v>
          </cell>
        </row>
        <row r="1249">
          <cell r="M1249">
            <v>0</v>
          </cell>
          <cell r="N1249">
            <v>0</v>
          </cell>
        </row>
        <row r="1250">
          <cell r="M1250">
            <v>0</v>
          </cell>
          <cell r="N1250">
            <v>0</v>
          </cell>
        </row>
        <row r="1251">
          <cell r="M1251">
            <v>0</v>
          </cell>
          <cell r="N1251">
            <v>0</v>
          </cell>
        </row>
        <row r="1252">
          <cell r="M1252">
            <v>0</v>
          </cell>
          <cell r="N1252">
            <v>0</v>
          </cell>
        </row>
        <row r="1253">
          <cell r="M1253">
            <v>0</v>
          </cell>
          <cell r="N1253">
            <v>0</v>
          </cell>
        </row>
        <row r="1254">
          <cell r="M1254">
            <v>0</v>
          </cell>
          <cell r="N1254">
            <v>0</v>
          </cell>
        </row>
        <row r="1255">
          <cell r="M1255">
            <v>0</v>
          </cell>
          <cell r="N1255">
            <v>0</v>
          </cell>
        </row>
        <row r="1256">
          <cell r="M1256">
            <v>0</v>
          </cell>
          <cell r="N1256">
            <v>0</v>
          </cell>
        </row>
        <row r="1257">
          <cell r="M1257">
            <v>0</v>
          </cell>
          <cell r="N1257">
            <v>0</v>
          </cell>
        </row>
        <row r="1258">
          <cell r="M1258">
            <v>0</v>
          </cell>
          <cell r="N1258">
            <v>0</v>
          </cell>
        </row>
        <row r="1259">
          <cell r="M1259">
            <v>0</v>
          </cell>
          <cell r="N1259">
            <v>0</v>
          </cell>
        </row>
        <row r="1260">
          <cell r="M1260">
            <v>0</v>
          </cell>
          <cell r="N1260">
            <v>0</v>
          </cell>
        </row>
        <row r="1261">
          <cell r="M1261">
            <v>0</v>
          </cell>
          <cell r="N1261">
            <v>0</v>
          </cell>
        </row>
        <row r="1262">
          <cell r="M1262">
            <v>0</v>
          </cell>
          <cell r="N1262">
            <v>0</v>
          </cell>
        </row>
        <row r="1263">
          <cell r="M1263">
            <v>0</v>
          </cell>
          <cell r="N1263">
            <v>0</v>
          </cell>
        </row>
        <row r="1264">
          <cell r="M1264">
            <v>0</v>
          </cell>
          <cell r="N1264">
            <v>0</v>
          </cell>
        </row>
        <row r="1265">
          <cell r="M1265">
            <v>0</v>
          </cell>
          <cell r="N1265">
            <v>0</v>
          </cell>
        </row>
        <row r="1266">
          <cell r="M1266">
            <v>0</v>
          </cell>
          <cell r="N1266">
            <v>0</v>
          </cell>
        </row>
        <row r="1267">
          <cell r="M1267">
            <v>0</v>
          </cell>
          <cell r="N1267">
            <v>0</v>
          </cell>
        </row>
        <row r="1268">
          <cell r="M1268">
            <v>0</v>
          </cell>
          <cell r="N1268">
            <v>0</v>
          </cell>
        </row>
        <row r="1269">
          <cell r="M1269">
            <v>0</v>
          </cell>
          <cell r="N1269">
            <v>0</v>
          </cell>
        </row>
        <row r="1270">
          <cell r="M1270">
            <v>0</v>
          </cell>
          <cell r="N1270">
            <v>0</v>
          </cell>
        </row>
        <row r="1271">
          <cell r="M1271">
            <v>0</v>
          </cell>
          <cell r="N1271">
            <v>0</v>
          </cell>
        </row>
        <row r="1272">
          <cell r="M1272">
            <v>0</v>
          </cell>
          <cell r="N1272">
            <v>0</v>
          </cell>
        </row>
        <row r="1273">
          <cell r="M1273">
            <v>0</v>
          </cell>
          <cell r="N1273">
            <v>0</v>
          </cell>
        </row>
        <row r="1274">
          <cell r="M1274">
            <v>0</v>
          </cell>
          <cell r="N1274">
            <v>0</v>
          </cell>
        </row>
        <row r="1275">
          <cell r="M1275">
            <v>0</v>
          </cell>
          <cell r="N1275">
            <v>0</v>
          </cell>
        </row>
        <row r="1276">
          <cell r="M1276">
            <v>0</v>
          </cell>
          <cell r="N1276">
            <v>0</v>
          </cell>
        </row>
        <row r="1277">
          <cell r="M1277">
            <v>0</v>
          </cell>
          <cell r="N1277">
            <v>0</v>
          </cell>
        </row>
        <row r="1278">
          <cell r="M1278">
            <v>0</v>
          </cell>
          <cell r="N1278">
            <v>0</v>
          </cell>
        </row>
        <row r="1279">
          <cell r="M1279">
            <v>0</v>
          </cell>
          <cell r="N1279">
            <v>0</v>
          </cell>
        </row>
        <row r="1280">
          <cell r="M1280">
            <v>0</v>
          </cell>
          <cell r="N1280">
            <v>0</v>
          </cell>
        </row>
        <row r="1281">
          <cell r="M1281">
            <v>0</v>
          </cell>
          <cell r="N1281">
            <v>0</v>
          </cell>
        </row>
        <row r="1282">
          <cell r="M1282">
            <v>0</v>
          </cell>
          <cell r="N1282">
            <v>0</v>
          </cell>
        </row>
        <row r="1283">
          <cell r="M1283">
            <v>0</v>
          </cell>
          <cell r="N1283">
            <v>0</v>
          </cell>
        </row>
        <row r="1284">
          <cell r="M1284">
            <v>0</v>
          </cell>
          <cell r="N1284">
            <v>0</v>
          </cell>
        </row>
        <row r="1285">
          <cell r="M1285">
            <v>0</v>
          </cell>
          <cell r="N1285">
            <v>0</v>
          </cell>
        </row>
        <row r="1286">
          <cell r="M1286">
            <v>0</v>
          </cell>
          <cell r="N1286">
            <v>0</v>
          </cell>
        </row>
        <row r="1287">
          <cell r="M1287">
            <v>0</v>
          </cell>
          <cell r="N1287">
            <v>0</v>
          </cell>
        </row>
        <row r="1288">
          <cell r="M1288">
            <v>0</v>
          </cell>
          <cell r="N1288">
            <v>0</v>
          </cell>
        </row>
        <row r="1289">
          <cell r="M1289">
            <v>0</v>
          </cell>
          <cell r="N1289">
            <v>0</v>
          </cell>
        </row>
        <row r="1290">
          <cell r="M1290">
            <v>0</v>
          </cell>
          <cell r="N1290">
            <v>0</v>
          </cell>
        </row>
        <row r="1291">
          <cell r="M1291">
            <v>0</v>
          </cell>
          <cell r="N1291">
            <v>0</v>
          </cell>
        </row>
        <row r="1292">
          <cell r="M1292">
            <v>0</v>
          </cell>
          <cell r="N1292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blad"/>
      <sheetName val="1-Contractblad totaal"/>
      <sheetName val="2-Prijzen per locatie"/>
      <sheetName val="3-Kengetal"/>
      <sheetName val="4-Basis ruimtestaat"/>
      <sheetName val="5-Uurtarieven"/>
      <sheetName val="6-Afroepprijs"/>
      <sheetName val="7-Sanitaire voorzieningen"/>
    </sheetNames>
    <sheetDataSet>
      <sheetData sheetId="0"/>
      <sheetData sheetId="1"/>
      <sheetData sheetId="2"/>
      <sheetData sheetId="3"/>
      <sheetData sheetId="4">
        <row r="9">
          <cell r="O9" t="str">
            <v>Uren per jaar za, zo- en feestdag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5.3261320597205692</v>
          </cell>
        </row>
        <row r="43">
          <cell r="O43">
            <v>18.708825414871256</v>
          </cell>
        </row>
        <row r="44">
          <cell r="O44">
            <v>2.3674748210176588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5.3261320597205692</v>
          </cell>
        </row>
        <row r="48">
          <cell r="O48">
            <v>18.70882541487126</v>
          </cell>
        </row>
        <row r="49">
          <cell r="O49">
            <v>2.3674748210176588</v>
          </cell>
        </row>
        <row r="50">
          <cell r="O50">
            <v>1.2932076097556757</v>
          </cell>
        </row>
        <row r="51">
          <cell r="O51">
            <v>8.4305200943555665</v>
          </cell>
        </row>
        <row r="52">
          <cell r="O52">
            <v>8.4305200943555665</v>
          </cell>
        </row>
        <row r="53">
          <cell r="O53">
            <v>0</v>
          </cell>
        </row>
        <row r="54">
          <cell r="O54">
            <v>183.230208</v>
          </cell>
        </row>
        <row r="55">
          <cell r="O55">
            <v>0</v>
          </cell>
        </row>
        <row r="56">
          <cell r="O56">
            <v>0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1.1517630274386488</v>
          </cell>
        </row>
        <row r="60">
          <cell r="O60">
            <v>7.646441796868567</v>
          </cell>
        </row>
        <row r="61">
          <cell r="O61">
            <v>1.1878767466443609</v>
          </cell>
        </row>
        <row r="62">
          <cell r="O62">
            <v>7.1890393955292335</v>
          </cell>
        </row>
        <row r="63">
          <cell r="O63">
            <v>12.874824718999868</v>
          </cell>
        </row>
        <row r="64">
          <cell r="O64">
            <v>11.303248688151385</v>
          </cell>
        </row>
        <row r="65">
          <cell r="O65">
            <v>11.60640095181828</v>
          </cell>
        </row>
        <row r="66">
          <cell r="O66">
            <v>0</v>
          </cell>
        </row>
        <row r="67">
          <cell r="O67">
            <v>3.4911987309913535</v>
          </cell>
        </row>
        <row r="68">
          <cell r="O68">
            <v>3.04681853480625</v>
          </cell>
        </row>
        <row r="69">
          <cell r="O69">
            <v>9.16674702040374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3.04681853480625</v>
          </cell>
        </row>
        <row r="76">
          <cell r="O76">
            <v>19.364436864831085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9.8307948360550359</v>
          </cell>
        </row>
        <row r="106">
          <cell r="O106">
            <v>5.2357199999999997</v>
          </cell>
        </row>
        <row r="107">
          <cell r="O107">
            <v>2.9770716849583785</v>
          </cell>
        </row>
        <row r="108">
          <cell r="O108">
            <v>2.6941825203243246</v>
          </cell>
        </row>
        <row r="109">
          <cell r="O109">
            <v>3.5647402472041221</v>
          </cell>
        </row>
        <row r="110">
          <cell r="O110">
            <v>13.120471659311647</v>
          </cell>
        </row>
        <row r="111">
          <cell r="O111">
            <v>17.308550673171791</v>
          </cell>
        </row>
        <row r="112">
          <cell r="O112">
            <v>16.139249084742335</v>
          </cell>
        </row>
        <row r="113">
          <cell r="O113">
            <v>9.7039528014908907</v>
          </cell>
        </row>
        <row r="114">
          <cell r="O114">
            <v>1.8316698059039034</v>
          </cell>
        </row>
        <row r="115">
          <cell r="O115">
            <v>2.843856949637066</v>
          </cell>
        </row>
        <row r="116">
          <cell r="O116">
            <v>1.8316698059039034</v>
          </cell>
        </row>
        <row r="117">
          <cell r="O117">
            <v>2.843856949637066</v>
          </cell>
        </row>
        <row r="118">
          <cell r="O118">
            <v>0</v>
          </cell>
        </row>
        <row r="119">
          <cell r="O119">
            <v>9.7039528014908907</v>
          </cell>
        </row>
        <row r="120">
          <cell r="O120">
            <v>16.139249084742335</v>
          </cell>
        </row>
        <row r="121">
          <cell r="O121">
            <v>16.139249084742335</v>
          </cell>
        </row>
        <row r="122">
          <cell r="O122">
            <v>9.7039528014908907</v>
          </cell>
        </row>
        <row r="123">
          <cell r="O123">
            <v>276.59519999999998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111.55865061348051</v>
          </cell>
        </row>
        <row r="131">
          <cell r="O131">
            <v>4.5112199999999998</v>
          </cell>
        </row>
        <row r="132">
          <cell r="O132">
            <v>24.938026953752029</v>
          </cell>
        </row>
        <row r="133">
          <cell r="O133">
            <v>15.561816201567295</v>
          </cell>
        </row>
        <row r="134">
          <cell r="O134">
            <v>13.194341380549638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21.899142094413346</v>
          </cell>
        </row>
        <row r="142">
          <cell r="O142">
            <v>1.6346462215809063</v>
          </cell>
        </row>
        <row r="143">
          <cell r="O143">
            <v>1.6368113159141262</v>
          </cell>
        </row>
        <row r="144">
          <cell r="O144">
            <v>8.372776806038063</v>
          </cell>
        </row>
        <row r="145">
          <cell r="O145">
            <v>0</v>
          </cell>
        </row>
        <row r="146">
          <cell r="O146">
            <v>16.067069974345458</v>
          </cell>
        </row>
        <row r="147">
          <cell r="O147">
            <v>9.5998216827850218</v>
          </cell>
        </row>
        <row r="148">
          <cell r="O148">
            <v>27.096038042988695</v>
          </cell>
        </row>
        <row r="149">
          <cell r="O149">
            <v>252.69061172024684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10.473893345183876</v>
          </cell>
        </row>
        <row r="153">
          <cell r="O153">
            <v>19.376702688590175</v>
          </cell>
        </row>
        <row r="154">
          <cell r="O154">
            <v>0.63795532193392712</v>
          </cell>
        </row>
        <row r="155">
          <cell r="O155">
            <v>4.1816225703878054</v>
          </cell>
        </row>
        <row r="156">
          <cell r="O156">
            <v>2.9088858335942498</v>
          </cell>
        </row>
        <row r="157">
          <cell r="O157">
            <v>4.2351822522665872</v>
          </cell>
        </row>
        <row r="158">
          <cell r="O158">
            <v>1.0225624791773553</v>
          </cell>
        </row>
        <row r="159">
          <cell r="O159">
            <v>0.49950000000000006</v>
          </cell>
        </row>
        <row r="160">
          <cell r="O160">
            <v>0.49950000000000006</v>
          </cell>
        </row>
        <row r="161">
          <cell r="O161">
            <v>0.90862626175643879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4.7102264011646469</v>
          </cell>
        </row>
        <row r="165">
          <cell r="O165">
            <v>5.2147800000000002</v>
          </cell>
        </row>
        <row r="166">
          <cell r="O166">
            <v>5.2147800000000002</v>
          </cell>
        </row>
        <row r="167">
          <cell r="O167">
            <v>4.7102264011646469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2.0860274575218045</v>
          </cell>
        </row>
        <row r="208">
          <cell r="O208">
            <v>3.8173198584845278</v>
          </cell>
        </row>
        <row r="209">
          <cell r="O209">
            <v>4.8648720407497024</v>
          </cell>
        </row>
        <row r="210">
          <cell r="O210">
            <v>1.974566031896406</v>
          </cell>
        </row>
        <row r="211">
          <cell r="O211">
            <v>2.1910754652183804</v>
          </cell>
        </row>
        <row r="212">
          <cell r="O212">
            <v>326.33999999999997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1.0862876718315</v>
          </cell>
        </row>
        <row r="216">
          <cell r="O216">
            <v>13.914543430874527</v>
          </cell>
        </row>
        <row r="217">
          <cell r="O217">
            <v>3.0644302026375003</v>
          </cell>
        </row>
        <row r="218">
          <cell r="O218">
            <v>2.6874470640235137</v>
          </cell>
        </row>
        <row r="219">
          <cell r="O219">
            <v>7.6384528075992559</v>
          </cell>
        </row>
        <row r="220">
          <cell r="O220">
            <v>1.4868896741757249</v>
          </cell>
        </row>
        <row r="221">
          <cell r="O221">
            <v>7.3622692604817441</v>
          </cell>
        </row>
        <row r="222">
          <cell r="O222">
            <v>7.6384528075992559</v>
          </cell>
        </row>
        <row r="223">
          <cell r="O223">
            <v>1.4868896741757249</v>
          </cell>
        </row>
        <row r="224">
          <cell r="O224">
            <v>7.3622692604817441</v>
          </cell>
        </row>
        <row r="225">
          <cell r="O225">
            <v>7.6384528075992559</v>
          </cell>
        </row>
        <row r="226">
          <cell r="O226">
            <v>1.4868896741757249</v>
          </cell>
        </row>
        <row r="227">
          <cell r="O227">
            <v>7.3622692604817441</v>
          </cell>
        </row>
        <row r="228">
          <cell r="O228">
            <v>7.6384528075992559</v>
          </cell>
        </row>
        <row r="229">
          <cell r="O229">
            <v>1.4868896741757249</v>
          </cell>
        </row>
        <row r="230">
          <cell r="O230">
            <v>7.3622692604817441</v>
          </cell>
        </row>
        <row r="231">
          <cell r="O231">
            <v>0</v>
          </cell>
        </row>
        <row r="232">
          <cell r="O232">
            <v>0</v>
          </cell>
        </row>
        <row r="233">
          <cell r="O233">
            <v>0</v>
          </cell>
        </row>
        <row r="234">
          <cell r="O234">
            <v>0</v>
          </cell>
        </row>
        <row r="235">
          <cell r="O235">
            <v>0</v>
          </cell>
        </row>
        <row r="236">
          <cell r="O236">
            <v>0</v>
          </cell>
        </row>
        <row r="237">
          <cell r="O237">
            <v>0</v>
          </cell>
        </row>
        <row r="238">
          <cell r="O238">
            <v>0</v>
          </cell>
        </row>
        <row r="239">
          <cell r="O239">
            <v>0</v>
          </cell>
        </row>
        <row r="240">
          <cell r="O240">
            <v>0</v>
          </cell>
        </row>
        <row r="241">
          <cell r="O241">
            <v>1.1677387437480435</v>
          </cell>
        </row>
        <row r="242">
          <cell r="O242">
            <v>0</v>
          </cell>
        </row>
        <row r="243">
          <cell r="O243">
            <v>0</v>
          </cell>
        </row>
        <row r="244">
          <cell r="O244">
            <v>0</v>
          </cell>
        </row>
        <row r="245">
          <cell r="O245">
            <v>0</v>
          </cell>
        </row>
        <row r="246">
          <cell r="O246">
            <v>2.7687456324978408</v>
          </cell>
        </row>
        <row r="247">
          <cell r="O247">
            <v>0</v>
          </cell>
        </row>
        <row r="248">
          <cell r="O248">
            <v>0</v>
          </cell>
        </row>
        <row r="249">
          <cell r="O249">
            <v>0</v>
          </cell>
        </row>
        <row r="250">
          <cell r="O250">
            <v>0</v>
          </cell>
        </row>
        <row r="251">
          <cell r="O251">
            <v>0</v>
          </cell>
        </row>
        <row r="252">
          <cell r="O252">
            <v>0</v>
          </cell>
        </row>
        <row r="253">
          <cell r="O253">
            <v>0</v>
          </cell>
        </row>
        <row r="254">
          <cell r="O254">
            <v>0</v>
          </cell>
        </row>
        <row r="255">
          <cell r="O255">
            <v>0</v>
          </cell>
        </row>
        <row r="256">
          <cell r="O256">
            <v>0</v>
          </cell>
        </row>
        <row r="257">
          <cell r="O257">
            <v>0</v>
          </cell>
        </row>
        <row r="258">
          <cell r="O258">
            <v>0</v>
          </cell>
        </row>
        <row r="259">
          <cell r="O259">
            <v>0</v>
          </cell>
        </row>
        <row r="260">
          <cell r="O260">
            <v>0</v>
          </cell>
        </row>
        <row r="261">
          <cell r="O261">
            <v>40.208399999999997</v>
          </cell>
        </row>
        <row r="262">
          <cell r="O262">
            <v>15.862500000000001</v>
          </cell>
        </row>
        <row r="263">
          <cell r="O263">
            <v>1.168561677593233</v>
          </cell>
        </row>
        <row r="264">
          <cell r="O264">
            <v>2.2479585403956084</v>
          </cell>
        </row>
        <row r="265">
          <cell r="O265">
            <v>0.46979807698155412</v>
          </cell>
        </row>
        <row r="266">
          <cell r="O266">
            <v>3.9048898724712</v>
          </cell>
        </row>
        <row r="267">
          <cell r="O267">
            <v>3.4718152100899204</v>
          </cell>
        </row>
        <row r="268">
          <cell r="O268">
            <v>2.8871644158751941</v>
          </cell>
        </row>
        <row r="269">
          <cell r="O269">
            <v>2.8984932114480002</v>
          </cell>
        </row>
        <row r="270">
          <cell r="O270">
            <v>0.65586505729145272</v>
          </cell>
        </row>
        <row r="271">
          <cell r="O271">
            <v>22.105566</v>
          </cell>
        </row>
        <row r="272">
          <cell r="O272">
            <v>0</v>
          </cell>
        </row>
        <row r="273">
          <cell r="O273">
            <v>0</v>
          </cell>
        </row>
        <row r="274">
          <cell r="O274">
            <v>0</v>
          </cell>
        </row>
        <row r="275">
          <cell r="O275">
            <v>6.50394337699211</v>
          </cell>
        </row>
        <row r="276">
          <cell r="O276">
            <v>1.1259941221913257</v>
          </cell>
        </row>
        <row r="277">
          <cell r="O277">
            <v>10.617547139381028</v>
          </cell>
        </row>
        <row r="278">
          <cell r="O278">
            <v>6.50394337699211</v>
          </cell>
        </row>
        <row r="279">
          <cell r="O279">
            <v>0</v>
          </cell>
        </row>
        <row r="280">
          <cell r="O280">
            <v>4.5052398561755638</v>
          </cell>
        </row>
        <row r="281">
          <cell r="O281">
            <v>0</v>
          </cell>
        </row>
        <row r="282">
          <cell r="O282">
            <v>10.617547139381028</v>
          </cell>
        </row>
        <row r="283">
          <cell r="O283">
            <v>1.1259941221913257</v>
          </cell>
        </row>
        <row r="284">
          <cell r="O284">
            <v>0</v>
          </cell>
        </row>
        <row r="285">
          <cell r="O285">
            <v>0</v>
          </cell>
        </row>
        <row r="286">
          <cell r="O286">
            <v>0</v>
          </cell>
        </row>
        <row r="287">
          <cell r="O287">
            <v>39.552408</v>
          </cell>
        </row>
        <row r="288">
          <cell r="O288">
            <v>0</v>
          </cell>
        </row>
        <row r="289">
          <cell r="O289">
            <v>5.4322216820483371</v>
          </cell>
        </row>
        <row r="290">
          <cell r="O290">
            <v>4.6699884426781262</v>
          </cell>
        </row>
        <row r="291">
          <cell r="O291">
            <v>0.65682990461160673</v>
          </cell>
        </row>
        <row r="292">
          <cell r="O292">
            <v>4.4967585777256147</v>
          </cell>
        </row>
        <row r="293">
          <cell r="O293">
            <v>4.4967585777256147</v>
          </cell>
        </row>
        <row r="294">
          <cell r="O294">
            <v>5.4278914933818978</v>
          </cell>
        </row>
        <row r="295">
          <cell r="O295">
            <v>0.17259606770827704</v>
          </cell>
        </row>
        <row r="296">
          <cell r="O296">
            <v>0</v>
          </cell>
        </row>
        <row r="297">
          <cell r="O297">
            <v>1.6168120728901088</v>
          </cell>
        </row>
        <row r="298">
          <cell r="O298">
            <v>4.69164217579719</v>
          </cell>
        </row>
        <row r="299">
          <cell r="O299">
            <v>0.65682990461160673</v>
          </cell>
        </row>
        <row r="300">
          <cell r="O300">
            <v>1.2991011340188852</v>
          </cell>
        </row>
        <row r="301">
          <cell r="O301">
            <v>0</v>
          </cell>
        </row>
        <row r="302">
          <cell r="O302">
            <v>0</v>
          </cell>
        </row>
        <row r="303">
          <cell r="O303">
            <v>0</v>
          </cell>
        </row>
        <row r="304">
          <cell r="O304">
            <v>0</v>
          </cell>
        </row>
        <row r="305">
          <cell r="O305">
            <v>0</v>
          </cell>
        </row>
        <row r="306">
          <cell r="O306">
            <v>0</v>
          </cell>
        </row>
        <row r="307">
          <cell r="O307">
            <v>0</v>
          </cell>
        </row>
        <row r="308">
          <cell r="O308">
            <v>0</v>
          </cell>
        </row>
        <row r="309">
          <cell r="O309">
            <v>0</v>
          </cell>
        </row>
        <row r="310">
          <cell r="O310">
            <v>0</v>
          </cell>
        </row>
        <row r="311">
          <cell r="O311">
            <v>0</v>
          </cell>
        </row>
        <row r="312">
          <cell r="O312">
            <v>0</v>
          </cell>
        </row>
        <row r="313">
          <cell r="O313">
            <v>0</v>
          </cell>
        </row>
        <row r="314">
          <cell r="O314">
            <v>0</v>
          </cell>
        </row>
        <row r="315">
          <cell r="O315">
            <v>0</v>
          </cell>
        </row>
        <row r="316">
          <cell r="O316">
            <v>0</v>
          </cell>
        </row>
        <row r="317">
          <cell r="O317">
            <v>0</v>
          </cell>
        </row>
        <row r="318">
          <cell r="O318">
            <v>0</v>
          </cell>
        </row>
        <row r="319">
          <cell r="O319">
            <v>0</v>
          </cell>
        </row>
        <row r="320">
          <cell r="O320">
            <v>0</v>
          </cell>
        </row>
        <row r="321">
          <cell r="O321">
            <v>0</v>
          </cell>
        </row>
        <row r="322">
          <cell r="O322">
            <v>0</v>
          </cell>
        </row>
        <row r="323">
          <cell r="O323">
            <v>0</v>
          </cell>
        </row>
        <row r="324">
          <cell r="O324">
            <v>0</v>
          </cell>
        </row>
        <row r="325">
          <cell r="O325">
            <v>0</v>
          </cell>
        </row>
        <row r="326">
          <cell r="O326">
            <v>0</v>
          </cell>
        </row>
        <row r="327">
          <cell r="O327">
            <v>0</v>
          </cell>
        </row>
        <row r="328">
          <cell r="O328">
            <v>0</v>
          </cell>
        </row>
        <row r="329">
          <cell r="O329">
            <v>0</v>
          </cell>
        </row>
        <row r="330">
          <cell r="O330">
            <v>0</v>
          </cell>
        </row>
        <row r="331">
          <cell r="O331">
            <v>0</v>
          </cell>
        </row>
        <row r="332">
          <cell r="O332">
            <v>0</v>
          </cell>
        </row>
        <row r="333">
          <cell r="O333">
            <v>0</v>
          </cell>
        </row>
        <row r="334">
          <cell r="O334">
            <v>0</v>
          </cell>
        </row>
        <row r="335">
          <cell r="O335">
            <v>0</v>
          </cell>
        </row>
        <row r="336">
          <cell r="O336">
            <v>0</v>
          </cell>
        </row>
        <row r="337">
          <cell r="O337">
            <v>0</v>
          </cell>
        </row>
        <row r="338">
          <cell r="O338">
            <v>0</v>
          </cell>
        </row>
        <row r="339">
          <cell r="O339">
            <v>0</v>
          </cell>
        </row>
        <row r="340">
          <cell r="O340">
            <v>0</v>
          </cell>
        </row>
        <row r="341">
          <cell r="O341">
            <v>0</v>
          </cell>
        </row>
        <row r="342">
          <cell r="O342">
            <v>0.31461844652169713</v>
          </cell>
        </row>
        <row r="343">
          <cell r="O343">
            <v>1.6126132027781408</v>
          </cell>
        </row>
        <row r="344">
          <cell r="O344">
            <v>0.33117474182097817</v>
          </cell>
        </row>
        <row r="345">
          <cell r="O345">
            <v>2.3660595443432104</v>
          </cell>
        </row>
        <row r="346">
          <cell r="O346">
            <v>1.6126132027781408</v>
          </cell>
        </row>
        <row r="347">
          <cell r="O347">
            <v>0.33117474182097817</v>
          </cell>
        </row>
        <row r="348">
          <cell r="O348">
            <v>2.3660595443432104</v>
          </cell>
        </row>
        <row r="349">
          <cell r="O349">
            <v>1.6126132027781408</v>
          </cell>
        </row>
        <row r="350">
          <cell r="O350">
            <v>0.33117474182097817</v>
          </cell>
        </row>
        <row r="351">
          <cell r="O351">
            <v>2.3660595443432104</v>
          </cell>
        </row>
        <row r="352">
          <cell r="O352">
            <v>1.6126132027781408</v>
          </cell>
        </row>
        <row r="353">
          <cell r="O353">
            <v>0.33117474182097817</v>
          </cell>
        </row>
        <row r="354">
          <cell r="O354">
            <v>2.3660595443432104</v>
          </cell>
        </row>
        <row r="355">
          <cell r="O355">
            <v>0.43608777853484898</v>
          </cell>
        </row>
        <row r="356">
          <cell r="O356">
            <v>0.43608777853484898</v>
          </cell>
        </row>
        <row r="357">
          <cell r="O357">
            <v>1.7894192408580563</v>
          </cell>
        </row>
        <row r="358">
          <cell r="O358">
            <v>1.6126132027781408</v>
          </cell>
        </row>
        <row r="359">
          <cell r="O359">
            <v>0.33117474182097817</v>
          </cell>
        </row>
        <row r="360">
          <cell r="O360">
            <v>2.3660595443432104</v>
          </cell>
        </row>
        <row r="361">
          <cell r="O361">
            <v>1.6126132027781408</v>
          </cell>
        </row>
        <row r="362">
          <cell r="O362">
            <v>0.33117474182097817</v>
          </cell>
        </row>
        <row r="363">
          <cell r="O363">
            <v>2.3660595443432104</v>
          </cell>
        </row>
        <row r="364">
          <cell r="O364">
            <v>1.6126132027781408</v>
          </cell>
        </row>
        <row r="365">
          <cell r="O365">
            <v>0.33117474182097817</v>
          </cell>
        </row>
        <row r="366">
          <cell r="O366">
            <v>2.3660595443432104</v>
          </cell>
        </row>
        <row r="367">
          <cell r="O367">
            <v>1.6126132027781408</v>
          </cell>
        </row>
        <row r="368">
          <cell r="O368">
            <v>0.33117474182097817</v>
          </cell>
        </row>
        <row r="369">
          <cell r="O369">
            <v>2.3660595443432104</v>
          </cell>
        </row>
        <row r="370">
          <cell r="O370">
            <v>1.6126132027781408</v>
          </cell>
        </row>
        <row r="371">
          <cell r="O371">
            <v>0.33117474182097817</v>
          </cell>
        </row>
        <row r="372">
          <cell r="O372">
            <v>2.3660595443432104</v>
          </cell>
        </row>
        <row r="373">
          <cell r="O373">
            <v>1.6126132027781408</v>
          </cell>
        </row>
        <row r="374">
          <cell r="O374">
            <v>0.33117474182097817</v>
          </cell>
        </row>
        <row r="375">
          <cell r="O375">
            <v>2.3660595443432104</v>
          </cell>
        </row>
        <row r="376">
          <cell r="O376">
            <v>0.5276037720246074</v>
          </cell>
        </row>
        <row r="377">
          <cell r="O377">
            <v>0.29437754828531393</v>
          </cell>
        </row>
        <row r="378">
          <cell r="O378">
            <v>0</v>
          </cell>
        </row>
        <row r="379">
          <cell r="O379">
            <v>0</v>
          </cell>
        </row>
        <row r="380">
          <cell r="O380">
            <v>0</v>
          </cell>
        </row>
        <row r="381">
          <cell r="O381">
            <v>0</v>
          </cell>
        </row>
        <row r="382">
          <cell r="O382">
            <v>0</v>
          </cell>
        </row>
        <row r="383">
          <cell r="O383">
            <v>0</v>
          </cell>
        </row>
        <row r="384">
          <cell r="O384">
            <v>0</v>
          </cell>
        </row>
        <row r="385">
          <cell r="O385">
            <v>0</v>
          </cell>
        </row>
        <row r="386">
          <cell r="O386">
            <v>0</v>
          </cell>
        </row>
        <row r="387">
          <cell r="O387">
            <v>0</v>
          </cell>
        </row>
        <row r="388">
          <cell r="O388">
            <v>0</v>
          </cell>
        </row>
        <row r="389">
          <cell r="O389">
            <v>0</v>
          </cell>
        </row>
        <row r="390">
          <cell r="O390">
            <v>0</v>
          </cell>
        </row>
        <row r="391">
          <cell r="O391">
            <v>0</v>
          </cell>
        </row>
        <row r="392">
          <cell r="O392">
            <v>0</v>
          </cell>
        </row>
        <row r="393">
          <cell r="O393">
            <v>0</v>
          </cell>
        </row>
        <row r="394">
          <cell r="O394">
            <v>0</v>
          </cell>
        </row>
        <row r="395">
          <cell r="O395">
            <v>0</v>
          </cell>
        </row>
        <row r="396">
          <cell r="O396">
            <v>0</v>
          </cell>
        </row>
        <row r="397">
          <cell r="O397">
            <v>0</v>
          </cell>
        </row>
        <row r="398">
          <cell r="O398">
            <v>0</v>
          </cell>
        </row>
        <row r="399">
          <cell r="O399">
            <v>0</v>
          </cell>
        </row>
        <row r="400">
          <cell r="O400">
            <v>0</v>
          </cell>
        </row>
        <row r="401">
          <cell r="O401">
            <v>0</v>
          </cell>
        </row>
        <row r="402">
          <cell r="O402">
            <v>0</v>
          </cell>
        </row>
        <row r="403">
          <cell r="O403">
            <v>0</v>
          </cell>
        </row>
        <row r="404">
          <cell r="O404">
            <v>0</v>
          </cell>
        </row>
        <row r="405">
          <cell r="O405">
            <v>2.4271981060295218</v>
          </cell>
        </row>
        <row r="406">
          <cell r="O406">
            <v>0</v>
          </cell>
        </row>
        <row r="407">
          <cell r="O407">
            <v>2.9400957634995728</v>
          </cell>
        </row>
        <row r="408">
          <cell r="O408">
            <v>0.44524604178153732</v>
          </cell>
        </row>
        <row r="409">
          <cell r="O409">
            <v>2.4271981060295218</v>
          </cell>
        </row>
        <row r="410">
          <cell r="O410">
            <v>0</v>
          </cell>
        </row>
        <row r="411">
          <cell r="O411">
            <v>2.9400957634995728</v>
          </cell>
        </row>
        <row r="412">
          <cell r="O412">
            <v>0.44524604178153732</v>
          </cell>
        </row>
        <row r="413">
          <cell r="O413">
            <v>1.6435188630641011</v>
          </cell>
        </row>
        <row r="414">
          <cell r="O414">
            <v>2.0385645218757991</v>
          </cell>
        </row>
        <row r="415">
          <cell r="O415">
            <v>0</v>
          </cell>
        </row>
        <row r="416">
          <cell r="O416">
            <v>0.41948800630657229</v>
          </cell>
        </row>
        <row r="417">
          <cell r="O417">
            <v>1.6435188630641011</v>
          </cell>
        </row>
        <row r="418">
          <cell r="O418">
            <v>2.0385645218757991</v>
          </cell>
        </row>
        <row r="419">
          <cell r="O419">
            <v>0</v>
          </cell>
        </row>
        <row r="420">
          <cell r="O420">
            <v>0.41948800630657229</v>
          </cell>
        </row>
        <row r="421">
          <cell r="O421">
            <v>1.6435188630641011</v>
          </cell>
        </row>
        <row r="422">
          <cell r="O422">
            <v>2.0385645218757991</v>
          </cell>
        </row>
        <row r="423">
          <cell r="O423">
            <v>0</v>
          </cell>
        </row>
        <row r="424">
          <cell r="O424">
            <v>0.41948800630657229</v>
          </cell>
        </row>
        <row r="425">
          <cell r="O425">
            <v>1.6435188630641011</v>
          </cell>
        </row>
        <row r="426">
          <cell r="O426">
            <v>2.0385645218757991</v>
          </cell>
        </row>
        <row r="427">
          <cell r="O427">
            <v>0</v>
          </cell>
        </row>
        <row r="428">
          <cell r="O428">
            <v>0.41948800630657229</v>
          </cell>
        </row>
        <row r="429">
          <cell r="O429">
            <v>0.12576153455778619</v>
          </cell>
        </row>
        <row r="430">
          <cell r="O430">
            <v>0.36061249664950956</v>
          </cell>
        </row>
        <row r="431">
          <cell r="O431">
            <v>0.36061249664950956</v>
          </cell>
        </row>
        <row r="432">
          <cell r="O432">
            <v>0.80993862017250007</v>
          </cell>
        </row>
        <row r="433">
          <cell r="O433">
            <v>2.4536886719889166</v>
          </cell>
        </row>
        <row r="434">
          <cell r="O434">
            <v>0.37901109341734168</v>
          </cell>
        </row>
        <row r="435">
          <cell r="O435">
            <v>5.3024755884892167</v>
          </cell>
        </row>
        <row r="436">
          <cell r="O436">
            <v>2.4536886719889166</v>
          </cell>
        </row>
        <row r="437">
          <cell r="O437">
            <v>0.37901109341734168</v>
          </cell>
        </row>
        <row r="438">
          <cell r="O438">
            <v>5.3024755884892167</v>
          </cell>
        </row>
        <row r="439">
          <cell r="O439">
            <v>2.054122635434716</v>
          </cell>
        </row>
        <row r="440">
          <cell r="O440">
            <v>4.2316772566013876</v>
          </cell>
        </row>
        <row r="441">
          <cell r="O441">
            <v>0.36797193535664241</v>
          </cell>
        </row>
        <row r="442">
          <cell r="O442">
            <v>2.054122635434716</v>
          </cell>
        </row>
        <row r="443">
          <cell r="O443">
            <v>4.2316772566013876</v>
          </cell>
        </row>
        <row r="444">
          <cell r="O444">
            <v>0.36797193535664241</v>
          </cell>
        </row>
        <row r="445">
          <cell r="O445">
            <v>2.054122635434716</v>
          </cell>
        </row>
        <row r="446">
          <cell r="O446">
            <v>4.2316772566013876</v>
          </cell>
        </row>
        <row r="447">
          <cell r="O447">
            <v>0.36797193535664241</v>
          </cell>
        </row>
        <row r="448">
          <cell r="O448">
            <v>0</v>
          </cell>
        </row>
        <row r="449">
          <cell r="O449">
            <v>0</v>
          </cell>
        </row>
        <row r="450">
          <cell r="O450">
            <v>0</v>
          </cell>
        </row>
        <row r="451">
          <cell r="O451">
            <v>0</v>
          </cell>
        </row>
        <row r="452">
          <cell r="O452">
            <v>0</v>
          </cell>
        </row>
        <row r="453">
          <cell r="O453">
            <v>0</v>
          </cell>
        </row>
        <row r="454">
          <cell r="O454">
            <v>0</v>
          </cell>
        </row>
        <row r="455">
          <cell r="O455">
            <v>0</v>
          </cell>
        </row>
        <row r="456">
          <cell r="O456">
            <v>0</v>
          </cell>
        </row>
        <row r="457">
          <cell r="O457">
            <v>0</v>
          </cell>
        </row>
        <row r="458">
          <cell r="O458">
            <v>0</v>
          </cell>
        </row>
        <row r="459">
          <cell r="O459">
            <v>0</v>
          </cell>
        </row>
        <row r="460">
          <cell r="O460">
            <v>0</v>
          </cell>
        </row>
        <row r="461">
          <cell r="O461">
            <v>0</v>
          </cell>
        </row>
        <row r="462">
          <cell r="O462">
            <v>0</v>
          </cell>
        </row>
        <row r="463">
          <cell r="O463">
            <v>0</v>
          </cell>
        </row>
        <row r="464">
          <cell r="O464">
            <v>0</v>
          </cell>
        </row>
        <row r="465">
          <cell r="O465">
            <v>0</v>
          </cell>
        </row>
        <row r="466">
          <cell r="O466">
            <v>0</v>
          </cell>
        </row>
        <row r="467">
          <cell r="O467">
            <v>0</v>
          </cell>
        </row>
        <row r="468">
          <cell r="O468">
            <v>0</v>
          </cell>
        </row>
        <row r="469">
          <cell r="O469">
            <v>0</v>
          </cell>
        </row>
        <row r="470">
          <cell r="O470">
            <v>0</v>
          </cell>
        </row>
        <row r="471">
          <cell r="O471">
            <v>0</v>
          </cell>
        </row>
        <row r="472">
          <cell r="O472">
            <v>0</v>
          </cell>
        </row>
        <row r="473">
          <cell r="O473">
            <v>0</v>
          </cell>
        </row>
        <row r="474">
          <cell r="O474">
            <v>0</v>
          </cell>
        </row>
        <row r="475">
          <cell r="O475">
            <v>0</v>
          </cell>
        </row>
        <row r="476">
          <cell r="O476">
            <v>0</v>
          </cell>
        </row>
        <row r="477">
          <cell r="O477">
            <v>0</v>
          </cell>
        </row>
        <row r="478">
          <cell r="O478">
            <v>0</v>
          </cell>
        </row>
        <row r="479">
          <cell r="O479">
            <v>0</v>
          </cell>
        </row>
        <row r="480">
          <cell r="O480">
            <v>0</v>
          </cell>
        </row>
        <row r="481">
          <cell r="O481">
            <v>0</v>
          </cell>
        </row>
        <row r="482">
          <cell r="O482">
            <v>0</v>
          </cell>
        </row>
        <row r="483">
          <cell r="O483">
            <v>0</v>
          </cell>
        </row>
        <row r="484">
          <cell r="O484">
            <v>0</v>
          </cell>
        </row>
        <row r="485">
          <cell r="O485">
            <v>0</v>
          </cell>
        </row>
        <row r="486">
          <cell r="O486">
            <v>0</v>
          </cell>
        </row>
        <row r="487">
          <cell r="O487">
            <v>0</v>
          </cell>
        </row>
        <row r="488">
          <cell r="O488">
            <v>0</v>
          </cell>
        </row>
        <row r="489">
          <cell r="O489">
            <v>0</v>
          </cell>
        </row>
        <row r="490">
          <cell r="O490">
            <v>0</v>
          </cell>
        </row>
        <row r="491">
          <cell r="O491">
            <v>0</v>
          </cell>
        </row>
        <row r="492">
          <cell r="O492">
            <v>0</v>
          </cell>
        </row>
        <row r="493">
          <cell r="O493">
            <v>0</v>
          </cell>
        </row>
        <row r="494">
          <cell r="O494">
            <v>0</v>
          </cell>
        </row>
        <row r="495">
          <cell r="O495">
            <v>0</v>
          </cell>
        </row>
        <row r="496">
          <cell r="O496">
            <v>0</v>
          </cell>
        </row>
        <row r="497">
          <cell r="O497">
            <v>0</v>
          </cell>
        </row>
        <row r="498">
          <cell r="O498">
            <v>0</v>
          </cell>
        </row>
        <row r="499">
          <cell r="O499">
            <v>0</v>
          </cell>
        </row>
        <row r="500">
          <cell r="O500">
            <v>0</v>
          </cell>
        </row>
        <row r="501">
          <cell r="O501">
            <v>0</v>
          </cell>
        </row>
        <row r="502">
          <cell r="O502">
            <v>0</v>
          </cell>
        </row>
        <row r="503">
          <cell r="O503">
            <v>0</v>
          </cell>
        </row>
        <row r="504">
          <cell r="O504">
            <v>0</v>
          </cell>
        </row>
        <row r="505">
          <cell r="O505">
            <v>0</v>
          </cell>
        </row>
        <row r="506">
          <cell r="O506">
            <v>0</v>
          </cell>
        </row>
        <row r="507">
          <cell r="O507">
            <v>0</v>
          </cell>
        </row>
        <row r="508">
          <cell r="O508">
            <v>0</v>
          </cell>
        </row>
        <row r="509">
          <cell r="O509">
            <v>0</v>
          </cell>
        </row>
        <row r="510">
          <cell r="O510">
            <v>0</v>
          </cell>
        </row>
        <row r="511">
          <cell r="O511">
            <v>0</v>
          </cell>
        </row>
        <row r="512">
          <cell r="O512">
            <v>0</v>
          </cell>
        </row>
        <row r="513">
          <cell r="O513">
            <v>0</v>
          </cell>
        </row>
        <row r="514">
          <cell r="O514">
            <v>0</v>
          </cell>
        </row>
        <row r="515">
          <cell r="O515">
            <v>0</v>
          </cell>
        </row>
        <row r="516">
          <cell r="O516">
            <v>0</v>
          </cell>
        </row>
        <row r="517">
          <cell r="O517">
            <v>0</v>
          </cell>
        </row>
        <row r="518">
          <cell r="O518">
            <v>0</v>
          </cell>
        </row>
        <row r="519">
          <cell r="O519">
            <v>0</v>
          </cell>
        </row>
        <row r="520">
          <cell r="O520">
            <v>0</v>
          </cell>
        </row>
        <row r="521">
          <cell r="O521">
            <v>0</v>
          </cell>
        </row>
        <row r="522">
          <cell r="O522">
            <v>0</v>
          </cell>
        </row>
        <row r="523">
          <cell r="O523">
            <v>0</v>
          </cell>
        </row>
        <row r="524">
          <cell r="O524">
            <v>0</v>
          </cell>
        </row>
        <row r="525">
          <cell r="O525">
            <v>0</v>
          </cell>
        </row>
        <row r="526">
          <cell r="O526">
            <v>0</v>
          </cell>
        </row>
        <row r="527">
          <cell r="O527">
            <v>0</v>
          </cell>
        </row>
        <row r="528">
          <cell r="O528">
            <v>0</v>
          </cell>
        </row>
        <row r="529">
          <cell r="O529">
            <v>0</v>
          </cell>
        </row>
        <row r="530">
          <cell r="O530">
            <v>0</v>
          </cell>
        </row>
        <row r="531">
          <cell r="O531">
            <v>0</v>
          </cell>
        </row>
        <row r="532">
          <cell r="O532">
            <v>0</v>
          </cell>
        </row>
        <row r="533">
          <cell r="O533">
            <v>0</v>
          </cell>
        </row>
        <row r="534">
          <cell r="O534">
            <v>0</v>
          </cell>
        </row>
        <row r="535">
          <cell r="O535">
            <v>0</v>
          </cell>
        </row>
        <row r="536">
          <cell r="O536">
            <v>0</v>
          </cell>
        </row>
        <row r="537">
          <cell r="O537">
            <v>0</v>
          </cell>
        </row>
        <row r="538">
          <cell r="O538">
            <v>0</v>
          </cell>
        </row>
        <row r="539">
          <cell r="O539">
            <v>0</v>
          </cell>
        </row>
        <row r="540">
          <cell r="O540">
            <v>0</v>
          </cell>
        </row>
        <row r="541">
          <cell r="O541">
            <v>0</v>
          </cell>
        </row>
        <row r="542">
          <cell r="O542">
            <v>0</v>
          </cell>
        </row>
        <row r="543">
          <cell r="O543">
            <v>0</v>
          </cell>
        </row>
        <row r="544">
          <cell r="O544">
            <v>0</v>
          </cell>
        </row>
        <row r="545">
          <cell r="O545">
            <v>0</v>
          </cell>
        </row>
        <row r="546">
          <cell r="O546">
            <v>0</v>
          </cell>
        </row>
        <row r="547">
          <cell r="O547">
            <v>0</v>
          </cell>
        </row>
        <row r="548">
          <cell r="O548">
            <v>0</v>
          </cell>
        </row>
        <row r="549">
          <cell r="O549">
            <v>0</v>
          </cell>
        </row>
        <row r="550">
          <cell r="O550">
            <v>0</v>
          </cell>
        </row>
        <row r="551">
          <cell r="O551">
            <v>0</v>
          </cell>
        </row>
        <row r="552">
          <cell r="O552">
            <v>0</v>
          </cell>
        </row>
        <row r="553">
          <cell r="O553">
            <v>0</v>
          </cell>
        </row>
        <row r="554">
          <cell r="O554">
            <v>0</v>
          </cell>
        </row>
        <row r="555">
          <cell r="O555">
            <v>0</v>
          </cell>
        </row>
        <row r="556">
          <cell r="O556">
            <v>0</v>
          </cell>
        </row>
        <row r="557">
          <cell r="O557">
            <v>0</v>
          </cell>
        </row>
        <row r="558">
          <cell r="O558">
            <v>0</v>
          </cell>
        </row>
        <row r="559">
          <cell r="O559">
            <v>0</v>
          </cell>
        </row>
        <row r="560">
          <cell r="O560">
            <v>0</v>
          </cell>
        </row>
        <row r="561">
          <cell r="O561">
            <v>0</v>
          </cell>
        </row>
        <row r="562">
          <cell r="O562">
            <v>0</v>
          </cell>
        </row>
        <row r="563">
          <cell r="O563">
            <v>0</v>
          </cell>
        </row>
        <row r="564">
          <cell r="O564">
            <v>0</v>
          </cell>
        </row>
        <row r="565">
          <cell r="O565">
            <v>0</v>
          </cell>
        </row>
        <row r="566">
          <cell r="O566">
            <v>0</v>
          </cell>
        </row>
        <row r="567">
          <cell r="O567">
            <v>0</v>
          </cell>
        </row>
        <row r="568">
          <cell r="O568">
            <v>0</v>
          </cell>
        </row>
        <row r="569">
          <cell r="O569">
            <v>0</v>
          </cell>
        </row>
        <row r="570">
          <cell r="O570">
            <v>0</v>
          </cell>
        </row>
        <row r="571">
          <cell r="O571">
            <v>0</v>
          </cell>
        </row>
        <row r="572">
          <cell r="O572">
            <v>0</v>
          </cell>
        </row>
        <row r="573">
          <cell r="O573">
            <v>0</v>
          </cell>
        </row>
        <row r="574">
          <cell r="O574">
            <v>0</v>
          </cell>
        </row>
        <row r="575">
          <cell r="O575">
            <v>0</v>
          </cell>
        </row>
        <row r="576">
          <cell r="O576">
            <v>0</v>
          </cell>
        </row>
        <row r="577">
          <cell r="O577">
            <v>0</v>
          </cell>
        </row>
        <row r="578">
          <cell r="O578">
            <v>0</v>
          </cell>
        </row>
        <row r="579">
          <cell r="O579">
            <v>0</v>
          </cell>
        </row>
        <row r="580">
          <cell r="O580">
            <v>0</v>
          </cell>
        </row>
        <row r="581">
          <cell r="O581">
            <v>0</v>
          </cell>
        </row>
        <row r="582">
          <cell r="O582">
            <v>0</v>
          </cell>
        </row>
        <row r="583">
          <cell r="O583">
            <v>0</v>
          </cell>
        </row>
        <row r="584">
          <cell r="O584">
            <v>0</v>
          </cell>
        </row>
        <row r="585">
          <cell r="O585">
            <v>0</v>
          </cell>
        </row>
        <row r="586">
          <cell r="O586">
            <v>0</v>
          </cell>
        </row>
        <row r="587">
          <cell r="O587">
            <v>0</v>
          </cell>
        </row>
        <row r="588">
          <cell r="O588">
            <v>0</v>
          </cell>
        </row>
        <row r="589">
          <cell r="O589">
            <v>0</v>
          </cell>
        </row>
        <row r="590">
          <cell r="O590">
            <v>0</v>
          </cell>
        </row>
        <row r="591">
          <cell r="O591">
            <v>0</v>
          </cell>
        </row>
        <row r="592">
          <cell r="O592">
            <v>0</v>
          </cell>
        </row>
        <row r="593">
          <cell r="O593">
            <v>0</v>
          </cell>
        </row>
        <row r="594">
          <cell r="O594">
            <v>0</v>
          </cell>
        </row>
        <row r="595">
          <cell r="O595">
            <v>0</v>
          </cell>
        </row>
        <row r="596">
          <cell r="O596">
            <v>0</v>
          </cell>
        </row>
        <row r="597">
          <cell r="O597">
            <v>0</v>
          </cell>
        </row>
        <row r="598">
          <cell r="O598">
            <v>0</v>
          </cell>
        </row>
        <row r="599">
          <cell r="O599">
            <v>0</v>
          </cell>
        </row>
        <row r="600">
          <cell r="O600">
            <v>0</v>
          </cell>
        </row>
        <row r="601">
          <cell r="O601">
            <v>0</v>
          </cell>
        </row>
        <row r="602">
          <cell r="O602">
            <v>0</v>
          </cell>
        </row>
        <row r="603">
          <cell r="O603">
            <v>0</v>
          </cell>
        </row>
        <row r="604">
          <cell r="O604">
            <v>0</v>
          </cell>
        </row>
        <row r="605">
          <cell r="O605">
            <v>0</v>
          </cell>
        </row>
        <row r="606">
          <cell r="O606">
            <v>0</v>
          </cell>
        </row>
        <row r="607">
          <cell r="O607">
            <v>0</v>
          </cell>
        </row>
        <row r="608">
          <cell r="O608">
            <v>0</v>
          </cell>
        </row>
        <row r="609">
          <cell r="O609">
            <v>0</v>
          </cell>
        </row>
        <row r="610">
          <cell r="O610">
            <v>0</v>
          </cell>
        </row>
        <row r="611">
          <cell r="O611">
            <v>0</v>
          </cell>
        </row>
        <row r="612">
          <cell r="O612">
            <v>0</v>
          </cell>
        </row>
        <row r="613">
          <cell r="O613">
            <v>0</v>
          </cell>
        </row>
        <row r="614">
          <cell r="O614">
            <v>0</v>
          </cell>
        </row>
        <row r="615">
          <cell r="O615">
            <v>0</v>
          </cell>
        </row>
        <row r="616">
          <cell r="O616">
            <v>0</v>
          </cell>
        </row>
        <row r="617">
          <cell r="O617">
            <v>0</v>
          </cell>
        </row>
        <row r="618">
          <cell r="O618">
            <v>0</v>
          </cell>
        </row>
        <row r="619">
          <cell r="O619">
            <v>0</v>
          </cell>
        </row>
        <row r="620">
          <cell r="O620">
            <v>0</v>
          </cell>
        </row>
        <row r="621">
          <cell r="O621">
            <v>0</v>
          </cell>
        </row>
        <row r="622">
          <cell r="O622">
            <v>0</v>
          </cell>
        </row>
        <row r="623">
          <cell r="O623">
            <v>0</v>
          </cell>
        </row>
        <row r="624">
          <cell r="O624">
            <v>0</v>
          </cell>
        </row>
        <row r="625">
          <cell r="O625">
            <v>0</v>
          </cell>
        </row>
        <row r="626">
          <cell r="O626">
            <v>0</v>
          </cell>
        </row>
        <row r="627">
          <cell r="O627">
            <v>0</v>
          </cell>
        </row>
        <row r="628">
          <cell r="O628">
            <v>0</v>
          </cell>
        </row>
        <row r="629">
          <cell r="O629">
            <v>0</v>
          </cell>
        </row>
        <row r="630">
          <cell r="O630">
            <v>0</v>
          </cell>
        </row>
        <row r="631">
          <cell r="O631">
            <v>0</v>
          </cell>
        </row>
        <row r="632">
          <cell r="O632">
            <v>0</v>
          </cell>
        </row>
        <row r="633">
          <cell r="O633">
            <v>0</v>
          </cell>
        </row>
        <row r="634">
          <cell r="O634">
            <v>0</v>
          </cell>
        </row>
        <row r="635">
          <cell r="O635">
            <v>0</v>
          </cell>
        </row>
        <row r="636">
          <cell r="O636">
            <v>0</v>
          </cell>
        </row>
        <row r="637">
          <cell r="O637">
            <v>0</v>
          </cell>
        </row>
        <row r="638">
          <cell r="O638">
            <v>0</v>
          </cell>
        </row>
        <row r="639">
          <cell r="O639">
            <v>0</v>
          </cell>
        </row>
        <row r="640">
          <cell r="O640">
            <v>0</v>
          </cell>
        </row>
        <row r="641">
          <cell r="O641">
            <v>0</v>
          </cell>
        </row>
        <row r="642">
          <cell r="O642">
            <v>0</v>
          </cell>
        </row>
        <row r="643">
          <cell r="O643">
            <v>0</v>
          </cell>
        </row>
        <row r="644">
          <cell r="O644">
            <v>0</v>
          </cell>
        </row>
        <row r="645">
          <cell r="O645">
            <v>0</v>
          </cell>
        </row>
        <row r="646">
          <cell r="O646">
            <v>0</v>
          </cell>
        </row>
        <row r="647">
          <cell r="O647">
            <v>0</v>
          </cell>
        </row>
        <row r="648">
          <cell r="O648">
            <v>0</v>
          </cell>
        </row>
        <row r="649">
          <cell r="O649">
            <v>0</v>
          </cell>
        </row>
        <row r="650">
          <cell r="O650">
            <v>0</v>
          </cell>
        </row>
        <row r="651">
          <cell r="O651">
            <v>0</v>
          </cell>
        </row>
        <row r="652">
          <cell r="O652">
            <v>0</v>
          </cell>
        </row>
        <row r="653">
          <cell r="O653">
            <v>0</v>
          </cell>
        </row>
        <row r="654">
          <cell r="O654">
            <v>0</v>
          </cell>
        </row>
        <row r="655">
          <cell r="O655">
            <v>0</v>
          </cell>
        </row>
        <row r="656">
          <cell r="O656">
            <v>0</v>
          </cell>
        </row>
        <row r="657">
          <cell r="O657">
            <v>0</v>
          </cell>
        </row>
        <row r="658">
          <cell r="O658">
            <v>0</v>
          </cell>
        </row>
        <row r="659">
          <cell r="O659">
            <v>0</v>
          </cell>
        </row>
        <row r="660">
          <cell r="O660">
            <v>0</v>
          </cell>
        </row>
        <row r="661">
          <cell r="O661">
            <v>0</v>
          </cell>
        </row>
        <row r="662">
          <cell r="O662">
            <v>0</v>
          </cell>
        </row>
        <row r="663">
          <cell r="O663">
            <v>0</v>
          </cell>
        </row>
        <row r="664">
          <cell r="O664">
            <v>0</v>
          </cell>
        </row>
        <row r="665">
          <cell r="O665">
            <v>0</v>
          </cell>
        </row>
        <row r="666">
          <cell r="O666">
            <v>0</v>
          </cell>
        </row>
        <row r="667">
          <cell r="O667">
            <v>0</v>
          </cell>
        </row>
        <row r="668">
          <cell r="O668">
            <v>0</v>
          </cell>
        </row>
        <row r="669">
          <cell r="O669">
            <v>0</v>
          </cell>
        </row>
        <row r="670">
          <cell r="O670">
            <v>0</v>
          </cell>
        </row>
        <row r="671">
          <cell r="O671">
            <v>0</v>
          </cell>
        </row>
        <row r="672">
          <cell r="O672">
            <v>0</v>
          </cell>
        </row>
        <row r="673">
          <cell r="O673">
            <v>0</v>
          </cell>
        </row>
        <row r="674">
          <cell r="O674">
            <v>0</v>
          </cell>
        </row>
        <row r="675">
          <cell r="O675">
            <v>0</v>
          </cell>
        </row>
        <row r="676">
          <cell r="O676">
            <v>0</v>
          </cell>
        </row>
        <row r="677">
          <cell r="O677">
            <v>0</v>
          </cell>
        </row>
        <row r="678">
          <cell r="O678">
            <v>0</v>
          </cell>
        </row>
        <row r="679">
          <cell r="O679">
            <v>0</v>
          </cell>
        </row>
        <row r="680">
          <cell r="O680">
            <v>0</v>
          </cell>
        </row>
        <row r="681">
          <cell r="O681">
            <v>0</v>
          </cell>
        </row>
        <row r="682">
          <cell r="O682">
            <v>0</v>
          </cell>
        </row>
        <row r="683">
          <cell r="O683">
            <v>0</v>
          </cell>
        </row>
        <row r="684">
          <cell r="O684">
            <v>0</v>
          </cell>
        </row>
        <row r="685">
          <cell r="O685">
            <v>0</v>
          </cell>
        </row>
        <row r="686">
          <cell r="O686">
            <v>0</v>
          </cell>
        </row>
        <row r="687">
          <cell r="O687">
            <v>0</v>
          </cell>
        </row>
        <row r="688">
          <cell r="O688">
            <v>0</v>
          </cell>
        </row>
        <row r="689">
          <cell r="O689">
            <v>0</v>
          </cell>
        </row>
        <row r="690">
          <cell r="O690">
            <v>0</v>
          </cell>
        </row>
        <row r="691">
          <cell r="O691">
            <v>0</v>
          </cell>
        </row>
        <row r="692">
          <cell r="O692">
            <v>0</v>
          </cell>
        </row>
        <row r="693">
          <cell r="O693">
            <v>0</v>
          </cell>
        </row>
        <row r="694">
          <cell r="O694">
            <v>0</v>
          </cell>
        </row>
        <row r="695">
          <cell r="O695">
            <v>0</v>
          </cell>
        </row>
        <row r="696">
          <cell r="O696">
            <v>0</v>
          </cell>
        </row>
        <row r="697">
          <cell r="O697">
            <v>0</v>
          </cell>
        </row>
        <row r="698">
          <cell r="O698">
            <v>0</v>
          </cell>
        </row>
        <row r="699">
          <cell r="O699">
            <v>0</v>
          </cell>
        </row>
        <row r="700">
          <cell r="O700">
            <v>0</v>
          </cell>
        </row>
        <row r="701">
          <cell r="O701">
            <v>0</v>
          </cell>
        </row>
        <row r="702">
          <cell r="O702">
            <v>0</v>
          </cell>
        </row>
        <row r="703">
          <cell r="O703">
            <v>0</v>
          </cell>
        </row>
        <row r="704">
          <cell r="O704">
            <v>0</v>
          </cell>
        </row>
        <row r="705">
          <cell r="O705">
            <v>0</v>
          </cell>
        </row>
        <row r="706">
          <cell r="O706">
            <v>0</v>
          </cell>
        </row>
        <row r="707">
          <cell r="O707">
            <v>0</v>
          </cell>
        </row>
        <row r="708">
          <cell r="O708">
            <v>0</v>
          </cell>
        </row>
        <row r="709">
          <cell r="O709">
            <v>15.403530863996849</v>
          </cell>
        </row>
        <row r="710">
          <cell r="O710">
            <v>0</v>
          </cell>
        </row>
        <row r="711">
          <cell r="O711">
            <v>22.695376751458145</v>
          </cell>
        </row>
        <row r="712">
          <cell r="O712">
            <v>33.61282101815484</v>
          </cell>
        </row>
        <row r="713">
          <cell r="O713">
            <v>22.695376751458145</v>
          </cell>
        </row>
        <row r="714">
          <cell r="O714">
            <v>33.61282101815484</v>
          </cell>
        </row>
        <row r="715">
          <cell r="O715">
            <v>0</v>
          </cell>
        </row>
        <row r="716">
          <cell r="O716">
            <v>6.7225642036309674</v>
          </cell>
        </row>
        <row r="717">
          <cell r="O717">
            <v>11.764487356354193</v>
          </cell>
        </row>
        <row r="718">
          <cell r="O718">
            <v>16.134154088714322</v>
          </cell>
        </row>
        <row r="719">
          <cell r="O719">
            <v>11.764487356354193</v>
          </cell>
        </row>
        <row r="720">
          <cell r="O720">
            <v>0</v>
          </cell>
        </row>
        <row r="721">
          <cell r="O721">
            <v>2.4201231133071484</v>
          </cell>
        </row>
        <row r="722">
          <cell r="O722">
            <v>2.4201231133071484</v>
          </cell>
        </row>
        <row r="723">
          <cell r="O723">
            <v>2.4201231133071484</v>
          </cell>
        </row>
        <row r="724">
          <cell r="O724">
            <v>2.4201231133071484</v>
          </cell>
        </row>
        <row r="725">
          <cell r="O725">
            <v>1.6940861793150037</v>
          </cell>
        </row>
        <row r="726">
          <cell r="O726">
            <v>1.6940861793150037</v>
          </cell>
        </row>
        <row r="727">
          <cell r="O727">
            <v>1.6940861793150037</v>
          </cell>
        </row>
        <row r="728">
          <cell r="O728">
            <v>1.6940861793150037</v>
          </cell>
        </row>
        <row r="729">
          <cell r="O729">
            <v>1.6940861793150037</v>
          </cell>
        </row>
        <row r="730">
          <cell r="O730">
            <v>1.6940861793150037</v>
          </cell>
        </row>
        <row r="731">
          <cell r="O731">
            <v>2.4201231133071484</v>
          </cell>
        </row>
        <row r="732">
          <cell r="O732">
            <v>2.4201231133071484</v>
          </cell>
        </row>
        <row r="733">
          <cell r="O733">
            <v>2.4201231133071484</v>
          </cell>
        </row>
        <row r="734">
          <cell r="O734">
            <v>2.4201231133071484</v>
          </cell>
        </row>
        <row r="735">
          <cell r="O735">
            <v>0</v>
          </cell>
        </row>
        <row r="736">
          <cell r="O736">
            <v>0</v>
          </cell>
        </row>
        <row r="737">
          <cell r="O737">
            <v>0</v>
          </cell>
        </row>
        <row r="738">
          <cell r="O738">
            <v>0</v>
          </cell>
        </row>
        <row r="739">
          <cell r="O739">
            <v>0</v>
          </cell>
        </row>
        <row r="740">
          <cell r="O740">
            <v>0</v>
          </cell>
        </row>
        <row r="741">
          <cell r="O741">
            <v>0</v>
          </cell>
        </row>
        <row r="742">
          <cell r="O742">
            <v>0</v>
          </cell>
        </row>
        <row r="743">
          <cell r="O743">
            <v>0</v>
          </cell>
        </row>
        <row r="744">
          <cell r="O744">
            <v>0</v>
          </cell>
        </row>
        <row r="745">
          <cell r="O745">
            <v>0</v>
          </cell>
        </row>
        <row r="746">
          <cell r="O746">
            <v>0</v>
          </cell>
        </row>
        <row r="747">
          <cell r="O747">
            <v>0</v>
          </cell>
        </row>
        <row r="748">
          <cell r="O748">
            <v>0</v>
          </cell>
        </row>
        <row r="749">
          <cell r="O749">
            <v>0</v>
          </cell>
        </row>
        <row r="750">
          <cell r="O750">
            <v>0</v>
          </cell>
        </row>
        <row r="751">
          <cell r="O751">
            <v>0</v>
          </cell>
        </row>
        <row r="752">
          <cell r="O752">
            <v>0</v>
          </cell>
        </row>
        <row r="753">
          <cell r="O753">
            <v>0</v>
          </cell>
        </row>
        <row r="754">
          <cell r="O754">
            <v>0</v>
          </cell>
        </row>
        <row r="755">
          <cell r="O755">
            <v>0</v>
          </cell>
        </row>
        <row r="756">
          <cell r="O756">
            <v>0</v>
          </cell>
        </row>
        <row r="757">
          <cell r="O757">
            <v>0</v>
          </cell>
        </row>
        <row r="758">
          <cell r="O758">
            <v>0</v>
          </cell>
        </row>
        <row r="759">
          <cell r="O759">
            <v>0</v>
          </cell>
        </row>
        <row r="760">
          <cell r="O760">
            <v>0</v>
          </cell>
        </row>
        <row r="761">
          <cell r="O761">
            <v>0</v>
          </cell>
        </row>
        <row r="762">
          <cell r="O762">
            <v>0</v>
          </cell>
        </row>
        <row r="763">
          <cell r="O763">
            <v>0</v>
          </cell>
        </row>
        <row r="764">
          <cell r="O764">
            <v>0</v>
          </cell>
        </row>
        <row r="765">
          <cell r="O765">
            <v>0</v>
          </cell>
        </row>
        <row r="766">
          <cell r="O766">
            <v>0</v>
          </cell>
        </row>
        <row r="767">
          <cell r="O767">
            <v>0</v>
          </cell>
        </row>
        <row r="768">
          <cell r="O768">
            <v>0</v>
          </cell>
        </row>
        <row r="769">
          <cell r="O769">
            <v>0</v>
          </cell>
        </row>
        <row r="770">
          <cell r="O770">
            <v>0</v>
          </cell>
        </row>
        <row r="771">
          <cell r="O771">
            <v>0</v>
          </cell>
        </row>
        <row r="772">
          <cell r="O772">
            <v>0</v>
          </cell>
        </row>
        <row r="773">
          <cell r="O773">
            <v>0</v>
          </cell>
        </row>
        <row r="774">
          <cell r="O774">
            <v>0</v>
          </cell>
        </row>
        <row r="775">
          <cell r="O775">
            <v>0</v>
          </cell>
        </row>
        <row r="776">
          <cell r="O776">
            <v>0</v>
          </cell>
        </row>
        <row r="777">
          <cell r="O777">
            <v>0</v>
          </cell>
        </row>
        <row r="778">
          <cell r="O778">
            <v>0</v>
          </cell>
        </row>
        <row r="779">
          <cell r="O779">
            <v>0</v>
          </cell>
        </row>
        <row r="780">
          <cell r="O780">
            <v>0</v>
          </cell>
        </row>
        <row r="781">
          <cell r="O781">
            <v>0</v>
          </cell>
        </row>
        <row r="782">
          <cell r="O782">
            <v>0</v>
          </cell>
        </row>
        <row r="783">
          <cell r="O783">
            <v>0</v>
          </cell>
        </row>
        <row r="784">
          <cell r="O784">
            <v>0</v>
          </cell>
        </row>
        <row r="785">
          <cell r="O785">
            <v>0</v>
          </cell>
        </row>
        <row r="786">
          <cell r="O786">
            <v>0</v>
          </cell>
        </row>
        <row r="787">
          <cell r="O787">
            <v>0</v>
          </cell>
        </row>
        <row r="788">
          <cell r="O788">
            <v>0</v>
          </cell>
        </row>
        <row r="789">
          <cell r="O789">
            <v>0</v>
          </cell>
        </row>
        <row r="790">
          <cell r="O790">
            <v>0</v>
          </cell>
        </row>
        <row r="791">
          <cell r="O791">
            <v>0</v>
          </cell>
        </row>
        <row r="792">
          <cell r="O792">
            <v>0</v>
          </cell>
        </row>
        <row r="793">
          <cell r="O793">
            <v>0</v>
          </cell>
        </row>
        <row r="794">
          <cell r="O794">
            <v>0</v>
          </cell>
        </row>
        <row r="795">
          <cell r="O795">
            <v>0</v>
          </cell>
        </row>
        <row r="796">
          <cell r="O796">
            <v>0</v>
          </cell>
        </row>
        <row r="797">
          <cell r="O797">
            <v>0</v>
          </cell>
        </row>
        <row r="798">
          <cell r="O798">
            <v>0</v>
          </cell>
        </row>
        <row r="799">
          <cell r="O799">
            <v>0</v>
          </cell>
        </row>
        <row r="800">
          <cell r="O800">
            <v>0</v>
          </cell>
        </row>
        <row r="801">
          <cell r="O801">
            <v>0</v>
          </cell>
        </row>
        <row r="802">
          <cell r="O802">
            <v>0</v>
          </cell>
        </row>
        <row r="803">
          <cell r="O803">
            <v>0</v>
          </cell>
        </row>
        <row r="804">
          <cell r="O804">
            <v>0</v>
          </cell>
        </row>
        <row r="805">
          <cell r="O805">
            <v>0</v>
          </cell>
        </row>
        <row r="806">
          <cell r="O806">
            <v>0</v>
          </cell>
        </row>
        <row r="807">
          <cell r="O807">
            <v>0</v>
          </cell>
        </row>
        <row r="808">
          <cell r="O808">
            <v>0</v>
          </cell>
        </row>
        <row r="809">
          <cell r="O809">
            <v>0</v>
          </cell>
        </row>
        <row r="810">
          <cell r="O810">
            <v>0</v>
          </cell>
        </row>
        <row r="811">
          <cell r="O811">
            <v>0</v>
          </cell>
        </row>
        <row r="812">
          <cell r="O812">
            <v>0</v>
          </cell>
        </row>
        <row r="813">
          <cell r="O813">
            <v>0</v>
          </cell>
        </row>
        <row r="814">
          <cell r="O814">
            <v>0</v>
          </cell>
        </row>
        <row r="815">
          <cell r="O815">
            <v>0</v>
          </cell>
        </row>
        <row r="816">
          <cell r="O816">
            <v>0</v>
          </cell>
        </row>
        <row r="817">
          <cell r="O817">
            <v>0</v>
          </cell>
        </row>
        <row r="818">
          <cell r="O818">
            <v>0</v>
          </cell>
        </row>
        <row r="819">
          <cell r="O819">
            <v>0</v>
          </cell>
        </row>
        <row r="820">
          <cell r="O820">
            <v>0</v>
          </cell>
        </row>
        <row r="821">
          <cell r="O821">
            <v>0</v>
          </cell>
        </row>
        <row r="822">
          <cell r="O822">
            <v>0</v>
          </cell>
        </row>
        <row r="823">
          <cell r="O823">
            <v>0</v>
          </cell>
        </row>
        <row r="824">
          <cell r="O824">
            <v>0</v>
          </cell>
        </row>
        <row r="825">
          <cell r="O825">
            <v>0</v>
          </cell>
        </row>
        <row r="826">
          <cell r="O826">
            <v>0</v>
          </cell>
        </row>
        <row r="827">
          <cell r="O827">
            <v>0</v>
          </cell>
        </row>
        <row r="828">
          <cell r="O828">
            <v>0</v>
          </cell>
        </row>
        <row r="829">
          <cell r="O829">
            <v>0</v>
          </cell>
        </row>
        <row r="830">
          <cell r="O830">
            <v>0</v>
          </cell>
        </row>
        <row r="831">
          <cell r="O831">
            <v>0</v>
          </cell>
        </row>
        <row r="832">
          <cell r="O832">
            <v>0</v>
          </cell>
        </row>
        <row r="833">
          <cell r="O833">
            <v>0</v>
          </cell>
        </row>
        <row r="834">
          <cell r="O834">
            <v>0</v>
          </cell>
        </row>
        <row r="835">
          <cell r="O835">
            <v>0</v>
          </cell>
        </row>
        <row r="836">
          <cell r="O836">
            <v>0</v>
          </cell>
        </row>
        <row r="837">
          <cell r="O837">
            <v>0</v>
          </cell>
        </row>
        <row r="838">
          <cell r="O838">
            <v>0</v>
          </cell>
        </row>
        <row r="839">
          <cell r="O839">
            <v>0</v>
          </cell>
        </row>
        <row r="840">
          <cell r="O840">
            <v>0</v>
          </cell>
        </row>
        <row r="841">
          <cell r="O841">
            <v>0</v>
          </cell>
        </row>
        <row r="842">
          <cell r="O842">
            <v>0</v>
          </cell>
        </row>
        <row r="843">
          <cell r="O843">
            <v>0</v>
          </cell>
        </row>
        <row r="844">
          <cell r="O844">
            <v>0</v>
          </cell>
        </row>
        <row r="845">
          <cell r="O845">
            <v>0</v>
          </cell>
        </row>
        <row r="846">
          <cell r="O846">
            <v>0</v>
          </cell>
        </row>
        <row r="847">
          <cell r="O847">
            <v>0</v>
          </cell>
        </row>
        <row r="848">
          <cell r="O848">
            <v>0</v>
          </cell>
        </row>
        <row r="849">
          <cell r="O849">
            <v>0</v>
          </cell>
        </row>
        <row r="850">
          <cell r="O850">
            <v>0</v>
          </cell>
        </row>
        <row r="851">
          <cell r="O851">
            <v>0</v>
          </cell>
        </row>
        <row r="852">
          <cell r="O852">
            <v>0</v>
          </cell>
        </row>
        <row r="853">
          <cell r="O853">
            <v>0</v>
          </cell>
        </row>
        <row r="854">
          <cell r="O854">
            <v>0</v>
          </cell>
        </row>
        <row r="855">
          <cell r="O855">
            <v>0</v>
          </cell>
        </row>
        <row r="856">
          <cell r="O856">
            <v>0</v>
          </cell>
        </row>
        <row r="857">
          <cell r="O857">
            <v>0</v>
          </cell>
        </row>
        <row r="858">
          <cell r="O858">
            <v>0</v>
          </cell>
        </row>
        <row r="859">
          <cell r="O859">
            <v>0</v>
          </cell>
        </row>
        <row r="860">
          <cell r="O860">
            <v>0</v>
          </cell>
        </row>
        <row r="861">
          <cell r="O861">
            <v>0</v>
          </cell>
        </row>
        <row r="862">
          <cell r="O862">
            <v>0</v>
          </cell>
        </row>
        <row r="863">
          <cell r="O863">
            <v>0</v>
          </cell>
        </row>
        <row r="864">
          <cell r="O864">
            <v>0</v>
          </cell>
        </row>
        <row r="865">
          <cell r="O865">
            <v>0</v>
          </cell>
        </row>
        <row r="866">
          <cell r="O866">
            <v>0</v>
          </cell>
        </row>
        <row r="867">
          <cell r="O867">
            <v>0</v>
          </cell>
        </row>
        <row r="868">
          <cell r="O868">
            <v>0</v>
          </cell>
        </row>
        <row r="869">
          <cell r="O869">
            <v>0</v>
          </cell>
        </row>
        <row r="870">
          <cell r="O870">
            <v>0</v>
          </cell>
        </row>
        <row r="871">
          <cell r="O871">
            <v>0</v>
          </cell>
        </row>
        <row r="872">
          <cell r="O872">
            <v>0</v>
          </cell>
        </row>
        <row r="873">
          <cell r="O873">
            <v>0</v>
          </cell>
        </row>
        <row r="874">
          <cell r="O874">
            <v>0</v>
          </cell>
        </row>
        <row r="875">
          <cell r="O875">
            <v>0</v>
          </cell>
        </row>
        <row r="876">
          <cell r="O876">
            <v>0</v>
          </cell>
        </row>
        <row r="877">
          <cell r="O877">
            <v>0</v>
          </cell>
        </row>
        <row r="878">
          <cell r="O878">
            <v>0</v>
          </cell>
        </row>
        <row r="879">
          <cell r="O879">
            <v>0</v>
          </cell>
        </row>
        <row r="880">
          <cell r="O880">
            <v>0</v>
          </cell>
        </row>
        <row r="881">
          <cell r="O881">
            <v>0</v>
          </cell>
        </row>
        <row r="882">
          <cell r="O882">
            <v>0</v>
          </cell>
        </row>
        <row r="883">
          <cell r="O883">
            <v>0</v>
          </cell>
        </row>
        <row r="884">
          <cell r="O884">
            <v>0</v>
          </cell>
        </row>
        <row r="885">
          <cell r="O885">
            <v>0</v>
          </cell>
        </row>
        <row r="886">
          <cell r="O886">
            <v>0</v>
          </cell>
        </row>
        <row r="887">
          <cell r="O887">
            <v>0</v>
          </cell>
        </row>
        <row r="888">
          <cell r="O888">
            <v>0</v>
          </cell>
        </row>
        <row r="889">
          <cell r="O889">
            <v>0</v>
          </cell>
        </row>
        <row r="890">
          <cell r="O890">
            <v>0</v>
          </cell>
        </row>
        <row r="891">
          <cell r="O891">
            <v>0</v>
          </cell>
        </row>
        <row r="892">
          <cell r="O892">
            <v>0</v>
          </cell>
        </row>
        <row r="893">
          <cell r="O893">
            <v>0</v>
          </cell>
        </row>
        <row r="894">
          <cell r="O894">
            <v>0</v>
          </cell>
        </row>
        <row r="895">
          <cell r="O895">
            <v>0</v>
          </cell>
        </row>
        <row r="896">
          <cell r="O896">
            <v>0</v>
          </cell>
        </row>
        <row r="897">
          <cell r="O897">
            <v>0</v>
          </cell>
        </row>
        <row r="898">
          <cell r="O898">
            <v>0</v>
          </cell>
        </row>
        <row r="899">
          <cell r="O899">
            <v>0</v>
          </cell>
        </row>
        <row r="900">
          <cell r="O900">
            <v>0.51799023033088232</v>
          </cell>
        </row>
        <row r="901">
          <cell r="O901">
            <v>0</v>
          </cell>
        </row>
        <row r="902">
          <cell r="O902">
            <v>0</v>
          </cell>
        </row>
        <row r="903">
          <cell r="O903">
            <v>0</v>
          </cell>
        </row>
        <row r="904">
          <cell r="O904">
            <v>0</v>
          </cell>
        </row>
        <row r="905">
          <cell r="O905">
            <v>0</v>
          </cell>
        </row>
        <row r="906">
          <cell r="O906">
            <v>0</v>
          </cell>
        </row>
        <row r="907">
          <cell r="O907">
            <v>0</v>
          </cell>
        </row>
        <row r="908">
          <cell r="O908">
            <v>0</v>
          </cell>
        </row>
        <row r="909">
          <cell r="O909">
            <v>0</v>
          </cell>
        </row>
        <row r="910">
          <cell r="O910">
            <v>0</v>
          </cell>
        </row>
        <row r="911">
          <cell r="O911">
            <v>0</v>
          </cell>
        </row>
        <row r="912">
          <cell r="O912">
            <v>1.3492143822478992</v>
          </cell>
        </row>
        <row r="913">
          <cell r="O913">
            <v>13.445128407261935</v>
          </cell>
        </row>
        <row r="914">
          <cell r="O914">
            <v>4.0335385221785804</v>
          </cell>
        </row>
        <row r="915">
          <cell r="O915">
            <v>4.0335385221785804</v>
          </cell>
        </row>
        <row r="916">
          <cell r="O916">
            <v>4.0335385221785804</v>
          </cell>
        </row>
        <row r="917">
          <cell r="O917">
            <v>4.0335385221785804</v>
          </cell>
        </row>
        <row r="918">
          <cell r="O918">
            <v>4.0335385221785804</v>
          </cell>
        </row>
        <row r="919">
          <cell r="O919">
            <v>4.0335385221785804</v>
          </cell>
        </row>
        <row r="920">
          <cell r="O920">
            <v>0</v>
          </cell>
        </row>
        <row r="921">
          <cell r="O921">
            <v>10.083846305446452</v>
          </cell>
        </row>
        <row r="922">
          <cell r="O922">
            <v>2.4201231133071484</v>
          </cell>
        </row>
        <row r="923">
          <cell r="O923">
            <v>2.4201231133071484</v>
          </cell>
        </row>
        <row r="924">
          <cell r="O924">
            <v>2.4201231133071484</v>
          </cell>
        </row>
        <row r="925">
          <cell r="O925">
            <v>2.4201231133071484</v>
          </cell>
        </row>
        <row r="926">
          <cell r="O926">
            <v>16.134154088714322</v>
          </cell>
        </row>
        <row r="927">
          <cell r="O927">
            <v>4.0335385221785804</v>
          </cell>
        </row>
        <row r="928">
          <cell r="O928">
            <v>4.0335385221785804</v>
          </cell>
        </row>
        <row r="929">
          <cell r="O929">
            <v>4.0335385221785804</v>
          </cell>
        </row>
        <row r="930">
          <cell r="O930">
            <v>4.0335385221785804</v>
          </cell>
        </row>
        <row r="931">
          <cell r="O931">
            <v>4.0335385221785804</v>
          </cell>
        </row>
        <row r="932">
          <cell r="O932">
            <v>4.0335385221785804</v>
          </cell>
        </row>
        <row r="933">
          <cell r="O933">
            <v>13.445128407261935</v>
          </cell>
        </row>
        <row r="934">
          <cell r="O934">
            <v>2.4201231133071484</v>
          </cell>
        </row>
        <row r="935">
          <cell r="O935">
            <v>2.4201231133071484</v>
          </cell>
        </row>
        <row r="936">
          <cell r="O936">
            <v>2.4201231133071484</v>
          </cell>
        </row>
        <row r="937">
          <cell r="O937">
            <v>2.4201231133071484</v>
          </cell>
        </row>
        <row r="938">
          <cell r="O938">
            <v>5.8836191804141498</v>
          </cell>
        </row>
        <row r="939">
          <cell r="O939">
            <v>2.853197775688427</v>
          </cell>
        </row>
        <row r="940">
          <cell r="O940">
            <v>0.64196949952989613</v>
          </cell>
        </row>
        <row r="941">
          <cell r="O941">
            <v>0.41439218426470587</v>
          </cell>
        </row>
        <row r="942">
          <cell r="O942">
            <v>1.9612063934713833</v>
          </cell>
        </row>
        <row r="943">
          <cell r="O943">
            <v>0</v>
          </cell>
        </row>
        <row r="944">
          <cell r="O944">
            <v>0.80283007155168695</v>
          </cell>
        </row>
        <row r="945">
          <cell r="O945">
            <v>0</v>
          </cell>
        </row>
        <row r="946">
          <cell r="O946">
            <v>0.79911209530601846</v>
          </cell>
        </row>
        <row r="947">
          <cell r="O947">
            <v>0</v>
          </cell>
        </row>
        <row r="948">
          <cell r="O948">
            <v>0.89266806635294116</v>
          </cell>
        </row>
        <row r="949">
          <cell r="O949">
            <v>0</v>
          </cell>
        </row>
        <row r="950">
          <cell r="O950">
            <v>0</v>
          </cell>
        </row>
        <row r="951">
          <cell r="O951">
            <v>0</v>
          </cell>
        </row>
        <row r="952">
          <cell r="O952">
            <v>0</v>
          </cell>
        </row>
        <row r="953">
          <cell r="O953">
            <v>0</v>
          </cell>
        </row>
        <row r="954">
          <cell r="O954">
            <v>0</v>
          </cell>
        </row>
        <row r="955">
          <cell r="O955">
            <v>0</v>
          </cell>
        </row>
        <row r="956">
          <cell r="O956">
            <v>0</v>
          </cell>
        </row>
        <row r="957">
          <cell r="O957">
            <v>0</v>
          </cell>
        </row>
        <row r="958">
          <cell r="O958">
            <v>0</v>
          </cell>
        </row>
        <row r="959">
          <cell r="O959">
            <v>0</v>
          </cell>
        </row>
        <row r="960">
          <cell r="O960">
            <v>0</v>
          </cell>
        </row>
        <row r="961">
          <cell r="O961">
            <v>0</v>
          </cell>
        </row>
        <row r="962">
          <cell r="O962">
            <v>0</v>
          </cell>
        </row>
        <row r="963">
          <cell r="O963">
            <v>0</v>
          </cell>
        </row>
        <row r="964">
          <cell r="O964">
            <v>0</v>
          </cell>
        </row>
        <row r="965">
          <cell r="O965">
            <v>0</v>
          </cell>
        </row>
        <row r="966">
          <cell r="O966">
            <v>0</v>
          </cell>
        </row>
        <row r="967">
          <cell r="O967">
            <v>0</v>
          </cell>
        </row>
        <row r="968">
          <cell r="O968">
            <v>0</v>
          </cell>
        </row>
        <row r="969">
          <cell r="O969">
            <v>0</v>
          </cell>
        </row>
        <row r="970">
          <cell r="O970">
            <v>0</v>
          </cell>
        </row>
        <row r="971">
          <cell r="O971">
            <v>0</v>
          </cell>
        </row>
        <row r="972">
          <cell r="O972">
            <v>0</v>
          </cell>
        </row>
        <row r="973">
          <cell r="O973">
            <v>0</v>
          </cell>
        </row>
        <row r="974">
          <cell r="O974">
            <v>0</v>
          </cell>
        </row>
        <row r="975">
          <cell r="O975">
            <v>0</v>
          </cell>
        </row>
        <row r="976">
          <cell r="O976">
            <v>0</v>
          </cell>
        </row>
        <row r="977">
          <cell r="O977">
            <v>0</v>
          </cell>
        </row>
        <row r="978">
          <cell r="O978">
            <v>0</v>
          </cell>
        </row>
        <row r="979">
          <cell r="O979">
            <v>0</v>
          </cell>
        </row>
        <row r="980">
          <cell r="O980">
            <v>0</v>
          </cell>
        </row>
        <row r="981">
          <cell r="O981">
            <v>0</v>
          </cell>
        </row>
        <row r="982">
          <cell r="O982">
            <v>0</v>
          </cell>
        </row>
        <row r="983">
          <cell r="O983">
            <v>0</v>
          </cell>
        </row>
        <row r="984">
          <cell r="O984">
            <v>0</v>
          </cell>
        </row>
        <row r="985">
          <cell r="O985">
            <v>0</v>
          </cell>
        </row>
        <row r="986">
          <cell r="O986">
            <v>0</v>
          </cell>
        </row>
        <row r="987">
          <cell r="O987">
            <v>0</v>
          </cell>
        </row>
        <row r="988">
          <cell r="O988">
            <v>0</v>
          </cell>
        </row>
        <row r="989">
          <cell r="O989">
            <v>0</v>
          </cell>
        </row>
        <row r="990">
          <cell r="O990">
            <v>0</v>
          </cell>
        </row>
        <row r="991">
          <cell r="O991">
            <v>0</v>
          </cell>
        </row>
        <row r="992">
          <cell r="O992">
            <v>0</v>
          </cell>
        </row>
        <row r="993">
          <cell r="O993">
            <v>0</v>
          </cell>
        </row>
        <row r="994">
          <cell r="O994">
            <v>0</v>
          </cell>
        </row>
        <row r="995">
          <cell r="O995">
            <v>0</v>
          </cell>
        </row>
        <row r="996">
          <cell r="O996">
            <v>0</v>
          </cell>
        </row>
        <row r="997">
          <cell r="O997">
            <v>0</v>
          </cell>
        </row>
        <row r="998">
          <cell r="O998">
            <v>0</v>
          </cell>
        </row>
        <row r="999">
          <cell r="O999">
            <v>0</v>
          </cell>
        </row>
        <row r="1000">
          <cell r="O1000">
            <v>0</v>
          </cell>
        </row>
        <row r="1001">
          <cell r="O1001">
            <v>0</v>
          </cell>
        </row>
        <row r="1002">
          <cell r="O1002">
            <v>0</v>
          </cell>
        </row>
        <row r="1003">
          <cell r="O1003">
            <v>0</v>
          </cell>
        </row>
        <row r="1004">
          <cell r="O1004">
            <v>0</v>
          </cell>
        </row>
        <row r="1005">
          <cell r="O1005">
            <v>0</v>
          </cell>
        </row>
        <row r="1006">
          <cell r="O1006">
            <v>0</v>
          </cell>
        </row>
        <row r="1007">
          <cell r="O1007">
            <v>0</v>
          </cell>
        </row>
        <row r="1008">
          <cell r="O1008">
            <v>0</v>
          </cell>
        </row>
        <row r="1009">
          <cell r="O1009">
            <v>0</v>
          </cell>
        </row>
        <row r="1010">
          <cell r="O1010">
            <v>0</v>
          </cell>
        </row>
        <row r="1011">
          <cell r="O1011">
            <v>0</v>
          </cell>
        </row>
        <row r="1012">
          <cell r="O1012">
            <v>0</v>
          </cell>
        </row>
        <row r="1013">
          <cell r="O1013">
            <v>0</v>
          </cell>
        </row>
        <row r="1014">
          <cell r="O1014">
            <v>0</v>
          </cell>
        </row>
        <row r="1015">
          <cell r="O1015">
            <v>0</v>
          </cell>
        </row>
        <row r="1016">
          <cell r="O1016">
            <v>0</v>
          </cell>
        </row>
        <row r="1017">
          <cell r="O1017">
            <v>0</v>
          </cell>
        </row>
        <row r="1018">
          <cell r="O1018">
            <v>0</v>
          </cell>
        </row>
        <row r="1019">
          <cell r="O1019">
            <v>0</v>
          </cell>
        </row>
        <row r="1020">
          <cell r="O1020">
            <v>0</v>
          </cell>
        </row>
        <row r="1021">
          <cell r="O1021">
            <v>0</v>
          </cell>
        </row>
        <row r="1022">
          <cell r="O1022">
            <v>0</v>
          </cell>
        </row>
        <row r="1023">
          <cell r="O1023">
            <v>0</v>
          </cell>
        </row>
        <row r="1024">
          <cell r="O1024">
            <v>0</v>
          </cell>
        </row>
        <row r="1025">
          <cell r="O1025">
            <v>0</v>
          </cell>
        </row>
        <row r="1026">
          <cell r="O1026">
            <v>0</v>
          </cell>
        </row>
        <row r="1027">
          <cell r="O1027">
            <v>0</v>
          </cell>
        </row>
        <row r="1028">
          <cell r="O1028">
            <v>24.806249999999999</v>
          </cell>
        </row>
        <row r="1029">
          <cell r="O1029">
            <v>0</v>
          </cell>
        </row>
        <row r="1030">
          <cell r="O1030">
            <v>0</v>
          </cell>
        </row>
        <row r="1031">
          <cell r="O1031">
            <v>0</v>
          </cell>
        </row>
        <row r="1032">
          <cell r="O1032">
            <v>6.8570154877035865</v>
          </cell>
        </row>
        <row r="1033">
          <cell r="O1033">
            <v>3.0581957456728879</v>
          </cell>
        </row>
        <row r="1034">
          <cell r="O1034">
            <v>6.6693498006716982</v>
          </cell>
        </row>
        <row r="1035">
          <cell r="O1035">
            <v>3.2119174433314899</v>
          </cell>
        </row>
        <row r="1036">
          <cell r="O1036">
            <v>0</v>
          </cell>
        </row>
        <row r="1037">
          <cell r="O1037">
            <v>0</v>
          </cell>
        </row>
        <row r="1038">
          <cell r="O1038">
            <v>0.8080647593161765</v>
          </cell>
        </row>
        <row r="1039">
          <cell r="O1039">
            <v>0</v>
          </cell>
        </row>
        <row r="1040">
          <cell r="O1040">
            <v>0</v>
          </cell>
        </row>
        <row r="1041">
          <cell r="O1041">
            <v>0</v>
          </cell>
        </row>
        <row r="1042">
          <cell r="O1042">
            <v>0</v>
          </cell>
        </row>
        <row r="1043">
          <cell r="O1043">
            <v>1.0826866559531978</v>
          </cell>
        </row>
        <row r="1044">
          <cell r="O1044">
            <v>1.0826866559531978</v>
          </cell>
        </row>
        <row r="1045">
          <cell r="O1045">
            <v>0</v>
          </cell>
        </row>
        <row r="1046">
          <cell r="O1046">
            <v>0</v>
          </cell>
        </row>
        <row r="1047">
          <cell r="O1047">
            <v>0</v>
          </cell>
        </row>
        <row r="1048">
          <cell r="O1048">
            <v>0</v>
          </cell>
        </row>
        <row r="1049">
          <cell r="O1049">
            <v>0</v>
          </cell>
        </row>
        <row r="1050">
          <cell r="O1050">
            <v>0</v>
          </cell>
        </row>
        <row r="1051">
          <cell r="O1051">
            <v>0</v>
          </cell>
        </row>
        <row r="1052">
          <cell r="O1052">
            <v>0</v>
          </cell>
        </row>
        <row r="1053">
          <cell r="O1053">
            <v>0</v>
          </cell>
        </row>
        <row r="1054">
          <cell r="O1054">
            <v>0</v>
          </cell>
        </row>
        <row r="1055">
          <cell r="O1055">
            <v>0</v>
          </cell>
        </row>
        <row r="1056">
          <cell r="O1056">
            <v>0</v>
          </cell>
        </row>
        <row r="1057">
          <cell r="O1057">
            <v>0</v>
          </cell>
        </row>
        <row r="1058">
          <cell r="O1058">
            <v>0</v>
          </cell>
        </row>
        <row r="1059">
          <cell r="O1059">
            <v>0</v>
          </cell>
        </row>
        <row r="1060">
          <cell r="O1060">
            <v>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H40"/>
  <sheetViews>
    <sheetView showGridLines="0" zoomScaleNormal="100" workbookViewId="0">
      <pane ySplit="12" topLeftCell="A13" activePane="bottomLeft" state="frozen"/>
      <selection pane="bottomLeft" activeCell="B3" sqref="B3"/>
    </sheetView>
  </sheetViews>
  <sheetFormatPr defaultColWidth="9.140625" defaultRowHeight="13.5"/>
  <cols>
    <col min="1" max="1" width="27.140625" style="293" customWidth="1"/>
    <col min="2" max="2" width="34.85546875" style="293" customWidth="1"/>
    <col min="3" max="3" width="20" style="293" customWidth="1"/>
    <col min="4" max="4" width="68.7109375" style="293" customWidth="1"/>
    <col min="5" max="16384" width="9.140625" style="293"/>
  </cols>
  <sheetData>
    <row r="1" spans="1:8">
      <c r="A1" s="300" t="s">
        <v>9</v>
      </c>
      <c r="B1" s="1"/>
      <c r="C1" s="1"/>
      <c r="D1" s="2"/>
      <c r="E1" s="2"/>
      <c r="F1" s="2"/>
      <c r="G1" s="2"/>
      <c r="H1" s="2"/>
    </row>
    <row r="2" spans="1:8">
      <c r="A2" s="27"/>
      <c r="B2" s="1"/>
      <c r="C2" s="1"/>
      <c r="D2" s="2"/>
      <c r="E2" s="2"/>
      <c r="F2" s="2"/>
      <c r="G2" s="2"/>
      <c r="H2" s="2"/>
    </row>
    <row r="3" spans="1:8" ht="17.25">
      <c r="A3" s="52" t="s">
        <v>10</v>
      </c>
      <c r="B3" s="53" t="str">
        <f>'1-Inschrijfstaat'!B3</f>
        <v>GVB Infra B.V.</v>
      </c>
      <c r="C3" s="5"/>
      <c r="D3" s="6"/>
      <c r="E3" s="6"/>
      <c r="F3" s="6"/>
      <c r="G3" s="2"/>
      <c r="H3" s="2"/>
    </row>
    <row r="4" spans="1:8" ht="17.25">
      <c r="A4" s="52" t="s">
        <v>15</v>
      </c>
      <c r="B4" s="53" t="str">
        <f ca="1">MID(CELL("bestandsnaam",$D$10),SEARCH("]",CELL("bestandsnaam",$D$10),1)+1,256)</f>
        <v>Mutatieblad</v>
      </c>
      <c r="C4" s="5"/>
      <c r="D4" s="6"/>
      <c r="E4" s="6"/>
      <c r="F4" s="6"/>
      <c r="G4" s="2"/>
      <c r="H4" s="2"/>
    </row>
    <row r="5" spans="1:8" ht="17.25">
      <c r="A5" s="52" t="s">
        <v>11</v>
      </c>
      <c r="B5" s="53" t="s">
        <v>1141</v>
      </c>
      <c r="C5" s="5"/>
      <c r="D5" s="6"/>
      <c r="E5" s="6"/>
      <c r="F5" s="6"/>
      <c r="G5" s="7"/>
      <c r="H5" s="2"/>
    </row>
    <row r="6" spans="1:8" ht="17.25">
      <c r="A6" s="52" t="s">
        <v>16</v>
      </c>
      <c r="B6" s="53" t="str">
        <f>'1-Inschrijfstaat'!B6</f>
        <v>2021-03</v>
      </c>
      <c r="C6" s="5"/>
      <c r="D6" s="6"/>
      <c r="E6" s="6"/>
      <c r="F6" s="6"/>
      <c r="G6" s="7"/>
      <c r="H6" s="2"/>
    </row>
    <row r="7" spans="1:8" ht="17.25">
      <c r="A7" s="52" t="s">
        <v>13</v>
      </c>
      <c r="B7" s="53" t="str">
        <f>'1-Inschrijfstaat'!B7</f>
        <v>Naam dienstverlener</v>
      </c>
      <c r="C7" s="5"/>
      <c r="D7" s="6"/>
      <c r="E7" s="6"/>
      <c r="F7" s="6"/>
      <c r="G7" s="7"/>
      <c r="H7" s="7"/>
    </row>
    <row r="8" spans="1:8" ht="17.25">
      <c r="A8" s="52" t="s">
        <v>14</v>
      </c>
      <c r="B8" s="9" t="str">
        <f>'1-Inschrijfstaat'!B8</f>
        <v>1 juni 2021</v>
      </c>
      <c r="C8" s="5"/>
      <c r="D8" s="6"/>
      <c r="E8" s="6"/>
      <c r="F8" s="6"/>
      <c r="G8" s="7"/>
      <c r="H8" s="7"/>
    </row>
    <row r="9" spans="1:8" ht="17.25">
      <c r="A9" s="52" t="s">
        <v>0</v>
      </c>
      <c r="B9" s="10" t="str">
        <f>'1-Inschrijfstaat'!B9</f>
        <v>1 Comfort schoonmaak</v>
      </c>
      <c r="C9" s="5"/>
      <c r="D9" s="6"/>
      <c r="E9" s="6"/>
      <c r="F9" s="6"/>
      <c r="G9" s="7"/>
      <c r="H9" s="7"/>
    </row>
    <row r="12" spans="1:8" ht="14.25">
      <c r="A12" s="301" t="s">
        <v>1326</v>
      </c>
      <c r="B12" s="301" t="s">
        <v>1327</v>
      </c>
      <c r="C12" s="301" t="s">
        <v>1328</v>
      </c>
      <c r="D12" s="301" t="s">
        <v>1329</v>
      </c>
    </row>
    <row r="13" spans="1:8">
      <c r="A13" s="294"/>
      <c r="B13" s="295"/>
      <c r="C13" s="294"/>
      <c r="D13" s="295"/>
    </row>
    <row r="14" spans="1:8">
      <c r="A14" s="294"/>
      <c r="B14" s="295"/>
      <c r="C14" s="294"/>
      <c r="D14" s="295"/>
    </row>
    <row r="15" spans="1:8" s="298" customFormat="1">
      <c r="A15" s="296"/>
      <c r="B15" s="297"/>
      <c r="C15" s="296"/>
      <c r="D15" s="297"/>
    </row>
    <row r="16" spans="1:8">
      <c r="A16" s="296"/>
      <c r="B16" s="297"/>
      <c r="C16" s="296"/>
      <c r="D16" s="299"/>
    </row>
    <row r="17" spans="1:4">
      <c r="A17" s="294"/>
      <c r="B17" s="295"/>
      <c r="C17" s="294"/>
      <c r="D17" s="295"/>
    </row>
    <row r="18" spans="1:4">
      <c r="A18" s="294"/>
      <c r="B18" s="295"/>
      <c r="C18" s="294"/>
      <c r="D18" s="295"/>
    </row>
    <row r="19" spans="1:4">
      <c r="A19" s="294"/>
      <c r="B19" s="295"/>
      <c r="C19" s="294"/>
      <c r="D19" s="295"/>
    </row>
    <row r="20" spans="1:4">
      <c r="A20" s="294"/>
      <c r="B20" s="295"/>
      <c r="C20" s="294"/>
      <c r="D20" s="295"/>
    </row>
    <row r="21" spans="1:4">
      <c r="A21" s="294"/>
      <c r="B21" s="295"/>
      <c r="C21" s="294"/>
      <c r="D21" s="295"/>
    </row>
    <row r="22" spans="1:4">
      <c r="A22" s="294"/>
      <c r="B22" s="295"/>
      <c r="C22" s="294"/>
      <c r="D22" s="295"/>
    </row>
    <row r="23" spans="1:4">
      <c r="A23" s="294"/>
      <c r="B23" s="295"/>
      <c r="C23" s="294"/>
      <c r="D23" s="295"/>
    </row>
    <row r="24" spans="1:4">
      <c r="A24" s="294"/>
      <c r="B24" s="295"/>
      <c r="C24" s="294"/>
      <c r="D24" s="295"/>
    </row>
    <row r="25" spans="1:4">
      <c r="A25" s="294"/>
      <c r="B25" s="295"/>
      <c r="C25" s="294"/>
      <c r="D25" s="295"/>
    </row>
    <row r="26" spans="1:4">
      <c r="A26" s="294"/>
      <c r="B26" s="295"/>
      <c r="C26" s="294"/>
      <c r="D26" s="295"/>
    </row>
    <row r="27" spans="1:4">
      <c r="A27" s="294"/>
      <c r="B27" s="295"/>
      <c r="C27" s="294"/>
      <c r="D27" s="295"/>
    </row>
    <row r="28" spans="1:4">
      <c r="A28" s="294"/>
      <c r="B28" s="295"/>
      <c r="C28" s="294"/>
      <c r="D28" s="295"/>
    </row>
    <row r="29" spans="1:4">
      <c r="A29" s="294"/>
      <c r="B29" s="295"/>
      <c r="C29" s="294"/>
      <c r="D29" s="295"/>
    </row>
    <row r="30" spans="1:4">
      <c r="A30" s="294"/>
      <c r="B30" s="295"/>
      <c r="C30" s="294"/>
      <c r="D30" s="295"/>
    </row>
    <row r="31" spans="1:4">
      <c r="A31" s="294"/>
      <c r="B31" s="295"/>
      <c r="C31" s="294"/>
      <c r="D31" s="295"/>
    </row>
    <row r="32" spans="1:4">
      <c r="A32" s="294"/>
      <c r="B32" s="295"/>
      <c r="C32" s="294"/>
      <c r="D32" s="295"/>
    </row>
    <row r="33" spans="1:4">
      <c r="A33" s="294"/>
      <c r="B33" s="295"/>
      <c r="C33" s="294"/>
      <c r="D33" s="295"/>
    </row>
    <row r="34" spans="1:4">
      <c r="A34" s="294"/>
      <c r="B34" s="295"/>
      <c r="C34" s="294"/>
      <c r="D34" s="295"/>
    </row>
    <row r="35" spans="1:4">
      <c r="A35" s="294"/>
      <c r="B35" s="295"/>
      <c r="C35" s="294"/>
      <c r="D35" s="295"/>
    </row>
    <row r="36" spans="1:4">
      <c r="A36" s="294"/>
      <c r="B36" s="295"/>
      <c r="C36" s="294"/>
      <c r="D36" s="295"/>
    </row>
    <row r="37" spans="1:4">
      <c r="A37" s="294"/>
      <c r="B37" s="295"/>
      <c r="C37" s="294"/>
      <c r="D37" s="295"/>
    </row>
    <row r="38" spans="1:4">
      <c r="A38" s="294"/>
      <c r="B38" s="295"/>
      <c r="C38" s="294"/>
      <c r="D38" s="295"/>
    </row>
    <row r="39" spans="1:4">
      <c r="A39" s="294"/>
      <c r="B39" s="295"/>
      <c r="C39" s="294"/>
      <c r="D39" s="295"/>
    </row>
    <row r="40" spans="1:4">
      <c r="A40" s="294"/>
      <c r="B40" s="295"/>
      <c r="C40" s="294"/>
      <c r="D40" s="295"/>
    </row>
  </sheetData>
  <pageMargins left="0.7" right="0.7" top="0.75" bottom="0.75" header="0.3" footer="0.3"/>
  <pageSetup paperSize="9" scale="5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N74"/>
  <sheetViews>
    <sheetView showGridLines="0" tabSelected="1" zoomScaleNormal="100" workbookViewId="0">
      <pane ySplit="11" topLeftCell="A12" activePane="bottomLeft" state="frozen"/>
      <selection activeCell="D6" sqref="D6"/>
      <selection pane="bottomLeft" activeCell="B11" sqref="B11"/>
    </sheetView>
  </sheetViews>
  <sheetFormatPr defaultColWidth="9.28515625" defaultRowHeight="13.5"/>
  <cols>
    <col min="1" max="1" width="35.5703125" style="2" customWidth="1"/>
    <col min="2" max="2" width="32.140625" style="2" customWidth="1"/>
    <col min="3" max="3" width="16.140625" style="2" customWidth="1"/>
    <col min="4" max="4" width="3.7109375" style="2" customWidth="1"/>
    <col min="5" max="5" width="12.7109375" style="2" customWidth="1"/>
    <col min="6" max="6" width="12" style="2" customWidth="1"/>
    <col min="7" max="7" width="12.7109375" style="2" customWidth="1"/>
    <col min="8" max="8" width="19.85546875" style="2" customWidth="1"/>
    <col min="9" max="9" width="2.42578125" style="2" customWidth="1"/>
    <col min="10" max="10" width="10.42578125" style="2" bestFit="1" customWidth="1"/>
    <col min="11" max="11" width="14.42578125" style="2" bestFit="1" customWidth="1"/>
    <col min="12" max="12" width="11.7109375" style="2" bestFit="1" customWidth="1"/>
    <col min="13" max="16384" width="9.28515625" style="2"/>
  </cols>
  <sheetData>
    <row r="1" spans="1:14">
      <c r="A1" s="385" t="s">
        <v>9</v>
      </c>
      <c r="B1" s="1"/>
      <c r="C1" s="1"/>
    </row>
    <row r="2" spans="1:14">
      <c r="A2" s="3"/>
      <c r="B2" s="1"/>
      <c r="C2" s="1"/>
    </row>
    <row r="3" spans="1:14" s="8" customFormat="1" ht="17.25">
      <c r="A3" s="52" t="s">
        <v>10</v>
      </c>
      <c r="B3" s="419" t="s">
        <v>1584</v>
      </c>
      <c r="C3" s="5"/>
      <c r="D3" s="6"/>
      <c r="E3" s="6"/>
      <c r="F3" s="6"/>
      <c r="G3" s="7"/>
      <c r="H3" s="7"/>
      <c r="K3" s="322"/>
      <c r="L3" s="323"/>
      <c r="M3" s="324"/>
      <c r="N3" s="324"/>
    </row>
    <row r="4" spans="1:14" s="8" customFormat="1" ht="17.25">
      <c r="A4" s="52" t="s">
        <v>15</v>
      </c>
      <c r="B4" s="53" t="str">
        <f ca="1">MID(CELL("bestandsnaam",$D$11),SEARCH("]",CELL("bestandsnaam",$D$11),1)+1,256)</f>
        <v>1-Inschrijfstaat</v>
      </c>
      <c r="C4" s="5"/>
      <c r="D4" s="6"/>
      <c r="E4" s="6"/>
      <c r="F4" s="6"/>
      <c r="G4" s="2"/>
      <c r="H4" s="2"/>
      <c r="I4" s="2"/>
      <c r="K4" s="323"/>
      <c r="L4" s="322"/>
      <c r="M4" s="322"/>
      <c r="N4" s="324"/>
    </row>
    <row r="5" spans="1:14" s="8" customFormat="1" ht="17.25">
      <c r="A5" s="52" t="s">
        <v>11</v>
      </c>
      <c r="B5" s="53" t="s">
        <v>1141</v>
      </c>
      <c r="C5" s="5"/>
      <c r="D5" s="6"/>
      <c r="E5" s="6"/>
      <c r="F5" s="6"/>
      <c r="G5" s="7"/>
      <c r="H5" s="7"/>
      <c r="K5" s="325"/>
      <c r="L5" s="323"/>
      <c r="M5" s="324"/>
      <c r="N5" s="324"/>
    </row>
    <row r="6" spans="1:14" s="8" customFormat="1" ht="17.25">
      <c r="A6" s="52" t="s">
        <v>16</v>
      </c>
      <c r="B6" s="419" t="s">
        <v>1583</v>
      </c>
      <c r="C6" s="5"/>
      <c r="D6" s="6"/>
      <c r="E6" s="6"/>
      <c r="F6" s="6"/>
      <c r="G6" s="2"/>
      <c r="H6" s="2"/>
      <c r="I6" s="2"/>
      <c r="K6" s="323"/>
      <c r="L6" s="322"/>
      <c r="M6" s="322"/>
      <c r="N6" s="324"/>
    </row>
    <row r="7" spans="1:14" s="8" customFormat="1" ht="17.25">
      <c r="A7" s="52" t="s">
        <v>13</v>
      </c>
      <c r="B7" s="433" t="s">
        <v>1562</v>
      </c>
      <c r="C7" s="433"/>
      <c r="D7" s="434"/>
      <c r="E7" s="6"/>
      <c r="F7" s="6"/>
      <c r="G7" s="7"/>
      <c r="H7" s="7"/>
      <c r="K7" s="326"/>
      <c r="L7" s="323"/>
      <c r="M7" s="324"/>
      <c r="N7" s="324"/>
    </row>
    <row r="8" spans="1:14" s="8" customFormat="1" ht="17.25">
      <c r="A8" s="52" t="s">
        <v>14</v>
      </c>
      <c r="B8" s="389" t="s">
        <v>1561</v>
      </c>
      <c r="C8" s="10"/>
      <c r="D8" s="6"/>
      <c r="E8" s="6"/>
      <c r="F8" s="6"/>
      <c r="G8" s="6"/>
      <c r="H8" s="7"/>
      <c r="K8" s="324"/>
      <c r="L8" s="323"/>
      <c r="M8" s="324"/>
      <c r="N8" s="324"/>
    </row>
    <row r="9" spans="1:14" s="8" customFormat="1" ht="17.25">
      <c r="A9" s="52" t="s">
        <v>0</v>
      </c>
      <c r="B9" s="10" t="s">
        <v>1527</v>
      </c>
      <c r="C9" s="10"/>
      <c r="D9" s="6"/>
      <c r="E9" s="6"/>
      <c r="F9" s="6"/>
      <c r="G9" s="7"/>
      <c r="H9" s="7"/>
      <c r="K9" s="324"/>
      <c r="L9" s="323"/>
      <c r="M9" s="324"/>
      <c r="N9" s="324"/>
    </row>
    <row r="10" spans="1:14" s="8" customFormat="1" ht="17.25">
      <c r="A10" s="52" t="s">
        <v>1575</v>
      </c>
      <c r="B10" s="10" t="s">
        <v>1591</v>
      </c>
      <c r="C10" s="10"/>
      <c r="D10" s="6"/>
      <c r="E10" s="6"/>
      <c r="F10" s="6"/>
      <c r="G10" s="7"/>
      <c r="H10" s="7"/>
      <c r="K10" s="324"/>
      <c r="L10" s="323"/>
      <c r="M10" s="324"/>
      <c r="N10" s="324"/>
    </row>
    <row r="11" spans="1:14" s="8" customFormat="1" ht="17.25">
      <c r="A11" s="11"/>
      <c r="G11" s="12"/>
      <c r="H11" s="12"/>
    </row>
    <row r="12" spans="1:14" s="8" customFormat="1" ht="17.25">
      <c r="A12" s="442" t="s">
        <v>1559</v>
      </c>
      <c r="B12" s="443"/>
      <c r="C12" s="443"/>
      <c r="D12" s="443"/>
      <c r="E12" s="443"/>
      <c r="F12" s="443"/>
      <c r="G12" s="443"/>
      <c r="H12" s="444"/>
      <c r="I12" s="20"/>
      <c r="J12" s="2"/>
    </row>
    <row r="14" spans="1:14" ht="27">
      <c r="A14" s="27" t="s">
        <v>1142</v>
      </c>
      <c r="D14" s="28"/>
      <c r="E14" s="28" t="s">
        <v>1143</v>
      </c>
      <c r="F14" s="28" t="s">
        <v>1144</v>
      </c>
      <c r="G14" s="28" t="s">
        <v>1145</v>
      </c>
      <c r="H14" s="388" t="s">
        <v>1146</v>
      </c>
      <c r="I14" s="13"/>
      <c r="K14" s="8"/>
    </row>
    <row r="15" spans="1:14">
      <c r="A15" s="29" t="s">
        <v>1147</v>
      </c>
      <c r="B15" s="29" t="s">
        <v>1567</v>
      </c>
      <c r="C15" s="29" t="s">
        <v>1564</v>
      </c>
      <c r="D15" s="30"/>
      <c r="E15" s="41">
        <v>0</v>
      </c>
      <c r="F15" s="14">
        <f>('2-Kosten per locatie'!$E$65+'2-Kosten per locatie'!$F$65)*E15</f>
        <v>0</v>
      </c>
      <c r="G15" s="44">
        <v>0</v>
      </c>
      <c r="H15" s="15">
        <f>G15*F15</f>
        <v>0</v>
      </c>
      <c r="I15" s="13"/>
    </row>
    <row r="16" spans="1:14">
      <c r="A16" s="29" t="s">
        <v>1147</v>
      </c>
      <c r="B16" s="29" t="s">
        <v>1571</v>
      </c>
      <c r="C16" s="29" t="s">
        <v>1564</v>
      </c>
      <c r="D16" s="30"/>
      <c r="E16" s="391">
        <v>0</v>
      </c>
      <c r="F16" s="14">
        <f>('2-Kosten per locatie'!$E$65+'2-Kosten per locatie'!$F$65)*E16</f>
        <v>0</v>
      </c>
      <c r="G16" s="399">
        <v>0</v>
      </c>
      <c r="H16" s="15">
        <f>G16*F16</f>
        <v>0</v>
      </c>
      <c r="I16" s="13"/>
    </row>
    <row r="17" spans="1:11" ht="17.25">
      <c r="A17" s="29" t="s">
        <v>1147</v>
      </c>
      <c r="B17" s="29" t="s">
        <v>1148</v>
      </c>
      <c r="C17" s="29" t="s">
        <v>1566</v>
      </c>
      <c r="D17" s="30"/>
      <c r="E17" s="41">
        <v>0</v>
      </c>
      <c r="F17" s="14">
        <f>('2-Kosten per locatie'!$E$65+'2-Kosten per locatie'!$F$65)*E17</f>
        <v>0</v>
      </c>
      <c r="G17" s="44">
        <v>0</v>
      </c>
      <c r="H17" s="15">
        <f>G17*F17</f>
        <v>0</v>
      </c>
      <c r="I17" s="13"/>
      <c r="K17" s="8"/>
    </row>
    <row r="18" spans="1:11" ht="17.25">
      <c r="A18" s="29" t="s">
        <v>1147</v>
      </c>
      <c r="B18" s="29" t="s">
        <v>1568</v>
      </c>
      <c r="C18" s="29" t="s">
        <v>1565</v>
      </c>
      <c r="D18" s="30"/>
      <c r="E18" s="391">
        <v>0</v>
      </c>
      <c r="F18" s="14">
        <f>('2-Kosten per locatie'!$E$65+'2-Kosten per locatie'!$F$65)*E18</f>
        <v>0</v>
      </c>
      <c r="G18" s="44">
        <v>0</v>
      </c>
      <c r="H18" s="15">
        <f t="shared" ref="H18:H19" si="0">G18*F18</f>
        <v>0</v>
      </c>
      <c r="I18" s="13"/>
      <c r="K18" s="8"/>
    </row>
    <row r="19" spans="1:11" ht="17.25">
      <c r="A19" s="29" t="s">
        <v>1147</v>
      </c>
      <c r="B19" s="29" t="s">
        <v>1569</v>
      </c>
      <c r="C19" s="29" t="s">
        <v>1565</v>
      </c>
      <c r="D19" s="30"/>
      <c r="E19" s="391">
        <v>0</v>
      </c>
      <c r="F19" s="14">
        <f>('2-Kosten per locatie'!$E$65+'2-Kosten per locatie'!$F$65)*E19</f>
        <v>0</v>
      </c>
      <c r="G19" s="394">
        <v>0</v>
      </c>
      <c r="H19" s="15">
        <f t="shared" si="0"/>
        <v>0</v>
      </c>
      <c r="I19" s="13"/>
      <c r="K19" s="8"/>
    </row>
    <row r="20" spans="1:11">
      <c r="A20" s="29"/>
      <c r="B20" s="29"/>
      <c r="C20" s="31" t="s">
        <v>12</v>
      </c>
      <c r="D20" s="32"/>
      <c r="E20" s="16">
        <f>SUM(E15:E19)</f>
        <v>0</v>
      </c>
      <c r="F20" s="396" t="s">
        <v>1570</v>
      </c>
      <c r="G20" s="395" t="e">
        <f>(H15+H16+H17+H18+H19)/(F15+F16+F17+F18+F19)</f>
        <v>#DIV/0!</v>
      </c>
      <c r="H20" s="392"/>
      <c r="I20" s="393"/>
    </row>
    <row r="21" spans="1:11">
      <c r="A21" s="29"/>
      <c r="B21" s="33"/>
      <c r="C21" s="33"/>
      <c r="D21" s="33"/>
      <c r="E21" s="33"/>
      <c r="F21" s="33"/>
      <c r="G21" s="34"/>
      <c r="H21" s="33"/>
      <c r="I21" s="17"/>
    </row>
    <row r="22" spans="1:11">
      <c r="A22" s="29" t="s">
        <v>1202</v>
      </c>
      <c r="B22" s="29" t="s">
        <v>1567</v>
      </c>
      <c r="C22" s="29" t="s">
        <v>1564</v>
      </c>
      <c r="D22" s="33"/>
      <c r="E22" s="42">
        <v>0</v>
      </c>
      <c r="F22" s="18">
        <f>F15*E22</f>
        <v>0</v>
      </c>
      <c r="G22" s="44">
        <v>0</v>
      </c>
      <c r="H22" s="15">
        <f>G22*F22</f>
        <v>0</v>
      </c>
    </row>
    <row r="23" spans="1:11">
      <c r="A23" s="29" t="s">
        <v>1202</v>
      </c>
      <c r="B23" s="29" t="s">
        <v>1571</v>
      </c>
      <c r="C23" s="29" t="s">
        <v>1564</v>
      </c>
      <c r="D23" s="33"/>
      <c r="E23" s="42">
        <v>0</v>
      </c>
      <c r="F23" s="18">
        <f t="shared" ref="F23:F26" si="1">F16*E23</f>
        <v>0</v>
      </c>
      <c r="G23" s="44">
        <v>0</v>
      </c>
      <c r="H23" s="15">
        <f>G23*F23</f>
        <v>0</v>
      </c>
    </row>
    <row r="24" spans="1:11">
      <c r="A24" s="29" t="s">
        <v>1202</v>
      </c>
      <c r="B24" s="29" t="s">
        <v>1148</v>
      </c>
      <c r="C24" s="29" t="s">
        <v>1566</v>
      </c>
      <c r="D24" s="33"/>
      <c r="E24" s="42">
        <v>0</v>
      </c>
      <c r="F24" s="18">
        <f t="shared" si="1"/>
        <v>0</v>
      </c>
      <c r="G24" s="44">
        <v>0</v>
      </c>
      <c r="H24" s="15">
        <f t="shared" ref="H24:H26" si="2">G24*F24</f>
        <v>0</v>
      </c>
    </row>
    <row r="25" spans="1:11">
      <c r="A25" s="29" t="s">
        <v>1202</v>
      </c>
      <c r="B25" s="29" t="s">
        <v>1568</v>
      </c>
      <c r="C25" s="29" t="s">
        <v>1565</v>
      </c>
      <c r="D25" s="33"/>
      <c r="E25" s="397">
        <v>0</v>
      </c>
      <c r="F25" s="18">
        <f t="shared" si="1"/>
        <v>0</v>
      </c>
      <c r="G25" s="44">
        <v>0</v>
      </c>
      <c r="H25" s="15">
        <f t="shared" si="2"/>
        <v>0</v>
      </c>
    </row>
    <row r="26" spans="1:11">
      <c r="A26" s="29" t="s">
        <v>1202</v>
      </c>
      <c r="B26" s="29" t="s">
        <v>1569</v>
      </c>
      <c r="C26" s="29" t="s">
        <v>1565</v>
      </c>
      <c r="D26" s="33"/>
      <c r="E26" s="397">
        <v>0</v>
      </c>
      <c r="F26" s="18">
        <f t="shared" si="1"/>
        <v>0</v>
      </c>
      <c r="G26" s="44">
        <v>0</v>
      </c>
      <c r="H26" s="15">
        <f t="shared" si="2"/>
        <v>0</v>
      </c>
    </row>
    <row r="27" spans="1:11">
      <c r="A27" s="29"/>
      <c r="B27" s="29"/>
      <c r="C27" s="31" t="s">
        <v>1317</v>
      </c>
      <c r="D27" s="35"/>
      <c r="E27" s="398" t="e">
        <f>(F22+F23+F24+F25+F26)/(F15+F16+F17+F18+F19)</f>
        <v>#DIV/0!</v>
      </c>
      <c r="F27" s="396" t="s">
        <v>1570</v>
      </c>
      <c r="G27" s="395" t="e">
        <f>(H22+H23+H24+H25+H26)/(F22+F23+F24+F25+F26)</f>
        <v>#DIV/0!</v>
      </c>
      <c r="H27" s="15"/>
      <c r="J27" s="400"/>
      <c r="K27" s="18"/>
    </row>
    <row r="28" spans="1:11">
      <c r="A28" s="36"/>
      <c r="D28" s="33"/>
      <c r="E28" s="37"/>
      <c r="F28" s="18"/>
      <c r="G28" s="18"/>
      <c r="H28" s="38"/>
    </row>
    <row r="29" spans="1:11">
      <c r="A29" s="29" t="s">
        <v>1147</v>
      </c>
      <c r="B29" s="29" t="s">
        <v>1572</v>
      </c>
      <c r="C29" s="29" t="s">
        <v>1574</v>
      </c>
      <c r="D29" s="30"/>
      <c r="E29" s="41">
        <v>0</v>
      </c>
      <c r="F29" s="14">
        <f>('2-Kosten per locatie'!$G$65+'2-Kosten per locatie'!$H$65)*E29</f>
        <v>0</v>
      </c>
      <c r="G29" s="44">
        <v>0</v>
      </c>
      <c r="H29" s="15">
        <f>G29*F29</f>
        <v>0</v>
      </c>
    </row>
    <row r="30" spans="1:11">
      <c r="A30" s="29" t="s">
        <v>1147</v>
      </c>
      <c r="B30" s="29" t="s">
        <v>1573</v>
      </c>
      <c r="C30" s="29" t="s">
        <v>1574</v>
      </c>
      <c r="D30" s="30"/>
      <c r="E30" s="41">
        <v>0</v>
      </c>
      <c r="F30" s="14">
        <f>('2-Kosten per locatie'!$G$65+'2-Kosten per locatie'!$H$65)*E30</f>
        <v>0</v>
      </c>
      <c r="G30" s="44">
        <v>0</v>
      </c>
      <c r="H30" s="15">
        <f>G30*F30</f>
        <v>0</v>
      </c>
    </row>
    <row r="31" spans="1:11">
      <c r="A31" s="29"/>
      <c r="B31" s="29"/>
      <c r="C31" s="31" t="s">
        <v>12</v>
      </c>
      <c r="D31" s="32"/>
      <c r="E31" s="16">
        <f>SUM(E29:E30)</f>
        <v>0</v>
      </c>
      <c r="F31" s="396" t="s">
        <v>1570</v>
      </c>
      <c r="G31" s="395" t="e">
        <f>(H29+H30)/(F29+F30)</f>
        <v>#DIV/0!</v>
      </c>
      <c r="H31" s="15"/>
    </row>
    <row r="32" spans="1:11">
      <c r="A32" s="29"/>
      <c r="B32" s="33"/>
      <c r="C32" s="33"/>
      <c r="D32" s="33"/>
      <c r="E32" s="33"/>
      <c r="F32" s="18"/>
      <c r="G32" s="18"/>
      <c r="H32" s="33"/>
    </row>
    <row r="33" spans="1:11">
      <c r="A33" s="29" t="s">
        <v>1149</v>
      </c>
      <c r="B33" s="29" t="s">
        <v>1572</v>
      </c>
      <c r="C33" s="29" t="s">
        <v>1574</v>
      </c>
      <c r="D33" s="33"/>
      <c r="E33" s="42">
        <v>0</v>
      </c>
      <c r="F33" s="18">
        <f>F29*E33</f>
        <v>0</v>
      </c>
      <c r="G33" s="44">
        <v>0</v>
      </c>
      <c r="H33" s="15">
        <f>G33*F33</f>
        <v>0</v>
      </c>
    </row>
    <row r="34" spans="1:11">
      <c r="A34" s="29" t="s">
        <v>1149</v>
      </c>
      <c r="B34" s="29" t="s">
        <v>1573</v>
      </c>
      <c r="C34" s="29" t="s">
        <v>1574</v>
      </c>
      <c r="D34" s="33"/>
      <c r="E34" s="43">
        <v>0</v>
      </c>
      <c r="F34" s="18">
        <f>F30*E34</f>
        <v>0</v>
      </c>
      <c r="G34" s="44">
        <v>0</v>
      </c>
      <c r="H34" s="15">
        <f>G34*F34</f>
        <v>0</v>
      </c>
    </row>
    <row r="35" spans="1:11">
      <c r="A35" s="29"/>
      <c r="B35" s="29"/>
      <c r="C35" s="31" t="s">
        <v>1317</v>
      </c>
      <c r="D35" s="35"/>
      <c r="E35" s="51" t="e">
        <f>(F33+F34)/(F30+F29)</f>
        <v>#DIV/0!</v>
      </c>
      <c r="F35" s="396" t="s">
        <v>1570</v>
      </c>
      <c r="G35" s="395" t="e">
        <f>(H33+H34)/(F33+F34)</f>
        <v>#DIV/0!</v>
      </c>
      <c r="H35" s="15"/>
    </row>
    <row r="36" spans="1:11">
      <c r="A36" s="29"/>
      <c r="B36" s="29"/>
      <c r="C36" s="29"/>
      <c r="D36" s="29"/>
      <c r="E36" s="29"/>
      <c r="F36" s="29"/>
      <c r="G36" s="29"/>
      <c r="H36" s="29"/>
    </row>
    <row r="37" spans="1:11">
      <c r="A37" s="39" t="s">
        <v>1249</v>
      </c>
      <c r="F37" s="19"/>
      <c r="H37" s="40">
        <f>SUM(H15:H36)</f>
        <v>0</v>
      </c>
      <c r="I37" s="20"/>
    </row>
    <row r="38" spans="1:11">
      <c r="A38" s="21" t="s">
        <v>1150</v>
      </c>
      <c r="G38" s="22">
        <v>0.21</v>
      </c>
      <c r="H38" s="23">
        <f>G38*H37</f>
        <v>0</v>
      </c>
      <c r="I38" s="20"/>
    </row>
    <row r="39" spans="1:11">
      <c r="A39" s="21" t="s">
        <v>1151</v>
      </c>
      <c r="G39" s="13" t="s">
        <v>439</v>
      </c>
      <c r="H39" s="15">
        <f>H38+H37</f>
        <v>0</v>
      </c>
      <c r="I39" s="20"/>
    </row>
    <row r="40" spans="1:11">
      <c r="A40" s="21"/>
      <c r="G40" s="13"/>
      <c r="H40" s="15"/>
      <c r="I40" s="20"/>
    </row>
    <row r="41" spans="1:11" s="8" customFormat="1" ht="17.25">
      <c r="A41" s="442" t="s">
        <v>1309</v>
      </c>
      <c r="B41" s="443"/>
      <c r="C41" s="443"/>
      <c r="D41" s="443"/>
      <c r="E41" s="443"/>
      <c r="F41" s="443"/>
      <c r="G41" s="443"/>
      <c r="H41" s="444"/>
      <c r="I41" s="20"/>
      <c r="J41" s="2"/>
      <c r="K41" s="2"/>
    </row>
    <row r="42" spans="1:11" s="8" customFormat="1" ht="17.25">
      <c r="H42" s="15"/>
      <c r="I42" s="20"/>
      <c r="J42" s="2"/>
      <c r="K42" s="2"/>
    </row>
    <row r="43" spans="1:11">
      <c r="A43" s="2" t="str">
        <f ca="1">'5-Aanvullend'!C4</f>
        <v>5-Aanvullend</v>
      </c>
      <c r="H43" s="15">
        <f>'5-Aanvullend'!M42</f>
        <v>0</v>
      </c>
    </row>
    <row r="44" spans="1:11">
      <c r="H44" s="15"/>
    </row>
    <row r="45" spans="1:11">
      <c r="A45" s="24" t="str">
        <f ca="1">'6-Sanitaire voorzieningen'!B4</f>
        <v>6-Sanitaire voorzieningen</v>
      </c>
      <c r="H45" s="15">
        <f>'6-Sanitaire voorzieningen'!D28</f>
        <v>0</v>
      </c>
    </row>
    <row r="46" spans="1:11">
      <c r="A46" s="24"/>
      <c r="H46" s="15"/>
    </row>
    <row r="47" spans="1:11">
      <c r="A47" s="24" t="str">
        <f ca="1">'7-Gladheidsbestrijding'!B4</f>
        <v>7-Gladheidsbestrijding</v>
      </c>
      <c r="H47" s="15">
        <f>'7-Gladheidsbestrijding'!H34</f>
        <v>0</v>
      </c>
    </row>
    <row r="48" spans="1:11">
      <c r="A48" s="24"/>
      <c r="H48" s="15"/>
    </row>
    <row r="49" spans="1:12">
      <c r="A49" s="39" t="s">
        <v>1275</v>
      </c>
      <c r="H49" s="45">
        <v>0</v>
      </c>
    </row>
    <row r="51" spans="1:12">
      <c r="A51" s="39" t="s">
        <v>1293</v>
      </c>
      <c r="H51" s="40">
        <f>SUM(H43:H50)</f>
        <v>0</v>
      </c>
    </row>
    <row r="52" spans="1:12">
      <c r="A52" s="21" t="s">
        <v>1150</v>
      </c>
      <c r="G52" s="22">
        <v>0.21</v>
      </c>
      <c r="H52" s="23">
        <f>G52*H51</f>
        <v>0</v>
      </c>
    </row>
    <row r="53" spans="1:12">
      <c r="A53" s="21" t="s">
        <v>1151</v>
      </c>
      <c r="H53" s="25">
        <f>H51+H52</f>
        <v>0</v>
      </c>
    </row>
    <row r="55" spans="1:12">
      <c r="A55" s="47" t="s">
        <v>1292</v>
      </c>
      <c r="B55" s="48"/>
      <c r="C55" s="48"/>
      <c r="D55" s="48"/>
      <c r="E55" s="49"/>
      <c r="F55" s="48" t="s">
        <v>1554</v>
      </c>
      <c r="G55" s="48"/>
      <c r="H55" s="50">
        <f>H51+H37</f>
        <v>0</v>
      </c>
    </row>
    <row r="56" spans="1:12">
      <c r="A56" s="21" t="s">
        <v>1150</v>
      </c>
      <c r="G56" s="22">
        <v>0.21</v>
      </c>
      <c r="H56" s="23">
        <f>G56*H55</f>
        <v>0</v>
      </c>
    </row>
    <row r="57" spans="1:12">
      <c r="A57" s="21" t="s">
        <v>1151</v>
      </c>
      <c r="H57" s="25">
        <f>H55+H56</f>
        <v>0</v>
      </c>
    </row>
    <row r="58" spans="1:12">
      <c r="A58" s="21"/>
      <c r="H58" s="25"/>
    </row>
    <row r="59" spans="1:12">
      <c r="A59" s="380" t="s">
        <v>1528</v>
      </c>
      <c r="B59" s="381"/>
      <c r="C59" s="381"/>
      <c r="D59" s="381"/>
      <c r="E59" s="382"/>
      <c r="F59" s="381"/>
      <c r="G59" s="381"/>
      <c r="H59" s="383">
        <v>1140000</v>
      </c>
    </row>
    <row r="60" spans="1:12">
      <c r="A60" s="380" t="s">
        <v>1555</v>
      </c>
      <c r="B60" s="381"/>
      <c r="C60" s="381"/>
      <c r="D60" s="381"/>
      <c r="E60" s="382"/>
      <c r="F60" s="381"/>
      <c r="G60" s="381"/>
      <c r="H60" s="383">
        <v>1030000</v>
      </c>
      <c r="L60" s="25"/>
    </row>
    <row r="61" spans="1:12">
      <c r="A61" s="21"/>
      <c r="H61" s="25"/>
    </row>
    <row r="62" spans="1:12">
      <c r="A62" s="39" t="s">
        <v>1553</v>
      </c>
      <c r="H62" s="45">
        <v>0</v>
      </c>
    </row>
    <row r="64" spans="1:12">
      <c r="A64" s="436" t="s">
        <v>1529</v>
      </c>
      <c r="B64" s="437"/>
      <c r="C64" s="437"/>
      <c r="D64" s="437"/>
      <c r="E64" s="437"/>
      <c r="F64" s="437"/>
      <c r="G64" s="437"/>
      <c r="H64" s="438"/>
    </row>
    <row r="65" spans="1:8">
      <c r="A65" s="439"/>
      <c r="B65" s="440"/>
      <c r="C65" s="440"/>
      <c r="D65" s="440"/>
      <c r="E65" s="440"/>
      <c r="F65" s="440"/>
      <c r="G65" s="440"/>
      <c r="H65" s="441"/>
    </row>
    <row r="66" spans="1:8">
      <c r="A66" s="384"/>
      <c r="B66" s="384"/>
      <c r="C66" s="384"/>
      <c r="D66" s="384"/>
      <c r="E66" s="384"/>
      <c r="F66" s="384"/>
      <c r="G66" s="384"/>
      <c r="H66" s="384"/>
    </row>
    <row r="67" spans="1:8">
      <c r="A67" s="436" t="s">
        <v>1530</v>
      </c>
      <c r="B67" s="437"/>
      <c r="C67" s="437"/>
      <c r="D67" s="437"/>
      <c r="E67" s="437"/>
      <c r="F67" s="437"/>
      <c r="G67" s="437"/>
      <c r="H67" s="438"/>
    </row>
    <row r="68" spans="1:8">
      <c r="A68" s="439"/>
      <c r="B68" s="440"/>
      <c r="C68" s="440"/>
      <c r="D68" s="440"/>
      <c r="E68" s="440"/>
      <c r="F68" s="440"/>
      <c r="G68" s="440"/>
      <c r="H68" s="441"/>
    </row>
    <row r="70" spans="1:8" ht="24.75" customHeight="1">
      <c r="A70" s="26" t="s">
        <v>1312</v>
      </c>
      <c r="B70" s="435"/>
      <c r="C70" s="432"/>
      <c r="D70" s="432"/>
      <c r="E70" s="432"/>
    </row>
    <row r="71" spans="1:8" ht="74.25" customHeight="1">
      <c r="A71" s="26" t="s">
        <v>1313</v>
      </c>
      <c r="B71" s="432"/>
      <c r="C71" s="432"/>
      <c r="D71" s="432"/>
      <c r="E71" s="432"/>
    </row>
    <row r="72" spans="1:8" ht="24.75" customHeight="1">
      <c r="A72" s="26" t="s">
        <v>1314</v>
      </c>
      <c r="B72" s="432"/>
      <c r="C72" s="432"/>
      <c r="D72" s="432"/>
      <c r="E72" s="432"/>
    </row>
    <row r="73" spans="1:8" ht="24.75" customHeight="1">
      <c r="A73" s="26" t="s">
        <v>1315</v>
      </c>
      <c r="B73" s="432"/>
      <c r="C73" s="432"/>
      <c r="D73" s="432"/>
      <c r="E73" s="432"/>
    </row>
    <row r="74" spans="1:8" ht="24.75" customHeight="1">
      <c r="A74" s="26" t="s">
        <v>1316</v>
      </c>
      <c r="B74" s="432"/>
      <c r="C74" s="432"/>
      <c r="D74" s="432"/>
      <c r="E74" s="432"/>
    </row>
  </sheetData>
  <mergeCells count="10">
    <mergeCell ref="B74:E74"/>
    <mergeCell ref="B7:D7"/>
    <mergeCell ref="B70:E70"/>
    <mergeCell ref="B71:E71"/>
    <mergeCell ref="B72:E72"/>
    <mergeCell ref="B73:E73"/>
    <mergeCell ref="A64:H65"/>
    <mergeCell ref="A67:H68"/>
    <mergeCell ref="A41:H41"/>
    <mergeCell ref="A12:H12"/>
  </mergeCells>
  <conditionalFormatting sqref="E31">
    <cfRule type="cellIs" dxfId="11" priority="13" operator="greaterThan">
      <formula>1</formula>
    </cfRule>
    <cfRule type="cellIs" dxfId="10" priority="14" operator="between">
      <formula>0.999999</formula>
      <formula>0</formula>
    </cfRule>
    <cfRule type="cellIs" dxfId="9" priority="15" operator="equal">
      <formula>1</formula>
    </cfRule>
  </conditionalFormatting>
  <conditionalFormatting sqref="E20">
    <cfRule type="cellIs" dxfId="8" priority="4" operator="greaterThan">
      <formula>1</formula>
    </cfRule>
    <cfRule type="cellIs" dxfId="7" priority="5" operator="between">
      <formula>0.999999</formula>
      <formula>0</formula>
    </cfRule>
    <cfRule type="cellIs" dxfId="6" priority="6" operator="equal">
      <formula>1</formula>
    </cfRule>
  </conditionalFormatting>
  <conditionalFormatting sqref="E31">
    <cfRule type="cellIs" dxfId="5" priority="7" operator="greaterThan">
      <formula>1</formula>
    </cfRule>
    <cfRule type="cellIs" dxfId="4" priority="8" operator="between">
      <formula>0.999999</formula>
      <formula>0</formula>
    </cfRule>
    <cfRule type="cellIs" dxfId="3" priority="9" operator="equal">
      <formula>1</formula>
    </cfRule>
  </conditionalFormatting>
  <conditionalFormatting sqref="E20">
    <cfRule type="cellIs" dxfId="2" priority="1" operator="greaterThan">
      <formula>1</formula>
    </cfRule>
    <cfRule type="cellIs" dxfId="1" priority="2" operator="between">
      <formula>0.999999</formula>
      <formula>0</formula>
    </cfRule>
    <cfRule type="cellIs" dxfId="0" priority="3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S65"/>
  <sheetViews>
    <sheetView showGridLines="0" zoomScaleNormal="100" workbookViewId="0">
      <pane xSplit="2" ySplit="14" topLeftCell="H15" activePane="bottomRight" state="frozen"/>
      <selection activeCell="D6" sqref="D6"/>
      <selection pane="topRight" activeCell="D6" sqref="D6"/>
      <selection pane="bottomLeft" activeCell="D6" sqref="D6"/>
      <selection pane="bottomRight" activeCell="J61" sqref="J61"/>
    </sheetView>
  </sheetViews>
  <sheetFormatPr defaultColWidth="9.140625" defaultRowHeight="13.5"/>
  <cols>
    <col min="1" max="1" width="8.42578125" style="70" customWidth="1"/>
    <col min="2" max="2" width="18.7109375" style="70" bestFit="1" customWidth="1"/>
    <col min="3" max="3" width="21.7109375" style="70" bestFit="1" customWidth="1"/>
    <col min="4" max="4" width="13.28515625" style="72" customWidth="1"/>
    <col min="5" max="8" width="13.140625" style="72" customWidth="1"/>
    <col min="9" max="9" width="13.28515625" style="73" customWidth="1"/>
    <col min="10" max="10" width="17.28515625" style="70" customWidth="1"/>
    <col min="11" max="11" width="17.7109375" style="70" customWidth="1"/>
    <col min="12" max="12" width="11.85546875" style="70" customWidth="1"/>
    <col min="13" max="13" width="11.140625" style="70" customWidth="1"/>
    <col min="14" max="14" width="14.7109375" style="70" customWidth="1"/>
    <col min="15" max="15" width="15.7109375" style="70" customWidth="1"/>
    <col min="16" max="16" width="18.7109375" style="70" customWidth="1"/>
    <col min="17" max="17" width="17" style="70" customWidth="1"/>
    <col min="18" max="18" width="17.28515625" style="70" customWidth="1"/>
    <col min="19" max="16384" width="9.140625" style="70"/>
  </cols>
  <sheetData>
    <row r="1" spans="1:18" s="2" customFormat="1">
      <c r="A1" s="287" t="s">
        <v>9</v>
      </c>
      <c r="B1" s="288"/>
      <c r="D1" s="54"/>
      <c r="E1" s="54"/>
      <c r="F1" s="54"/>
      <c r="G1" s="54"/>
      <c r="H1" s="54"/>
      <c r="I1" s="55"/>
    </row>
    <row r="2" spans="1:18" s="2" customFormat="1">
      <c r="A2" s="27"/>
      <c r="C2" s="27"/>
      <c r="D2" s="54"/>
      <c r="E2" s="54"/>
      <c r="F2" s="54"/>
      <c r="G2" s="54"/>
      <c r="H2" s="54"/>
      <c r="I2" s="55"/>
    </row>
    <row r="3" spans="1:18" s="8" customFormat="1" ht="17.25">
      <c r="A3" s="52" t="s">
        <v>10</v>
      </c>
      <c r="B3" s="46"/>
      <c r="C3" s="53" t="str">
        <f>'1-Inschrijfstaat'!B3</f>
        <v>GVB Infra B.V.</v>
      </c>
      <c r="D3" s="79"/>
      <c r="E3" s="56"/>
      <c r="F3" s="54"/>
      <c r="G3" s="54"/>
      <c r="H3" s="54"/>
      <c r="I3" s="55"/>
      <c r="J3" s="2"/>
      <c r="K3" s="6"/>
      <c r="L3" s="6"/>
      <c r="M3" s="6"/>
      <c r="N3" s="6"/>
      <c r="O3" s="6"/>
      <c r="P3" s="6"/>
      <c r="Q3" s="6"/>
    </row>
    <row r="4" spans="1:18" s="8" customFormat="1" ht="17.25">
      <c r="A4" s="52" t="s">
        <v>15</v>
      </c>
      <c r="B4" s="46"/>
      <c r="C4" s="53" t="str">
        <f ca="1">MID(CELL("bestandsnaam",$C$7),SEARCH("]",CELL("bestandsnaam",$C$7),1)+1,256)</f>
        <v>2-Kosten per locatie</v>
      </c>
      <c r="D4" s="79"/>
      <c r="E4" s="56"/>
      <c r="F4" s="54"/>
      <c r="G4" s="54"/>
      <c r="H4" s="54"/>
      <c r="I4" s="55"/>
      <c r="J4" s="2"/>
      <c r="K4" s="6"/>
      <c r="L4" s="6"/>
      <c r="M4" s="6"/>
      <c r="N4" s="6"/>
      <c r="O4" s="6"/>
      <c r="P4" s="6"/>
      <c r="Q4" s="6"/>
    </row>
    <row r="5" spans="1:18" s="8" customFormat="1" ht="18.75" customHeight="1">
      <c r="A5" s="52" t="s">
        <v>11</v>
      </c>
      <c r="B5" s="46"/>
      <c r="C5" s="53" t="str">
        <f>'1-Inschrijfstaat'!B5</f>
        <v>Diverse</v>
      </c>
      <c r="D5" s="79"/>
      <c r="E5" s="56"/>
      <c r="F5" s="54"/>
      <c r="G5" s="54"/>
      <c r="H5" s="54"/>
      <c r="I5" s="55"/>
      <c r="J5" s="2"/>
      <c r="K5" s="6"/>
      <c r="L5" s="6"/>
      <c r="M5" s="6"/>
      <c r="N5" s="6"/>
      <c r="O5" s="6"/>
      <c r="P5" s="6"/>
      <c r="Q5" s="6"/>
    </row>
    <row r="6" spans="1:18" s="8" customFormat="1" ht="17.25">
      <c r="A6" s="52" t="s">
        <v>16</v>
      </c>
      <c r="B6" s="46"/>
      <c r="C6" s="53" t="str">
        <f>'1-Inschrijfstaat'!B6</f>
        <v>2021-03</v>
      </c>
      <c r="D6" s="79"/>
      <c r="E6" s="56"/>
      <c r="F6" s="54"/>
      <c r="G6" s="54"/>
      <c r="H6" s="54"/>
      <c r="I6" s="55"/>
      <c r="J6" s="2"/>
      <c r="K6" s="6"/>
      <c r="L6" s="6"/>
      <c r="M6" s="6"/>
      <c r="N6" s="6"/>
      <c r="O6" s="6"/>
      <c r="P6" s="6"/>
      <c r="Q6" s="6"/>
    </row>
    <row r="7" spans="1:18" s="8" customFormat="1" ht="17.25">
      <c r="A7" s="52" t="s">
        <v>13</v>
      </c>
      <c r="B7" s="46"/>
      <c r="C7" s="53" t="str">
        <f>'1-Inschrijfstaat'!B7</f>
        <v>Naam dienstverlener</v>
      </c>
      <c r="D7" s="46"/>
      <c r="E7" s="59"/>
      <c r="F7" s="54"/>
      <c r="G7" s="54"/>
      <c r="H7" s="54"/>
      <c r="I7" s="55"/>
      <c r="J7" s="2"/>
      <c r="K7" s="7"/>
      <c r="L7" s="7"/>
      <c r="M7" s="7"/>
      <c r="N7" s="7"/>
      <c r="O7" s="7"/>
      <c r="P7" s="7"/>
      <c r="Q7" s="7"/>
    </row>
    <row r="8" spans="1:18" s="8" customFormat="1" ht="17.25">
      <c r="A8" s="52" t="s">
        <v>14</v>
      </c>
      <c r="C8" s="9" t="str">
        <f>'1-Inschrijfstaat'!B8</f>
        <v>1 juni 2021</v>
      </c>
      <c r="D8" s="56"/>
      <c r="E8" s="56"/>
      <c r="F8" s="54"/>
      <c r="G8" s="54"/>
      <c r="H8" s="54"/>
      <c r="I8" s="55"/>
      <c r="J8" s="2"/>
      <c r="K8" s="6"/>
      <c r="L8" s="6"/>
      <c r="M8" s="6"/>
      <c r="N8" s="6"/>
      <c r="O8" s="6"/>
      <c r="P8" s="6"/>
      <c r="Q8" s="6"/>
    </row>
    <row r="9" spans="1:18" s="8" customFormat="1" ht="17.25">
      <c r="A9" s="80" t="s">
        <v>0</v>
      </c>
      <c r="C9" s="57" t="str">
        <f>'1-Inschrijfstaat'!B9</f>
        <v>1 Comfort schoonmaak</v>
      </c>
      <c r="D9" s="56"/>
      <c r="E9" s="56"/>
      <c r="F9" s="54"/>
      <c r="G9" s="54"/>
      <c r="H9" s="54"/>
      <c r="I9" s="55"/>
      <c r="J9" s="2"/>
      <c r="K9" s="6"/>
      <c r="L9" s="6"/>
      <c r="M9" s="6"/>
      <c r="N9" s="6"/>
      <c r="O9" s="6"/>
      <c r="P9" s="6"/>
      <c r="Q9" s="6"/>
    </row>
    <row r="10" spans="1:18" s="8" customFormat="1" ht="17.25">
      <c r="A10" s="52" t="s">
        <v>1155</v>
      </c>
      <c r="C10" s="4"/>
      <c r="D10" s="56"/>
      <c r="E10" s="56"/>
      <c r="F10" s="56"/>
      <c r="G10" s="56"/>
      <c r="H10" s="56"/>
      <c r="I10" s="58"/>
      <c r="J10" s="58"/>
      <c r="K10" s="58"/>
      <c r="L10" s="58"/>
      <c r="M10" s="58"/>
      <c r="N10" s="58"/>
      <c r="O10" s="58"/>
      <c r="P10" s="58"/>
      <c r="Q10" s="6"/>
    </row>
    <row r="11" spans="1:18" s="8" customFormat="1" ht="17.25">
      <c r="A11" s="4"/>
      <c r="C11" s="4"/>
      <c r="D11" s="59"/>
      <c r="E11" s="59"/>
      <c r="F11" s="59"/>
      <c r="G11" s="59"/>
      <c r="H11" s="59"/>
      <c r="I11" s="60"/>
      <c r="J11" s="61"/>
      <c r="K11" s="61"/>
      <c r="L11" s="61"/>
      <c r="M11" s="61"/>
      <c r="N11" s="61"/>
      <c r="O11" s="61"/>
      <c r="P11" s="61"/>
      <c r="Q11" s="61"/>
    </row>
    <row r="12" spans="1:18" s="8" customFormat="1" ht="17.25">
      <c r="A12" s="283" t="s">
        <v>1154</v>
      </c>
      <c r="B12" s="285"/>
      <c r="C12" s="284" t="s">
        <v>1560</v>
      </c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6"/>
    </row>
    <row r="13" spans="1:18" s="2" customFormat="1">
      <c r="D13" s="54"/>
      <c r="E13" s="54"/>
      <c r="F13" s="54"/>
      <c r="G13" s="54"/>
      <c r="H13" s="54"/>
      <c r="I13" s="55"/>
    </row>
    <row r="14" spans="1:18" s="62" customFormat="1" ht="51">
      <c r="A14" s="81" t="s">
        <v>438</v>
      </c>
      <c r="B14" s="81" t="s">
        <v>440</v>
      </c>
      <c r="C14" s="81" t="s">
        <v>19</v>
      </c>
      <c r="D14" s="81" t="s">
        <v>1156</v>
      </c>
      <c r="E14" s="81" t="s">
        <v>1157</v>
      </c>
      <c r="F14" s="81" t="s">
        <v>1158</v>
      </c>
      <c r="G14" s="81" t="s">
        <v>1159</v>
      </c>
      <c r="H14" s="81" t="s">
        <v>1160</v>
      </c>
      <c r="I14" s="81" t="s">
        <v>1161</v>
      </c>
      <c r="J14" s="81" t="s">
        <v>1205</v>
      </c>
      <c r="K14" s="81" t="s">
        <v>1206</v>
      </c>
      <c r="L14" s="81" t="s">
        <v>1162</v>
      </c>
      <c r="M14" s="81" t="s">
        <v>1163</v>
      </c>
      <c r="N14" s="81" t="s">
        <v>1164</v>
      </c>
      <c r="O14" s="81" t="s">
        <v>1165</v>
      </c>
      <c r="P14" s="81" t="s">
        <v>1278</v>
      </c>
      <c r="Q14" s="81" t="s">
        <v>1563</v>
      </c>
      <c r="R14" s="81" t="s">
        <v>1166</v>
      </c>
    </row>
    <row r="15" spans="1:18">
      <c r="A15" s="63">
        <v>102</v>
      </c>
      <c r="B15" s="63" t="s">
        <v>942</v>
      </c>
      <c r="C15" s="63" t="s">
        <v>274</v>
      </c>
      <c r="D15" s="65">
        <f>SUMIF('3-Ruimtestaat'!B:B,A15,'3-Ruimtestaat'!T:T)</f>
        <v>9432.4029999999984</v>
      </c>
      <c r="E15" s="65">
        <f>SUMIF('3-Ruimtestaat'!B:B,A15,'3-Ruimtestaat'!AF:AF)</f>
        <v>0</v>
      </c>
      <c r="F15" s="65">
        <f>SUMIF('3-Ruimtestaat'!B:B,A15,'3-Ruimtestaat'!AG:AG)</f>
        <v>0</v>
      </c>
      <c r="G15" s="65">
        <f>SUMIF('3-Ruimtestaat'!B:B,A15,'3-Ruimtestaat'!AH:AH)</f>
        <v>0</v>
      </c>
      <c r="H15" s="65">
        <f>SUMIF('3-Ruimtestaat'!B:B,A15,'3-Ruimtestaat'!AI:AI)</f>
        <v>0</v>
      </c>
      <c r="I15" s="65">
        <f t="shared" ref="I15" si="0">SUM(E15:H15)</f>
        <v>0</v>
      </c>
      <c r="J15" s="66" t="e">
        <f>SUM(E15:F15)*'1-Inschrijfstaat'!$G$20</f>
        <v>#DIV/0!</v>
      </c>
      <c r="K15" s="66" t="e">
        <f>(G15+H15)*'1-Inschrijfstaat'!$G$31</f>
        <v>#DIV/0!</v>
      </c>
      <c r="L15" s="65" t="e">
        <f>(E15+F15)*'1-Inschrijfstaat'!E27</f>
        <v>#DIV/0!</v>
      </c>
      <c r="M15" s="65" t="e">
        <f>(G15+H15)*'1-Inschrijfstaat'!E35</f>
        <v>#DIV/0!</v>
      </c>
      <c r="N15" s="66" t="e">
        <f>L15*'1-Inschrijfstaat'!$G$27</f>
        <v>#DIV/0!</v>
      </c>
      <c r="O15" s="66" t="e">
        <f>M15*'1-Inschrijfstaat'!$G$35</f>
        <v>#DIV/0!</v>
      </c>
      <c r="P15" s="67" t="e">
        <f t="shared" ref="P15:P36" si="1">J15+K15+N15+O15</f>
        <v>#DIV/0!</v>
      </c>
      <c r="Q15" s="68">
        <f>SUMIF('5-Aanvullend'!A:A,A15,'5-Aanvullend'!M:M)</f>
        <v>0</v>
      </c>
      <c r="R15" s="69" t="e">
        <f t="shared" ref="R15:R46" si="2">SUM(P15:Q15)</f>
        <v>#DIV/0!</v>
      </c>
    </row>
    <row r="16" spans="1:18">
      <c r="A16" s="63">
        <v>103</v>
      </c>
      <c r="B16" s="63" t="s">
        <v>835</v>
      </c>
      <c r="C16" s="63" t="s">
        <v>274</v>
      </c>
      <c r="D16" s="65">
        <f>SUMIF('3-Ruimtestaat'!B:B,A16,'3-Ruimtestaat'!T:T)</f>
        <v>5843.6752500000002</v>
      </c>
      <c r="E16" s="65">
        <f>SUMIF('3-Ruimtestaat'!B:B,A16,'3-Ruimtestaat'!AF:AF)</f>
        <v>0</v>
      </c>
      <c r="F16" s="65">
        <f>SUMIF('3-Ruimtestaat'!B:B,A16,'3-Ruimtestaat'!AG:AG)</f>
        <v>0</v>
      </c>
      <c r="G16" s="65">
        <f>SUMIF('3-Ruimtestaat'!B:B,A16,'3-Ruimtestaat'!AH:AH)</f>
        <v>0</v>
      </c>
      <c r="H16" s="65">
        <f>SUMIF('3-Ruimtestaat'!B:B,A16,'3-Ruimtestaat'!AI:AI)</f>
        <v>0</v>
      </c>
      <c r="I16" s="65">
        <f t="shared" ref="I16:I35" si="3">SUM(E16:H16)</f>
        <v>0</v>
      </c>
      <c r="J16" s="66" t="e">
        <f>SUM(E16:F16)*'1-Inschrijfstaat'!$G$20</f>
        <v>#DIV/0!</v>
      </c>
      <c r="K16" s="66" t="e">
        <f>(G16+H16)*'1-Inschrijfstaat'!$G$31</f>
        <v>#DIV/0!</v>
      </c>
      <c r="L16" s="65" t="e">
        <f>(E16+F16)*'1-Inschrijfstaat'!$E$27</f>
        <v>#DIV/0!</v>
      </c>
      <c r="M16" s="65" t="e">
        <f>(G16+H16)*'1-Inschrijfstaat'!$E$35</f>
        <v>#DIV/0!</v>
      </c>
      <c r="N16" s="66" t="e">
        <f>L16*'1-Inschrijfstaat'!$G$27</f>
        <v>#DIV/0!</v>
      </c>
      <c r="O16" s="66" t="e">
        <f>M16*'1-Inschrijfstaat'!$G$35</f>
        <v>#DIV/0!</v>
      </c>
      <c r="P16" s="67" t="e">
        <f t="shared" si="1"/>
        <v>#DIV/0!</v>
      </c>
      <c r="Q16" s="68">
        <f>SUMIF('5-Aanvullend'!A:A,A16,'5-Aanvullend'!M:M)</f>
        <v>0</v>
      </c>
      <c r="R16" s="69" t="e">
        <f t="shared" si="2"/>
        <v>#DIV/0!</v>
      </c>
    </row>
    <row r="17" spans="1:18">
      <c r="A17" s="63">
        <v>104</v>
      </c>
      <c r="B17" s="63" t="s">
        <v>260</v>
      </c>
      <c r="C17" s="63" t="s">
        <v>274</v>
      </c>
      <c r="D17" s="65">
        <f>SUMIF('3-Ruimtestaat'!B:B,A17,'3-Ruimtestaat'!T:T)</f>
        <v>12340.707834999999</v>
      </c>
      <c r="E17" s="65">
        <f>SUMIF('3-Ruimtestaat'!B:B,A17,'3-Ruimtestaat'!AF:AF)</f>
        <v>0</v>
      </c>
      <c r="F17" s="65">
        <f>SUMIF('3-Ruimtestaat'!B:B,A17,'3-Ruimtestaat'!AG:AG)</f>
        <v>0</v>
      </c>
      <c r="G17" s="65">
        <f>SUMIF('3-Ruimtestaat'!B:B,A17,'3-Ruimtestaat'!AH:AH)</f>
        <v>0</v>
      </c>
      <c r="H17" s="65">
        <f>SUMIF('3-Ruimtestaat'!B:B,A17,'3-Ruimtestaat'!AI:AI)</f>
        <v>0</v>
      </c>
      <c r="I17" s="65">
        <f t="shared" si="3"/>
        <v>0</v>
      </c>
      <c r="J17" s="66" t="e">
        <f>SUM(E17:F17)*'1-Inschrijfstaat'!$G$20</f>
        <v>#DIV/0!</v>
      </c>
      <c r="K17" s="66" t="e">
        <f>(G17+H17)*'1-Inschrijfstaat'!$G$31</f>
        <v>#DIV/0!</v>
      </c>
      <c r="L17" s="65" t="e">
        <f>(E17+F17)*'1-Inschrijfstaat'!$E$27</f>
        <v>#DIV/0!</v>
      </c>
      <c r="M17" s="65" t="e">
        <f>(G17+H17)*'1-Inschrijfstaat'!$E$35</f>
        <v>#DIV/0!</v>
      </c>
      <c r="N17" s="66" t="e">
        <f>L17*'1-Inschrijfstaat'!$G$27</f>
        <v>#DIV/0!</v>
      </c>
      <c r="O17" s="66" t="e">
        <f>M17*'1-Inschrijfstaat'!$G$35</f>
        <v>#DIV/0!</v>
      </c>
      <c r="P17" s="67" t="e">
        <f t="shared" si="1"/>
        <v>#DIV/0!</v>
      </c>
      <c r="Q17" s="68">
        <f>SUMIF('5-Aanvullend'!A:A,A17,'5-Aanvullend'!M:M)</f>
        <v>0</v>
      </c>
      <c r="R17" s="69" t="e">
        <f t="shared" si="2"/>
        <v>#DIV/0!</v>
      </c>
    </row>
    <row r="18" spans="1:18">
      <c r="A18" s="63">
        <v>105</v>
      </c>
      <c r="B18" s="63" t="s">
        <v>943</v>
      </c>
      <c r="C18" s="63" t="s">
        <v>274</v>
      </c>
      <c r="D18" s="65">
        <f>SUMIF('3-Ruimtestaat'!B:B,A18,'3-Ruimtestaat'!T:T)</f>
        <v>7046.5112500000005</v>
      </c>
      <c r="E18" s="65">
        <f>SUMIF('3-Ruimtestaat'!B:B,A18,'3-Ruimtestaat'!AF:AF)</f>
        <v>0</v>
      </c>
      <c r="F18" s="65">
        <f>SUMIF('3-Ruimtestaat'!B:B,A18,'3-Ruimtestaat'!AG:AG)</f>
        <v>0</v>
      </c>
      <c r="G18" s="65">
        <f>SUMIF('3-Ruimtestaat'!B:B,A18,'3-Ruimtestaat'!AH:AH)</f>
        <v>0</v>
      </c>
      <c r="H18" s="65">
        <f>SUMIF('3-Ruimtestaat'!B:B,A18,'3-Ruimtestaat'!AI:AI)</f>
        <v>0</v>
      </c>
      <c r="I18" s="65">
        <f t="shared" si="3"/>
        <v>0</v>
      </c>
      <c r="J18" s="66" t="e">
        <f>SUM(E18:F18)*'1-Inschrijfstaat'!$G$20</f>
        <v>#DIV/0!</v>
      </c>
      <c r="K18" s="66" t="e">
        <f>(G18+H18)*'1-Inschrijfstaat'!$G$31</f>
        <v>#DIV/0!</v>
      </c>
      <c r="L18" s="65" t="e">
        <f>(E18+F18)*'1-Inschrijfstaat'!$E$27</f>
        <v>#DIV/0!</v>
      </c>
      <c r="M18" s="65" t="e">
        <f>(G18+H18)*'1-Inschrijfstaat'!$E$35</f>
        <v>#DIV/0!</v>
      </c>
      <c r="N18" s="66" t="e">
        <f>L18*'1-Inschrijfstaat'!$G$27</f>
        <v>#DIV/0!</v>
      </c>
      <c r="O18" s="66" t="e">
        <f>M18*'1-Inschrijfstaat'!$G$35</f>
        <v>#DIV/0!</v>
      </c>
      <c r="P18" s="67" t="e">
        <f t="shared" si="1"/>
        <v>#DIV/0!</v>
      </c>
      <c r="Q18" s="68">
        <f>SUMIF('5-Aanvullend'!A:A,A18,'5-Aanvullend'!M:M)</f>
        <v>0</v>
      </c>
      <c r="R18" s="69" t="e">
        <f t="shared" si="2"/>
        <v>#DIV/0!</v>
      </c>
    </row>
    <row r="19" spans="1:18">
      <c r="A19" s="63">
        <v>106</v>
      </c>
      <c r="B19" s="63" t="s">
        <v>1082</v>
      </c>
      <c r="C19" s="63" t="s">
        <v>39</v>
      </c>
      <c r="D19" s="65">
        <f>SUMIF('3-Ruimtestaat'!B:B,A19,'3-Ruimtestaat'!T:T)</f>
        <v>57</v>
      </c>
      <c r="E19" s="65">
        <f>SUMIF('3-Ruimtestaat'!B:B,A19,'3-Ruimtestaat'!AF:AF)</f>
        <v>0</v>
      </c>
      <c r="F19" s="65">
        <f>SUMIF('3-Ruimtestaat'!B:B,A19,'3-Ruimtestaat'!AG:AG)</f>
        <v>0</v>
      </c>
      <c r="G19" s="65">
        <f>SUMIF('3-Ruimtestaat'!B:B,A19,'3-Ruimtestaat'!AH:AH)</f>
        <v>0</v>
      </c>
      <c r="H19" s="65">
        <f>SUMIF('3-Ruimtestaat'!B:B,A19,'3-Ruimtestaat'!AI:AI)</f>
        <v>0</v>
      </c>
      <c r="I19" s="65">
        <f t="shared" si="3"/>
        <v>0</v>
      </c>
      <c r="J19" s="66" t="e">
        <f>SUM(E19:F19)*'1-Inschrijfstaat'!$G$20</f>
        <v>#DIV/0!</v>
      </c>
      <c r="K19" s="66" t="e">
        <f>(G19+H19)*'1-Inschrijfstaat'!$G$31</f>
        <v>#DIV/0!</v>
      </c>
      <c r="L19" s="65" t="e">
        <f>(E19+F19)*'1-Inschrijfstaat'!$E$27</f>
        <v>#DIV/0!</v>
      </c>
      <c r="M19" s="65" t="e">
        <f>(G19+H19)*'1-Inschrijfstaat'!$E$35</f>
        <v>#DIV/0!</v>
      </c>
      <c r="N19" s="66" t="e">
        <f>L19*'1-Inschrijfstaat'!$G$27</f>
        <v>#DIV/0!</v>
      </c>
      <c r="O19" s="66" t="e">
        <f>M19*'1-Inschrijfstaat'!$G$35</f>
        <v>#DIV/0!</v>
      </c>
      <c r="P19" s="67" t="e">
        <f t="shared" si="1"/>
        <v>#DIV/0!</v>
      </c>
      <c r="Q19" s="68">
        <f>SUMIF('5-Aanvullend'!A:A,A19,'5-Aanvullend'!M:M)</f>
        <v>0</v>
      </c>
      <c r="R19" s="69" t="e">
        <f t="shared" si="2"/>
        <v>#DIV/0!</v>
      </c>
    </row>
    <row r="20" spans="1:18">
      <c r="A20" s="63">
        <v>107</v>
      </c>
      <c r="B20" s="63" t="s">
        <v>437</v>
      </c>
      <c r="C20" s="63" t="s">
        <v>39</v>
      </c>
      <c r="D20" s="65">
        <f>SUMIF('3-Ruimtestaat'!B:B,A20,'3-Ruimtestaat'!T:T)</f>
        <v>3205.9386440677977</v>
      </c>
      <c r="E20" s="65">
        <f>SUMIF('3-Ruimtestaat'!B:B,A20,'3-Ruimtestaat'!AF:AF)</f>
        <v>0</v>
      </c>
      <c r="F20" s="65">
        <f>SUMIF('3-Ruimtestaat'!B:B,A20,'3-Ruimtestaat'!AG:AG)</f>
        <v>0</v>
      </c>
      <c r="G20" s="65">
        <f>SUMIF('3-Ruimtestaat'!B:B,A20,'3-Ruimtestaat'!AH:AH)</f>
        <v>0</v>
      </c>
      <c r="H20" s="65">
        <f>SUMIF('3-Ruimtestaat'!B:B,A20,'3-Ruimtestaat'!AI:AI)</f>
        <v>0</v>
      </c>
      <c r="I20" s="65">
        <f t="shared" si="3"/>
        <v>0</v>
      </c>
      <c r="J20" s="66" t="e">
        <f>SUM(E20:F20)*'1-Inschrijfstaat'!$G$20</f>
        <v>#DIV/0!</v>
      </c>
      <c r="K20" s="66" t="e">
        <f>(G20+H20)*'1-Inschrijfstaat'!$G$31</f>
        <v>#DIV/0!</v>
      </c>
      <c r="L20" s="65" t="e">
        <f>(E20+F20)*'1-Inschrijfstaat'!$E$27</f>
        <v>#DIV/0!</v>
      </c>
      <c r="M20" s="65" t="e">
        <f>(G20+H20)*'1-Inschrijfstaat'!$E$35</f>
        <v>#DIV/0!</v>
      </c>
      <c r="N20" s="66" t="e">
        <f>L20*'1-Inschrijfstaat'!$G$27</f>
        <v>#DIV/0!</v>
      </c>
      <c r="O20" s="66" t="e">
        <f>M20*'1-Inschrijfstaat'!$G$35</f>
        <v>#DIV/0!</v>
      </c>
      <c r="P20" s="67" t="e">
        <f t="shared" si="1"/>
        <v>#DIV/0!</v>
      </c>
      <c r="Q20" s="68">
        <f>SUMIF('5-Aanvullend'!A:A,A20,'5-Aanvullend'!M:M)</f>
        <v>0</v>
      </c>
      <c r="R20" s="69" t="e">
        <f t="shared" si="2"/>
        <v>#DIV/0!</v>
      </c>
    </row>
    <row r="21" spans="1:18">
      <c r="A21" s="63">
        <v>108</v>
      </c>
      <c r="B21" s="63" t="s">
        <v>381</v>
      </c>
      <c r="C21" s="63" t="s">
        <v>39</v>
      </c>
      <c r="D21" s="65">
        <f>SUMIF('3-Ruimtestaat'!B:B,A21,'3-Ruimtestaat'!T:T)</f>
        <v>3872.2699999999995</v>
      </c>
      <c r="E21" s="65">
        <f>SUMIF('3-Ruimtestaat'!B:B,A21,'3-Ruimtestaat'!AF:AF)</f>
        <v>0</v>
      </c>
      <c r="F21" s="65">
        <f>SUMIF('3-Ruimtestaat'!B:B,A21,'3-Ruimtestaat'!AG:AG)</f>
        <v>0</v>
      </c>
      <c r="G21" s="65">
        <f>SUMIF('3-Ruimtestaat'!B:B,A21,'3-Ruimtestaat'!AH:AH)</f>
        <v>0</v>
      </c>
      <c r="H21" s="65">
        <f>SUMIF('3-Ruimtestaat'!B:B,A21,'3-Ruimtestaat'!AI:AI)</f>
        <v>0</v>
      </c>
      <c r="I21" s="65">
        <f t="shared" si="3"/>
        <v>0</v>
      </c>
      <c r="J21" s="66" t="e">
        <f>SUM(E21:F21)*'1-Inschrijfstaat'!$G$20</f>
        <v>#DIV/0!</v>
      </c>
      <c r="K21" s="66" t="e">
        <f>(G21+H21)*'1-Inschrijfstaat'!$G$31</f>
        <v>#DIV/0!</v>
      </c>
      <c r="L21" s="65" t="e">
        <f>(E21+F21)*'1-Inschrijfstaat'!$E$27</f>
        <v>#DIV/0!</v>
      </c>
      <c r="M21" s="65" t="e">
        <f>(G21+H21)*'1-Inschrijfstaat'!$E$35</f>
        <v>#DIV/0!</v>
      </c>
      <c r="N21" s="66" t="e">
        <f>L21*'1-Inschrijfstaat'!$G$27</f>
        <v>#DIV/0!</v>
      </c>
      <c r="O21" s="66" t="e">
        <f>M21*'1-Inschrijfstaat'!$G$35</f>
        <v>#DIV/0!</v>
      </c>
      <c r="P21" s="67" t="e">
        <f t="shared" si="1"/>
        <v>#DIV/0!</v>
      </c>
      <c r="Q21" s="68">
        <f>SUMIF('5-Aanvullend'!A:A,A21,'5-Aanvullend'!M:M)</f>
        <v>0</v>
      </c>
      <c r="R21" s="69" t="e">
        <f t="shared" si="2"/>
        <v>#DIV/0!</v>
      </c>
    </row>
    <row r="22" spans="1:18">
      <c r="A22" s="63">
        <v>109</v>
      </c>
      <c r="B22" s="63" t="s">
        <v>944</v>
      </c>
      <c r="C22" s="63" t="s">
        <v>39</v>
      </c>
      <c r="D22" s="65">
        <f>SUMIF('3-Ruimtestaat'!B:B,A22,'3-Ruimtestaat'!T:T)</f>
        <v>49</v>
      </c>
      <c r="E22" s="65">
        <f>SUMIF('3-Ruimtestaat'!B:B,A22,'3-Ruimtestaat'!AF:AF)</f>
        <v>0</v>
      </c>
      <c r="F22" s="65">
        <f>SUMIF('3-Ruimtestaat'!B:B,A22,'3-Ruimtestaat'!AG:AG)</f>
        <v>0</v>
      </c>
      <c r="G22" s="65">
        <f>SUMIF('3-Ruimtestaat'!B:B,A22,'3-Ruimtestaat'!AH:AH)</f>
        <v>0</v>
      </c>
      <c r="H22" s="65">
        <f>SUMIF('3-Ruimtestaat'!B:B,A22,'3-Ruimtestaat'!AI:AI)</f>
        <v>0</v>
      </c>
      <c r="I22" s="65">
        <f t="shared" si="3"/>
        <v>0</v>
      </c>
      <c r="J22" s="66" t="e">
        <f>SUM(E22:F22)*'1-Inschrijfstaat'!$G$20</f>
        <v>#DIV/0!</v>
      </c>
      <c r="K22" s="66" t="e">
        <f>(G22+H22)*'1-Inschrijfstaat'!$G$31</f>
        <v>#DIV/0!</v>
      </c>
      <c r="L22" s="65" t="e">
        <f>(E22+F22)*'1-Inschrijfstaat'!$E$27</f>
        <v>#DIV/0!</v>
      </c>
      <c r="M22" s="65" t="e">
        <f>(G22+H22)*'1-Inschrijfstaat'!$E$35</f>
        <v>#DIV/0!</v>
      </c>
      <c r="N22" s="66" t="e">
        <f>L22*'1-Inschrijfstaat'!$G$27</f>
        <v>#DIV/0!</v>
      </c>
      <c r="O22" s="66" t="e">
        <f>M22*'1-Inschrijfstaat'!$G$35</f>
        <v>#DIV/0!</v>
      </c>
      <c r="P22" s="67" t="e">
        <f t="shared" si="1"/>
        <v>#DIV/0!</v>
      </c>
      <c r="Q22" s="68">
        <f>SUMIF('5-Aanvullend'!A:A,A22,'5-Aanvullend'!M:M)</f>
        <v>0</v>
      </c>
      <c r="R22" s="69" t="e">
        <f t="shared" si="2"/>
        <v>#DIV/0!</v>
      </c>
    </row>
    <row r="23" spans="1:18">
      <c r="A23" s="63">
        <v>110</v>
      </c>
      <c r="B23" s="63" t="s">
        <v>184</v>
      </c>
      <c r="C23" s="63" t="s">
        <v>39</v>
      </c>
      <c r="D23" s="65">
        <f>SUMIF('3-Ruimtestaat'!B:B,A23,'3-Ruimtestaat'!T:T)</f>
        <v>2608.1600000000008</v>
      </c>
      <c r="E23" s="65">
        <f>SUMIF('3-Ruimtestaat'!B:B,A23,'3-Ruimtestaat'!AF:AF)</f>
        <v>0</v>
      </c>
      <c r="F23" s="65">
        <f>SUMIF('3-Ruimtestaat'!B:B,A23,'3-Ruimtestaat'!AG:AG)</f>
        <v>0</v>
      </c>
      <c r="G23" s="65">
        <f>SUMIF('3-Ruimtestaat'!B:B,A23,'3-Ruimtestaat'!AH:AH)</f>
        <v>0</v>
      </c>
      <c r="H23" s="65">
        <f>SUMIF('3-Ruimtestaat'!B:B,A23,'3-Ruimtestaat'!AI:AI)</f>
        <v>0</v>
      </c>
      <c r="I23" s="65">
        <f t="shared" si="3"/>
        <v>0</v>
      </c>
      <c r="J23" s="66" t="e">
        <f>SUM(E23:F23)*'1-Inschrijfstaat'!$G$20</f>
        <v>#DIV/0!</v>
      </c>
      <c r="K23" s="66" t="e">
        <f>(G23+H23)*'1-Inschrijfstaat'!$G$31</f>
        <v>#DIV/0!</v>
      </c>
      <c r="L23" s="65" t="e">
        <f>(E23+F23)*'1-Inschrijfstaat'!$E$27</f>
        <v>#DIV/0!</v>
      </c>
      <c r="M23" s="65" t="e">
        <f>(G23+H23)*'1-Inschrijfstaat'!$E$35</f>
        <v>#DIV/0!</v>
      </c>
      <c r="N23" s="66" t="e">
        <f>L23*'1-Inschrijfstaat'!$G$27</f>
        <v>#DIV/0!</v>
      </c>
      <c r="O23" s="66" t="e">
        <f>M23*'1-Inschrijfstaat'!$G$35</f>
        <v>#DIV/0!</v>
      </c>
      <c r="P23" s="67" t="e">
        <f t="shared" si="1"/>
        <v>#DIV/0!</v>
      </c>
      <c r="Q23" s="68">
        <f>SUMIF('5-Aanvullend'!A:A,A23,'5-Aanvullend'!M:M)</f>
        <v>0</v>
      </c>
      <c r="R23" s="69" t="e">
        <f t="shared" si="2"/>
        <v>#DIV/0!</v>
      </c>
    </row>
    <row r="24" spans="1:18">
      <c r="A24" s="63">
        <v>111</v>
      </c>
      <c r="B24" s="63" t="s">
        <v>945</v>
      </c>
      <c r="C24" s="63" t="s">
        <v>39</v>
      </c>
      <c r="D24" s="65">
        <f>SUMIF('3-Ruimtestaat'!B:B,A24,'3-Ruimtestaat'!T:T)</f>
        <v>2752.3200000000006</v>
      </c>
      <c r="E24" s="65">
        <f>SUMIF('3-Ruimtestaat'!B:B,A24,'3-Ruimtestaat'!AF:AF)</f>
        <v>0</v>
      </c>
      <c r="F24" s="65">
        <f>SUMIF('3-Ruimtestaat'!B:B,A24,'3-Ruimtestaat'!AG:AG)</f>
        <v>0</v>
      </c>
      <c r="G24" s="65">
        <f>SUMIF('3-Ruimtestaat'!B:B,A24,'3-Ruimtestaat'!AH:AH)</f>
        <v>0</v>
      </c>
      <c r="H24" s="65">
        <f>SUMIF('3-Ruimtestaat'!B:B,A24,'3-Ruimtestaat'!AI:AI)</f>
        <v>0</v>
      </c>
      <c r="I24" s="65">
        <f t="shared" si="3"/>
        <v>0</v>
      </c>
      <c r="J24" s="66" t="e">
        <f>SUM(E24:F24)*'1-Inschrijfstaat'!$G$20</f>
        <v>#DIV/0!</v>
      </c>
      <c r="K24" s="66" t="e">
        <f>(G24+H24)*'1-Inschrijfstaat'!$G$31</f>
        <v>#DIV/0!</v>
      </c>
      <c r="L24" s="65" t="e">
        <f>(E24+F24)*'1-Inschrijfstaat'!$E$27</f>
        <v>#DIV/0!</v>
      </c>
      <c r="M24" s="65" t="e">
        <f>(G24+H24)*'1-Inschrijfstaat'!$E$35</f>
        <v>#DIV/0!</v>
      </c>
      <c r="N24" s="66" t="e">
        <f>L24*'1-Inschrijfstaat'!$G$27</f>
        <v>#DIV/0!</v>
      </c>
      <c r="O24" s="66" t="e">
        <f>M24*'1-Inschrijfstaat'!$G$35</f>
        <v>#DIV/0!</v>
      </c>
      <c r="P24" s="67" t="e">
        <f t="shared" si="1"/>
        <v>#DIV/0!</v>
      </c>
      <c r="Q24" s="68">
        <f>SUMIF('5-Aanvullend'!A:A,A24,'5-Aanvullend'!M:M)</f>
        <v>0</v>
      </c>
      <c r="R24" s="69" t="e">
        <f t="shared" si="2"/>
        <v>#DIV/0!</v>
      </c>
    </row>
    <row r="25" spans="1:18">
      <c r="A25" s="63">
        <v>112</v>
      </c>
      <c r="B25" s="63" t="s">
        <v>229</v>
      </c>
      <c r="C25" s="63" t="s">
        <v>39</v>
      </c>
      <c r="D25" s="65">
        <f>SUMIF('3-Ruimtestaat'!B:B,A25,'3-Ruimtestaat'!T:T)</f>
        <v>2360.2399999999998</v>
      </c>
      <c r="E25" s="65">
        <f>SUMIF('3-Ruimtestaat'!B:B,A25,'3-Ruimtestaat'!AF:AF)</f>
        <v>0</v>
      </c>
      <c r="F25" s="65">
        <f>SUMIF('3-Ruimtestaat'!B:B,A25,'3-Ruimtestaat'!AG:AG)</f>
        <v>0</v>
      </c>
      <c r="G25" s="65">
        <f>SUMIF('3-Ruimtestaat'!B:B,A25,'3-Ruimtestaat'!AH:AH)</f>
        <v>0</v>
      </c>
      <c r="H25" s="65">
        <f>SUMIF('3-Ruimtestaat'!B:B,A25,'3-Ruimtestaat'!AI:AI)</f>
        <v>0</v>
      </c>
      <c r="I25" s="65">
        <f t="shared" si="3"/>
        <v>0</v>
      </c>
      <c r="J25" s="66" t="e">
        <f>SUM(E25:F25)*'1-Inschrijfstaat'!$G$20</f>
        <v>#DIV/0!</v>
      </c>
      <c r="K25" s="66" t="e">
        <f>(G25+H25)*'1-Inschrijfstaat'!$G$31</f>
        <v>#DIV/0!</v>
      </c>
      <c r="L25" s="65" t="e">
        <f>(E25+F25)*'1-Inschrijfstaat'!$E$27</f>
        <v>#DIV/0!</v>
      </c>
      <c r="M25" s="65" t="e">
        <f>(G25+H25)*'1-Inschrijfstaat'!$E$35</f>
        <v>#DIV/0!</v>
      </c>
      <c r="N25" s="66" t="e">
        <f>L25*'1-Inschrijfstaat'!$G$27</f>
        <v>#DIV/0!</v>
      </c>
      <c r="O25" s="66" t="e">
        <f>M25*'1-Inschrijfstaat'!$G$35</f>
        <v>#DIV/0!</v>
      </c>
      <c r="P25" s="67" t="e">
        <f t="shared" si="1"/>
        <v>#DIV/0!</v>
      </c>
      <c r="Q25" s="68">
        <f>SUMIF('5-Aanvullend'!A:A,A25,'5-Aanvullend'!M:M)</f>
        <v>0</v>
      </c>
      <c r="R25" s="69" t="e">
        <f t="shared" si="2"/>
        <v>#DIV/0!</v>
      </c>
    </row>
    <row r="26" spans="1:18">
      <c r="A26" s="63">
        <v>113</v>
      </c>
      <c r="B26" s="63" t="s">
        <v>946</v>
      </c>
      <c r="C26" s="63" t="s">
        <v>39</v>
      </c>
      <c r="D26" s="65">
        <f>SUMIF('3-Ruimtestaat'!B:B,A26,'3-Ruimtestaat'!T:T)</f>
        <v>2560.1600000000008</v>
      </c>
      <c r="E26" s="65">
        <f>SUMIF('3-Ruimtestaat'!B:B,A26,'3-Ruimtestaat'!AF:AF)</f>
        <v>0</v>
      </c>
      <c r="F26" s="65">
        <f>SUMIF('3-Ruimtestaat'!B:B,A26,'3-Ruimtestaat'!AG:AG)</f>
        <v>0</v>
      </c>
      <c r="G26" s="65">
        <f>SUMIF('3-Ruimtestaat'!B:B,A26,'3-Ruimtestaat'!AH:AH)</f>
        <v>0</v>
      </c>
      <c r="H26" s="65">
        <f>SUMIF('3-Ruimtestaat'!B:B,A26,'3-Ruimtestaat'!AI:AI)</f>
        <v>0</v>
      </c>
      <c r="I26" s="65">
        <f t="shared" si="3"/>
        <v>0</v>
      </c>
      <c r="J26" s="66" t="e">
        <f>SUM(E26:F26)*'1-Inschrijfstaat'!$G$20</f>
        <v>#DIV/0!</v>
      </c>
      <c r="K26" s="66" t="e">
        <f>(G26+H26)*'1-Inschrijfstaat'!$G$31</f>
        <v>#DIV/0!</v>
      </c>
      <c r="L26" s="65" t="e">
        <f>(E26+F26)*'1-Inschrijfstaat'!$E$27</f>
        <v>#DIV/0!</v>
      </c>
      <c r="M26" s="65" t="e">
        <f>(G26+H26)*'1-Inschrijfstaat'!$E$35</f>
        <v>#DIV/0!</v>
      </c>
      <c r="N26" s="66" t="e">
        <f>L26*'1-Inschrijfstaat'!$G$27</f>
        <v>#DIV/0!</v>
      </c>
      <c r="O26" s="66" t="e">
        <f>M26*'1-Inschrijfstaat'!$G$35</f>
        <v>#DIV/0!</v>
      </c>
      <c r="P26" s="67" t="e">
        <f t="shared" si="1"/>
        <v>#DIV/0!</v>
      </c>
      <c r="Q26" s="68">
        <f>SUMIF('5-Aanvullend'!A:A,A26,'5-Aanvullend'!M:M)</f>
        <v>0</v>
      </c>
      <c r="R26" s="69" t="e">
        <f t="shared" si="2"/>
        <v>#DIV/0!</v>
      </c>
    </row>
    <row r="27" spans="1:18">
      <c r="A27" s="63">
        <v>114</v>
      </c>
      <c r="B27" s="63" t="s">
        <v>38</v>
      </c>
      <c r="C27" s="63" t="s">
        <v>39</v>
      </c>
      <c r="D27" s="65">
        <f>SUMIF('3-Ruimtestaat'!B:B,A27,'3-Ruimtestaat'!T:T)</f>
        <v>2505.2599999999998</v>
      </c>
      <c r="E27" s="65">
        <f>SUMIF('3-Ruimtestaat'!B:B,A27,'3-Ruimtestaat'!AF:AF)</f>
        <v>0</v>
      </c>
      <c r="F27" s="65">
        <f>SUMIF('3-Ruimtestaat'!B:B,A27,'3-Ruimtestaat'!AG:AG)</f>
        <v>0</v>
      </c>
      <c r="G27" s="65">
        <f>SUMIF('3-Ruimtestaat'!B:B,A27,'3-Ruimtestaat'!AH:AH)</f>
        <v>0</v>
      </c>
      <c r="H27" s="65">
        <f>SUMIF('3-Ruimtestaat'!B:B,A27,'3-Ruimtestaat'!AI:AI)</f>
        <v>0</v>
      </c>
      <c r="I27" s="65">
        <f t="shared" si="3"/>
        <v>0</v>
      </c>
      <c r="J27" s="66" t="e">
        <f>SUM(E27:F27)*'1-Inschrijfstaat'!$G$20</f>
        <v>#DIV/0!</v>
      </c>
      <c r="K27" s="66" t="e">
        <f>(G27+H27)*'1-Inschrijfstaat'!$G$31</f>
        <v>#DIV/0!</v>
      </c>
      <c r="L27" s="65" t="e">
        <f>(E27+F27)*'1-Inschrijfstaat'!$E$27</f>
        <v>#DIV/0!</v>
      </c>
      <c r="M27" s="65" t="e">
        <f>(G27+H27)*'1-Inschrijfstaat'!$E$35</f>
        <v>#DIV/0!</v>
      </c>
      <c r="N27" s="66" t="e">
        <f>L27*'1-Inschrijfstaat'!$G$27</f>
        <v>#DIV/0!</v>
      </c>
      <c r="O27" s="66" t="e">
        <f>M27*'1-Inschrijfstaat'!$G$35</f>
        <v>#DIV/0!</v>
      </c>
      <c r="P27" s="67" t="e">
        <f t="shared" si="1"/>
        <v>#DIV/0!</v>
      </c>
      <c r="Q27" s="68">
        <f>SUMIF('5-Aanvullend'!A:A,A27,'5-Aanvullend'!M:M)</f>
        <v>0</v>
      </c>
      <c r="R27" s="69" t="e">
        <f t="shared" si="2"/>
        <v>#DIV/0!</v>
      </c>
    </row>
    <row r="28" spans="1:18">
      <c r="A28" s="63">
        <v>115</v>
      </c>
      <c r="B28" s="63" t="s">
        <v>126</v>
      </c>
      <c r="C28" s="63" t="s">
        <v>127</v>
      </c>
      <c r="D28" s="65">
        <f>SUMIF('3-Ruimtestaat'!B:B,A28,'3-Ruimtestaat'!T:T)</f>
        <v>2627.6700000000005</v>
      </c>
      <c r="E28" s="65">
        <f>SUMIF('3-Ruimtestaat'!B:B,A28,'3-Ruimtestaat'!AF:AF)</f>
        <v>0</v>
      </c>
      <c r="F28" s="65">
        <f>SUMIF('3-Ruimtestaat'!B:B,A28,'3-Ruimtestaat'!AG:AG)</f>
        <v>0</v>
      </c>
      <c r="G28" s="65">
        <f>SUMIF('3-Ruimtestaat'!B:B,A28,'3-Ruimtestaat'!AH:AH)</f>
        <v>0</v>
      </c>
      <c r="H28" s="65">
        <f>SUMIF('3-Ruimtestaat'!B:B,A28,'3-Ruimtestaat'!AI:AI)</f>
        <v>0</v>
      </c>
      <c r="I28" s="65">
        <f t="shared" si="3"/>
        <v>0</v>
      </c>
      <c r="J28" s="66" t="e">
        <f>SUM(E28:F28)*'1-Inschrijfstaat'!$G$20</f>
        <v>#DIV/0!</v>
      </c>
      <c r="K28" s="66" t="e">
        <f>(G28+H28)*'1-Inschrijfstaat'!$G$31</f>
        <v>#DIV/0!</v>
      </c>
      <c r="L28" s="65" t="e">
        <f>(E28+F28)*'1-Inschrijfstaat'!$E$27</f>
        <v>#DIV/0!</v>
      </c>
      <c r="M28" s="65" t="e">
        <f>(G28+H28)*'1-Inschrijfstaat'!$E$35</f>
        <v>#DIV/0!</v>
      </c>
      <c r="N28" s="66" t="e">
        <f>L28*'1-Inschrijfstaat'!$G$27</f>
        <v>#DIV/0!</v>
      </c>
      <c r="O28" s="66" t="e">
        <f>M28*'1-Inschrijfstaat'!$G$35</f>
        <v>#DIV/0!</v>
      </c>
      <c r="P28" s="67" t="e">
        <f t="shared" si="1"/>
        <v>#DIV/0!</v>
      </c>
      <c r="Q28" s="68">
        <f>SUMIF('5-Aanvullend'!A:A,A28,'5-Aanvullend'!M:M)</f>
        <v>0</v>
      </c>
      <c r="R28" s="69" t="e">
        <f t="shared" si="2"/>
        <v>#DIV/0!</v>
      </c>
    </row>
    <row r="29" spans="1:18">
      <c r="A29" s="63">
        <v>116</v>
      </c>
      <c r="B29" s="63" t="s">
        <v>358</v>
      </c>
      <c r="C29" s="63" t="s">
        <v>39</v>
      </c>
      <c r="D29" s="65">
        <f>SUMIF('3-Ruimtestaat'!B:B,A29,'3-Ruimtestaat'!T:T)</f>
        <v>2336</v>
      </c>
      <c r="E29" s="65">
        <f>SUMIF('3-Ruimtestaat'!B:B,A29,'3-Ruimtestaat'!AF:AF)</f>
        <v>0</v>
      </c>
      <c r="F29" s="65">
        <f>SUMIF('3-Ruimtestaat'!B:B,A29,'3-Ruimtestaat'!AG:AG)</f>
        <v>0</v>
      </c>
      <c r="G29" s="65">
        <f>SUMIF('3-Ruimtestaat'!B:B,A29,'3-Ruimtestaat'!AH:AH)</f>
        <v>0</v>
      </c>
      <c r="H29" s="65">
        <f>SUMIF('3-Ruimtestaat'!B:B,A29,'3-Ruimtestaat'!AI:AI)</f>
        <v>0</v>
      </c>
      <c r="I29" s="65">
        <f t="shared" si="3"/>
        <v>0</v>
      </c>
      <c r="J29" s="66" t="e">
        <f>SUM(E29:F29)*'1-Inschrijfstaat'!$G$20</f>
        <v>#DIV/0!</v>
      </c>
      <c r="K29" s="66" t="e">
        <f>(G29+H29)*'1-Inschrijfstaat'!$G$31</f>
        <v>#DIV/0!</v>
      </c>
      <c r="L29" s="65" t="e">
        <f>(E29+F29)*'1-Inschrijfstaat'!$E$27</f>
        <v>#DIV/0!</v>
      </c>
      <c r="M29" s="65" t="e">
        <f>(G29+H29)*'1-Inschrijfstaat'!$E$35</f>
        <v>#DIV/0!</v>
      </c>
      <c r="N29" s="66" t="e">
        <f>L29*'1-Inschrijfstaat'!$G$27</f>
        <v>#DIV/0!</v>
      </c>
      <c r="O29" s="66" t="e">
        <f>M29*'1-Inschrijfstaat'!$G$35</f>
        <v>#DIV/0!</v>
      </c>
      <c r="P29" s="67" t="e">
        <f t="shared" si="1"/>
        <v>#DIV/0!</v>
      </c>
      <c r="Q29" s="68">
        <f>SUMIF('5-Aanvullend'!A:A,A29,'5-Aanvullend'!M:M)</f>
        <v>0</v>
      </c>
      <c r="R29" s="69" t="e">
        <f t="shared" si="2"/>
        <v>#DIV/0!</v>
      </c>
    </row>
    <row r="30" spans="1:18">
      <c r="A30" s="63">
        <v>117</v>
      </c>
      <c r="B30" s="63" t="s">
        <v>453</v>
      </c>
      <c r="C30" s="63" t="s">
        <v>39</v>
      </c>
      <c r="D30" s="65">
        <f>SUMIF('3-Ruimtestaat'!B:B,A30,'3-Ruimtestaat'!T:T)</f>
        <v>2393</v>
      </c>
      <c r="E30" s="65">
        <f>SUMIF('3-Ruimtestaat'!B:B,A30,'3-Ruimtestaat'!AF:AF)</f>
        <v>0</v>
      </c>
      <c r="F30" s="65">
        <f>SUMIF('3-Ruimtestaat'!B:B,A30,'3-Ruimtestaat'!AG:AG)</f>
        <v>0</v>
      </c>
      <c r="G30" s="65">
        <f>SUMIF('3-Ruimtestaat'!B:B,A30,'3-Ruimtestaat'!AH:AH)</f>
        <v>0</v>
      </c>
      <c r="H30" s="65">
        <f>SUMIF('3-Ruimtestaat'!B:B,A30,'3-Ruimtestaat'!AI:AI)</f>
        <v>0</v>
      </c>
      <c r="I30" s="65">
        <f t="shared" si="3"/>
        <v>0</v>
      </c>
      <c r="J30" s="66" t="e">
        <f>SUM(E30:F30)*'1-Inschrijfstaat'!$G$20</f>
        <v>#DIV/0!</v>
      </c>
      <c r="K30" s="66" t="e">
        <f>(G30+H30)*'1-Inschrijfstaat'!$G$31</f>
        <v>#DIV/0!</v>
      </c>
      <c r="L30" s="65" t="e">
        <f>(E30+F30)*'1-Inschrijfstaat'!$E$27</f>
        <v>#DIV/0!</v>
      </c>
      <c r="M30" s="65" t="e">
        <f>(G30+H30)*'1-Inschrijfstaat'!$E$35</f>
        <v>#DIV/0!</v>
      </c>
      <c r="N30" s="66" t="e">
        <f>L30*'1-Inschrijfstaat'!$G$27</f>
        <v>#DIV/0!</v>
      </c>
      <c r="O30" s="66" t="e">
        <f>M30*'1-Inschrijfstaat'!$G$35</f>
        <v>#DIV/0!</v>
      </c>
      <c r="P30" s="67" t="e">
        <f t="shared" si="1"/>
        <v>#DIV/0!</v>
      </c>
      <c r="Q30" s="68">
        <f>SUMIF('5-Aanvullend'!A:A,A30,'5-Aanvullend'!M:M)</f>
        <v>0</v>
      </c>
      <c r="R30" s="69" t="e">
        <f t="shared" si="2"/>
        <v>#DIV/0!</v>
      </c>
    </row>
    <row r="31" spans="1:18">
      <c r="A31" s="63">
        <v>118</v>
      </c>
      <c r="B31" s="63" t="s">
        <v>299</v>
      </c>
      <c r="C31" s="63" t="s">
        <v>39</v>
      </c>
      <c r="D31" s="65">
        <f>SUMIF('3-Ruimtestaat'!B:B,A31,'3-Ruimtestaat'!T:T)</f>
        <v>1822</v>
      </c>
      <c r="E31" s="65">
        <f>SUMIF('3-Ruimtestaat'!B:B,A31,'3-Ruimtestaat'!AF:AF)</f>
        <v>0</v>
      </c>
      <c r="F31" s="65">
        <f>SUMIF('3-Ruimtestaat'!B:B,A31,'3-Ruimtestaat'!AG:AG)</f>
        <v>0</v>
      </c>
      <c r="G31" s="65">
        <f>SUMIF('3-Ruimtestaat'!B:B,A31,'3-Ruimtestaat'!AH:AH)</f>
        <v>0</v>
      </c>
      <c r="H31" s="65">
        <f>SUMIF('3-Ruimtestaat'!B:B,A31,'3-Ruimtestaat'!AI:AI)</f>
        <v>0</v>
      </c>
      <c r="I31" s="65">
        <f t="shared" si="3"/>
        <v>0</v>
      </c>
      <c r="J31" s="66" t="e">
        <f>SUM(E31:F31)*'1-Inschrijfstaat'!$G$20</f>
        <v>#DIV/0!</v>
      </c>
      <c r="K31" s="66" t="e">
        <f>(G31+H31)*'1-Inschrijfstaat'!$G$31</f>
        <v>#DIV/0!</v>
      </c>
      <c r="L31" s="65" t="e">
        <f>(E31+F31)*'1-Inschrijfstaat'!$E$27</f>
        <v>#DIV/0!</v>
      </c>
      <c r="M31" s="65" t="e">
        <f>(G31+H31)*'1-Inschrijfstaat'!$E$35</f>
        <v>#DIV/0!</v>
      </c>
      <c r="N31" s="66" t="e">
        <f>L31*'1-Inschrijfstaat'!$G$27</f>
        <v>#DIV/0!</v>
      </c>
      <c r="O31" s="66" t="e">
        <f>M31*'1-Inschrijfstaat'!$G$35</f>
        <v>#DIV/0!</v>
      </c>
      <c r="P31" s="67" t="e">
        <f t="shared" si="1"/>
        <v>#DIV/0!</v>
      </c>
      <c r="Q31" s="68">
        <f>SUMIF('5-Aanvullend'!A:A,A31,'5-Aanvullend'!M:M)</f>
        <v>0</v>
      </c>
      <c r="R31" s="69" t="e">
        <f t="shared" si="2"/>
        <v>#DIV/0!</v>
      </c>
    </row>
    <row r="32" spans="1:18">
      <c r="A32" s="63">
        <v>119</v>
      </c>
      <c r="B32" s="63" t="s">
        <v>479</v>
      </c>
      <c r="C32" s="63" t="s">
        <v>39</v>
      </c>
      <c r="D32" s="65">
        <f>SUMIF('3-Ruimtestaat'!B:B,A32,'3-Ruimtestaat'!T:T)</f>
        <v>2116</v>
      </c>
      <c r="E32" s="65">
        <f>SUMIF('3-Ruimtestaat'!B:B,A32,'3-Ruimtestaat'!AF:AF)</f>
        <v>0</v>
      </c>
      <c r="F32" s="65">
        <f>SUMIF('3-Ruimtestaat'!B:B,A32,'3-Ruimtestaat'!AG:AG)</f>
        <v>0</v>
      </c>
      <c r="G32" s="65">
        <f>SUMIF('3-Ruimtestaat'!B:B,A32,'3-Ruimtestaat'!AH:AH)</f>
        <v>0</v>
      </c>
      <c r="H32" s="65">
        <f>SUMIF('3-Ruimtestaat'!B:B,A32,'3-Ruimtestaat'!AI:AI)</f>
        <v>0</v>
      </c>
      <c r="I32" s="65">
        <f t="shared" si="3"/>
        <v>0</v>
      </c>
      <c r="J32" s="66" t="e">
        <f>SUM(E32:F32)*'1-Inschrijfstaat'!$G$20</f>
        <v>#DIV/0!</v>
      </c>
      <c r="K32" s="66" t="e">
        <f>(G32+H32)*'1-Inschrijfstaat'!$G$31</f>
        <v>#DIV/0!</v>
      </c>
      <c r="L32" s="65" t="e">
        <f>(E32+F32)*'1-Inschrijfstaat'!$E$27</f>
        <v>#DIV/0!</v>
      </c>
      <c r="M32" s="65" t="e">
        <f>(G32+H32)*'1-Inschrijfstaat'!$E$35</f>
        <v>#DIV/0!</v>
      </c>
      <c r="N32" s="66" t="e">
        <f>L32*'1-Inschrijfstaat'!$G$27</f>
        <v>#DIV/0!</v>
      </c>
      <c r="O32" s="66" t="e">
        <f>M32*'1-Inschrijfstaat'!$G$35</f>
        <v>#DIV/0!</v>
      </c>
      <c r="P32" s="67" t="e">
        <f t="shared" si="1"/>
        <v>#DIV/0!</v>
      </c>
      <c r="Q32" s="68">
        <f>SUMIF('5-Aanvullend'!A:A,A32,'5-Aanvullend'!M:M)</f>
        <v>0</v>
      </c>
      <c r="R32" s="69" t="e">
        <f t="shared" si="2"/>
        <v>#DIV/0!</v>
      </c>
    </row>
    <row r="33" spans="1:18">
      <c r="A33" s="63">
        <v>120</v>
      </c>
      <c r="B33" s="63" t="s">
        <v>459</v>
      </c>
      <c r="C33" s="63" t="s">
        <v>39</v>
      </c>
      <c r="D33" s="65">
        <f>SUMIF('3-Ruimtestaat'!B:B,A33,'3-Ruimtestaat'!T:T)</f>
        <v>2377</v>
      </c>
      <c r="E33" s="65">
        <f>SUMIF('3-Ruimtestaat'!B:B,A33,'3-Ruimtestaat'!AF:AF)</f>
        <v>0</v>
      </c>
      <c r="F33" s="65">
        <f>SUMIF('3-Ruimtestaat'!B:B,A33,'3-Ruimtestaat'!AG:AG)</f>
        <v>0</v>
      </c>
      <c r="G33" s="65">
        <f>SUMIF('3-Ruimtestaat'!B:B,A33,'3-Ruimtestaat'!AH:AH)</f>
        <v>0</v>
      </c>
      <c r="H33" s="65">
        <f>SUMIF('3-Ruimtestaat'!B:B,A33,'3-Ruimtestaat'!AI:AI)</f>
        <v>0</v>
      </c>
      <c r="I33" s="65">
        <f t="shared" si="3"/>
        <v>0</v>
      </c>
      <c r="J33" s="66" t="e">
        <f>SUM(E33:F33)*'1-Inschrijfstaat'!$G$20</f>
        <v>#DIV/0!</v>
      </c>
      <c r="K33" s="66" t="e">
        <f>(G33+H33)*'1-Inschrijfstaat'!$G$31</f>
        <v>#DIV/0!</v>
      </c>
      <c r="L33" s="65" t="e">
        <f>(E33+F33)*'1-Inschrijfstaat'!$E$27</f>
        <v>#DIV/0!</v>
      </c>
      <c r="M33" s="65" t="e">
        <f>(G33+H33)*'1-Inschrijfstaat'!$E$35</f>
        <v>#DIV/0!</v>
      </c>
      <c r="N33" s="66" t="e">
        <f>L33*'1-Inschrijfstaat'!$G$27</f>
        <v>#DIV/0!</v>
      </c>
      <c r="O33" s="66" t="e">
        <f>M33*'1-Inschrijfstaat'!$G$35</f>
        <v>#DIV/0!</v>
      </c>
      <c r="P33" s="67" t="e">
        <f t="shared" si="1"/>
        <v>#DIV/0!</v>
      </c>
      <c r="Q33" s="68">
        <f>SUMIF('5-Aanvullend'!A:A,A33,'5-Aanvullend'!M:M)</f>
        <v>0</v>
      </c>
      <c r="R33" s="69" t="e">
        <f t="shared" si="2"/>
        <v>#DIV/0!</v>
      </c>
    </row>
    <row r="34" spans="1:18">
      <c r="A34" s="63">
        <v>121</v>
      </c>
      <c r="B34" s="63" t="s">
        <v>275</v>
      </c>
      <c r="C34" s="63" t="s">
        <v>39</v>
      </c>
      <c r="D34" s="65">
        <f>SUMIF('3-Ruimtestaat'!B:B,A34,'3-Ruimtestaat'!T:T)</f>
        <v>2013.13</v>
      </c>
      <c r="E34" s="65">
        <f>SUMIF('3-Ruimtestaat'!B:B,A34,'3-Ruimtestaat'!AF:AF)</f>
        <v>0</v>
      </c>
      <c r="F34" s="65">
        <f>SUMIF('3-Ruimtestaat'!B:B,A34,'3-Ruimtestaat'!AG:AG)</f>
        <v>0</v>
      </c>
      <c r="G34" s="65">
        <f>SUMIF('3-Ruimtestaat'!B:B,A34,'3-Ruimtestaat'!AH:AH)</f>
        <v>0</v>
      </c>
      <c r="H34" s="65">
        <f>SUMIF('3-Ruimtestaat'!B:B,A34,'3-Ruimtestaat'!AI:AI)</f>
        <v>0</v>
      </c>
      <c r="I34" s="65">
        <f t="shared" si="3"/>
        <v>0</v>
      </c>
      <c r="J34" s="66" t="e">
        <f>SUM(E34:F34)*'1-Inschrijfstaat'!$G$20</f>
        <v>#DIV/0!</v>
      </c>
      <c r="K34" s="66" t="e">
        <f>(G34+H34)*'1-Inschrijfstaat'!$G$31</f>
        <v>#DIV/0!</v>
      </c>
      <c r="L34" s="65" t="e">
        <f>(E34+F34)*'1-Inschrijfstaat'!$E$27</f>
        <v>#DIV/0!</v>
      </c>
      <c r="M34" s="65" t="e">
        <f>(G34+H34)*'1-Inschrijfstaat'!$E$35</f>
        <v>#DIV/0!</v>
      </c>
      <c r="N34" s="66" t="e">
        <f>L34*'1-Inschrijfstaat'!$G$27</f>
        <v>#DIV/0!</v>
      </c>
      <c r="O34" s="66" t="e">
        <f>M34*'1-Inschrijfstaat'!$G$35</f>
        <v>#DIV/0!</v>
      </c>
      <c r="P34" s="67" t="e">
        <f t="shared" si="1"/>
        <v>#DIV/0!</v>
      </c>
      <c r="Q34" s="68">
        <f>SUMIF('5-Aanvullend'!A:A,A34,'5-Aanvullend'!M:M)</f>
        <v>0</v>
      </c>
      <c r="R34" s="69" t="e">
        <f t="shared" si="2"/>
        <v>#DIV/0!</v>
      </c>
    </row>
    <row r="35" spans="1:18">
      <c r="A35" s="63">
        <v>1001</v>
      </c>
      <c r="B35" s="63" t="s">
        <v>1087</v>
      </c>
      <c r="C35" s="63" t="s">
        <v>1092</v>
      </c>
      <c r="D35" s="65">
        <f>SUMIF('3-Ruimtestaat'!B:B,A35,'3-Ruimtestaat'!T:T)</f>
        <v>458</v>
      </c>
      <c r="E35" s="65">
        <f>SUMIF('3-Ruimtestaat'!B:B,A35,'3-Ruimtestaat'!AF:AF)</f>
        <v>0</v>
      </c>
      <c r="F35" s="65">
        <f>SUMIF('3-Ruimtestaat'!B:B,A35,'3-Ruimtestaat'!AG:AG)</f>
        <v>0</v>
      </c>
      <c r="G35" s="65">
        <f>SUMIF('3-Ruimtestaat'!B:B,A35,'3-Ruimtestaat'!AH:AH)</f>
        <v>0</v>
      </c>
      <c r="H35" s="65">
        <f>SUMIF('3-Ruimtestaat'!B:B,A35,'3-Ruimtestaat'!AI:AI)</f>
        <v>0</v>
      </c>
      <c r="I35" s="65">
        <f t="shared" si="3"/>
        <v>0</v>
      </c>
      <c r="J35" s="66" t="e">
        <f>SUM(E35:F35)*'1-Inschrijfstaat'!$G$20</f>
        <v>#DIV/0!</v>
      </c>
      <c r="K35" s="66" t="e">
        <f>(G35+H35)*'1-Inschrijfstaat'!$G$31</f>
        <v>#DIV/0!</v>
      </c>
      <c r="L35" s="65" t="e">
        <f>(E35+F35)*'1-Inschrijfstaat'!$E$27</f>
        <v>#DIV/0!</v>
      </c>
      <c r="M35" s="65" t="e">
        <f>(G35+H35)*'1-Inschrijfstaat'!$E$35</f>
        <v>#DIV/0!</v>
      </c>
      <c r="N35" s="66" t="e">
        <f>L35*'1-Inschrijfstaat'!$G$27</f>
        <v>#DIV/0!</v>
      </c>
      <c r="O35" s="66" t="e">
        <f>M35*'1-Inschrijfstaat'!$G$35</f>
        <v>#DIV/0!</v>
      </c>
      <c r="P35" s="67" t="e">
        <f t="shared" si="1"/>
        <v>#DIV/0!</v>
      </c>
      <c r="Q35" s="68">
        <f>SUMIF('5-Aanvullend'!A:A,A35,'5-Aanvullend'!M:M)</f>
        <v>0</v>
      </c>
      <c r="R35" s="69" t="e">
        <f t="shared" si="2"/>
        <v>#DIV/0!</v>
      </c>
    </row>
    <row r="36" spans="1:18">
      <c r="A36" s="63">
        <v>1002</v>
      </c>
      <c r="B36" s="63" t="s">
        <v>1123</v>
      </c>
      <c r="C36" s="63" t="s">
        <v>1092</v>
      </c>
      <c r="D36" s="65">
        <f>SUMIF('3-Ruimtestaat'!B:B,A36,'3-Ruimtestaat'!T:T)</f>
        <v>2301.5</v>
      </c>
      <c r="E36" s="65">
        <f>SUMIF('3-Ruimtestaat'!B:B,A36,'3-Ruimtestaat'!AF:AF)</f>
        <v>0</v>
      </c>
      <c r="F36" s="65">
        <f>SUMIF('3-Ruimtestaat'!B:B,A36,'3-Ruimtestaat'!AG:AG)</f>
        <v>0</v>
      </c>
      <c r="G36" s="65">
        <f>SUMIF('3-Ruimtestaat'!B:B,A36,'3-Ruimtestaat'!AH:AH)</f>
        <v>0</v>
      </c>
      <c r="H36" s="65">
        <f>SUMIF('3-Ruimtestaat'!B:B,A36,'3-Ruimtestaat'!AI:AI)</f>
        <v>0</v>
      </c>
      <c r="I36" s="65">
        <f t="shared" ref="I36" si="4">SUM(E36:H36)</f>
        <v>0</v>
      </c>
      <c r="J36" s="66" t="e">
        <f>SUM(E36:F36)*'1-Inschrijfstaat'!$G$20</f>
        <v>#DIV/0!</v>
      </c>
      <c r="K36" s="66" t="e">
        <f>(G36+H36)*'1-Inschrijfstaat'!$G$31</f>
        <v>#DIV/0!</v>
      </c>
      <c r="L36" s="65" t="e">
        <f>(E36+F36)*'1-Inschrijfstaat'!$E$27</f>
        <v>#DIV/0!</v>
      </c>
      <c r="M36" s="65" t="e">
        <f>(G36+H36)*'1-Inschrijfstaat'!$E$35</f>
        <v>#DIV/0!</v>
      </c>
      <c r="N36" s="66" t="e">
        <f>L36*'1-Inschrijfstaat'!$G$27</f>
        <v>#DIV/0!</v>
      </c>
      <c r="O36" s="66" t="e">
        <f>M36*'1-Inschrijfstaat'!$G$35</f>
        <v>#DIV/0!</v>
      </c>
      <c r="P36" s="67" t="e">
        <f t="shared" si="1"/>
        <v>#DIV/0!</v>
      </c>
      <c r="Q36" s="68">
        <f>SUMIF('5-Aanvullend'!A:A,A36,'5-Aanvullend'!M:M)</f>
        <v>0</v>
      </c>
      <c r="R36" s="69" t="e">
        <f t="shared" si="2"/>
        <v>#DIV/0!</v>
      </c>
    </row>
    <row r="37" spans="1:18">
      <c r="A37" s="64">
        <v>201</v>
      </c>
      <c r="B37" s="64" t="s">
        <v>1350</v>
      </c>
      <c r="C37" s="64" t="s">
        <v>1340</v>
      </c>
      <c r="D37" s="65">
        <f>SUMIF('3-Ruimtestaat'!B:B,A37,'3-Ruimtestaat'!T:T)</f>
        <v>507</v>
      </c>
      <c r="E37" s="65">
        <f>SUMIF('3-Ruimtestaat'!B:B,A37,'3-Ruimtestaat'!AF:AF)</f>
        <v>0</v>
      </c>
      <c r="F37" s="65">
        <f>SUMIF('3-Ruimtestaat'!B:B,A37,'3-Ruimtestaat'!AG:AG)</f>
        <v>0</v>
      </c>
      <c r="G37" s="65">
        <f>SUMIF('3-Ruimtestaat'!B:B,A37,'3-Ruimtestaat'!AH:AH)</f>
        <v>0</v>
      </c>
      <c r="H37" s="65">
        <f>SUMIF('3-Ruimtestaat'!B:B,A37,'3-Ruimtestaat'!AI:AI)</f>
        <v>0</v>
      </c>
      <c r="I37" s="65">
        <f t="shared" ref="I37:I63" si="5">SUM(E37:H37)</f>
        <v>0</v>
      </c>
      <c r="J37" s="66" t="e">
        <f>SUM(E37:F37)*'1-Inschrijfstaat'!$G$20</f>
        <v>#DIV/0!</v>
      </c>
      <c r="K37" s="66" t="e">
        <f>(G37+H37)*'1-Inschrijfstaat'!$G$31</f>
        <v>#DIV/0!</v>
      </c>
      <c r="L37" s="65" t="e">
        <f>(E37+F37)*'1-Inschrijfstaat'!$E$27</f>
        <v>#DIV/0!</v>
      </c>
      <c r="M37" s="65" t="e">
        <f>(G37+H37)*'1-Inschrijfstaat'!$E$35</f>
        <v>#DIV/0!</v>
      </c>
      <c r="N37" s="66" t="e">
        <f>L37*'1-Inschrijfstaat'!$G$27</f>
        <v>#DIV/0!</v>
      </c>
      <c r="O37" s="66" t="e">
        <f>M37*'1-Inschrijfstaat'!$G$35</f>
        <v>#DIV/0!</v>
      </c>
      <c r="P37" s="67" t="e">
        <f t="shared" ref="P37:P63" si="6">J37+K37+N37+O37</f>
        <v>#DIV/0!</v>
      </c>
      <c r="Q37" s="68">
        <f>SUMIF('5-Aanvullend'!A:A,A37,'5-Aanvullend'!M:M)</f>
        <v>0</v>
      </c>
      <c r="R37" s="69" t="e">
        <f t="shared" si="2"/>
        <v>#DIV/0!</v>
      </c>
    </row>
    <row r="38" spans="1:18">
      <c r="A38" s="64">
        <v>202</v>
      </c>
      <c r="B38" s="64" t="s">
        <v>1341</v>
      </c>
      <c r="C38" s="64" t="s">
        <v>1340</v>
      </c>
      <c r="D38" s="65">
        <f>SUMIF('3-Ruimtestaat'!B:B,A38,'3-Ruimtestaat'!T:T)</f>
        <v>671</v>
      </c>
      <c r="E38" s="65">
        <f>SUMIF('3-Ruimtestaat'!B:B,A38,'3-Ruimtestaat'!AF:AF)</f>
        <v>0</v>
      </c>
      <c r="F38" s="65">
        <f>SUMIF('3-Ruimtestaat'!B:B,A38,'3-Ruimtestaat'!AG:AG)</f>
        <v>0</v>
      </c>
      <c r="G38" s="65">
        <f>SUMIF('3-Ruimtestaat'!B:B,A38,'3-Ruimtestaat'!AH:AH)</f>
        <v>0</v>
      </c>
      <c r="H38" s="65">
        <f>SUMIF('3-Ruimtestaat'!B:B,A38,'3-Ruimtestaat'!AI:AI)</f>
        <v>0</v>
      </c>
      <c r="I38" s="65">
        <f t="shared" si="5"/>
        <v>0</v>
      </c>
      <c r="J38" s="66" t="e">
        <f>SUM(E38:F38)*'1-Inschrijfstaat'!$G$20</f>
        <v>#DIV/0!</v>
      </c>
      <c r="K38" s="66" t="e">
        <f>(G38+H38)*'1-Inschrijfstaat'!$G$31</f>
        <v>#DIV/0!</v>
      </c>
      <c r="L38" s="65" t="e">
        <f>(E38+F38)*'1-Inschrijfstaat'!$E$27</f>
        <v>#DIV/0!</v>
      </c>
      <c r="M38" s="65" t="e">
        <f>(G38+H38)*'1-Inschrijfstaat'!$E$35</f>
        <v>#DIV/0!</v>
      </c>
      <c r="N38" s="66" t="e">
        <f>L38*'1-Inschrijfstaat'!$G$27</f>
        <v>#DIV/0!</v>
      </c>
      <c r="O38" s="66" t="e">
        <f>M38*'1-Inschrijfstaat'!$G$35</f>
        <v>#DIV/0!</v>
      </c>
      <c r="P38" s="67" t="e">
        <f t="shared" si="6"/>
        <v>#DIV/0!</v>
      </c>
      <c r="Q38" s="68">
        <f>SUMIF('5-Aanvullend'!A:A,A38,'5-Aanvullend'!M:M)</f>
        <v>0</v>
      </c>
      <c r="R38" s="69" t="e">
        <f t="shared" si="2"/>
        <v>#DIV/0!</v>
      </c>
    </row>
    <row r="39" spans="1:18">
      <c r="A39" s="64">
        <v>203</v>
      </c>
      <c r="B39" s="64" t="s">
        <v>1342</v>
      </c>
      <c r="C39" s="64" t="s">
        <v>1340</v>
      </c>
      <c r="D39" s="65">
        <f>SUMIF('3-Ruimtestaat'!B:B,A39,'3-Ruimtestaat'!T:T)</f>
        <v>589</v>
      </c>
      <c r="E39" s="65">
        <f>SUMIF('3-Ruimtestaat'!B:B,A39,'3-Ruimtestaat'!AF:AF)</f>
        <v>0</v>
      </c>
      <c r="F39" s="65">
        <f>SUMIF('3-Ruimtestaat'!B:B,A39,'3-Ruimtestaat'!AG:AG)</f>
        <v>0</v>
      </c>
      <c r="G39" s="65">
        <f>SUMIF('3-Ruimtestaat'!B:B,A39,'3-Ruimtestaat'!AH:AH)</f>
        <v>0</v>
      </c>
      <c r="H39" s="65">
        <f>SUMIF('3-Ruimtestaat'!B:B,A39,'3-Ruimtestaat'!AI:AI)</f>
        <v>0</v>
      </c>
      <c r="I39" s="65">
        <f t="shared" si="5"/>
        <v>0</v>
      </c>
      <c r="J39" s="66" t="e">
        <f>SUM(E39:F39)*'1-Inschrijfstaat'!$G$20</f>
        <v>#DIV/0!</v>
      </c>
      <c r="K39" s="66" t="e">
        <f>(G39+H39)*'1-Inschrijfstaat'!$G$31</f>
        <v>#DIV/0!</v>
      </c>
      <c r="L39" s="65" t="e">
        <f>(E39+F39)*'1-Inschrijfstaat'!$E$27</f>
        <v>#DIV/0!</v>
      </c>
      <c r="M39" s="65" t="e">
        <f>(G39+H39)*'1-Inschrijfstaat'!$E$35</f>
        <v>#DIV/0!</v>
      </c>
      <c r="N39" s="66" t="e">
        <f>L39*'1-Inschrijfstaat'!$G$27</f>
        <v>#DIV/0!</v>
      </c>
      <c r="O39" s="66" t="e">
        <f>M39*'1-Inschrijfstaat'!$G$35</f>
        <v>#DIV/0!</v>
      </c>
      <c r="P39" s="67" t="e">
        <f t="shared" si="6"/>
        <v>#DIV/0!</v>
      </c>
      <c r="Q39" s="68">
        <f>SUMIF('5-Aanvullend'!A:A,A39,'5-Aanvullend'!M:M)</f>
        <v>0</v>
      </c>
      <c r="R39" s="69" t="e">
        <f t="shared" si="2"/>
        <v>#DIV/0!</v>
      </c>
    </row>
    <row r="40" spans="1:18">
      <c r="A40" s="64">
        <v>204</v>
      </c>
      <c r="B40" s="64" t="s">
        <v>1343</v>
      </c>
      <c r="C40" s="64" t="s">
        <v>1340</v>
      </c>
      <c r="D40" s="65">
        <f>SUMIF('3-Ruimtestaat'!B:B,A40,'3-Ruimtestaat'!T:T)</f>
        <v>662</v>
      </c>
      <c r="E40" s="65">
        <f>SUMIF('3-Ruimtestaat'!B:B,A40,'3-Ruimtestaat'!AF:AF)</f>
        <v>0</v>
      </c>
      <c r="F40" s="65">
        <f>SUMIF('3-Ruimtestaat'!B:B,A40,'3-Ruimtestaat'!AG:AG)</f>
        <v>0</v>
      </c>
      <c r="G40" s="65">
        <f>SUMIF('3-Ruimtestaat'!B:B,A40,'3-Ruimtestaat'!AH:AH)</f>
        <v>0</v>
      </c>
      <c r="H40" s="65">
        <f>SUMIF('3-Ruimtestaat'!B:B,A40,'3-Ruimtestaat'!AI:AI)</f>
        <v>0</v>
      </c>
      <c r="I40" s="65">
        <f t="shared" si="5"/>
        <v>0</v>
      </c>
      <c r="J40" s="66" t="e">
        <f>SUM(E40:F40)*'1-Inschrijfstaat'!$G$20</f>
        <v>#DIV/0!</v>
      </c>
      <c r="K40" s="66" t="e">
        <f>(G40+H40)*'1-Inschrijfstaat'!$G$31</f>
        <v>#DIV/0!</v>
      </c>
      <c r="L40" s="65" t="e">
        <f>(E40+F40)*'1-Inschrijfstaat'!$E$27</f>
        <v>#DIV/0!</v>
      </c>
      <c r="M40" s="65" t="e">
        <f>(G40+H40)*'1-Inschrijfstaat'!$E$35</f>
        <v>#DIV/0!</v>
      </c>
      <c r="N40" s="66" t="e">
        <f>L40*'1-Inschrijfstaat'!$G$27</f>
        <v>#DIV/0!</v>
      </c>
      <c r="O40" s="66" t="e">
        <f>M40*'1-Inschrijfstaat'!$G$35</f>
        <v>#DIV/0!</v>
      </c>
      <c r="P40" s="67" t="e">
        <f t="shared" si="6"/>
        <v>#DIV/0!</v>
      </c>
      <c r="Q40" s="68">
        <f>SUMIF('5-Aanvullend'!A:A,A40,'5-Aanvullend'!M:M)</f>
        <v>0</v>
      </c>
      <c r="R40" s="69" t="e">
        <f t="shared" si="2"/>
        <v>#DIV/0!</v>
      </c>
    </row>
    <row r="41" spans="1:18">
      <c r="A41" s="64">
        <v>205</v>
      </c>
      <c r="B41" s="64" t="s">
        <v>1344</v>
      </c>
      <c r="C41" s="64" t="s">
        <v>1340</v>
      </c>
      <c r="D41" s="65">
        <f>SUMIF('3-Ruimtestaat'!B:B,A41,'3-Ruimtestaat'!T:T)</f>
        <v>662</v>
      </c>
      <c r="E41" s="65">
        <f>SUMIF('3-Ruimtestaat'!B:B,A41,'3-Ruimtestaat'!AF:AF)</f>
        <v>0</v>
      </c>
      <c r="F41" s="65">
        <f>SUMIF('3-Ruimtestaat'!B:B,A41,'3-Ruimtestaat'!AG:AG)</f>
        <v>0</v>
      </c>
      <c r="G41" s="65">
        <f>SUMIF('3-Ruimtestaat'!B:B,A41,'3-Ruimtestaat'!AH:AH)</f>
        <v>0</v>
      </c>
      <c r="H41" s="65">
        <f>SUMIF('3-Ruimtestaat'!B:B,A41,'3-Ruimtestaat'!AI:AI)</f>
        <v>0</v>
      </c>
      <c r="I41" s="65">
        <f t="shared" si="5"/>
        <v>0</v>
      </c>
      <c r="J41" s="66" t="e">
        <f>SUM(E41:F41)*'1-Inschrijfstaat'!$G$20</f>
        <v>#DIV/0!</v>
      </c>
      <c r="K41" s="66" t="e">
        <f>(G41+H41)*'1-Inschrijfstaat'!$G$31</f>
        <v>#DIV/0!</v>
      </c>
      <c r="L41" s="65" t="e">
        <f>(E41+F41)*'1-Inschrijfstaat'!$E$27</f>
        <v>#DIV/0!</v>
      </c>
      <c r="M41" s="65" t="e">
        <f>(G41+H41)*'1-Inschrijfstaat'!$E$35</f>
        <v>#DIV/0!</v>
      </c>
      <c r="N41" s="66" t="e">
        <f>L41*'1-Inschrijfstaat'!$G$27</f>
        <v>#DIV/0!</v>
      </c>
      <c r="O41" s="66" t="e">
        <f>M41*'1-Inschrijfstaat'!$G$35</f>
        <v>#DIV/0!</v>
      </c>
      <c r="P41" s="67" t="e">
        <f t="shared" si="6"/>
        <v>#DIV/0!</v>
      </c>
      <c r="Q41" s="68">
        <f>SUMIF('5-Aanvullend'!A:A,A41,'5-Aanvullend'!M:M)</f>
        <v>0</v>
      </c>
      <c r="R41" s="69" t="e">
        <f t="shared" si="2"/>
        <v>#DIV/0!</v>
      </c>
    </row>
    <row r="42" spans="1:18">
      <c r="A42" s="64">
        <v>206</v>
      </c>
      <c r="B42" s="64" t="s">
        <v>1345</v>
      </c>
      <c r="C42" s="64" t="s">
        <v>1340</v>
      </c>
      <c r="D42" s="65">
        <f>SUMIF('3-Ruimtestaat'!B:B,A42,'3-Ruimtestaat'!T:T)</f>
        <v>530</v>
      </c>
      <c r="E42" s="65">
        <f>SUMIF('3-Ruimtestaat'!B:B,A42,'3-Ruimtestaat'!AF:AF)</f>
        <v>0</v>
      </c>
      <c r="F42" s="65">
        <f>SUMIF('3-Ruimtestaat'!B:B,A42,'3-Ruimtestaat'!AG:AG)</f>
        <v>0</v>
      </c>
      <c r="G42" s="65">
        <f>SUMIF('3-Ruimtestaat'!B:B,A42,'3-Ruimtestaat'!AH:AH)</f>
        <v>0</v>
      </c>
      <c r="H42" s="65">
        <f>SUMIF('3-Ruimtestaat'!B:B,A42,'3-Ruimtestaat'!AI:AI)</f>
        <v>0</v>
      </c>
      <c r="I42" s="65">
        <f t="shared" si="5"/>
        <v>0</v>
      </c>
      <c r="J42" s="66" t="e">
        <f>SUM(E42:F42)*'1-Inschrijfstaat'!$G$20</f>
        <v>#DIV/0!</v>
      </c>
      <c r="K42" s="66" t="e">
        <f>(G42+H42)*'1-Inschrijfstaat'!$G$31</f>
        <v>#DIV/0!</v>
      </c>
      <c r="L42" s="65" t="e">
        <f>(E42+F42)*'1-Inschrijfstaat'!$E$27</f>
        <v>#DIV/0!</v>
      </c>
      <c r="M42" s="65" t="e">
        <f>(G42+H42)*'1-Inschrijfstaat'!$E$35</f>
        <v>#DIV/0!</v>
      </c>
      <c r="N42" s="66" t="e">
        <f>L42*'1-Inschrijfstaat'!$G$27</f>
        <v>#DIV/0!</v>
      </c>
      <c r="O42" s="66" t="e">
        <f>M42*'1-Inschrijfstaat'!$G$35</f>
        <v>#DIV/0!</v>
      </c>
      <c r="P42" s="67" t="e">
        <f t="shared" si="6"/>
        <v>#DIV/0!</v>
      </c>
      <c r="Q42" s="68">
        <f>SUMIF('5-Aanvullend'!A:A,A42,'5-Aanvullend'!M:M)</f>
        <v>0</v>
      </c>
      <c r="R42" s="69" t="e">
        <f t="shared" si="2"/>
        <v>#DIV/0!</v>
      </c>
    </row>
    <row r="43" spans="1:18">
      <c r="A43" s="64">
        <v>207</v>
      </c>
      <c r="B43" s="64" t="s">
        <v>1346</v>
      </c>
      <c r="C43" s="64" t="s">
        <v>1340</v>
      </c>
      <c r="D43" s="65">
        <f>SUMIF('3-Ruimtestaat'!B:B,A43,'3-Ruimtestaat'!T:T)</f>
        <v>600</v>
      </c>
      <c r="E43" s="65">
        <f>SUMIF('3-Ruimtestaat'!B:B,A43,'3-Ruimtestaat'!AF:AF)</f>
        <v>0</v>
      </c>
      <c r="F43" s="65">
        <f>SUMIF('3-Ruimtestaat'!B:B,A43,'3-Ruimtestaat'!AG:AG)</f>
        <v>0</v>
      </c>
      <c r="G43" s="65">
        <f>SUMIF('3-Ruimtestaat'!B:B,A43,'3-Ruimtestaat'!AH:AH)</f>
        <v>0</v>
      </c>
      <c r="H43" s="65">
        <f>SUMIF('3-Ruimtestaat'!B:B,A43,'3-Ruimtestaat'!AI:AI)</f>
        <v>0</v>
      </c>
      <c r="I43" s="65">
        <f t="shared" si="5"/>
        <v>0</v>
      </c>
      <c r="J43" s="66" t="e">
        <f>SUM(E43:F43)*'1-Inschrijfstaat'!$G$20</f>
        <v>#DIV/0!</v>
      </c>
      <c r="K43" s="66" t="e">
        <f>(G43+H43)*'1-Inschrijfstaat'!$G$31</f>
        <v>#DIV/0!</v>
      </c>
      <c r="L43" s="65" t="e">
        <f>(E43+F43)*'1-Inschrijfstaat'!$E$27</f>
        <v>#DIV/0!</v>
      </c>
      <c r="M43" s="65" t="e">
        <f>(G43+H43)*'1-Inschrijfstaat'!$E$35</f>
        <v>#DIV/0!</v>
      </c>
      <c r="N43" s="66" t="e">
        <f>L43*'1-Inschrijfstaat'!$G$27</f>
        <v>#DIV/0!</v>
      </c>
      <c r="O43" s="66" t="e">
        <f>M43*'1-Inschrijfstaat'!$G$35</f>
        <v>#DIV/0!</v>
      </c>
      <c r="P43" s="67" t="e">
        <f t="shared" si="6"/>
        <v>#DIV/0!</v>
      </c>
      <c r="Q43" s="68">
        <f>SUMIF('5-Aanvullend'!A:A,A43,'5-Aanvullend'!M:M)</f>
        <v>0</v>
      </c>
      <c r="R43" s="69" t="e">
        <f t="shared" si="2"/>
        <v>#DIV/0!</v>
      </c>
    </row>
    <row r="44" spans="1:18">
      <c r="A44" s="64">
        <v>208</v>
      </c>
      <c r="B44" s="64" t="s">
        <v>1451</v>
      </c>
      <c r="C44" s="64" t="s">
        <v>1340</v>
      </c>
      <c r="D44" s="65">
        <f>SUMIF('3-Ruimtestaat'!B:B,A44,'3-Ruimtestaat'!T:T)</f>
        <v>609</v>
      </c>
      <c r="E44" s="65">
        <f>SUMIF('3-Ruimtestaat'!B:B,A44,'3-Ruimtestaat'!AF:AF)</f>
        <v>0</v>
      </c>
      <c r="F44" s="65">
        <f>SUMIF('3-Ruimtestaat'!B:B,A44,'3-Ruimtestaat'!AG:AG)</f>
        <v>0</v>
      </c>
      <c r="G44" s="65">
        <f>SUMIF('3-Ruimtestaat'!B:B,A44,'3-Ruimtestaat'!AH:AH)</f>
        <v>0</v>
      </c>
      <c r="H44" s="65">
        <f>SUMIF('3-Ruimtestaat'!B:B,A44,'3-Ruimtestaat'!AI:AI)</f>
        <v>0</v>
      </c>
      <c r="I44" s="65">
        <f t="shared" ref="I44:I51" si="7">SUM(E44:H44)</f>
        <v>0</v>
      </c>
      <c r="J44" s="66" t="e">
        <f>SUM(E44:F44)*'1-Inschrijfstaat'!$G$20</f>
        <v>#DIV/0!</v>
      </c>
      <c r="K44" s="66" t="e">
        <f>(G44+H44)*'1-Inschrijfstaat'!$G$31</f>
        <v>#DIV/0!</v>
      </c>
      <c r="L44" s="65" t="e">
        <f>(E44+F44)*'1-Inschrijfstaat'!$E$27</f>
        <v>#DIV/0!</v>
      </c>
      <c r="M44" s="65" t="e">
        <f>(G44+H44)*'1-Inschrijfstaat'!$E$35</f>
        <v>#DIV/0!</v>
      </c>
      <c r="N44" s="66" t="e">
        <f>L44*'1-Inschrijfstaat'!$G$27</f>
        <v>#DIV/0!</v>
      </c>
      <c r="O44" s="66" t="e">
        <f>M44*'1-Inschrijfstaat'!$G$35</f>
        <v>#DIV/0!</v>
      </c>
      <c r="P44" s="67" t="e">
        <f t="shared" ref="P44:P51" si="8">J44+K44+N44+O44</f>
        <v>#DIV/0!</v>
      </c>
      <c r="Q44" s="68">
        <f>SUMIF('5-Aanvullend'!A:A,A44,'5-Aanvullend'!M:M)</f>
        <v>0</v>
      </c>
      <c r="R44" s="69" t="e">
        <f t="shared" si="2"/>
        <v>#DIV/0!</v>
      </c>
    </row>
    <row r="45" spans="1:18">
      <c r="A45" s="64">
        <v>209</v>
      </c>
      <c r="B45" s="64" t="s">
        <v>1452</v>
      </c>
      <c r="C45" s="64" t="s">
        <v>1340</v>
      </c>
      <c r="D45" s="65">
        <f>SUMIF('3-Ruimtestaat'!B:B,A45,'3-Ruimtestaat'!T:T)</f>
        <v>903</v>
      </c>
      <c r="E45" s="65">
        <f>SUMIF('3-Ruimtestaat'!B:B,A45,'3-Ruimtestaat'!AF:AF)</f>
        <v>0</v>
      </c>
      <c r="F45" s="65">
        <f>SUMIF('3-Ruimtestaat'!B:B,A45,'3-Ruimtestaat'!AG:AG)</f>
        <v>0</v>
      </c>
      <c r="G45" s="65">
        <f>SUMIF('3-Ruimtestaat'!B:B,A45,'3-Ruimtestaat'!AH:AH)</f>
        <v>0</v>
      </c>
      <c r="H45" s="65">
        <f>SUMIF('3-Ruimtestaat'!B:B,A45,'3-Ruimtestaat'!AI:AI)</f>
        <v>0</v>
      </c>
      <c r="I45" s="65">
        <f t="shared" si="7"/>
        <v>0</v>
      </c>
      <c r="J45" s="66" t="e">
        <f>SUM(E45:F45)*'1-Inschrijfstaat'!$G$20</f>
        <v>#DIV/0!</v>
      </c>
      <c r="K45" s="66" t="e">
        <f>(G45+H45)*'1-Inschrijfstaat'!$G$31</f>
        <v>#DIV/0!</v>
      </c>
      <c r="L45" s="65" t="e">
        <f>(E45+F45)*'1-Inschrijfstaat'!$E$27</f>
        <v>#DIV/0!</v>
      </c>
      <c r="M45" s="65" t="e">
        <f>(G45+H45)*'1-Inschrijfstaat'!$E$35</f>
        <v>#DIV/0!</v>
      </c>
      <c r="N45" s="66" t="e">
        <f>L45*'1-Inschrijfstaat'!$G$27</f>
        <v>#DIV/0!</v>
      </c>
      <c r="O45" s="66" t="e">
        <f>M45*'1-Inschrijfstaat'!$G$35</f>
        <v>#DIV/0!</v>
      </c>
      <c r="P45" s="67" t="e">
        <f t="shared" si="8"/>
        <v>#DIV/0!</v>
      </c>
      <c r="Q45" s="68">
        <f>SUMIF('5-Aanvullend'!A:A,A45,'5-Aanvullend'!M:M)</f>
        <v>0</v>
      </c>
      <c r="R45" s="69" t="e">
        <f t="shared" si="2"/>
        <v>#DIV/0!</v>
      </c>
    </row>
    <row r="46" spans="1:18">
      <c r="A46" s="64">
        <v>210</v>
      </c>
      <c r="B46" s="64" t="s">
        <v>1453</v>
      </c>
      <c r="C46" s="64" t="s">
        <v>1340</v>
      </c>
      <c r="D46" s="65">
        <f>SUMIF('3-Ruimtestaat'!B:B,A46,'3-Ruimtestaat'!T:T)</f>
        <v>662</v>
      </c>
      <c r="E46" s="65">
        <f>SUMIF('3-Ruimtestaat'!B:B,A46,'3-Ruimtestaat'!AF:AF)</f>
        <v>0</v>
      </c>
      <c r="F46" s="65">
        <f>SUMIF('3-Ruimtestaat'!B:B,A46,'3-Ruimtestaat'!AG:AG)</f>
        <v>0</v>
      </c>
      <c r="G46" s="65">
        <f>SUMIF('3-Ruimtestaat'!B:B,A46,'3-Ruimtestaat'!AH:AH)</f>
        <v>0</v>
      </c>
      <c r="H46" s="65">
        <f>SUMIF('3-Ruimtestaat'!B:B,A46,'3-Ruimtestaat'!AI:AI)</f>
        <v>0</v>
      </c>
      <c r="I46" s="65">
        <f t="shared" si="7"/>
        <v>0</v>
      </c>
      <c r="J46" s="66" t="e">
        <f>SUM(E46:F46)*'1-Inschrijfstaat'!$G$20</f>
        <v>#DIV/0!</v>
      </c>
      <c r="K46" s="66" t="e">
        <f>(G46+H46)*'1-Inschrijfstaat'!$G$31</f>
        <v>#DIV/0!</v>
      </c>
      <c r="L46" s="65" t="e">
        <f>(E46+F46)*'1-Inschrijfstaat'!$E$27</f>
        <v>#DIV/0!</v>
      </c>
      <c r="M46" s="65" t="e">
        <f>(G46+H46)*'1-Inschrijfstaat'!$E$35</f>
        <v>#DIV/0!</v>
      </c>
      <c r="N46" s="66" t="e">
        <f>L46*'1-Inschrijfstaat'!$G$27</f>
        <v>#DIV/0!</v>
      </c>
      <c r="O46" s="66" t="e">
        <f>M46*'1-Inschrijfstaat'!$G$35</f>
        <v>#DIV/0!</v>
      </c>
      <c r="P46" s="67" t="e">
        <f t="shared" si="8"/>
        <v>#DIV/0!</v>
      </c>
      <c r="Q46" s="68">
        <f>SUMIF('5-Aanvullend'!A:A,A46,'5-Aanvullend'!M:M)</f>
        <v>0</v>
      </c>
      <c r="R46" s="69" t="e">
        <f t="shared" si="2"/>
        <v>#DIV/0!</v>
      </c>
    </row>
    <row r="47" spans="1:18">
      <c r="A47" s="64">
        <v>211</v>
      </c>
      <c r="B47" s="64" t="s">
        <v>1454</v>
      </c>
      <c r="C47" s="64" t="s">
        <v>1340</v>
      </c>
      <c r="D47" s="65">
        <f>SUMIF('3-Ruimtestaat'!B:B,A47,'3-Ruimtestaat'!T:T)</f>
        <v>398</v>
      </c>
      <c r="E47" s="65">
        <f>SUMIF('3-Ruimtestaat'!B:B,A47,'3-Ruimtestaat'!AF:AF)</f>
        <v>0</v>
      </c>
      <c r="F47" s="65">
        <f>SUMIF('3-Ruimtestaat'!B:B,A47,'3-Ruimtestaat'!AG:AG)</f>
        <v>0</v>
      </c>
      <c r="G47" s="65">
        <f>SUMIF('3-Ruimtestaat'!B:B,A47,'3-Ruimtestaat'!AH:AH)</f>
        <v>0</v>
      </c>
      <c r="H47" s="65">
        <f>SUMIF('3-Ruimtestaat'!B:B,A47,'3-Ruimtestaat'!AI:AI)</f>
        <v>0</v>
      </c>
      <c r="I47" s="65">
        <f t="shared" si="7"/>
        <v>0</v>
      </c>
      <c r="J47" s="66" t="e">
        <f>SUM(E47:F47)*'1-Inschrijfstaat'!$G$20</f>
        <v>#DIV/0!</v>
      </c>
      <c r="K47" s="66" t="e">
        <f>(G47+H47)*'1-Inschrijfstaat'!$G$31</f>
        <v>#DIV/0!</v>
      </c>
      <c r="L47" s="65" t="e">
        <f>(E47+F47)*'1-Inschrijfstaat'!$E$27</f>
        <v>#DIV/0!</v>
      </c>
      <c r="M47" s="65" t="e">
        <f>(G47+H47)*'1-Inschrijfstaat'!$E$35</f>
        <v>#DIV/0!</v>
      </c>
      <c r="N47" s="66" t="e">
        <f>L47*'1-Inschrijfstaat'!$G$27</f>
        <v>#DIV/0!</v>
      </c>
      <c r="O47" s="66" t="e">
        <f>M47*'1-Inschrijfstaat'!$G$35</f>
        <v>#DIV/0!</v>
      </c>
      <c r="P47" s="67" t="e">
        <f t="shared" si="8"/>
        <v>#DIV/0!</v>
      </c>
      <c r="Q47" s="68">
        <f>SUMIF('5-Aanvullend'!A:A,A47,'5-Aanvullend'!M:M)</f>
        <v>0</v>
      </c>
      <c r="R47" s="69" t="e">
        <f t="shared" ref="R47:R63" si="9">SUM(P47:Q47)</f>
        <v>#DIV/0!</v>
      </c>
    </row>
    <row r="48" spans="1:18">
      <c r="A48" s="64">
        <v>212</v>
      </c>
      <c r="B48" s="64" t="s">
        <v>1455</v>
      </c>
      <c r="C48" s="64" t="s">
        <v>1340</v>
      </c>
      <c r="D48" s="65">
        <f>SUMIF('3-Ruimtestaat'!B:B,A48,'3-Ruimtestaat'!T:T)</f>
        <v>378</v>
      </c>
      <c r="E48" s="65">
        <f>SUMIF('3-Ruimtestaat'!B:B,A48,'3-Ruimtestaat'!AF:AF)</f>
        <v>0</v>
      </c>
      <c r="F48" s="65">
        <f>SUMIF('3-Ruimtestaat'!B:B,A48,'3-Ruimtestaat'!AG:AG)</f>
        <v>0</v>
      </c>
      <c r="G48" s="65">
        <f>SUMIF('3-Ruimtestaat'!B:B,A48,'3-Ruimtestaat'!AH:AH)</f>
        <v>0</v>
      </c>
      <c r="H48" s="65">
        <f>SUMIF('3-Ruimtestaat'!B:B,A48,'3-Ruimtestaat'!AI:AI)</f>
        <v>0</v>
      </c>
      <c r="I48" s="65">
        <f t="shared" si="7"/>
        <v>0</v>
      </c>
      <c r="J48" s="66" t="e">
        <f>SUM(E48:F48)*'1-Inschrijfstaat'!$G$20</f>
        <v>#DIV/0!</v>
      </c>
      <c r="K48" s="66" t="e">
        <f>(G48+H48)*'1-Inschrijfstaat'!$G$31</f>
        <v>#DIV/0!</v>
      </c>
      <c r="L48" s="65" t="e">
        <f>(E48+F48)*'1-Inschrijfstaat'!$E$27</f>
        <v>#DIV/0!</v>
      </c>
      <c r="M48" s="65" t="e">
        <f>(G48+H48)*'1-Inschrijfstaat'!$E$35</f>
        <v>#DIV/0!</v>
      </c>
      <c r="N48" s="66" t="e">
        <f>L48*'1-Inschrijfstaat'!$G$27</f>
        <v>#DIV/0!</v>
      </c>
      <c r="O48" s="66" t="e">
        <f>M48*'1-Inschrijfstaat'!$G$35</f>
        <v>#DIV/0!</v>
      </c>
      <c r="P48" s="67" t="e">
        <f t="shared" si="8"/>
        <v>#DIV/0!</v>
      </c>
      <c r="Q48" s="68">
        <f>SUMIF('5-Aanvullend'!A:A,A48,'5-Aanvullend'!M:M)</f>
        <v>0</v>
      </c>
      <c r="R48" s="69" t="e">
        <f t="shared" si="9"/>
        <v>#DIV/0!</v>
      </c>
    </row>
    <row r="49" spans="1:18">
      <c r="A49" s="64">
        <v>213</v>
      </c>
      <c r="B49" s="64" t="s">
        <v>1456</v>
      </c>
      <c r="C49" s="64" t="s">
        <v>1340</v>
      </c>
      <c r="D49" s="65">
        <f>SUMIF('3-Ruimtestaat'!B:B,A49,'3-Ruimtestaat'!T:T)</f>
        <v>492</v>
      </c>
      <c r="E49" s="65">
        <f>SUMIF('3-Ruimtestaat'!B:B,A49,'3-Ruimtestaat'!AF:AF)</f>
        <v>0</v>
      </c>
      <c r="F49" s="65">
        <f>SUMIF('3-Ruimtestaat'!B:B,A49,'3-Ruimtestaat'!AG:AG)</f>
        <v>0</v>
      </c>
      <c r="G49" s="65">
        <f>SUMIF('3-Ruimtestaat'!B:B,A49,'3-Ruimtestaat'!AH:AH)</f>
        <v>0</v>
      </c>
      <c r="H49" s="65">
        <f>SUMIF('3-Ruimtestaat'!B:B,A49,'3-Ruimtestaat'!AI:AI)</f>
        <v>0</v>
      </c>
      <c r="I49" s="65">
        <f t="shared" si="7"/>
        <v>0</v>
      </c>
      <c r="J49" s="66" t="e">
        <f>SUM(E49:F49)*'1-Inschrijfstaat'!$G$20</f>
        <v>#DIV/0!</v>
      </c>
      <c r="K49" s="66" t="e">
        <f>(G49+H49)*'1-Inschrijfstaat'!$G$31</f>
        <v>#DIV/0!</v>
      </c>
      <c r="L49" s="65" t="e">
        <f>(E49+F49)*'1-Inschrijfstaat'!$E$27</f>
        <v>#DIV/0!</v>
      </c>
      <c r="M49" s="65" t="e">
        <f>(G49+H49)*'1-Inschrijfstaat'!$E$35</f>
        <v>#DIV/0!</v>
      </c>
      <c r="N49" s="66" t="e">
        <f>L49*'1-Inschrijfstaat'!$G$27</f>
        <v>#DIV/0!</v>
      </c>
      <c r="O49" s="66" t="e">
        <f>M49*'1-Inschrijfstaat'!$G$35</f>
        <v>#DIV/0!</v>
      </c>
      <c r="P49" s="67" t="e">
        <f t="shared" si="8"/>
        <v>#DIV/0!</v>
      </c>
      <c r="Q49" s="68">
        <f>SUMIF('5-Aanvullend'!A:A,A49,'5-Aanvullend'!M:M)</f>
        <v>0</v>
      </c>
      <c r="R49" s="69" t="e">
        <f t="shared" si="9"/>
        <v>#DIV/0!</v>
      </c>
    </row>
    <row r="50" spans="1:18">
      <c r="A50" s="64">
        <v>214</v>
      </c>
      <c r="B50" s="64" t="s">
        <v>1457</v>
      </c>
      <c r="C50" s="64" t="s">
        <v>1340</v>
      </c>
      <c r="D50" s="65">
        <f>SUMIF('3-Ruimtestaat'!B:B,A50,'3-Ruimtestaat'!T:T)</f>
        <v>467</v>
      </c>
      <c r="E50" s="65">
        <f>SUMIF('3-Ruimtestaat'!B:B,A50,'3-Ruimtestaat'!AF:AF)</f>
        <v>0</v>
      </c>
      <c r="F50" s="65">
        <f>SUMIF('3-Ruimtestaat'!B:B,A50,'3-Ruimtestaat'!AG:AG)</f>
        <v>0</v>
      </c>
      <c r="G50" s="65">
        <f>SUMIF('3-Ruimtestaat'!B:B,A50,'3-Ruimtestaat'!AH:AH)</f>
        <v>0</v>
      </c>
      <c r="H50" s="65">
        <f>SUMIF('3-Ruimtestaat'!B:B,A50,'3-Ruimtestaat'!AI:AI)</f>
        <v>0</v>
      </c>
      <c r="I50" s="65">
        <f t="shared" si="7"/>
        <v>0</v>
      </c>
      <c r="J50" s="66" t="e">
        <f>SUM(E50:F50)*'1-Inschrijfstaat'!$G$20</f>
        <v>#DIV/0!</v>
      </c>
      <c r="K50" s="66" t="e">
        <f>(G50+H50)*'1-Inschrijfstaat'!$G$31</f>
        <v>#DIV/0!</v>
      </c>
      <c r="L50" s="65" t="e">
        <f>(E50+F50)*'1-Inschrijfstaat'!$E$27</f>
        <v>#DIV/0!</v>
      </c>
      <c r="M50" s="65" t="e">
        <f>(G50+H50)*'1-Inschrijfstaat'!$E$35</f>
        <v>#DIV/0!</v>
      </c>
      <c r="N50" s="66" t="e">
        <f>L50*'1-Inschrijfstaat'!$G$27</f>
        <v>#DIV/0!</v>
      </c>
      <c r="O50" s="66" t="e">
        <f>M50*'1-Inschrijfstaat'!$G$35</f>
        <v>#DIV/0!</v>
      </c>
      <c r="P50" s="67" t="e">
        <f t="shared" si="8"/>
        <v>#DIV/0!</v>
      </c>
      <c r="Q50" s="68">
        <f>SUMIF('5-Aanvullend'!A:A,A50,'5-Aanvullend'!M:M)</f>
        <v>0</v>
      </c>
      <c r="R50" s="69" t="e">
        <f t="shared" si="9"/>
        <v>#DIV/0!</v>
      </c>
    </row>
    <row r="51" spans="1:18">
      <c r="A51" s="64">
        <v>215</v>
      </c>
      <c r="B51" s="64" t="s">
        <v>1458</v>
      </c>
      <c r="C51" s="64" t="s">
        <v>1340</v>
      </c>
      <c r="D51" s="65">
        <f>SUMIF('3-Ruimtestaat'!B:B,A51,'3-Ruimtestaat'!T:T)</f>
        <v>510</v>
      </c>
      <c r="E51" s="65">
        <f>SUMIF('3-Ruimtestaat'!B:B,A51,'3-Ruimtestaat'!AF:AF)</f>
        <v>0</v>
      </c>
      <c r="F51" s="65">
        <f>SUMIF('3-Ruimtestaat'!B:B,A51,'3-Ruimtestaat'!AG:AG)</f>
        <v>0</v>
      </c>
      <c r="G51" s="65">
        <f>SUMIF('3-Ruimtestaat'!B:B,A51,'3-Ruimtestaat'!AH:AH)</f>
        <v>0</v>
      </c>
      <c r="H51" s="65">
        <f>SUMIF('3-Ruimtestaat'!B:B,A51,'3-Ruimtestaat'!AI:AI)</f>
        <v>0</v>
      </c>
      <c r="I51" s="65">
        <f t="shared" si="7"/>
        <v>0</v>
      </c>
      <c r="J51" s="66" t="e">
        <f>SUM(E51:F51)*'1-Inschrijfstaat'!$G$20</f>
        <v>#DIV/0!</v>
      </c>
      <c r="K51" s="66" t="e">
        <f>(G51+H51)*'1-Inschrijfstaat'!$G$31</f>
        <v>#DIV/0!</v>
      </c>
      <c r="L51" s="65" t="e">
        <f>(E51+F51)*'1-Inschrijfstaat'!$E$27</f>
        <v>#DIV/0!</v>
      </c>
      <c r="M51" s="65" t="e">
        <f>(G51+H51)*'1-Inschrijfstaat'!$E$35</f>
        <v>#DIV/0!</v>
      </c>
      <c r="N51" s="66" t="e">
        <f>L51*'1-Inschrijfstaat'!$G$27</f>
        <v>#DIV/0!</v>
      </c>
      <c r="O51" s="66" t="e">
        <f>M51*'1-Inschrijfstaat'!$G$35</f>
        <v>#DIV/0!</v>
      </c>
      <c r="P51" s="67" t="e">
        <f t="shared" si="8"/>
        <v>#DIV/0!</v>
      </c>
      <c r="Q51" s="68">
        <f>SUMIF('5-Aanvullend'!A:A,A51,'5-Aanvullend'!M:M)</f>
        <v>0</v>
      </c>
      <c r="R51" s="69" t="e">
        <f t="shared" si="9"/>
        <v>#DIV/0!</v>
      </c>
    </row>
    <row r="52" spans="1:18">
      <c r="A52" s="64">
        <v>301</v>
      </c>
      <c r="B52" s="64" t="s">
        <v>1347</v>
      </c>
      <c r="C52" s="64" t="s">
        <v>1331</v>
      </c>
      <c r="D52" s="65">
        <f>SUMIF('3-Ruimtestaat'!B:B,A52,'3-Ruimtestaat'!T:T)</f>
        <v>1893.5</v>
      </c>
      <c r="E52" s="65">
        <f>SUMIF('3-Ruimtestaat'!B:B,A52,'3-Ruimtestaat'!AF:AF)</f>
        <v>0</v>
      </c>
      <c r="F52" s="65">
        <f>SUMIF('3-Ruimtestaat'!B:B,A52,'3-Ruimtestaat'!AG:AG)</f>
        <v>0</v>
      </c>
      <c r="G52" s="65">
        <f>SUMIF('3-Ruimtestaat'!B:B,A52,'3-Ruimtestaat'!AH:AH)</f>
        <v>0</v>
      </c>
      <c r="H52" s="65">
        <f>SUMIF('3-Ruimtestaat'!B:B,A52,'3-Ruimtestaat'!AI:AI)</f>
        <v>0</v>
      </c>
      <c r="I52" s="65">
        <f t="shared" si="5"/>
        <v>0</v>
      </c>
      <c r="J52" s="66" t="e">
        <f>SUM(E52:F52)*'1-Inschrijfstaat'!$G$20</f>
        <v>#DIV/0!</v>
      </c>
      <c r="K52" s="66" t="e">
        <f>(G52+H52)*'1-Inschrijfstaat'!$G$31</f>
        <v>#DIV/0!</v>
      </c>
      <c r="L52" s="65" t="e">
        <f>(E52+F52)*'1-Inschrijfstaat'!$E$27</f>
        <v>#DIV/0!</v>
      </c>
      <c r="M52" s="65" t="e">
        <f>(G52+H52)*'1-Inschrijfstaat'!$E$35</f>
        <v>#DIV/0!</v>
      </c>
      <c r="N52" s="66" t="e">
        <f>L52*'1-Inschrijfstaat'!$G$27</f>
        <v>#DIV/0!</v>
      </c>
      <c r="O52" s="66" t="e">
        <f>M52*'1-Inschrijfstaat'!$G$35</f>
        <v>#DIV/0!</v>
      </c>
      <c r="P52" s="67" t="e">
        <f t="shared" si="6"/>
        <v>#DIV/0!</v>
      </c>
      <c r="Q52" s="68">
        <f>SUMIF('5-Aanvullend'!A:A,A52,'5-Aanvullend'!M:M)</f>
        <v>0</v>
      </c>
      <c r="R52" s="69" t="e">
        <f t="shared" si="9"/>
        <v>#DIV/0!</v>
      </c>
    </row>
    <row r="53" spans="1:18">
      <c r="A53" s="64">
        <v>302</v>
      </c>
      <c r="B53" s="64" t="s">
        <v>1330</v>
      </c>
      <c r="C53" s="64" t="s">
        <v>1331</v>
      </c>
      <c r="D53" s="65">
        <f>SUMIF('3-Ruimtestaat'!B:B,A53,'3-Ruimtestaat'!T:T)</f>
        <v>1561</v>
      </c>
      <c r="E53" s="65">
        <f>SUMIF('3-Ruimtestaat'!B:B,A53,'3-Ruimtestaat'!AF:AF)</f>
        <v>0</v>
      </c>
      <c r="F53" s="65">
        <f>SUMIF('3-Ruimtestaat'!B:B,A53,'3-Ruimtestaat'!AG:AG)</f>
        <v>0</v>
      </c>
      <c r="G53" s="65">
        <f>SUMIF('3-Ruimtestaat'!B:B,A53,'3-Ruimtestaat'!AH:AH)</f>
        <v>0</v>
      </c>
      <c r="H53" s="65">
        <f>SUMIF('3-Ruimtestaat'!B:B,A53,'3-Ruimtestaat'!AI:AI)</f>
        <v>0</v>
      </c>
      <c r="I53" s="65">
        <f t="shared" si="5"/>
        <v>0</v>
      </c>
      <c r="J53" s="66" t="e">
        <f>SUM(E53:F53)*'1-Inschrijfstaat'!$G$20</f>
        <v>#DIV/0!</v>
      </c>
      <c r="K53" s="66" t="e">
        <f>(G53+H53)*'1-Inschrijfstaat'!$G$31</f>
        <v>#DIV/0!</v>
      </c>
      <c r="L53" s="65" t="e">
        <f>(E53+F53)*'1-Inschrijfstaat'!$E$27</f>
        <v>#DIV/0!</v>
      </c>
      <c r="M53" s="65" t="e">
        <f>(G53+H53)*'1-Inschrijfstaat'!$E$35</f>
        <v>#DIV/0!</v>
      </c>
      <c r="N53" s="66" t="e">
        <f>L53*'1-Inschrijfstaat'!$G$27</f>
        <v>#DIV/0!</v>
      </c>
      <c r="O53" s="66" t="e">
        <f>M53*'1-Inschrijfstaat'!$G$35</f>
        <v>#DIV/0!</v>
      </c>
      <c r="P53" s="67" t="e">
        <f t="shared" si="6"/>
        <v>#DIV/0!</v>
      </c>
      <c r="Q53" s="68">
        <f>SUMIF('5-Aanvullend'!A:A,A53,'5-Aanvullend'!M:M)</f>
        <v>0</v>
      </c>
      <c r="R53" s="69" t="e">
        <f t="shared" si="9"/>
        <v>#DIV/0!</v>
      </c>
    </row>
    <row r="54" spans="1:18">
      <c r="A54" s="64">
        <v>303</v>
      </c>
      <c r="B54" s="64" t="s">
        <v>222</v>
      </c>
      <c r="C54" s="64" t="s">
        <v>1331</v>
      </c>
      <c r="D54" s="65">
        <f>SUMIF('3-Ruimtestaat'!B:B,A54,'3-Ruimtestaat'!T:T)</f>
        <v>3111</v>
      </c>
      <c r="E54" s="65">
        <f>SUMIF('3-Ruimtestaat'!B:B,A54,'3-Ruimtestaat'!AF:AF)</f>
        <v>0</v>
      </c>
      <c r="F54" s="65">
        <f>SUMIF('3-Ruimtestaat'!B:B,A54,'3-Ruimtestaat'!AG:AG)</f>
        <v>0</v>
      </c>
      <c r="G54" s="65">
        <f>SUMIF('3-Ruimtestaat'!B:B,A54,'3-Ruimtestaat'!AH:AH)</f>
        <v>0</v>
      </c>
      <c r="H54" s="65">
        <f>SUMIF('3-Ruimtestaat'!B:B,A54,'3-Ruimtestaat'!AI:AI)</f>
        <v>0</v>
      </c>
      <c r="I54" s="65">
        <f t="shared" si="5"/>
        <v>0</v>
      </c>
      <c r="J54" s="66" t="e">
        <f>SUM(E54:F54)*'1-Inschrijfstaat'!$G$20</f>
        <v>#DIV/0!</v>
      </c>
      <c r="K54" s="66" t="e">
        <f>(G54+H54)*'1-Inschrijfstaat'!$G$31</f>
        <v>#DIV/0!</v>
      </c>
      <c r="L54" s="65" t="e">
        <f>(E54+F54)*'1-Inschrijfstaat'!$E$27</f>
        <v>#DIV/0!</v>
      </c>
      <c r="M54" s="65" t="e">
        <f>(G54+H54)*'1-Inschrijfstaat'!$E$35</f>
        <v>#DIV/0!</v>
      </c>
      <c r="N54" s="66" t="e">
        <f>L54*'1-Inschrijfstaat'!$G$27</f>
        <v>#DIV/0!</v>
      </c>
      <c r="O54" s="66" t="e">
        <f>M54*'1-Inschrijfstaat'!$G$35</f>
        <v>#DIV/0!</v>
      </c>
      <c r="P54" s="67" t="e">
        <f t="shared" si="6"/>
        <v>#DIV/0!</v>
      </c>
      <c r="Q54" s="68">
        <f>SUMIF('5-Aanvullend'!A:A,A54,'5-Aanvullend'!M:M)</f>
        <v>0</v>
      </c>
      <c r="R54" s="69" t="e">
        <f t="shared" si="9"/>
        <v>#DIV/0!</v>
      </c>
    </row>
    <row r="55" spans="1:18" ht="14.25">
      <c r="A55" s="64">
        <v>304</v>
      </c>
      <c r="B55" s="71" t="s">
        <v>1334</v>
      </c>
      <c r="C55" s="64" t="s">
        <v>1331</v>
      </c>
      <c r="D55" s="65">
        <f>SUMIF('3-Ruimtestaat'!B:B,A55,'3-Ruimtestaat'!T:T)</f>
        <v>2088</v>
      </c>
      <c r="E55" s="65">
        <f>SUMIF('3-Ruimtestaat'!B:B,A55,'3-Ruimtestaat'!AF:AF)</f>
        <v>0</v>
      </c>
      <c r="F55" s="65">
        <f>SUMIF('3-Ruimtestaat'!B:B,A55,'3-Ruimtestaat'!AG:AG)</f>
        <v>0</v>
      </c>
      <c r="G55" s="65">
        <f>SUMIF('3-Ruimtestaat'!B:B,A55,'3-Ruimtestaat'!AH:AH)</f>
        <v>0</v>
      </c>
      <c r="H55" s="65">
        <f>SUMIF('3-Ruimtestaat'!B:B,A55,'3-Ruimtestaat'!AI:AI)</f>
        <v>0</v>
      </c>
      <c r="I55" s="65">
        <f t="shared" si="5"/>
        <v>0</v>
      </c>
      <c r="J55" s="66" t="e">
        <f>SUM(E55:F55)*'1-Inschrijfstaat'!$G$20</f>
        <v>#DIV/0!</v>
      </c>
      <c r="K55" s="66" t="e">
        <f>(G55+H55)*'1-Inschrijfstaat'!$G$31</f>
        <v>#DIV/0!</v>
      </c>
      <c r="L55" s="65" t="e">
        <f>(E55+F55)*'1-Inschrijfstaat'!$E$27</f>
        <v>#DIV/0!</v>
      </c>
      <c r="M55" s="65" t="e">
        <f>(G55+H55)*'1-Inschrijfstaat'!$E$35</f>
        <v>#DIV/0!</v>
      </c>
      <c r="N55" s="66" t="e">
        <f>L55*'1-Inschrijfstaat'!$G$27</f>
        <v>#DIV/0!</v>
      </c>
      <c r="O55" s="66" t="e">
        <f>M55*'1-Inschrijfstaat'!$G$35</f>
        <v>#DIV/0!</v>
      </c>
      <c r="P55" s="67" t="e">
        <f t="shared" si="6"/>
        <v>#DIV/0!</v>
      </c>
      <c r="Q55" s="68">
        <f>SUMIF('5-Aanvullend'!A:A,A55,'5-Aanvullend'!M:M)</f>
        <v>0</v>
      </c>
      <c r="R55" s="69" t="e">
        <f t="shared" si="9"/>
        <v>#DIV/0!</v>
      </c>
    </row>
    <row r="56" spans="1:18">
      <c r="A56" s="64">
        <v>305</v>
      </c>
      <c r="B56" s="64" t="s">
        <v>1337</v>
      </c>
      <c r="C56" s="64" t="s">
        <v>1331</v>
      </c>
      <c r="D56" s="65">
        <f>SUMIF('3-Ruimtestaat'!B:B,A56,'3-Ruimtestaat'!T:T)</f>
        <v>1499</v>
      </c>
      <c r="E56" s="65">
        <f>SUMIF('3-Ruimtestaat'!B:B,A56,'3-Ruimtestaat'!AF:AF)</f>
        <v>0</v>
      </c>
      <c r="F56" s="65">
        <f>SUMIF('3-Ruimtestaat'!B:B,A56,'3-Ruimtestaat'!AG:AG)</f>
        <v>0</v>
      </c>
      <c r="G56" s="65">
        <f>SUMIF('3-Ruimtestaat'!B:B,A56,'3-Ruimtestaat'!AH:AH)</f>
        <v>0</v>
      </c>
      <c r="H56" s="65">
        <f>SUMIF('3-Ruimtestaat'!B:B,A56,'3-Ruimtestaat'!AI:AI)</f>
        <v>0</v>
      </c>
      <c r="I56" s="65">
        <f t="shared" si="5"/>
        <v>0</v>
      </c>
      <c r="J56" s="66" t="e">
        <f>SUM(E56:F56)*'1-Inschrijfstaat'!$G$20</f>
        <v>#DIV/0!</v>
      </c>
      <c r="K56" s="66" t="e">
        <f>(G56+H56)*'1-Inschrijfstaat'!$G$31</f>
        <v>#DIV/0!</v>
      </c>
      <c r="L56" s="65" t="e">
        <f>(E56+F56)*'1-Inschrijfstaat'!$E$27</f>
        <v>#DIV/0!</v>
      </c>
      <c r="M56" s="65" t="e">
        <f>(G56+H56)*'1-Inschrijfstaat'!$E$35</f>
        <v>#DIV/0!</v>
      </c>
      <c r="N56" s="66" t="e">
        <f>L56*'1-Inschrijfstaat'!$G$27</f>
        <v>#DIV/0!</v>
      </c>
      <c r="O56" s="66" t="e">
        <f>M56*'1-Inschrijfstaat'!$G$35</f>
        <v>#DIV/0!</v>
      </c>
      <c r="P56" s="67" t="e">
        <f t="shared" si="6"/>
        <v>#DIV/0!</v>
      </c>
      <c r="Q56" s="68">
        <f>SUMIF('5-Aanvullend'!A:A,A56,'5-Aanvullend'!M:M)</f>
        <v>0</v>
      </c>
      <c r="R56" s="69" t="e">
        <f t="shared" si="9"/>
        <v>#DIV/0!</v>
      </c>
    </row>
    <row r="57" spans="1:18">
      <c r="A57" s="64">
        <v>306</v>
      </c>
      <c r="B57" s="64" t="s">
        <v>1338</v>
      </c>
      <c r="C57" s="64" t="s">
        <v>1331</v>
      </c>
      <c r="D57" s="65">
        <f>SUMIF('3-Ruimtestaat'!B:B,A57,'3-Ruimtestaat'!T:T)</f>
        <v>1709</v>
      </c>
      <c r="E57" s="65">
        <f>SUMIF('3-Ruimtestaat'!B:B,A57,'3-Ruimtestaat'!AF:AF)</f>
        <v>0</v>
      </c>
      <c r="F57" s="65">
        <f>SUMIF('3-Ruimtestaat'!B:B,A57,'3-Ruimtestaat'!AG:AG)</f>
        <v>0</v>
      </c>
      <c r="G57" s="65">
        <f>SUMIF('3-Ruimtestaat'!B:B,A57,'3-Ruimtestaat'!AH:AH)</f>
        <v>0</v>
      </c>
      <c r="H57" s="65">
        <f>SUMIF('3-Ruimtestaat'!B:B,A57,'3-Ruimtestaat'!AI:AI)</f>
        <v>0</v>
      </c>
      <c r="I57" s="65">
        <f t="shared" si="5"/>
        <v>0</v>
      </c>
      <c r="J57" s="66" t="e">
        <f>SUM(E57:F57)*'1-Inschrijfstaat'!$G$20</f>
        <v>#DIV/0!</v>
      </c>
      <c r="K57" s="66" t="e">
        <f>(G57+H57)*'1-Inschrijfstaat'!$G$31</f>
        <v>#DIV/0!</v>
      </c>
      <c r="L57" s="65" t="e">
        <f>(E57+F57)*'1-Inschrijfstaat'!$E$27</f>
        <v>#DIV/0!</v>
      </c>
      <c r="M57" s="65" t="e">
        <f>(G57+H57)*'1-Inschrijfstaat'!$E$35</f>
        <v>#DIV/0!</v>
      </c>
      <c r="N57" s="66" t="e">
        <f>L57*'1-Inschrijfstaat'!$G$27</f>
        <v>#DIV/0!</v>
      </c>
      <c r="O57" s="66" t="e">
        <f>M57*'1-Inschrijfstaat'!$G$35</f>
        <v>#DIV/0!</v>
      </c>
      <c r="P57" s="67" t="e">
        <f t="shared" si="6"/>
        <v>#DIV/0!</v>
      </c>
      <c r="Q57" s="68">
        <f>SUMIF('5-Aanvullend'!A:A,A57,'5-Aanvullend'!M:M)</f>
        <v>0</v>
      </c>
      <c r="R57" s="69" t="e">
        <f t="shared" si="9"/>
        <v>#DIV/0!</v>
      </c>
    </row>
    <row r="58" spans="1:18">
      <c r="A58" s="64">
        <v>307</v>
      </c>
      <c r="B58" s="64" t="s">
        <v>1332</v>
      </c>
      <c r="C58" s="64" t="s">
        <v>1331</v>
      </c>
      <c r="D58" s="65">
        <f>SUMIF('3-Ruimtestaat'!B:B,A58,'3-Ruimtestaat'!T:T)</f>
        <v>2946.2000000000003</v>
      </c>
      <c r="E58" s="65">
        <f>SUMIF('3-Ruimtestaat'!B:B,A58,'3-Ruimtestaat'!AF:AF)</f>
        <v>0</v>
      </c>
      <c r="F58" s="65">
        <f>SUMIF('3-Ruimtestaat'!B:B,A58,'3-Ruimtestaat'!AG:AG)</f>
        <v>0</v>
      </c>
      <c r="G58" s="65">
        <f>SUMIF('3-Ruimtestaat'!B:B,A58,'3-Ruimtestaat'!AH:AH)</f>
        <v>0</v>
      </c>
      <c r="H58" s="65">
        <f>SUMIF('3-Ruimtestaat'!B:B,A58,'3-Ruimtestaat'!AI:AI)</f>
        <v>0</v>
      </c>
      <c r="I58" s="65">
        <f t="shared" si="5"/>
        <v>0</v>
      </c>
      <c r="J58" s="66" t="e">
        <f>SUM(E58:F58)*'1-Inschrijfstaat'!$G$20</f>
        <v>#DIV/0!</v>
      </c>
      <c r="K58" s="66" t="e">
        <f>(G58+H58)*'1-Inschrijfstaat'!$G$31</f>
        <v>#DIV/0!</v>
      </c>
      <c r="L58" s="65" t="e">
        <f>(E58+F58)*'1-Inschrijfstaat'!$E$27</f>
        <v>#DIV/0!</v>
      </c>
      <c r="M58" s="65" t="e">
        <f>(G58+H58)*'1-Inschrijfstaat'!$E$35</f>
        <v>#DIV/0!</v>
      </c>
      <c r="N58" s="66" t="e">
        <f>L58*'1-Inschrijfstaat'!$G$27</f>
        <v>#DIV/0!</v>
      </c>
      <c r="O58" s="66" t="e">
        <f>M58*'1-Inschrijfstaat'!$G$35</f>
        <v>#DIV/0!</v>
      </c>
      <c r="P58" s="67" t="e">
        <f t="shared" si="6"/>
        <v>#DIV/0!</v>
      </c>
      <c r="Q58" s="68">
        <f>SUMIF('5-Aanvullend'!A:A,A58,'5-Aanvullend'!M:M)</f>
        <v>0</v>
      </c>
      <c r="R58" s="69" t="e">
        <f t="shared" si="9"/>
        <v>#DIV/0!</v>
      </c>
    </row>
    <row r="59" spans="1:18">
      <c r="A59" s="64">
        <v>308</v>
      </c>
      <c r="B59" s="64" t="s">
        <v>1339</v>
      </c>
      <c r="C59" s="64" t="s">
        <v>1331</v>
      </c>
      <c r="D59" s="65">
        <f>SUMIF('3-Ruimtestaat'!B:B,A59,'3-Ruimtestaat'!T:T)</f>
        <v>1400.41</v>
      </c>
      <c r="E59" s="65">
        <f>SUMIF('3-Ruimtestaat'!B:B,A59,'3-Ruimtestaat'!AF:AF)</f>
        <v>0</v>
      </c>
      <c r="F59" s="65">
        <f>SUMIF('3-Ruimtestaat'!B:B,A59,'3-Ruimtestaat'!AG:AG)</f>
        <v>0</v>
      </c>
      <c r="G59" s="65">
        <f>SUMIF('3-Ruimtestaat'!B:B,A59,'3-Ruimtestaat'!AH:AH)</f>
        <v>0</v>
      </c>
      <c r="H59" s="65">
        <f>SUMIF('3-Ruimtestaat'!B:B,A59,'3-Ruimtestaat'!AI:AI)</f>
        <v>0</v>
      </c>
      <c r="I59" s="65">
        <f t="shared" si="5"/>
        <v>0</v>
      </c>
      <c r="J59" s="66" t="e">
        <f>SUM(E59:F59)*'1-Inschrijfstaat'!$G$20</f>
        <v>#DIV/0!</v>
      </c>
      <c r="K59" s="66" t="e">
        <f>(G59+H59)*'1-Inschrijfstaat'!$G$31</f>
        <v>#DIV/0!</v>
      </c>
      <c r="L59" s="65" t="e">
        <f>(E59+F59)*'1-Inschrijfstaat'!$E$27</f>
        <v>#DIV/0!</v>
      </c>
      <c r="M59" s="65" t="e">
        <f>(G59+H59)*'1-Inschrijfstaat'!$E$35</f>
        <v>#DIV/0!</v>
      </c>
      <c r="N59" s="66" t="e">
        <f>L59*'1-Inschrijfstaat'!$G$27</f>
        <v>#DIV/0!</v>
      </c>
      <c r="O59" s="66" t="e">
        <f>M59*'1-Inschrijfstaat'!$G$35</f>
        <v>#DIV/0!</v>
      </c>
      <c r="P59" s="67" t="e">
        <f t="shared" si="6"/>
        <v>#DIV/0!</v>
      </c>
      <c r="Q59" s="68">
        <f>SUMIF('5-Aanvullend'!A:A,A59,'5-Aanvullend'!M:M)</f>
        <v>0</v>
      </c>
      <c r="R59" s="69" t="e">
        <f t="shared" si="9"/>
        <v>#DIV/0!</v>
      </c>
    </row>
    <row r="60" spans="1:18">
      <c r="A60" s="64">
        <v>309</v>
      </c>
      <c r="B60" s="64" t="s">
        <v>1335</v>
      </c>
      <c r="C60" s="64" t="s">
        <v>1331</v>
      </c>
      <c r="D60" s="65">
        <f>SUMIF('3-Ruimtestaat'!B:B,A60,'3-Ruimtestaat'!T:T)</f>
        <v>1382.41</v>
      </c>
      <c r="E60" s="65">
        <f>SUMIF('3-Ruimtestaat'!B:B,A60,'3-Ruimtestaat'!AF:AF)</f>
        <v>0</v>
      </c>
      <c r="F60" s="65">
        <f>SUMIF('3-Ruimtestaat'!B:B,A60,'3-Ruimtestaat'!AG:AG)</f>
        <v>0</v>
      </c>
      <c r="G60" s="65">
        <f>SUMIF('3-Ruimtestaat'!B:B,A60,'3-Ruimtestaat'!AH:AH)</f>
        <v>0</v>
      </c>
      <c r="H60" s="65">
        <f>SUMIF('3-Ruimtestaat'!B:B,A60,'3-Ruimtestaat'!AI:AI)</f>
        <v>0</v>
      </c>
      <c r="I60" s="65">
        <f t="shared" si="5"/>
        <v>0</v>
      </c>
      <c r="J60" s="66" t="e">
        <f>SUM(E60:F60)*'1-Inschrijfstaat'!$G$20</f>
        <v>#DIV/0!</v>
      </c>
      <c r="K60" s="66" t="e">
        <f>(G60+H60)*'1-Inschrijfstaat'!$G$31</f>
        <v>#DIV/0!</v>
      </c>
      <c r="L60" s="65" t="e">
        <f>(E60+F60)*'1-Inschrijfstaat'!$E$27</f>
        <v>#DIV/0!</v>
      </c>
      <c r="M60" s="65" t="e">
        <f>(G60+H60)*'1-Inschrijfstaat'!$E$35</f>
        <v>#DIV/0!</v>
      </c>
      <c r="N60" s="66" t="e">
        <f>L60*'1-Inschrijfstaat'!$G$27</f>
        <v>#DIV/0!</v>
      </c>
      <c r="O60" s="66" t="e">
        <f>M60*'1-Inschrijfstaat'!$G$35</f>
        <v>#DIV/0!</v>
      </c>
      <c r="P60" s="67" t="e">
        <f t="shared" si="6"/>
        <v>#DIV/0!</v>
      </c>
      <c r="Q60" s="68">
        <f>SUMIF('5-Aanvullend'!A:A,A60,'5-Aanvullend'!M:M)</f>
        <v>0</v>
      </c>
      <c r="R60" s="69" t="e">
        <f t="shared" si="9"/>
        <v>#DIV/0!</v>
      </c>
    </row>
    <row r="61" spans="1:18">
      <c r="A61" s="64">
        <v>310</v>
      </c>
      <c r="B61" s="64" t="s">
        <v>1336</v>
      </c>
      <c r="C61" s="64" t="s">
        <v>1331</v>
      </c>
      <c r="D61" s="65">
        <f>SUMIF('3-Ruimtestaat'!B:B,A61,'3-Ruimtestaat'!T:T)</f>
        <v>1514.41</v>
      </c>
      <c r="E61" s="65">
        <f>SUMIF('3-Ruimtestaat'!B:B,A61,'3-Ruimtestaat'!AF:AF)</f>
        <v>0</v>
      </c>
      <c r="F61" s="65">
        <f>SUMIF('3-Ruimtestaat'!B:B,A61,'3-Ruimtestaat'!AG:AG)</f>
        <v>0</v>
      </c>
      <c r="G61" s="65">
        <f>SUMIF('3-Ruimtestaat'!B:B,A61,'3-Ruimtestaat'!AH:AH)</f>
        <v>0</v>
      </c>
      <c r="H61" s="65">
        <f>SUMIF('3-Ruimtestaat'!B:B,A61,'3-Ruimtestaat'!AI:AI)</f>
        <v>0</v>
      </c>
      <c r="I61" s="65">
        <f t="shared" si="5"/>
        <v>0</v>
      </c>
      <c r="J61" s="66" t="e">
        <f>SUM(E61:F61)*'1-Inschrijfstaat'!$G$20</f>
        <v>#DIV/0!</v>
      </c>
      <c r="K61" s="66" t="e">
        <f>(G61+H61)*'1-Inschrijfstaat'!$G$31</f>
        <v>#DIV/0!</v>
      </c>
      <c r="L61" s="65" t="e">
        <f>(E61+F61)*'1-Inschrijfstaat'!$E$27</f>
        <v>#DIV/0!</v>
      </c>
      <c r="M61" s="65" t="e">
        <f>(G61+H61)*'1-Inschrijfstaat'!$E$35</f>
        <v>#DIV/0!</v>
      </c>
      <c r="N61" s="66" t="e">
        <f>L61*'1-Inschrijfstaat'!$G$27</f>
        <v>#DIV/0!</v>
      </c>
      <c r="O61" s="66" t="e">
        <f>M61*'1-Inschrijfstaat'!$G$35</f>
        <v>#DIV/0!</v>
      </c>
      <c r="P61" s="67" t="e">
        <f t="shared" si="6"/>
        <v>#DIV/0!</v>
      </c>
      <c r="Q61" s="68">
        <f>SUMIF('5-Aanvullend'!A:A,A61,'5-Aanvullend'!M:M)</f>
        <v>0</v>
      </c>
      <c r="R61" s="69" t="e">
        <f t="shared" si="9"/>
        <v>#DIV/0!</v>
      </c>
    </row>
    <row r="62" spans="1:18">
      <c r="A62" s="64">
        <v>311</v>
      </c>
      <c r="B62" s="64" t="s">
        <v>1333</v>
      </c>
      <c r="C62" s="64" t="s">
        <v>1331</v>
      </c>
      <c r="D62" s="65">
        <f>SUMIF('3-Ruimtestaat'!B:B,A62,'3-Ruimtestaat'!T:T)</f>
        <v>2186</v>
      </c>
      <c r="E62" s="65">
        <f>SUMIF('3-Ruimtestaat'!B:B,A62,'3-Ruimtestaat'!AF:AF)</f>
        <v>0</v>
      </c>
      <c r="F62" s="65">
        <f>SUMIF('3-Ruimtestaat'!B:B,A62,'3-Ruimtestaat'!AG:AG)</f>
        <v>0</v>
      </c>
      <c r="G62" s="65">
        <f>SUMIF('3-Ruimtestaat'!B:B,A62,'3-Ruimtestaat'!AH:AH)</f>
        <v>0</v>
      </c>
      <c r="H62" s="65">
        <f>SUMIF('3-Ruimtestaat'!B:B,A62,'3-Ruimtestaat'!AI:AI)</f>
        <v>0</v>
      </c>
      <c r="I62" s="65">
        <f t="shared" si="5"/>
        <v>0</v>
      </c>
      <c r="J62" s="66" t="e">
        <f>SUM(E62:F62)*'1-Inschrijfstaat'!$G$20</f>
        <v>#DIV/0!</v>
      </c>
      <c r="K62" s="66" t="e">
        <f>(G62+H62)*'1-Inschrijfstaat'!$G$31</f>
        <v>#DIV/0!</v>
      </c>
      <c r="L62" s="65" t="e">
        <f>(E62+F62)*'1-Inschrijfstaat'!$E$27</f>
        <v>#DIV/0!</v>
      </c>
      <c r="M62" s="65" t="e">
        <f>(G62+H62)*'1-Inschrijfstaat'!$E$35</f>
        <v>#DIV/0!</v>
      </c>
      <c r="N62" s="66" t="e">
        <f>L62*'1-Inschrijfstaat'!$G$27</f>
        <v>#DIV/0!</v>
      </c>
      <c r="O62" s="66" t="e">
        <f>M62*'1-Inschrijfstaat'!$G$35</f>
        <v>#DIV/0!</v>
      </c>
      <c r="P62" s="67" t="e">
        <f t="shared" si="6"/>
        <v>#DIV/0!</v>
      </c>
      <c r="Q62" s="68">
        <f>SUMIF('5-Aanvullend'!A:A,A62,'5-Aanvullend'!M:M)</f>
        <v>0</v>
      </c>
      <c r="R62" s="69" t="e">
        <f t="shared" si="9"/>
        <v>#DIV/0!</v>
      </c>
    </row>
    <row r="63" spans="1:18">
      <c r="A63" s="64">
        <v>312</v>
      </c>
      <c r="B63" s="64" t="s">
        <v>1348</v>
      </c>
      <c r="C63" s="64" t="s">
        <v>1331</v>
      </c>
      <c r="D63" s="65">
        <f>SUMIF('3-Ruimtestaat'!B:B,A63,'3-Ruimtestaat'!T:T)</f>
        <v>1511.41</v>
      </c>
      <c r="E63" s="65">
        <f>SUMIF('3-Ruimtestaat'!B:B,A63,'3-Ruimtestaat'!AF:AF)</f>
        <v>0</v>
      </c>
      <c r="F63" s="65">
        <f>SUMIF('3-Ruimtestaat'!B:B,A63,'3-Ruimtestaat'!AG:AG)</f>
        <v>0</v>
      </c>
      <c r="G63" s="65">
        <f>SUMIF('3-Ruimtestaat'!B:B,A63,'3-Ruimtestaat'!AH:AH)</f>
        <v>0</v>
      </c>
      <c r="H63" s="65">
        <f>SUMIF('3-Ruimtestaat'!B:B,A63,'3-Ruimtestaat'!AI:AI)</f>
        <v>0</v>
      </c>
      <c r="I63" s="65">
        <f t="shared" si="5"/>
        <v>0</v>
      </c>
      <c r="J63" s="66" t="e">
        <f>SUM(E63:F63)*'1-Inschrijfstaat'!$G$20</f>
        <v>#DIV/0!</v>
      </c>
      <c r="K63" s="66" t="e">
        <f>(G63+H63)*'1-Inschrijfstaat'!$G$31</f>
        <v>#DIV/0!</v>
      </c>
      <c r="L63" s="65" t="e">
        <f>(E63+F63)*'1-Inschrijfstaat'!$E$27</f>
        <v>#DIV/0!</v>
      </c>
      <c r="M63" s="65" t="e">
        <f>(G63+H63)*'1-Inschrijfstaat'!$E$35</f>
        <v>#DIV/0!</v>
      </c>
      <c r="N63" s="66" t="e">
        <f>L63*'1-Inschrijfstaat'!$G$27</f>
        <v>#DIV/0!</v>
      </c>
      <c r="O63" s="66" t="e">
        <f>M63*'1-Inschrijfstaat'!$G$35</f>
        <v>#DIV/0!</v>
      </c>
      <c r="P63" s="67" t="e">
        <f t="shared" si="6"/>
        <v>#DIV/0!</v>
      </c>
      <c r="Q63" s="68">
        <f>SUMIF('5-Aanvullend'!A:A,A63,'5-Aanvullend'!M:M)</f>
        <v>0</v>
      </c>
      <c r="R63" s="69" t="e">
        <f t="shared" si="9"/>
        <v>#DIV/0!</v>
      </c>
    </row>
    <row r="64" spans="1:18" ht="14.25" thickBot="1">
      <c r="Q64" s="68"/>
    </row>
    <row r="65" spans="1:19" ht="14.25" thickBot="1">
      <c r="A65" s="74"/>
      <c r="B65" s="75" t="s">
        <v>1279</v>
      </c>
      <c r="C65" s="76"/>
      <c r="D65" s="77">
        <f t="shared" ref="D65:R65" si="10">SUM(D15:D63)</f>
        <v>104520.28597906782</v>
      </c>
      <c r="E65" s="77">
        <f t="shared" si="10"/>
        <v>0</v>
      </c>
      <c r="F65" s="77">
        <f t="shared" si="10"/>
        <v>0</v>
      </c>
      <c r="G65" s="77">
        <f t="shared" si="10"/>
        <v>0</v>
      </c>
      <c r="H65" s="77">
        <f t="shared" si="10"/>
        <v>0</v>
      </c>
      <c r="I65" s="77">
        <f t="shared" si="10"/>
        <v>0</v>
      </c>
      <c r="J65" s="78" t="e">
        <f t="shared" si="10"/>
        <v>#DIV/0!</v>
      </c>
      <c r="K65" s="78" t="e">
        <f t="shared" si="10"/>
        <v>#DIV/0!</v>
      </c>
      <c r="L65" s="77" t="e">
        <f t="shared" si="10"/>
        <v>#DIV/0!</v>
      </c>
      <c r="M65" s="77" t="e">
        <f t="shared" si="10"/>
        <v>#DIV/0!</v>
      </c>
      <c r="N65" s="78" t="e">
        <f t="shared" si="10"/>
        <v>#DIV/0!</v>
      </c>
      <c r="O65" s="430" t="e">
        <f t="shared" si="10"/>
        <v>#DIV/0!</v>
      </c>
      <c r="P65" s="430" t="e">
        <f t="shared" si="10"/>
        <v>#DIV/0!</v>
      </c>
      <c r="Q65" s="430">
        <f t="shared" si="10"/>
        <v>0</v>
      </c>
      <c r="R65" s="430" t="e">
        <f t="shared" si="10"/>
        <v>#DIV/0!</v>
      </c>
      <c r="S65" s="431"/>
    </row>
  </sheetData>
  <autoFilter ref="A14:R65" xr:uid="{E7F9568E-A4F1-428F-9CA5-9F24B7932071}"/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AS1310"/>
  <sheetViews>
    <sheetView showGridLines="0" zoomScaleNormal="100" workbookViewId="0">
      <pane xSplit="2" ySplit="11" topLeftCell="I186" activePane="bottomRight" state="frozen"/>
      <selection activeCell="D6" sqref="D6"/>
      <selection pane="topRight" activeCell="D6" sqref="D6"/>
      <selection pane="bottomLeft" activeCell="D6" sqref="D6"/>
      <selection pane="bottomRight" activeCell="L14" sqref="L14"/>
    </sheetView>
  </sheetViews>
  <sheetFormatPr defaultColWidth="9.140625" defaultRowHeight="15" customHeight="1"/>
  <cols>
    <col min="1" max="1" width="5.140625" style="70" bestFit="1" customWidth="1"/>
    <col min="2" max="2" width="13.7109375" style="163" customWidth="1"/>
    <col min="3" max="3" width="31.28515625" style="83" bestFit="1" customWidth="1"/>
    <col min="4" max="4" width="21.5703125" style="70" customWidth="1"/>
    <col min="5" max="5" width="21.5703125" style="84" customWidth="1"/>
    <col min="6" max="6" width="32.7109375" style="70" customWidth="1"/>
    <col min="7" max="7" width="15.28515625" style="70" customWidth="1"/>
    <col min="8" max="8" width="44.7109375" style="86" customWidth="1"/>
    <col min="9" max="10" width="23.7109375" style="70" customWidth="1"/>
    <col min="11" max="11" width="9" style="86" customWidth="1"/>
    <col min="12" max="16" width="9.140625" style="86" bestFit="1" customWidth="1"/>
    <col min="17" max="17" width="8.85546875" style="86" bestFit="1" customWidth="1"/>
    <col min="18" max="18" width="11" style="164" customWidth="1"/>
    <col min="19" max="19" width="11" style="86" customWidth="1"/>
    <col min="20" max="20" width="12.140625" style="113" customWidth="1"/>
    <col min="21" max="26" width="9.5703125" style="114" hidden="1" customWidth="1"/>
    <col min="27" max="27" width="10.140625" style="114" hidden="1" customWidth="1"/>
    <col min="28" max="28" width="9.5703125" style="114" hidden="1" customWidth="1"/>
    <col min="29" max="29" width="12.85546875" style="114" hidden="1" customWidth="1"/>
    <col min="30" max="30" width="34.5703125" style="165" hidden="1" customWidth="1"/>
    <col min="31" max="31" width="11.7109375" style="166" customWidth="1"/>
    <col min="32" max="36" width="12.140625" style="93" customWidth="1"/>
    <col min="37" max="40" width="12.140625" style="94" customWidth="1"/>
    <col min="41" max="41" width="12.140625" style="86" customWidth="1"/>
    <col min="42" max="42" width="5.5703125" style="70" customWidth="1"/>
    <col min="43" max="43" width="12.7109375" style="95" customWidth="1"/>
    <col min="44" max="44" width="6.85546875" style="70" customWidth="1"/>
    <col min="45" max="45" width="31" style="70" bestFit="1" customWidth="1"/>
    <col min="46" max="16384" width="9.140625" style="70"/>
  </cols>
  <sheetData>
    <row r="1" spans="1:43" ht="12.75" customHeight="1">
      <c r="A1" s="82">
        <v>1</v>
      </c>
      <c r="B1" s="289" t="s">
        <v>9</v>
      </c>
      <c r="D1" s="83"/>
      <c r="H1" s="85"/>
      <c r="K1" s="70"/>
      <c r="L1" s="70"/>
      <c r="M1" s="70"/>
      <c r="N1" s="70"/>
      <c r="O1" s="70"/>
      <c r="P1" s="70"/>
      <c r="R1" s="87"/>
      <c r="S1" s="88"/>
      <c r="T1" s="89"/>
      <c r="U1" s="90"/>
      <c r="V1" s="90"/>
      <c r="W1" s="90"/>
      <c r="X1" s="90"/>
      <c r="Y1" s="90"/>
      <c r="Z1" s="90"/>
      <c r="AA1" s="90"/>
      <c r="AB1" s="90"/>
      <c r="AC1" s="90"/>
      <c r="AD1" s="91"/>
      <c r="AE1" s="92"/>
      <c r="AO1" s="93"/>
    </row>
    <row r="2" spans="1:43" ht="12.75" customHeight="1">
      <c r="A2" s="82">
        <f>1+A1</f>
        <v>2</v>
      </c>
      <c r="B2" s="98"/>
      <c r="D2" s="96"/>
      <c r="E2" s="97"/>
      <c r="F2" s="98"/>
      <c r="G2" s="98"/>
      <c r="H2" s="99"/>
      <c r="I2" s="100"/>
      <c r="J2" s="100"/>
      <c r="K2" s="100"/>
      <c r="L2" s="100"/>
      <c r="M2" s="100"/>
      <c r="N2" s="100"/>
      <c r="O2" s="100"/>
      <c r="P2" s="100"/>
      <c r="Q2" s="101"/>
      <c r="R2" s="102"/>
      <c r="S2" s="103"/>
      <c r="T2" s="104"/>
      <c r="U2" s="100"/>
      <c r="V2" s="100"/>
      <c r="W2" s="100"/>
      <c r="X2" s="100"/>
      <c r="Y2" s="100"/>
      <c r="Z2" s="100"/>
      <c r="AA2" s="100"/>
      <c r="AB2" s="100"/>
      <c r="AC2" s="100"/>
      <c r="AD2" s="105"/>
      <c r="AE2" s="106"/>
      <c r="AF2" s="107"/>
      <c r="AG2" s="107"/>
      <c r="AH2" s="107"/>
      <c r="AI2" s="107"/>
      <c r="AJ2" s="107"/>
      <c r="AK2" s="108"/>
      <c r="AL2" s="108"/>
      <c r="AM2" s="108"/>
      <c r="AN2" s="108"/>
      <c r="AO2" s="107"/>
      <c r="AQ2" s="109"/>
    </row>
    <row r="3" spans="1:43" ht="17.25">
      <c r="A3" s="82">
        <f t="shared" ref="A3:A46" si="0">1+A2</f>
        <v>3</v>
      </c>
      <c r="B3" s="80" t="s">
        <v>10</v>
      </c>
      <c r="D3" s="53" t="str">
        <f>'1-Inschrijfstaat'!B3</f>
        <v>GVB Infra B.V.</v>
      </c>
      <c r="E3" s="97"/>
      <c r="H3" s="88"/>
      <c r="I3" s="110"/>
      <c r="J3" s="110"/>
      <c r="K3" s="103"/>
      <c r="L3" s="103"/>
      <c r="M3" s="103"/>
      <c r="N3" s="103"/>
      <c r="O3" s="103"/>
      <c r="P3" s="103"/>
      <c r="Q3" s="103"/>
      <c r="R3" s="102"/>
      <c r="S3" s="103"/>
      <c r="T3" s="111"/>
      <c r="U3" s="112"/>
      <c r="V3" s="112"/>
      <c r="W3" s="112"/>
      <c r="X3" s="112"/>
      <c r="Y3" s="112"/>
      <c r="Z3" s="112"/>
      <c r="AA3" s="112"/>
      <c r="AB3" s="112"/>
      <c r="AC3" s="112"/>
      <c r="AD3" s="105"/>
      <c r="AE3" s="106"/>
      <c r="AF3" s="107"/>
      <c r="AG3" s="107"/>
      <c r="AH3" s="107"/>
      <c r="AI3" s="107"/>
      <c r="AJ3" s="107"/>
      <c r="AK3" s="108"/>
      <c r="AL3" s="108"/>
      <c r="AM3" s="108"/>
      <c r="AN3" s="108"/>
      <c r="AO3" s="107"/>
      <c r="AQ3" s="109"/>
    </row>
    <row r="4" spans="1:43" ht="17.25">
      <c r="A4" s="82">
        <f t="shared" si="0"/>
        <v>4</v>
      </c>
      <c r="B4" s="80" t="s">
        <v>15</v>
      </c>
      <c r="D4" s="53" t="str">
        <f ca="1">MID(CELL("bestandsnaam",$C$9),SEARCH("]",CELL("bestandsnaam",$C$9),1)+1,256)</f>
        <v>3-Ruimtestaat</v>
      </c>
      <c r="E4" s="97"/>
      <c r="H4" s="88"/>
      <c r="I4" s="110"/>
      <c r="J4" s="110"/>
      <c r="K4" s="110"/>
      <c r="L4" s="110"/>
      <c r="R4" s="102"/>
      <c r="S4" s="103"/>
      <c r="AD4" s="105"/>
      <c r="AE4" s="106"/>
      <c r="AF4" s="107"/>
      <c r="AG4" s="107"/>
      <c r="AH4" s="107"/>
      <c r="AI4" s="107"/>
      <c r="AJ4" s="107"/>
      <c r="AK4" s="108"/>
      <c r="AL4" s="108"/>
      <c r="AM4" s="108"/>
      <c r="AN4" s="108"/>
      <c r="AO4" s="107"/>
      <c r="AQ4" s="109"/>
    </row>
    <row r="5" spans="1:43" ht="17.25">
      <c r="A5" s="82">
        <f t="shared" si="0"/>
        <v>5</v>
      </c>
      <c r="B5" s="80" t="s">
        <v>11</v>
      </c>
      <c r="D5" s="53" t="str">
        <f>'1-Inschrijfstaat'!B5</f>
        <v>Diverse</v>
      </c>
      <c r="E5" s="97"/>
      <c r="H5" s="88"/>
      <c r="I5" s="110"/>
      <c r="J5" s="110"/>
      <c r="K5" s="110"/>
      <c r="L5" s="110"/>
      <c r="R5" s="102"/>
      <c r="S5" s="103"/>
      <c r="AD5" s="105"/>
      <c r="AE5" s="106"/>
      <c r="AF5" s="107"/>
      <c r="AG5" s="107"/>
      <c r="AH5" s="107"/>
      <c r="AI5" s="107"/>
      <c r="AJ5" s="107"/>
      <c r="AK5" s="108"/>
      <c r="AL5" s="108"/>
      <c r="AM5" s="108"/>
      <c r="AN5" s="108"/>
      <c r="AO5" s="107"/>
      <c r="AQ5" s="109"/>
    </row>
    <row r="6" spans="1:43" ht="17.25">
      <c r="A6" s="82">
        <f t="shared" si="0"/>
        <v>6</v>
      </c>
      <c r="B6" s="80" t="s">
        <v>16</v>
      </c>
      <c r="D6" s="53" t="str">
        <f>'1-Inschrijfstaat'!B6</f>
        <v>2021-03</v>
      </c>
      <c r="E6" s="97"/>
      <c r="H6" s="88"/>
      <c r="I6" s="110"/>
      <c r="J6" s="110"/>
      <c r="K6" s="110"/>
      <c r="L6" s="110"/>
      <c r="R6" s="102"/>
      <c r="S6" s="103"/>
      <c r="AD6" s="105"/>
      <c r="AE6" s="106"/>
      <c r="AF6" s="107"/>
      <c r="AG6" s="107"/>
      <c r="AH6" s="107"/>
      <c r="AI6" s="107"/>
      <c r="AJ6" s="107"/>
      <c r="AK6" s="108"/>
      <c r="AL6" s="108"/>
      <c r="AM6" s="108"/>
      <c r="AN6" s="108"/>
      <c r="AO6" s="107"/>
      <c r="AQ6" s="109"/>
    </row>
    <row r="7" spans="1:43" ht="17.25">
      <c r="A7" s="82">
        <f t="shared" si="0"/>
        <v>7</v>
      </c>
      <c r="B7" s="80" t="s">
        <v>13</v>
      </c>
      <c r="D7" s="53" t="str">
        <f>'1-Inschrijfstaat'!B7</f>
        <v>Naam dienstverlener</v>
      </c>
      <c r="E7" s="97"/>
      <c r="H7" s="88"/>
      <c r="I7" s="110"/>
      <c r="J7" s="110"/>
      <c r="K7" s="110"/>
      <c r="L7" s="110"/>
      <c r="R7" s="102"/>
      <c r="S7" s="103"/>
      <c r="AD7" s="105"/>
      <c r="AE7" s="106"/>
      <c r="AF7" s="107"/>
      <c r="AG7" s="107"/>
      <c r="AH7" s="107"/>
      <c r="AI7" s="107"/>
      <c r="AJ7" s="107"/>
      <c r="AK7" s="107"/>
      <c r="AL7" s="107"/>
      <c r="AM7" s="107"/>
      <c r="AN7" s="108"/>
      <c r="AO7" s="107"/>
      <c r="AQ7" s="109"/>
    </row>
    <row r="8" spans="1:43" ht="15.75">
      <c r="A8" s="82">
        <f t="shared" si="0"/>
        <v>8</v>
      </c>
      <c r="B8" s="80" t="s">
        <v>14</v>
      </c>
      <c r="D8" s="9" t="str">
        <f>'1-Inschrijfstaat'!B8</f>
        <v>1 juni 2021</v>
      </c>
      <c r="E8" s="97"/>
      <c r="H8" s="88"/>
      <c r="I8" s="110"/>
      <c r="J8" s="110"/>
      <c r="K8" s="110"/>
      <c r="L8" s="110"/>
      <c r="R8" s="102"/>
      <c r="S8" s="103"/>
      <c r="AD8" s="105"/>
      <c r="AE8" s="106"/>
      <c r="AF8" s="107"/>
      <c r="AG8" s="107"/>
      <c r="AH8" s="107"/>
      <c r="AI8" s="107"/>
      <c r="AJ8" s="107"/>
      <c r="AK8" s="107"/>
      <c r="AL8" s="107"/>
      <c r="AM8" s="107"/>
      <c r="AN8" s="108"/>
      <c r="AO8" s="107"/>
      <c r="AQ8" s="109"/>
    </row>
    <row r="9" spans="1:43">
      <c r="A9" s="82">
        <f t="shared" si="0"/>
        <v>9</v>
      </c>
      <c r="B9" s="167" t="s">
        <v>0</v>
      </c>
      <c r="D9" s="115" t="str">
        <f>'1-Inschrijfstaat'!B9</f>
        <v>1 Comfort schoonmaak</v>
      </c>
      <c r="E9" s="116"/>
      <c r="I9" s="110"/>
      <c r="J9" s="110"/>
      <c r="K9" s="110"/>
      <c r="L9" s="110"/>
      <c r="R9" s="102"/>
      <c r="S9" s="103"/>
      <c r="AD9" s="105"/>
      <c r="AE9" s="106"/>
      <c r="AF9" s="107"/>
      <c r="AG9" s="107"/>
      <c r="AH9" s="107"/>
      <c r="AI9" s="107"/>
      <c r="AJ9" s="107"/>
      <c r="AK9" s="108"/>
      <c r="AL9" s="108"/>
      <c r="AM9" s="108"/>
      <c r="AN9" s="108"/>
      <c r="AO9" s="107"/>
      <c r="AQ9" s="109"/>
    </row>
    <row r="10" spans="1:43" s="129" customFormat="1" ht="13.5">
      <c r="A10" s="82">
        <f t="shared" si="0"/>
        <v>10</v>
      </c>
      <c r="B10" s="117"/>
      <c r="C10" s="118"/>
      <c r="D10" s="70"/>
      <c r="E10" s="119"/>
      <c r="F10" s="70"/>
      <c r="G10" s="118"/>
      <c r="H10" s="120"/>
      <c r="I10" s="121"/>
      <c r="J10" s="121"/>
      <c r="K10" s="122"/>
      <c r="L10" s="122"/>
      <c r="M10" s="122"/>
      <c r="N10" s="122"/>
      <c r="O10" s="122"/>
      <c r="P10" s="122"/>
      <c r="Q10" s="122"/>
      <c r="R10" s="123"/>
      <c r="S10" s="124"/>
      <c r="T10" s="124"/>
      <c r="U10" s="124"/>
      <c r="V10" s="124"/>
      <c r="W10" s="124"/>
      <c r="X10" s="124"/>
      <c r="Y10" s="124"/>
      <c r="Z10" s="125"/>
      <c r="AA10" s="125"/>
      <c r="AB10" s="125"/>
      <c r="AC10" s="125"/>
      <c r="AD10" s="126"/>
      <c r="AE10" s="106"/>
      <c r="AF10" s="127"/>
      <c r="AG10" s="127"/>
      <c r="AH10" s="127"/>
      <c r="AI10" s="127"/>
      <c r="AJ10" s="127"/>
      <c r="AK10" s="128"/>
      <c r="AL10" s="128"/>
      <c r="AM10" s="128"/>
      <c r="AN10" s="128"/>
      <c r="AO10" s="127"/>
      <c r="AQ10" s="130"/>
    </row>
    <row r="11" spans="1:43" ht="50.25" customHeight="1">
      <c r="A11" s="82">
        <f t="shared" si="0"/>
        <v>11</v>
      </c>
      <c r="B11" s="168" t="s">
        <v>438</v>
      </c>
      <c r="C11" s="168" t="s">
        <v>440</v>
      </c>
      <c r="D11" s="168" t="s">
        <v>19</v>
      </c>
      <c r="E11" s="168" t="s">
        <v>273</v>
      </c>
      <c r="F11" s="168" t="s">
        <v>1129</v>
      </c>
      <c r="G11" s="168" t="s">
        <v>1471</v>
      </c>
      <c r="H11" s="169" t="s">
        <v>1130</v>
      </c>
      <c r="I11" s="168" t="s">
        <v>1131</v>
      </c>
      <c r="J11" s="168" t="s">
        <v>1225</v>
      </c>
      <c r="K11" s="170" t="s">
        <v>1134</v>
      </c>
      <c r="L11" s="170" t="s">
        <v>1135</v>
      </c>
      <c r="M11" s="170" t="s">
        <v>1136</v>
      </c>
      <c r="N11" s="170" t="s">
        <v>1137</v>
      </c>
      <c r="O11" s="170" t="s">
        <v>1138</v>
      </c>
      <c r="P11" s="170" t="s">
        <v>1139</v>
      </c>
      <c r="Q11" s="170" t="s">
        <v>1140</v>
      </c>
      <c r="R11" s="168" t="s">
        <v>1132</v>
      </c>
      <c r="S11" s="170" t="s">
        <v>1133</v>
      </c>
      <c r="T11" s="168" t="s">
        <v>8</v>
      </c>
      <c r="U11" s="131" t="s">
        <v>20</v>
      </c>
      <c r="V11" s="131" t="s">
        <v>21</v>
      </c>
      <c r="W11" s="131" t="s">
        <v>23</v>
      </c>
      <c r="X11" s="131" t="s">
        <v>22</v>
      </c>
      <c r="Y11" s="132" t="s">
        <v>125</v>
      </c>
      <c r="Z11" s="132" t="s">
        <v>445</v>
      </c>
      <c r="AA11" s="132" t="s">
        <v>443</v>
      </c>
      <c r="AB11" s="132" t="s">
        <v>444</v>
      </c>
      <c r="AC11" s="132" t="s">
        <v>442</v>
      </c>
      <c r="AD11" s="133" t="s">
        <v>17</v>
      </c>
      <c r="AE11" s="168" t="s">
        <v>1276</v>
      </c>
      <c r="AF11" s="170" t="s">
        <v>1</v>
      </c>
      <c r="AG11" s="170" t="s">
        <v>2</v>
      </c>
      <c r="AH11" s="170" t="s">
        <v>3</v>
      </c>
      <c r="AI11" s="170" t="s">
        <v>4</v>
      </c>
      <c r="AJ11" s="170" t="s">
        <v>1311</v>
      </c>
      <c r="AK11" s="170" t="s">
        <v>1482</v>
      </c>
      <c r="AL11" s="170" t="s">
        <v>1483</v>
      </c>
      <c r="AM11" s="170" t="s">
        <v>1484</v>
      </c>
      <c r="AN11" s="170" t="s">
        <v>1168</v>
      </c>
      <c r="AO11" s="170" t="s">
        <v>7</v>
      </c>
      <c r="AQ11" s="170" t="s">
        <v>1280</v>
      </c>
    </row>
    <row r="12" spans="1:43" ht="15" customHeight="1">
      <c r="A12" s="82">
        <f t="shared" si="0"/>
        <v>12</v>
      </c>
      <c r="B12" s="134">
        <v>102</v>
      </c>
      <c r="C12" s="135" t="s">
        <v>942</v>
      </c>
      <c r="D12" s="136" t="s">
        <v>274</v>
      </c>
      <c r="E12" s="137" t="s">
        <v>834</v>
      </c>
      <c r="F12" s="138" t="s">
        <v>948</v>
      </c>
      <c r="G12" s="139" t="s">
        <v>949</v>
      </c>
      <c r="H12" s="140" t="str">
        <f t="shared" ref="H12:H55" si="1">VLOOKUP(R12,Kengetal,3,FALSE)</f>
        <v>Roltrappen(inclusief aangrenzende bouwdelen)</v>
      </c>
      <c r="I12" s="138" t="s">
        <v>1251</v>
      </c>
      <c r="J12" s="138" t="s">
        <v>1171</v>
      </c>
      <c r="K12" s="141" t="str">
        <f t="shared" ref="K12:K55" si="2">IF($R12="",0,VLOOKUP($R12,Kengetal,14,FALSE))</f>
        <v>Omde dag Vol/Nal.</v>
      </c>
      <c r="L12" s="141" t="str">
        <f t="shared" ref="L12:L55" si="3">IF($R12="",0,VLOOKUP($R12,Kengetal,15,FALSE))</f>
        <v>Omde dag Nal./Vol</v>
      </c>
      <c r="M12" s="141" t="str">
        <f t="shared" ref="M12:M55" si="4">IF($R12="",0,VLOOKUP($R12,Kengetal,16,FALSE))</f>
        <v>Omde dag Vol/Nal.</v>
      </c>
      <c r="N12" s="141" t="str">
        <f t="shared" ref="N12:N55" si="5">IF($R12="",0,VLOOKUP($R12,Kengetal,17,FALSE))</f>
        <v>Omde dag Nal./Vol</v>
      </c>
      <c r="O12" s="141" t="str">
        <f t="shared" ref="O12:O55" si="6">IF($R12="",0,VLOOKUP($R12,Kengetal,18,FALSE))</f>
        <v>Omde dag Vol/Nal.</v>
      </c>
      <c r="P12" s="141" t="str">
        <f t="shared" ref="P12:P55" si="7">IF($R12="",0,VLOOKUP($R12,Kengetal,19,FALSE))</f>
        <v>Omde dag Nal./Vol</v>
      </c>
      <c r="Q12" s="141" t="str">
        <f t="shared" ref="Q12:Q55" si="8">IF($R12="",0,VLOOKUP($R12,Kengetal,20,FALSE))</f>
        <v>Omde dag Vol/Nal.</v>
      </c>
      <c r="R12" s="63" t="s">
        <v>1481</v>
      </c>
      <c r="S12" s="142">
        <f t="shared" ref="S12:S75" si="9">VLOOKUP(R12,Kengetal,2,FALSE)</f>
        <v>365</v>
      </c>
      <c r="T12" s="143">
        <v>23</v>
      </c>
      <c r="U12" s="144"/>
      <c r="V12" s="144"/>
      <c r="W12" s="144"/>
      <c r="X12" s="144"/>
      <c r="Y12" s="144"/>
      <c r="Z12" s="145"/>
      <c r="AA12" s="145"/>
      <c r="AB12" s="145"/>
      <c r="AC12" s="145"/>
      <c r="AD12" s="146"/>
      <c r="AE12" s="171">
        <v>1</v>
      </c>
      <c r="AF12" s="147">
        <f t="shared" ref="AF12:AF55" si="10">T12*AK12*AE12</f>
        <v>0</v>
      </c>
      <c r="AG12" s="147">
        <f t="shared" ref="AG12:AG55" si="11">T12*AL12*AE12</f>
        <v>0</v>
      </c>
      <c r="AH12" s="147">
        <f t="shared" ref="AH12:AH55" si="12">T12*AM12*AE12</f>
        <v>0</v>
      </c>
      <c r="AI12" s="147">
        <f t="shared" ref="AI12:AI55" si="13">T12*AN12*AE12</f>
        <v>0</v>
      </c>
      <c r="AJ12" s="148" t="str">
        <f t="shared" ref="AJ12:AJ55" si="14">IF($R12="",0,VLOOKUP($R12,Kengetal,12,FALSE))</f>
        <v>ja</v>
      </c>
      <c r="AK12" s="149">
        <f t="shared" ref="AK12:AK35" si="15">IF($R12="",0,VLOOKUP($R12,Kengetal,5,FALSE))</f>
        <v>0</v>
      </c>
      <c r="AL12" s="149">
        <f t="shared" ref="AL12:AL35" si="16">IF($R12="",0,VLOOKUP($R12,Kengetal,6,FALSE))</f>
        <v>0</v>
      </c>
      <c r="AM12" s="149">
        <f t="shared" ref="AM12:AM35" si="17">IF($R12="",0,VLOOKUP($R12,Kengetal,7,FALSE))</f>
        <v>0</v>
      </c>
      <c r="AN12" s="149">
        <f t="shared" ref="AN12:AN35" si="18">IF($R12="",0,VLOOKUP($R12,Kengetal,8,FALSE))</f>
        <v>0</v>
      </c>
      <c r="AO12" s="150" t="str">
        <f t="shared" ref="AO12:AO55" si="19">IF($R12="",0,VLOOKUP($R12,Kengetal,13,FALSE))</f>
        <v>V</v>
      </c>
      <c r="AQ12" s="151">
        <f t="shared" ref="AQ12:AQ55" si="20">T12*S12</f>
        <v>8395</v>
      </c>
    </row>
    <row r="13" spans="1:43" ht="15" customHeight="1">
      <c r="A13" s="82">
        <f t="shared" si="0"/>
        <v>13</v>
      </c>
      <c r="B13" s="134">
        <v>102</v>
      </c>
      <c r="C13" s="135" t="s">
        <v>942</v>
      </c>
      <c r="D13" s="136" t="s">
        <v>274</v>
      </c>
      <c r="E13" s="137" t="s">
        <v>834</v>
      </c>
      <c r="F13" s="138" t="s">
        <v>950</v>
      </c>
      <c r="G13" s="139" t="s">
        <v>951</v>
      </c>
      <c r="H13" s="140" t="str">
        <f t="shared" si="1"/>
        <v>Trappen</v>
      </c>
      <c r="I13" s="138" t="s">
        <v>1250</v>
      </c>
      <c r="J13" s="138" t="s">
        <v>1171</v>
      </c>
      <c r="K13" s="141" t="str">
        <f t="shared" si="2"/>
        <v>Omde dag Vol/Nal.</v>
      </c>
      <c r="L13" s="141" t="str">
        <f t="shared" si="3"/>
        <v>Omde dag Nal./Vol</v>
      </c>
      <c r="M13" s="141" t="str">
        <f t="shared" si="4"/>
        <v>Omde dag Vol/Nal.</v>
      </c>
      <c r="N13" s="141" t="str">
        <f t="shared" si="5"/>
        <v>Omde dag Nal./Vol</v>
      </c>
      <c r="O13" s="141" t="str">
        <f t="shared" si="6"/>
        <v>Omde dag Vol/Nal.</v>
      </c>
      <c r="P13" s="141" t="str">
        <f t="shared" si="7"/>
        <v>Omde dag Nal./Vol</v>
      </c>
      <c r="Q13" s="141" t="str">
        <f t="shared" si="8"/>
        <v>Omde dag Vol/Nal.</v>
      </c>
      <c r="R13" s="63" t="s">
        <v>1477</v>
      </c>
      <c r="S13" s="142">
        <f t="shared" si="9"/>
        <v>365</v>
      </c>
      <c r="T13" s="143">
        <v>0</v>
      </c>
      <c r="U13" s="144"/>
      <c r="V13" s="144"/>
      <c r="W13" s="144"/>
      <c r="X13" s="144"/>
      <c r="Y13" s="144"/>
      <c r="Z13" s="145"/>
      <c r="AA13" s="145"/>
      <c r="AB13" s="145"/>
      <c r="AC13" s="145"/>
      <c r="AD13" s="146" t="s">
        <v>1023</v>
      </c>
      <c r="AE13" s="171">
        <v>1</v>
      </c>
      <c r="AF13" s="147">
        <f t="shared" si="10"/>
        <v>0</v>
      </c>
      <c r="AG13" s="147">
        <f t="shared" si="11"/>
        <v>0</v>
      </c>
      <c r="AH13" s="147">
        <f t="shared" si="12"/>
        <v>0</v>
      </c>
      <c r="AI13" s="147">
        <f t="shared" si="13"/>
        <v>0</v>
      </c>
      <c r="AJ13" s="148" t="str">
        <f t="shared" si="14"/>
        <v>ja</v>
      </c>
      <c r="AK13" s="149">
        <f t="shared" si="15"/>
        <v>0</v>
      </c>
      <c r="AL13" s="149">
        <f t="shared" si="16"/>
        <v>0</v>
      </c>
      <c r="AM13" s="149">
        <f t="shared" si="17"/>
        <v>0</v>
      </c>
      <c r="AN13" s="149">
        <f t="shared" si="18"/>
        <v>0</v>
      </c>
      <c r="AO13" s="150" t="str">
        <f t="shared" si="19"/>
        <v>V</v>
      </c>
      <c r="AQ13" s="151">
        <f t="shared" si="20"/>
        <v>0</v>
      </c>
    </row>
    <row r="14" spans="1:43" ht="15" customHeight="1">
      <c r="A14" s="82">
        <f t="shared" si="0"/>
        <v>14</v>
      </c>
      <c r="B14" s="134">
        <v>102</v>
      </c>
      <c r="C14" s="135" t="s">
        <v>942</v>
      </c>
      <c r="D14" s="136" t="s">
        <v>274</v>
      </c>
      <c r="E14" s="137" t="s">
        <v>834</v>
      </c>
      <c r="F14" s="138" t="s">
        <v>952</v>
      </c>
      <c r="G14" s="139" t="s">
        <v>953</v>
      </c>
      <c r="H14" s="140" t="str">
        <f t="shared" si="1"/>
        <v>Roltrappen(inclusief aangrenzende bouwdelen)</v>
      </c>
      <c r="I14" s="138" t="s">
        <v>1251</v>
      </c>
      <c r="J14" s="138" t="s">
        <v>1171</v>
      </c>
      <c r="K14" s="141" t="str">
        <f t="shared" si="2"/>
        <v>Omde dag Vol/Nal.</v>
      </c>
      <c r="L14" s="141" t="str">
        <f t="shared" si="3"/>
        <v>Omde dag Nal./Vol</v>
      </c>
      <c r="M14" s="141" t="str">
        <f t="shared" si="4"/>
        <v>Omde dag Vol/Nal.</v>
      </c>
      <c r="N14" s="141" t="str">
        <f t="shared" si="5"/>
        <v>Omde dag Nal./Vol</v>
      </c>
      <c r="O14" s="141" t="str">
        <f t="shared" si="6"/>
        <v>Omde dag Vol/Nal.</v>
      </c>
      <c r="P14" s="141" t="str">
        <f t="shared" si="7"/>
        <v>Omde dag Nal./Vol</v>
      </c>
      <c r="Q14" s="141" t="str">
        <f t="shared" si="8"/>
        <v>Omde dag Vol/Nal.</v>
      </c>
      <c r="R14" s="63" t="s">
        <v>1481</v>
      </c>
      <c r="S14" s="142">
        <f t="shared" si="9"/>
        <v>365</v>
      </c>
      <c r="T14" s="143">
        <v>25</v>
      </c>
      <c r="U14" s="144"/>
      <c r="V14" s="144">
        <v>20</v>
      </c>
      <c r="W14" s="144"/>
      <c r="X14" s="144"/>
      <c r="Y14" s="144"/>
      <c r="Z14" s="145"/>
      <c r="AA14" s="145"/>
      <c r="AB14" s="145"/>
      <c r="AC14" s="145"/>
      <c r="AD14" s="146" t="s">
        <v>1226</v>
      </c>
      <c r="AE14" s="171">
        <v>1</v>
      </c>
      <c r="AF14" s="147">
        <f t="shared" si="10"/>
        <v>0</v>
      </c>
      <c r="AG14" s="147">
        <f t="shared" si="11"/>
        <v>0</v>
      </c>
      <c r="AH14" s="147">
        <f t="shared" si="12"/>
        <v>0</v>
      </c>
      <c r="AI14" s="147">
        <f t="shared" si="13"/>
        <v>0</v>
      </c>
      <c r="AJ14" s="148" t="str">
        <f t="shared" si="14"/>
        <v>ja</v>
      </c>
      <c r="AK14" s="149">
        <f t="shared" si="15"/>
        <v>0</v>
      </c>
      <c r="AL14" s="149">
        <f t="shared" si="16"/>
        <v>0</v>
      </c>
      <c r="AM14" s="149">
        <f t="shared" si="17"/>
        <v>0</v>
      </c>
      <c r="AN14" s="149">
        <f t="shared" si="18"/>
        <v>0</v>
      </c>
      <c r="AO14" s="150" t="str">
        <f t="shared" si="19"/>
        <v>V</v>
      </c>
      <c r="AQ14" s="151">
        <f t="shared" si="20"/>
        <v>9125</v>
      </c>
    </row>
    <row r="15" spans="1:43" ht="15" customHeight="1">
      <c r="A15" s="82">
        <f t="shared" si="0"/>
        <v>15</v>
      </c>
      <c r="B15" s="134">
        <v>102</v>
      </c>
      <c r="C15" s="135" t="s">
        <v>942</v>
      </c>
      <c r="D15" s="136" t="s">
        <v>274</v>
      </c>
      <c r="E15" s="137" t="s">
        <v>834</v>
      </c>
      <c r="F15" s="138" t="s">
        <v>954</v>
      </c>
      <c r="G15" s="139" t="s">
        <v>955</v>
      </c>
      <c r="H15" s="140" t="str">
        <f t="shared" si="1"/>
        <v>Trappen</v>
      </c>
      <c r="I15" s="138" t="s">
        <v>1250</v>
      </c>
      <c r="J15" s="138" t="s">
        <v>1171</v>
      </c>
      <c r="K15" s="141" t="str">
        <f t="shared" si="2"/>
        <v>Omde dag Vol/Nal.</v>
      </c>
      <c r="L15" s="141" t="str">
        <f t="shared" si="3"/>
        <v>Omde dag Nal./Vol</v>
      </c>
      <c r="M15" s="141" t="str">
        <f t="shared" si="4"/>
        <v>Omde dag Vol/Nal.</v>
      </c>
      <c r="N15" s="141" t="str">
        <f t="shared" si="5"/>
        <v>Omde dag Nal./Vol</v>
      </c>
      <c r="O15" s="141" t="str">
        <f t="shared" si="6"/>
        <v>Omde dag Vol/Nal.</v>
      </c>
      <c r="P15" s="141" t="str">
        <f t="shared" si="7"/>
        <v>Omde dag Nal./Vol</v>
      </c>
      <c r="Q15" s="141" t="str">
        <f t="shared" si="8"/>
        <v>Omde dag Vol/Nal.</v>
      </c>
      <c r="R15" s="63" t="s">
        <v>1477</v>
      </c>
      <c r="S15" s="142">
        <f t="shared" si="9"/>
        <v>365</v>
      </c>
      <c r="T15" s="143">
        <v>0</v>
      </c>
      <c r="U15" s="144"/>
      <c r="V15" s="144"/>
      <c r="W15" s="144"/>
      <c r="X15" s="144"/>
      <c r="Y15" s="144"/>
      <c r="Z15" s="145"/>
      <c r="AA15" s="145"/>
      <c r="AB15" s="145"/>
      <c r="AC15" s="145"/>
      <c r="AD15" s="146" t="s">
        <v>749</v>
      </c>
      <c r="AE15" s="171">
        <v>1</v>
      </c>
      <c r="AF15" s="147">
        <f t="shared" si="10"/>
        <v>0</v>
      </c>
      <c r="AG15" s="147">
        <f t="shared" si="11"/>
        <v>0</v>
      </c>
      <c r="AH15" s="147">
        <f t="shared" si="12"/>
        <v>0</v>
      </c>
      <c r="AI15" s="147">
        <f t="shared" si="13"/>
        <v>0</v>
      </c>
      <c r="AJ15" s="148" t="str">
        <f t="shared" si="14"/>
        <v>ja</v>
      </c>
      <c r="AK15" s="149">
        <f t="shared" si="15"/>
        <v>0</v>
      </c>
      <c r="AL15" s="149">
        <f t="shared" si="16"/>
        <v>0</v>
      </c>
      <c r="AM15" s="149">
        <f t="shared" si="17"/>
        <v>0</v>
      </c>
      <c r="AN15" s="149">
        <f t="shared" si="18"/>
        <v>0</v>
      </c>
      <c r="AO15" s="150" t="str">
        <f t="shared" si="19"/>
        <v>V</v>
      </c>
      <c r="AQ15" s="151">
        <f t="shared" si="20"/>
        <v>0</v>
      </c>
    </row>
    <row r="16" spans="1:43" ht="15" customHeight="1">
      <c r="A16" s="82">
        <f t="shared" si="0"/>
        <v>16</v>
      </c>
      <c r="B16" s="134">
        <v>102</v>
      </c>
      <c r="C16" s="135" t="s">
        <v>942</v>
      </c>
      <c r="D16" s="136" t="s">
        <v>274</v>
      </c>
      <c r="E16" s="137" t="s">
        <v>834</v>
      </c>
      <c r="F16" s="138" t="s">
        <v>775</v>
      </c>
      <c r="G16" s="139" t="s">
        <v>956</v>
      </c>
      <c r="H16" s="140" t="str">
        <f t="shared" si="1"/>
        <v>Niet van toepassing</v>
      </c>
      <c r="I16" s="138" t="s">
        <v>35</v>
      </c>
      <c r="J16" s="138" t="s">
        <v>1172</v>
      </c>
      <c r="K16" s="141" t="str">
        <f t="shared" si="2"/>
        <v>NVT</v>
      </c>
      <c r="L16" s="141" t="str">
        <f t="shared" si="3"/>
        <v>NVT</v>
      </c>
      <c r="M16" s="141" t="str">
        <f t="shared" si="4"/>
        <v>NVT</v>
      </c>
      <c r="N16" s="141" t="str">
        <f t="shared" si="5"/>
        <v>NVT</v>
      </c>
      <c r="O16" s="141" t="str">
        <f t="shared" si="6"/>
        <v>NVT</v>
      </c>
      <c r="P16" s="141" t="str">
        <f t="shared" si="7"/>
        <v>NVT</v>
      </c>
      <c r="Q16" s="141" t="str">
        <f t="shared" si="8"/>
        <v>NVT</v>
      </c>
      <c r="R16" s="63" t="s">
        <v>1221</v>
      </c>
      <c r="S16" s="142">
        <f t="shared" si="9"/>
        <v>0</v>
      </c>
      <c r="T16" s="143">
        <v>99</v>
      </c>
      <c r="U16" s="144"/>
      <c r="V16" s="144"/>
      <c r="W16" s="144">
        <v>84</v>
      </c>
      <c r="X16" s="144"/>
      <c r="Y16" s="144"/>
      <c r="Z16" s="145"/>
      <c r="AA16" s="145">
        <v>99</v>
      </c>
      <c r="AB16" s="145"/>
      <c r="AC16" s="145"/>
      <c r="AD16" s="146" t="s">
        <v>685</v>
      </c>
      <c r="AE16" s="171">
        <v>1</v>
      </c>
      <c r="AF16" s="147">
        <f t="shared" si="10"/>
        <v>0</v>
      </c>
      <c r="AG16" s="147">
        <f t="shared" si="11"/>
        <v>0</v>
      </c>
      <c r="AH16" s="147">
        <f t="shared" si="12"/>
        <v>0</v>
      </c>
      <c r="AI16" s="147">
        <f t="shared" si="13"/>
        <v>0</v>
      </c>
      <c r="AJ16" s="148">
        <f t="shared" si="14"/>
        <v>0</v>
      </c>
      <c r="AK16" s="149">
        <f t="shared" si="15"/>
        <v>0</v>
      </c>
      <c r="AL16" s="149">
        <f t="shared" si="16"/>
        <v>0</v>
      </c>
      <c r="AM16" s="149">
        <f t="shared" si="17"/>
        <v>0</v>
      </c>
      <c r="AN16" s="149">
        <f t="shared" si="18"/>
        <v>0</v>
      </c>
      <c r="AO16" s="150">
        <f t="shared" si="19"/>
        <v>0</v>
      </c>
      <c r="AQ16" s="151">
        <f t="shared" si="20"/>
        <v>0</v>
      </c>
    </row>
    <row r="17" spans="1:43" ht="15" customHeight="1">
      <c r="A17" s="82">
        <f t="shared" si="0"/>
        <v>17</v>
      </c>
      <c r="B17" s="134">
        <v>102</v>
      </c>
      <c r="C17" s="135" t="s">
        <v>942</v>
      </c>
      <c r="D17" s="136" t="s">
        <v>274</v>
      </c>
      <c r="E17" s="137" t="s">
        <v>834</v>
      </c>
      <c r="F17" s="138" t="s">
        <v>957</v>
      </c>
      <c r="G17" s="139" t="s">
        <v>958</v>
      </c>
      <c r="H17" s="140" t="str">
        <f t="shared" si="1"/>
        <v>Niet van toepassing</v>
      </c>
      <c r="I17" s="138" t="s">
        <v>35</v>
      </c>
      <c r="J17" s="138" t="s">
        <v>1172</v>
      </c>
      <c r="K17" s="141" t="str">
        <f t="shared" si="2"/>
        <v>NVT</v>
      </c>
      <c r="L17" s="141" t="str">
        <f t="shared" si="3"/>
        <v>NVT</v>
      </c>
      <c r="M17" s="141" t="str">
        <f t="shared" si="4"/>
        <v>NVT</v>
      </c>
      <c r="N17" s="141" t="str">
        <f t="shared" si="5"/>
        <v>NVT</v>
      </c>
      <c r="O17" s="141" t="str">
        <f t="shared" si="6"/>
        <v>NVT</v>
      </c>
      <c r="P17" s="141" t="str">
        <f t="shared" si="7"/>
        <v>NVT</v>
      </c>
      <c r="Q17" s="141" t="str">
        <f t="shared" si="8"/>
        <v>NVT</v>
      </c>
      <c r="R17" s="63" t="s">
        <v>1221</v>
      </c>
      <c r="S17" s="142">
        <f t="shared" si="9"/>
        <v>0</v>
      </c>
      <c r="T17" s="143">
        <v>8</v>
      </c>
      <c r="U17" s="144"/>
      <c r="V17" s="144"/>
      <c r="W17" s="144">
        <v>57</v>
      </c>
      <c r="X17" s="144"/>
      <c r="Y17" s="144"/>
      <c r="Z17" s="145"/>
      <c r="AA17" s="145">
        <v>8</v>
      </c>
      <c r="AB17" s="145"/>
      <c r="AC17" s="145"/>
      <c r="AD17" s="146" t="s">
        <v>685</v>
      </c>
      <c r="AE17" s="171">
        <v>1</v>
      </c>
      <c r="AF17" s="147">
        <f t="shared" si="10"/>
        <v>0</v>
      </c>
      <c r="AG17" s="147">
        <f t="shared" si="11"/>
        <v>0</v>
      </c>
      <c r="AH17" s="147">
        <f t="shared" si="12"/>
        <v>0</v>
      </c>
      <c r="AI17" s="147">
        <f t="shared" si="13"/>
        <v>0</v>
      </c>
      <c r="AJ17" s="148">
        <f t="shared" si="14"/>
        <v>0</v>
      </c>
      <c r="AK17" s="149">
        <f t="shared" si="15"/>
        <v>0</v>
      </c>
      <c r="AL17" s="149">
        <f t="shared" si="16"/>
        <v>0</v>
      </c>
      <c r="AM17" s="149">
        <f t="shared" si="17"/>
        <v>0</v>
      </c>
      <c r="AN17" s="149">
        <f t="shared" si="18"/>
        <v>0</v>
      </c>
      <c r="AO17" s="150">
        <f t="shared" si="19"/>
        <v>0</v>
      </c>
      <c r="AQ17" s="151">
        <f t="shared" si="20"/>
        <v>0</v>
      </c>
    </row>
    <row r="18" spans="1:43" ht="15" customHeight="1">
      <c r="A18" s="82">
        <f t="shared" si="0"/>
        <v>18</v>
      </c>
      <c r="B18" s="134">
        <v>102</v>
      </c>
      <c r="C18" s="135" t="s">
        <v>942</v>
      </c>
      <c r="D18" s="136" t="s">
        <v>274</v>
      </c>
      <c r="E18" s="137" t="s">
        <v>834</v>
      </c>
      <c r="F18" s="138" t="s">
        <v>959</v>
      </c>
      <c r="G18" s="139" t="s">
        <v>960</v>
      </c>
      <c r="H18" s="140" t="str">
        <f t="shared" si="1"/>
        <v>Liften</v>
      </c>
      <c r="I18" s="138" t="s">
        <v>457</v>
      </c>
      <c r="J18" s="138" t="s">
        <v>1171</v>
      </c>
      <c r="K18" s="141" t="str">
        <f t="shared" si="2"/>
        <v>Omde dag Vol/Nal.</v>
      </c>
      <c r="L18" s="141" t="str">
        <f t="shared" si="3"/>
        <v>Omde dag Nal./Vol</v>
      </c>
      <c r="M18" s="141" t="str">
        <f t="shared" si="4"/>
        <v>Omde dag Vol/Nal.</v>
      </c>
      <c r="N18" s="141" t="str">
        <f t="shared" si="5"/>
        <v>Omde dag Nal./Vol</v>
      </c>
      <c r="O18" s="141" t="str">
        <f t="shared" si="6"/>
        <v>Omde dag Vol/Nal.</v>
      </c>
      <c r="P18" s="141" t="str">
        <f t="shared" si="7"/>
        <v>Omde dag Nal./Vol</v>
      </c>
      <c r="Q18" s="141" t="str">
        <f t="shared" si="8"/>
        <v>Omde dag Vol/Nal.</v>
      </c>
      <c r="R18" s="63" t="s">
        <v>1475</v>
      </c>
      <c r="S18" s="142">
        <f t="shared" si="9"/>
        <v>365</v>
      </c>
      <c r="T18" s="143">
        <v>7.8000000000000007</v>
      </c>
      <c r="U18" s="144"/>
      <c r="V18" s="144">
        <v>58</v>
      </c>
      <c r="W18" s="144"/>
      <c r="X18" s="144"/>
      <c r="Y18" s="144"/>
      <c r="Z18" s="145"/>
      <c r="AA18" s="145"/>
      <c r="AB18" s="145"/>
      <c r="AC18" s="145"/>
      <c r="AD18" s="146" t="s">
        <v>1226</v>
      </c>
      <c r="AE18" s="171">
        <v>1</v>
      </c>
      <c r="AF18" s="147">
        <f t="shared" si="10"/>
        <v>0</v>
      </c>
      <c r="AG18" s="147">
        <f t="shared" si="11"/>
        <v>0</v>
      </c>
      <c r="AH18" s="147">
        <f t="shared" si="12"/>
        <v>0</v>
      </c>
      <c r="AI18" s="147">
        <f t="shared" si="13"/>
        <v>0</v>
      </c>
      <c r="AJ18" s="148" t="str">
        <f t="shared" si="14"/>
        <v>ja</v>
      </c>
      <c r="AK18" s="149">
        <f t="shared" si="15"/>
        <v>0</v>
      </c>
      <c r="AL18" s="149">
        <f t="shared" si="16"/>
        <v>0</v>
      </c>
      <c r="AM18" s="149">
        <f t="shared" si="17"/>
        <v>0</v>
      </c>
      <c r="AN18" s="149">
        <f t="shared" si="18"/>
        <v>0</v>
      </c>
      <c r="AO18" s="150" t="str">
        <f t="shared" si="19"/>
        <v>V</v>
      </c>
      <c r="AQ18" s="151">
        <f t="shared" si="20"/>
        <v>2847.0000000000005</v>
      </c>
    </row>
    <row r="19" spans="1:43" ht="15" customHeight="1">
      <c r="A19" s="82">
        <f t="shared" si="0"/>
        <v>19</v>
      </c>
      <c r="B19" s="134">
        <v>102</v>
      </c>
      <c r="C19" s="135" t="s">
        <v>942</v>
      </c>
      <c r="D19" s="136" t="s">
        <v>274</v>
      </c>
      <c r="E19" s="137" t="s">
        <v>834</v>
      </c>
      <c r="F19" s="138" t="s">
        <v>961</v>
      </c>
      <c r="G19" s="139" t="s">
        <v>962</v>
      </c>
      <c r="H19" s="140" t="str">
        <f t="shared" si="1"/>
        <v>Liften</v>
      </c>
      <c r="I19" s="138" t="s">
        <v>457</v>
      </c>
      <c r="J19" s="138" t="s">
        <v>1171</v>
      </c>
      <c r="K19" s="141" t="str">
        <f t="shared" si="2"/>
        <v>Omde dag Vol/Nal.</v>
      </c>
      <c r="L19" s="141" t="str">
        <f t="shared" si="3"/>
        <v>Omde dag Nal./Vol</v>
      </c>
      <c r="M19" s="141" t="str">
        <f t="shared" si="4"/>
        <v>Omde dag Vol/Nal.</v>
      </c>
      <c r="N19" s="141" t="str">
        <f t="shared" si="5"/>
        <v>Omde dag Nal./Vol</v>
      </c>
      <c r="O19" s="141" t="str">
        <f t="shared" si="6"/>
        <v>Omde dag Vol/Nal.</v>
      </c>
      <c r="P19" s="141" t="str">
        <f t="shared" si="7"/>
        <v>Omde dag Nal./Vol</v>
      </c>
      <c r="Q19" s="141" t="str">
        <f t="shared" si="8"/>
        <v>Omde dag Vol/Nal.</v>
      </c>
      <c r="R19" s="63" t="s">
        <v>1475</v>
      </c>
      <c r="S19" s="142">
        <f t="shared" si="9"/>
        <v>365</v>
      </c>
      <c r="T19" s="143">
        <v>7.8000000000000007</v>
      </c>
      <c r="U19" s="144"/>
      <c r="V19" s="144">
        <v>50</v>
      </c>
      <c r="W19" s="144"/>
      <c r="X19" s="144"/>
      <c r="Y19" s="144"/>
      <c r="Z19" s="145"/>
      <c r="AA19" s="145"/>
      <c r="AB19" s="145"/>
      <c r="AC19" s="145"/>
      <c r="AD19" s="146" t="s">
        <v>1226</v>
      </c>
      <c r="AE19" s="171">
        <v>1</v>
      </c>
      <c r="AF19" s="147">
        <f t="shared" si="10"/>
        <v>0</v>
      </c>
      <c r="AG19" s="147">
        <f t="shared" si="11"/>
        <v>0</v>
      </c>
      <c r="AH19" s="147">
        <f t="shared" si="12"/>
        <v>0</v>
      </c>
      <c r="AI19" s="147">
        <f t="shared" si="13"/>
        <v>0</v>
      </c>
      <c r="AJ19" s="148" t="str">
        <f t="shared" si="14"/>
        <v>ja</v>
      </c>
      <c r="AK19" s="149">
        <f t="shared" si="15"/>
        <v>0</v>
      </c>
      <c r="AL19" s="149">
        <f t="shared" si="16"/>
        <v>0</v>
      </c>
      <c r="AM19" s="149">
        <f t="shared" si="17"/>
        <v>0</v>
      </c>
      <c r="AN19" s="149">
        <f t="shared" si="18"/>
        <v>0</v>
      </c>
      <c r="AO19" s="150" t="str">
        <f t="shared" si="19"/>
        <v>V</v>
      </c>
      <c r="AQ19" s="151">
        <f t="shared" si="20"/>
        <v>2847.0000000000005</v>
      </c>
    </row>
    <row r="20" spans="1:43" ht="15" customHeight="1">
      <c r="A20" s="82">
        <f t="shared" si="0"/>
        <v>20</v>
      </c>
      <c r="B20" s="134">
        <v>102</v>
      </c>
      <c r="C20" s="135" t="s">
        <v>942</v>
      </c>
      <c r="D20" s="136" t="s">
        <v>274</v>
      </c>
      <c r="E20" s="137" t="s">
        <v>947</v>
      </c>
      <c r="F20" s="138" t="s">
        <v>963</v>
      </c>
      <c r="G20" s="139" t="s">
        <v>532</v>
      </c>
      <c r="H20" s="140" t="str">
        <f t="shared" si="1"/>
        <v>Roltrappen(inclusief aangrenzende bouwdelen)</v>
      </c>
      <c r="I20" s="138" t="s">
        <v>1251</v>
      </c>
      <c r="J20" s="138" t="s">
        <v>1171</v>
      </c>
      <c r="K20" s="141" t="str">
        <f t="shared" si="2"/>
        <v>Omde dag Vol/Nal.</v>
      </c>
      <c r="L20" s="141" t="str">
        <f t="shared" si="3"/>
        <v>Omde dag Nal./Vol</v>
      </c>
      <c r="M20" s="141" t="str">
        <f t="shared" si="4"/>
        <v>Omde dag Vol/Nal.</v>
      </c>
      <c r="N20" s="141" t="str">
        <f t="shared" si="5"/>
        <v>Omde dag Nal./Vol</v>
      </c>
      <c r="O20" s="141" t="str">
        <f t="shared" si="6"/>
        <v>Omde dag Vol/Nal.</v>
      </c>
      <c r="P20" s="141" t="str">
        <f t="shared" si="7"/>
        <v>Omde dag Nal./Vol</v>
      </c>
      <c r="Q20" s="141" t="str">
        <f t="shared" si="8"/>
        <v>Omde dag Vol/Nal.</v>
      </c>
      <c r="R20" s="63" t="s">
        <v>1481</v>
      </c>
      <c r="S20" s="142">
        <f t="shared" si="9"/>
        <v>365</v>
      </c>
      <c r="T20" s="143">
        <v>26</v>
      </c>
      <c r="U20" s="144"/>
      <c r="V20" s="144"/>
      <c r="W20" s="144"/>
      <c r="X20" s="144"/>
      <c r="Y20" s="144"/>
      <c r="Z20" s="145"/>
      <c r="AA20" s="145"/>
      <c r="AB20" s="145"/>
      <c r="AC20" s="145"/>
      <c r="AD20" s="146"/>
      <c r="AE20" s="171">
        <v>1</v>
      </c>
      <c r="AF20" s="147">
        <f t="shared" si="10"/>
        <v>0</v>
      </c>
      <c r="AG20" s="147">
        <f t="shared" si="11"/>
        <v>0</v>
      </c>
      <c r="AH20" s="147">
        <f t="shared" si="12"/>
        <v>0</v>
      </c>
      <c r="AI20" s="147">
        <f t="shared" si="13"/>
        <v>0</v>
      </c>
      <c r="AJ20" s="148" t="str">
        <f t="shared" si="14"/>
        <v>ja</v>
      </c>
      <c r="AK20" s="149">
        <f t="shared" si="15"/>
        <v>0</v>
      </c>
      <c r="AL20" s="149">
        <f t="shared" si="16"/>
        <v>0</v>
      </c>
      <c r="AM20" s="149">
        <f t="shared" si="17"/>
        <v>0</v>
      </c>
      <c r="AN20" s="149">
        <f t="shared" si="18"/>
        <v>0</v>
      </c>
      <c r="AO20" s="150" t="str">
        <f t="shared" si="19"/>
        <v>V</v>
      </c>
      <c r="AQ20" s="151">
        <f t="shared" si="20"/>
        <v>9490</v>
      </c>
    </row>
    <row r="21" spans="1:43" ht="15" customHeight="1">
      <c r="A21" s="82">
        <f t="shared" si="0"/>
        <v>21</v>
      </c>
      <c r="B21" s="134">
        <v>102</v>
      </c>
      <c r="C21" s="135" t="s">
        <v>942</v>
      </c>
      <c r="D21" s="136" t="s">
        <v>274</v>
      </c>
      <c r="E21" s="137" t="s">
        <v>947</v>
      </c>
      <c r="F21" s="138" t="s">
        <v>964</v>
      </c>
      <c r="G21" s="139" t="s">
        <v>535</v>
      </c>
      <c r="H21" s="140" t="str">
        <f t="shared" si="1"/>
        <v>Trappen</v>
      </c>
      <c r="I21" s="138" t="s">
        <v>1250</v>
      </c>
      <c r="J21" s="138" t="s">
        <v>1171</v>
      </c>
      <c r="K21" s="141" t="str">
        <f t="shared" si="2"/>
        <v>Omde dag Vol/Nal.</v>
      </c>
      <c r="L21" s="141" t="str">
        <f t="shared" si="3"/>
        <v>Omde dag Nal./Vol</v>
      </c>
      <c r="M21" s="141" t="str">
        <f t="shared" si="4"/>
        <v>Omde dag Vol/Nal.</v>
      </c>
      <c r="N21" s="141" t="str">
        <f t="shared" si="5"/>
        <v>Omde dag Nal./Vol</v>
      </c>
      <c r="O21" s="141" t="str">
        <f t="shared" si="6"/>
        <v>Omde dag Vol/Nal.</v>
      </c>
      <c r="P21" s="141" t="str">
        <f t="shared" si="7"/>
        <v>Omde dag Nal./Vol</v>
      </c>
      <c r="Q21" s="141" t="str">
        <f t="shared" si="8"/>
        <v>Omde dag Vol/Nal.</v>
      </c>
      <c r="R21" s="63" t="s">
        <v>1477</v>
      </c>
      <c r="S21" s="142">
        <f t="shared" si="9"/>
        <v>365</v>
      </c>
      <c r="T21" s="143">
        <f>(+(5.4+2+5.4)*2.7+4.7*2.5)*1.3</f>
        <v>60.203000000000003</v>
      </c>
      <c r="U21" s="144"/>
      <c r="V21" s="144">
        <f>2*(11.6*3.4+7*3.3)+4.7*3.4-23</f>
        <v>118.05999999999997</v>
      </c>
      <c r="W21" s="144"/>
      <c r="X21" s="144"/>
      <c r="Y21" s="144"/>
      <c r="Z21" s="145"/>
      <c r="AA21" s="145"/>
      <c r="AB21" s="145">
        <v>87</v>
      </c>
      <c r="AC21" s="145"/>
      <c r="AD21" s="146" t="s">
        <v>1024</v>
      </c>
      <c r="AE21" s="171">
        <v>1</v>
      </c>
      <c r="AF21" s="147">
        <f t="shared" si="10"/>
        <v>0</v>
      </c>
      <c r="AG21" s="147">
        <f t="shared" si="11"/>
        <v>0</v>
      </c>
      <c r="AH21" s="147">
        <f t="shared" si="12"/>
        <v>0</v>
      </c>
      <c r="AI21" s="147">
        <f t="shared" si="13"/>
        <v>0</v>
      </c>
      <c r="AJ21" s="148" t="str">
        <f t="shared" si="14"/>
        <v>ja</v>
      </c>
      <c r="AK21" s="149">
        <f t="shared" si="15"/>
        <v>0</v>
      </c>
      <c r="AL21" s="149">
        <f t="shared" si="16"/>
        <v>0</v>
      </c>
      <c r="AM21" s="149">
        <f t="shared" si="17"/>
        <v>0</v>
      </c>
      <c r="AN21" s="149">
        <f t="shared" si="18"/>
        <v>0</v>
      </c>
      <c r="AO21" s="150" t="str">
        <f t="shared" si="19"/>
        <v>V</v>
      </c>
      <c r="AQ21" s="151">
        <f t="shared" si="20"/>
        <v>21974.095000000001</v>
      </c>
    </row>
    <row r="22" spans="1:43" ht="15" customHeight="1">
      <c r="A22" s="82">
        <f t="shared" si="0"/>
        <v>22</v>
      </c>
      <c r="B22" s="134">
        <v>102</v>
      </c>
      <c r="C22" s="135" t="s">
        <v>942</v>
      </c>
      <c r="D22" s="136" t="s">
        <v>274</v>
      </c>
      <c r="E22" s="137" t="s">
        <v>947</v>
      </c>
      <c r="F22" s="138" t="s">
        <v>536</v>
      </c>
      <c r="G22" s="139" t="s">
        <v>534</v>
      </c>
      <c r="H22" s="140" t="str">
        <f t="shared" si="1"/>
        <v>Hallen</v>
      </c>
      <c r="I22" s="138" t="s">
        <v>195</v>
      </c>
      <c r="J22" s="138" t="s">
        <v>1171</v>
      </c>
      <c r="K22" s="141" t="str">
        <f t="shared" si="2"/>
        <v>Omde dag Vol/Nal.</v>
      </c>
      <c r="L22" s="141" t="str">
        <f t="shared" si="3"/>
        <v>Omde dag Nal./Vol</v>
      </c>
      <c r="M22" s="141" t="str">
        <f t="shared" si="4"/>
        <v>Omde dag Vol/Nal.</v>
      </c>
      <c r="N22" s="141" t="str">
        <f t="shared" si="5"/>
        <v>Omde dag Nal./Vol</v>
      </c>
      <c r="O22" s="141" t="str">
        <f t="shared" si="6"/>
        <v>Omde dag Vol/Nal.</v>
      </c>
      <c r="P22" s="141" t="str">
        <f t="shared" si="7"/>
        <v>Omde dag Nal./Vol</v>
      </c>
      <c r="Q22" s="141" t="str">
        <f t="shared" si="8"/>
        <v>Omde dag Vol/Nal.</v>
      </c>
      <c r="R22" s="63" t="s">
        <v>1479</v>
      </c>
      <c r="S22" s="142">
        <f t="shared" si="9"/>
        <v>365</v>
      </c>
      <c r="T22" s="143">
        <f>(82+212+308)*1.3</f>
        <v>782.6</v>
      </c>
      <c r="U22" s="144"/>
      <c r="V22" s="144">
        <f>90+72+71+146+157+23</f>
        <v>559</v>
      </c>
      <c r="W22" s="144"/>
      <c r="X22" s="144"/>
      <c r="Y22" s="144"/>
      <c r="Z22" s="145"/>
      <c r="AA22" s="145"/>
      <c r="AB22" s="145">
        <f>90+212</f>
        <v>302</v>
      </c>
      <c r="AC22" s="145"/>
      <c r="AD22" s="146" t="s">
        <v>1025</v>
      </c>
      <c r="AE22" s="171">
        <v>1</v>
      </c>
      <c r="AF22" s="147">
        <f t="shared" si="10"/>
        <v>0</v>
      </c>
      <c r="AG22" s="147">
        <f t="shared" si="11"/>
        <v>0</v>
      </c>
      <c r="AH22" s="147">
        <f t="shared" si="12"/>
        <v>0</v>
      </c>
      <c r="AI22" s="147">
        <f t="shared" si="13"/>
        <v>0</v>
      </c>
      <c r="AJ22" s="148" t="str">
        <f t="shared" si="14"/>
        <v>ja</v>
      </c>
      <c r="AK22" s="149">
        <f t="shared" si="15"/>
        <v>0</v>
      </c>
      <c r="AL22" s="149">
        <f t="shared" si="16"/>
        <v>0</v>
      </c>
      <c r="AM22" s="149">
        <f t="shared" si="17"/>
        <v>0</v>
      </c>
      <c r="AN22" s="149">
        <f t="shared" si="18"/>
        <v>0</v>
      </c>
      <c r="AO22" s="150" t="str">
        <f t="shared" si="19"/>
        <v>V</v>
      </c>
      <c r="AQ22" s="151">
        <f t="shared" si="20"/>
        <v>285649</v>
      </c>
    </row>
    <row r="23" spans="1:43" ht="15" customHeight="1">
      <c r="A23" s="82">
        <f t="shared" si="0"/>
        <v>23</v>
      </c>
      <c r="B23" s="134">
        <v>102</v>
      </c>
      <c r="C23" s="135" t="s">
        <v>942</v>
      </c>
      <c r="D23" s="136" t="s">
        <v>274</v>
      </c>
      <c r="E23" s="137" t="s">
        <v>947</v>
      </c>
      <c r="F23" s="138" t="s">
        <v>948</v>
      </c>
      <c r="G23" s="139" t="s">
        <v>538</v>
      </c>
      <c r="H23" s="140" t="str">
        <f t="shared" si="1"/>
        <v>Roltrappen(inclusief aangrenzende bouwdelen)</v>
      </c>
      <c r="I23" s="138" t="s">
        <v>269</v>
      </c>
      <c r="J23" s="138" t="s">
        <v>1171</v>
      </c>
      <c r="K23" s="141" t="str">
        <f t="shared" si="2"/>
        <v>Omde dag Vol/Nal.</v>
      </c>
      <c r="L23" s="141" t="str">
        <f t="shared" si="3"/>
        <v>Omde dag Nal./Vol</v>
      </c>
      <c r="M23" s="141" t="str">
        <f t="shared" si="4"/>
        <v>Omde dag Vol/Nal.</v>
      </c>
      <c r="N23" s="141" t="str">
        <f t="shared" si="5"/>
        <v>Omde dag Nal./Vol</v>
      </c>
      <c r="O23" s="141" t="str">
        <f t="shared" si="6"/>
        <v>Omde dag Vol/Nal.</v>
      </c>
      <c r="P23" s="141" t="str">
        <f t="shared" si="7"/>
        <v>Omde dag Nal./Vol</v>
      </c>
      <c r="Q23" s="141" t="str">
        <f t="shared" si="8"/>
        <v>Omde dag Vol/Nal.</v>
      </c>
      <c r="R23" s="63" t="s">
        <v>1481</v>
      </c>
      <c r="S23" s="142">
        <f t="shared" si="9"/>
        <v>365</v>
      </c>
      <c r="T23" s="143">
        <v>0</v>
      </c>
      <c r="U23" s="144"/>
      <c r="V23" s="144"/>
      <c r="W23" s="144"/>
      <c r="X23" s="144"/>
      <c r="Y23" s="144"/>
      <c r="Z23" s="145"/>
      <c r="AA23" s="145"/>
      <c r="AB23" s="145"/>
      <c r="AC23" s="145"/>
      <c r="AD23" s="146" t="s">
        <v>1227</v>
      </c>
      <c r="AE23" s="171">
        <v>1</v>
      </c>
      <c r="AF23" s="147">
        <f t="shared" si="10"/>
        <v>0</v>
      </c>
      <c r="AG23" s="147">
        <f t="shared" si="11"/>
        <v>0</v>
      </c>
      <c r="AH23" s="147">
        <f t="shared" si="12"/>
        <v>0</v>
      </c>
      <c r="AI23" s="147">
        <f t="shared" si="13"/>
        <v>0</v>
      </c>
      <c r="AJ23" s="148" t="str">
        <f t="shared" si="14"/>
        <v>ja</v>
      </c>
      <c r="AK23" s="149">
        <f t="shared" si="15"/>
        <v>0</v>
      </c>
      <c r="AL23" s="149">
        <f t="shared" si="16"/>
        <v>0</v>
      </c>
      <c r="AM23" s="149">
        <f t="shared" si="17"/>
        <v>0</v>
      </c>
      <c r="AN23" s="149">
        <f t="shared" si="18"/>
        <v>0</v>
      </c>
      <c r="AO23" s="150" t="str">
        <f t="shared" si="19"/>
        <v>V</v>
      </c>
      <c r="AQ23" s="151">
        <f t="shared" si="20"/>
        <v>0</v>
      </c>
    </row>
    <row r="24" spans="1:43" ht="15" customHeight="1">
      <c r="A24" s="82">
        <f t="shared" si="0"/>
        <v>24</v>
      </c>
      <c r="B24" s="134">
        <v>102</v>
      </c>
      <c r="C24" s="135" t="s">
        <v>942</v>
      </c>
      <c r="D24" s="136" t="s">
        <v>274</v>
      </c>
      <c r="E24" s="137" t="s">
        <v>947</v>
      </c>
      <c r="F24" s="138" t="s">
        <v>965</v>
      </c>
      <c r="G24" s="139" t="s">
        <v>539</v>
      </c>
      <c r="H24" s="140" t="str">
        <f t="shared" si="1"/>
        <v>Trappen</v>
      </c>
      <c r="I24" s="138" t="s">
        <v>1250</v>
      </c>
      <c r="J24" s="138" t="s">
        <v>1171</v>
      </c>
      <c r="K24" s="141" t="str">
        <f t="shared" si="2"/>
        <v>Omde dag Vol/Nal.</v>
      </c>
      <c r="L24" s="141" t="str">
        <f t="shared" si="3"/>
        <v>Omde dag Nal./Vol</v>
      </c>
      <c r="M24" s="141" t="str">
        <f t="shared" si="4"/>
        <v>Omde dag Vol/Nal.</v>
      </c>
      <c r="N24" s="141" t="str">
        <f t="shared" si="5"/>
        <v>Omde dag Nal./Vol</v>
      </c>
      <c r="O24" s="141" t="str">
        <f t="shared" si="6"/>
        <v>Omde dag Vol/Nal.</v>
      </c>
      <c r="P24" s="141" t="str">
        <f t="shared" si="7"/>
        <v>Omde dag Nal./Vol</v>
      </c>
      <c r="Q24" s="141" t="str">
        <f t="shared" si="8"/>
        <v>Omde dag Vol/Nal.</v>
      </c>
      <c r="R24" s="63" t="s">
        <v>1477</v>
      </c>
      <c r="S24" s="142">
        <f t="shared" si="9"/>
        <v>365</v>
      </c>
      <c r="T24" s="143">
        <v>46.800000000000004</v>
      </c>
      <c r="U24" s="144"/>
      <c r="V24" s="144">
        <f>84+27</f>
        <v>111</v>
      </c>
      <c r="W24" s="144"/>
      <c r="X24" s="144"/>
      <c r="Y24" s="144"/>
      <c r="Z24" s="145"/>
      <c r="AA24" s="145"/>
      <c r="AB24" s="145">
        <v>20</v>
      </c>
      <c r="AC24" s="145"/>
      <c r="AD24" s="146" t="s">
        <v>1228</v>
      </c>
      <c r="AE24" s="171">
        <v>1</v>
      </c>
      <c r="AF24" s="147">
        <f t="shared" si="10"/>
        <v>0</v>
      </c>
      <c r="AG24" s="147">
        <f t="shared" si="11"/>
        <v>0</v>
      </c>
      <c r="AH24" s="147">
        <f t="shared" si="12"/>
        <v>0</v>
      </c>
      <c r="AI24" s="147">
        <f t="shared" si="13"/>
        <v>0</v>
      </c>
      <c r="AJ24" s="148" t="str">
        <f t="shared" si="14"/>
        <v>ja</v>
      </c>
      <c r="AK24" s="149">
        <f t="shared" si="15"/>
        <v>0</v>
      </c>
      <c r="AL24" s="149">
        <f t="shared" si="16"/>
        <v>0</v>
      </c>
      <c r="AM24" s="149">
        <f t="shared" si="17"/>
        <v>0</v>
      </c>
      <c r="AN24" s="149">
        <f t="shared" si="18"/>
        <v>0</v>
      </c>
      <c r="AO24" s="150" t="str">
        <f t="shared" si="19"/>
        <v>V</v>
      </c>
      <c r="AQ24" s="151">
        <f t="shared" si="20"/>
        <v>17082</v>
      </c>
    </row>
    <row r="25" spans="1:43" ht="15" customHeight="1">
      <c r="A25" s="82">
        <f t="shared" si="0"/>
        <v>25</v>
      </c>
      <c r="B25" s="134">
        <v>102</v>
      </c>
      <c r="C25" s="135" t="s">
        <v>942</v>
      </c>
      <c r="D25" s="136" t="s">
        <v>274</v>
      </c>
      <c r="E25" s="137" t="s">
        <v>947</v>
      </c>
      <c r="F25" s="138" t="s">
        <v>546</v>
      </c>
      <c r="G25" s="139" t="s">
        <v>540</v>
      </c>
      <c r="H25" s="140" t="str">
        <f t="shared" si="1"/>
        <v>Roltrappen(inclusief aangrenzende bouwdelen)</v>
      </c>
      <c r="I25" s="138" t="s">
        <v>1251</v>
      </c>
      <c r="J25" s="138" t="s">
        <v>1171</v>
      </c>
      <c r="K25" s="141" t="str">
        <f t="shared" si="2"/>
        <v>Omde dag Vol/Nal.</v>
      </c>
      <c r="L25" s="141" t="str">
        <f t="shared" si="3"/>
        <v>Omde dag Nal./Vol</v>
      </c>
      <c r="M25" s="141" t="str">
        <f t="shared" si="4"/>
        <v>Omde dag Vol/Nal.</v>
      </c>
      <c r="N25" s="141" t="str">
        <f t="shared" si="5"/>
        <v>Omde dag Nal./Vol</v>
      </c>
      <c r="O25" s="141" t="str">
        <f t="shared" si="6"/>
        <v>Omde dag Vol/Nal.</v>
      </c>
      <c r="P25" s="141" t="str">
        <f t="shared" si="7"/>
        <v>Omde dag Nal./Vol</v>
      </c>
      <c r="Q25" s="141" t="str">
        <f t="shared" si="8"/>
        <v>Omde dag Vol/Nal.</v>
      </c>
      <c r="R25" s="63" t="s">
        <v>1481</v>
      </c>
      <c r="S25" s="142">
        <f t="shared" si="9"/>
        <v>365</v>
      </c>
      <c r="T25" s="143">
        <v>20</v>
      </c>
      <c r="U25" s="144"/>
      <c r="V25" s="144"/>
      <c r="W25" s="144"/>
      <c r="X25" s="144"/>
      <c r="Y25" s="144"/>
      <c r="Z25" s="145"/>
      <c r="AA25" s="145"/>
      <c r="AB25" s="145"/>
      <c r="AC25" s="145"/>
      <c r="AD25" s="146"/>
      <c r="AE25" s="171">
        <v>1</v>
      </c>
      <c r="AF25" s="147">
        <f t="shared" si="10"/>
        <v>0</v>
      </c>
      <c r="AG25" s="147">
        <f t="shared" si="11"/>
        <v>0</v>
      </c>
      <c r="AH25" s="147">
        <f t="shared" si="12"/>
        <v>0</v>
      </c>
      <c r="AI25" s="147">
        <f t="shared" si="13"/>
        <v>0</v>
      </c>
      <c r="AJ25" s="148" t="str">
        <f t="shared" si="14"/>
        <v>ja</v>
      </c>
      <c r="AK25" s="149">
        <f t="shared" si="15"/>
        <v>0</v>
      </c>
      <c r="AL25" s="149">
        <f t="shared" si="16"/>
        <v>0</v>
      </c>
      <c r="AM25" s="149">
        <f t="shared" si="17"/>
        <v>0</v>
      </c>
      <c r="AN25" s="149">
        <f t="shared" si="18"/>
        <v>0</v>
      </c>
      <c r="AO25" s="150" t="str">
        <f t="shared" si="19"/>
        <v>V</v>
      </c>
      <c r="AQ25" s="151">
        <f t="shared" si="20"/>
        <v>7300</v>
      </c>
    </row>
    <row r="26" spans="1:43" ht="15" customHeight="1">
      <c r="A26" s="82">
        <f t="shared" si="0"/>
        <v>26</v>
      </c>
      <c r="B26" s="134">
        <v>102</v>
      </c>
      <c r="C26" s="135" t="s">
        <v>942</v>
      </c>
      <c r="D26" s="136" t="s">
        <v>274</v>
      </c>
      <c r="E26" s="137" t="s">
        <v>947</v>
      </c>
      <c r="F26" s="138" t="s">
        <v>548</v>
      </c>
      <c r="G26" s="139" t="s">
        <v>542</v>
      </c>
      <c r="H26" s="140" t="str">
        <f t="shared" si="1"/>
        <v>Trappen</v>
      </c>
      <c r="I26" s="138" t="s">
        <v>1250</v>
      </c>
      <c r="J26" s="138" t="s">
        <v>1171</v>
      </c>
      <c r="K26" s="141" t="str">
        <f t="shared" si="2"/>
        <v>Omde dag Vol/Nal.</v>
      </c>
      <c r="L26" s="141" t="str">
        <f t="shared" si="3"/>
        <v>Omde dag Nal./Vol</v>
      </c>
      <c r="M26" s="141" t="str">
        <f t="shared" si="4"/>
        <v>Omde dag Vol/Nal.</v>
      </c>
      <c r="N26" s="141" t="str">
        <f t="shared" si="5"/>
        <v>Omde dag Nal./Vol</v>
      </c>
      <c r="O26" s="141" t="str">
        <f t="shared" si="6"/>
        <v>Omde dag Vol/Nal.</v>
      </c>
      <c r="P26" s="141" t="str">
        <f t="shared" si="7"/>
        <v>Omde dag Nal./Vol</v>
      </c>
      <c r="Q26" s="141" t="str">
        <f t="shared" si="8"/>
        <v>Omde dag Vol/Nal.</v>
      </c>
      <c r="R26" s="63" t="s">
        <v>1477</v>
      </c>
      <c r="S26" s="142">
        <f t="shared" si="9"/>
        <v>365</v>
      </c>
      <c r="T26" s="143">
        <v>29.900000000000002</v>
      </c>
      <c r="U26" s="144"/>
      <c r="V26" s="144">
        <v>12</v>
      </c>
      <c r="W26" s="144"/>
      <c r="X26" s="144"/>
      <c r="Y26" s="144"/>
      <c r="Z26" s="145"/>
      <c r="AA26" s="145"/>
      <c r="AB26" s="145">
        <v>23</v>
      </c>
      <c r="AC26" s="145"/>
      <c r="AD26" s="146" t="s">
        <v>679</v>
      </c>
      <c r="AE26" s="171">
        <v>1</v>
      </c>
      <c r="AF26" s="147">
        <f t="shared" si="10"/>
        <v>0</v>
      </c>
      <c r="AG26" s="147">
        <f t="shared" si="11"/>
        <v>0</v>
      </c>
      <c r="AH26" s="147">
        <f t="shared" si="12"/>
        <v>0</v>
      </c>
      <c r="AI26" s="147">
        <f t="shared" si="13"/>
        <v>0</v>
      </c>
      <c r="AJ26" s="148" t="str">
        <f t="shared" si="14"/>
        <v>ja</v>
      </c>
      <c r="AK26" s="149">
        <f t="shared" si="15"/>
        <v>0</v>
      </c>
      <c r="AL26" s="149">
        <f t="shared" si="16"/>
        <v>0</v>
      </c>
      <c r="AM26" s="149">
        <f t="shared" si="17"/>
        <v>0</v>
      </c>
      <c r="AN26" s="149">
        <f t="shared" si="18"/>
        <v>0</v>
      </c>
      <c r="AO26" s="150" t="str">
        <f t="shared" si="19"/>
        <v>V</v>
      </c>
      <c r="AQ26" s="151">
        <f t="shared" si="20"/>
        <v>10913.5</v>
      </c>
    </row>
    <row r="27" spans="1:43" ht="15" customHeight="1">
      <c r="A27" s="82">
        <f t="shared" si="0"/>
        <v>27</v>
      </c>
      <c r="B27" s="134">
        <v>102</v>
      </c>
      <c r="C27" s="135" t="s">
        <v>942</v>
      </c>
      <c r="D27" s="136" t="s">
        <v>274</v>
      </c>
      <c r="E27" s="137" t="s">
        <v>947</v>
      </c>
      <c r="F27" s="138" t="s">
        <v>548</v>
      </c>
      <c r="G27" s="139" t="s">
        <v>544</v>
      </c>
      <c r="H27" s="140" t="str">
        <f t="shared" si="1"/>
        <v>Trappen</v>
      </c>
      <c r="I27" s="138" t="s">
        <v>1250</v>
      </c>
      <c r="J27" s="138" t="s">
        <v>1171</v>
      </c>
      <c r="K27" s="141" t="str">
        <f t="shared" si="2"/>
        <v>Omde dag Vol/Nal.</v>
      </c>
      <c r="L27" s="141" t="str">
        <f t="shared" si="3"/>
        <v>Omde dag Nal./Vol</v>
      </c>
      <c r="M27" s="141" t="str">
        <f t="shared" si="4"/>
        <v>Omde dag Vol/Nal.</v>
      </c>
      <c r="N27" s="141" t="str">
        <f t="shared" si="5"/>
        <v>Omde dag Nal./Vol</v>
      </c>
      <c r="O27" s="141" t="str">
        <f t="shared" si="6"/>
        <v>Omde dag Vol/Nal.</v>
      </c>
      <c r="P27" s="141" t="str">
        <f t="shared" si="7"/>
        <v>Omde dag Nal./Vol</v>
      </c>
      <c r="Q27" s="141" t="str">
        <f t="shared" si="8"/>
        <v>Omde dag Vol/Nal.</v>
      </c>
      <c r="R27" s="63" t="s">
        <v>1477</v>
      </c>
      <c r="S27" s="142">
        <f t="shared" si="9"/>
        <v>365</v>
      </c>
      <c r="T27" s="143">
        <v>32.5</v>
      </c>
      <c r="U27" s="144"/>
      <c r="V27" s="144">
        <v>12</v>
      </c>
      <c r="W27" s="144"/>
      <c r="X27" s="144"/>
      <c r="Y27" s="144"/>
      <c r="Z27" s="145"/>
      <c r="AA27" s="145"/>
      <c r="AB27" s="145">
        <v>25</v>
      </c>
      <c r="AC27" s="145"/>
      <c r="AD27" s="146" t="s">
        <v>679</v>
      </c>
      <c r="AE27" s="171">
        <v>1</v>
      </c>
      <c r="AF27" s="147">
        <f t="shared" si="10"/>
        <v>0</v>
      </c>
      <c r="AG27" s="147">
        <f t="shared" si="11"/>
        <v>0</v>
      </c>
      <c r="AH27" s="147">
        <f t="shared" si="12"/>
        <v>0</v>
      </c>
      <c r="AI27" s="147">
        <f t="shared" si="13"/>
        <v>0</v>
      </c>
      <c r="AJ27" s="148" t="str">
        <f t="shared" si="14"/>
        <v>ja</v>
      </c>
      <c r="AK27" s="149">
        <f t="shared" si="15"/>
        <v>0</v>
      </c>
      <c r="AL27" s="149">
        <f t="shared" si="16"/>
        <v>0</v>
      </c>
      <c r="AM27" s="149">
        <f t="shared" si="17"/>
        <v>0</v>
      </c>
      <c r="AN27" s="149">
        <f t="shared" si="18"/>
        <v>0</v>
      </c>
      <c r="AO27" s="150" t="str">
        <f t="shared" si="19"/>
        <v>V</v>
      </c>
      <c r="AQ27" s="151">
        <f t="shared" si="20"/>
        <v>11862.5</v>
      </c>
    </row>
    <row r="28" spans="1:43" ht="15" customHeight="1">
      <c r="A28" s="82">
        <f t="shared" si="0"/>
        <v>28</v>
      </c>
      <c r="B28" s="134">
        <v>102</v>
      </c>
      <c r="C28" s="135" t="s">
        <v>942</v>
      </c>
      <c r="D28" s="136" t="s">
        <v>274</v>
      </c>
      <c r="E28" s="137" t="s">
        <v>947</v>
      </c>
      <c r="F28" s="138" t="s">
        <v>546</v>
      </c>
      <c r="G28" s="139" t="s">
        <v>545</v>
      </c>
      <c r="H28" s="140" t="str">
        <f t="shared" si="1"/>
        <v>Roltrappen(inclusief aangrenzende bouwdelen)</v>
      </c>
      <c r="I28" s="138" t="s">
        <v>1251</v>
      </c>
      <c r="J28" s="138" t="s">
        <v>1171</v>
      </c>
      <c r="K28" s="141" t="str">
        <f t="shared" si="2"/>
        <v>Omde dag Vol/Nal.</v>
      </c>
      <c r="L28" s="141" t="str">
        <f t="shared" si="3"/>
        <v>Omde dag Nal./Vol</v>
      </c>
      <c r="M28" s="141" t="str">
        <f t="shared" si="4"/>
        <v>Omde dag Vol/Nal.</v>
      </c>
      <c r="N28" s="141" t="str">
        <f t="shared" si="5"/>
        <v>Omde dag Nal./Vol</v>
      </c>
      <c r="O28" s="141" t="str">
        <f t="shared" si="6"/>
        <v>Omde dag Vol/Nal.</v>
      </c>
      <c r="P28" s="141" t="str">
        <f t="shared" si="7"/>
        <v>Omde dag Nal./Vol</v>
      </c>
      <c r="Q28" s="141" t="str">
        <f t="shared" si="8"/>
        <v>Omde dag Vol/Nal.</v>
      </c>
      <c r="R28" s="63" t="s">
        <v>1481</v>
      </c>
      <c r="S28" s="142">
        <f t="shared" si="9"/>
        <v>365</v>
      </c>
      <c r="T28" s="143">
        <v>22</v>
      </c>
      <c r="U28" s="144"/>
      <c r="V28" s="144"/>
      <c r="W28" s="144"/>
      <c r="X28" s="144"/>
      <c r="Y28" s="144"/>
      <c r="Z28" s="145"/>
      <c r="AA28" s="145"/>
      <c r="AB28" s="145"/>
      <c r="AC28" s="145"/>
      <c r="AD28" s="146"/>
      <c r="AE28" s="171">
        <v>1</v>
      </c>
      <c r="AF28" s="147">
        <f t="shared" si="10"/>
        <v>0</v>
      </c>
      <c r="AG28" s="147">
        <f t="shared" si="11"/>
        <v>0</v>
      </c>
      <c r="AH28" s="147">
        <f t="shared" si="12"/>
        <v>0</v>
      </c>
      <c r="AI28" s="147">
        <f t="shared" si="13"/>
        <v>0</v>
      </c>
      <c r="AJ28" s="148" t="str">
        <f t="shared" si="14"/>
        <v>ja</v>
      </c>
      <c r="AK28" s="149">
        <f t="shared" si="15"/>
        <v>0</v>
      </c>
      <c r="AL28" s="149">
        <f t="shared" si="16"/>
        <v>0</v>
      </c>
      <c r="AM28" s="149">
        <f t="shared" si="17"/>
        <v>0</v>
      </c>
      <c r="AN28" s="149">
        <f t="shared" si="18"/>
        <v>0</v>
      </c>
      <c r="AO28" s="150" t="str">
        <f t="shared" si="19"/>
        <v>V</v>
      </c>
      <c r="AQ28" s="151">
        <f t="shared" si="20"/>
        <v>8030</v>
      </c>
    </row>
    <row r="29" spans="1:43" ht="15" customHeight="1">
      <c r="A29" s="82">
        <f t="shared" si="0"/>
        <v>29</v>
      </c>
      <c r="B29" s="134">
        <v>102</v>
      </c>
      <c r="C29" s="135" t="s">
        <v>942</v>
      </c>
      <c r="D29" s="136" t="s">
        <v>274</v>
      </c>
      <c r="E29" s="137" t="s">
        <v>947</v>
      </c>
      <c r="F29" s="138" t="s">
        <v>536</v>
      </c>
      <c r="G29" s="139" t="s">
        <v>547</v>
      </c>
      <c r="H29" s="140" t="str">
        <f t="shared" si="1"/>
        <v>Hallen</v>
      </c>
      <c r="I29" s="138" t="s">
        <v>195</v>
      </c>
      <c r="J29" s="138" t="s">
        <v>1171</v>
      </c>
      <c r="K29" s="141" t="str">
        <f t="shared" si="2"/>
        <v>Omde dag Vol/Nal.</v>
      </c>
      <c r="L29" s="141" t="str">
        <f t="shared" si="3"/>
        <v>Omde dag Nal./Vol</v>
      </c>
      <c r="M29" s="141" t="str">
        <f t="shared" si="4"/>
        <v>Omde dag Vol/Nal.</v>
      </c>
      <c r="N29" s="141" t="str">
        <f t="shared" si="5"/>
        <v>Omde dag Nal./Vol</v>
      </c>
      <c r="O29" s="141" t="str">
        <f t="shared" si="6"/>
        <v>Omde dag Vol/Nal.</v>
      </c>
      <c r="P29" s="141" t="str">
        <f t="shared" si="7"/>
        <v>Omde dag Nal./Vol</v>
      </c>
      <c r="Q29" s="141" t="str">
        <f t="shared" si="8"/>
        <v>Omde dag Vol/Nal.</v>
      </c>
      <c r="R29" s="63" t="s">
        <v>1479</v>
      </c>
      <c r="S29" s="142">
        <f t="shared" si="9"/>
        <v>365</v>
      </c>
      <c r="T29" s="143">
        <v>418.6</v>
      </c>
      <c r="U29" s="144"/>
      <c r="V29" s="144">
        <v>597</v>
      </c>
      <c r="W29" s="144"/>
      <c r="X29" s="144"/>
      <c r="Y29" s="144"/>
      <c r="Z29" s="145"/>
      <c r="AA29" s="145"/>
      <c r="AB29" s="145">
        <v>322</v>
      </c>
      <c r="AC29" s="145"/>
      <c r="AD29" s="146" t="s">
        <v>1026</v>
      </c>
      <c r="AE29" s="171">
        <v>1</v>
      </c>
      <c r="AF29" s="147">
        <f t="shared" si="10"/>
        <v>0</v>
      </c>
      <c r="AG29" s="147">
        <f t="shared" si="11"/>
        <v>0</v>
      </c>
      <c r="AH29" s="147">
        <f t="shared" si="12"/>
        <v>0</v>
      </c>
      <c r="AI29" s="147">
        <f t="shared" si="13"/>
        <v>0</v>
      </c>
      <c r="AJ29" s="148" t="str">
        <f t="shared" si="14"/>
        <v>ja</v>
      </c>
      <c r="AK29" s="149">
        <f t="shared" si="15"/>
        <v>0</v>
      </c>
      <c r="AL29" s="149">
        <f t="shared" si="16"/>
        <v>0</v>
      </c>
      <c r="AM29" s="149">
        <f t="shared" si="17"/>
        <v>0</v>
      </c>
      <c r="AN29" s="149">
        <f t="shared" si="18"/>
        <v>0</v>
      </c>
      <c r="AO29" s="150" t="str">
        <f t="shared" si="19"/>
        <v>V</v>
      </c>
      <c r="AQ29" s="151">
        <f t="shared" si="20"/>
        <v>152789</v>
      </c>
    </row>
    <row r="30" spans="1:43" ht="15" customHeight="1">
      <c r="A30" s="82">
        <f t="shared" si="0"/>
        <v>30</v>
      </c>
      <c r="B30" s="134">
        <v>102</v>
      </c>
      <c r="C30" s="135" t="s">
        <v>942</v>
      </c>
      <c r="D30" s="136" t="s">
        <v>274</v>
      </c>
      <c r="E30" s="137" t="s">
        <v>947</v>
      </c>
      <c r="F30" s="138" t="s">
        <v>952</v>
      </c>
      <c r="G30" s="139" t="s">
        <v>549</v>
      </c>
      <c r="H30" s="140" t="str">
        <f t="shared" si="1"/>
        <v>Roltrappen(inclusief aangrenzende bouwdelen)</v>
      </c>
      <c r="I30" s="138" t="s">
        <v>269</v>
      </c>
      <c r="J30" s="138" t="s">
        <v>1171</v>
      </c>
      <c r="K30" s="141" t="str">
        <f t="shared" si="2"/>
        <v>Omde dag Vol/Nal.</v>
      </c>
      <c r="L30" s="141" t="str">
        <f t="shared" si="3"/>
        <v>Omde dag Nal./Vol</v>
      </c>
      <c r="M30" s="141" t="str">
        <f t="shared" si="4"/>
        <v>Omde dag Vol/Nal.</v>
      </c>
      <c r="N30" s="141" t="str">
        <f t="shared" si="5"/>
        <v>Omde dag Nal./Vol</v>
      </c>
      <c r="O30" s="141" t="str">
        <f t="shared" si="6"/>
        <v>Omde dag Vol/Nal.</v>
      </c>
      <c r="P30" s="141" t="str">
        <f t="shared" si="7"/>
        <v>Omde dag Nal./Vol</v>
      </c>
      <c r="Q30" s="141" t="str">
        <f t="shared" si="8"/>
        <v>Omde dag Vol/Nal.</v>
      </c>
      <c r="R30" s="63" t="s">
        <v>1481</v>
      </c>
      <c r="S30" s="142">
        <f t="shared" si="9"/>
        <v>365</v>
      </c>
      <c r="T30" s="143">
        <v>0</v>
      </c>
      <c r="U30" s="144"/>
      <c r="V30" s="144"/>
      <c r="W30" s="144"/>
      <c r="X30" s="144"/>
      <c r="Y30" s="144"/>
      <c r="Z30" s="145"/>
      <c r="AA30" s="145"/>
      <c r="AB30" s="145"/>
      <c r="AC30" s="145"/>
      <c r="AD30" s="146" t="s">
        <v>1277</v>
      </c>
      <c r="AE30" s="171">
        <v>1</v>
      </c>
      <c r="AF30" s="147">
        <f t="shared" si="10"/>
        <v>0</v>
      </c>
      <c r="AG30" s="147">
        <f t="shared" si="11"/>
        <v>0</v>
      </c>
      <c r="AH30" s="147">
        <f t="shared" si="12"/>
        <v>0</v>
      </c>
      <c r="AI30" s="147">
        <f t="shared" si="13"/>
        <v>0</v>
      </c>
      <c r="AJ30" s="148" t="str">
        <f t="shared" si="14"/>
        <v>ja</v>
      </c>
      <c r="AK30" s="149">
        <f t="shared" si="15"/>
        <v>0</v>
      </c>
      <c r="AL30" s="149">
        <f t="shared" si="16"/>
        <v>0</v>
      </c>
      <c r="AM30" s="149">
        <f t="shared" si="17"/>
        <v>0</v>
      </c>
      <c r="AN30" s="149">
        <f t="shared" si="18"/>
        <v>0</v>
      </c>
      <c r="AO30" s="150" t="str">
        <f t="shared" si="19"/>
        <v>V</v>
      </c>
      <c r="AQ30" s="151">
        <f t="shared" si="20"/>
        <v>0</v>
      </c>
    </row>
    <row r="31" spans="1:43" ht="15" customHeight="1">
      <c r="A31" s="82">
        <f t="shared" si="0"/>
        <v>31</v>
      </c>
      <c r="B31" s="134">
        <v>102</v>
      </c>
      <c r="C31" s="135" t="s">
        <v>942</v>
      </c>
      <c r="D31" s="136" t="s">
        <v>274</v>
      </c>
      <c r="E31" s="137" t="s">
        <v>947</v>
      </c>
      <c r="F31" s="138" t="s">
        <v>954</v>
      </c>
      <c r="G31" s="139" t="s">
        <v>551</v>
      </c>
      <c r="H31" s="140" t="str">
        <f t="shared" si="1"/>
        <v>Trappen</v>
      </c>
      <c r="I31" s="138" t="s">
        <v>1250</v>
      </c>
      <c r="J31" s="138" t="s">
        <v>1171</v>
      </c>
      <c r="K31" s="141" t="str">
        <f t="shared" si="2"/>
        <v>Omde dag Vol/Nal.</v>
      </c>
      <c r="L31" s="141" t="str">
        <f t="shared" si="3"/>
        <v>Omde dag Nal./Vol</v>
      </c>
      <c r="M31" s="141" t="str">
        <f t="shared" si="4"/>
        <v>Omde dag Vol/Nal.</v>
      </c>
      <c r="N31" s="141" t="str">
        <f t="shared" si="5"/>
        <v>Omde dag Nal./Vol</v>
      </c>
      <c r="O31" s="141" t="str">
        <f t="shared" si="6"/>
        <v>Omde dag Vol/Nal.</v>
      </c>
      <c r="P31" s="141" t="str">
        <f t="shared" si="7"/>
        <v>Omde dag Nal./Vol</v>
      </c>
      <c r="Q31" s="141" t="str">
        <f t="shared" si="8"/>
        <v>Omde dag Vol/Nal.</v>
      </c>
      <c r="R31" s="63" t="s">
        <v>1477</v>
      </c>
      <c r="S31" s="142">
        <f t="shared" si="9"/>
        <v>365</v>
      </c>
      <c r="T31" s="143">
        <v>72.8</v>
      </c>
      <c r="U31" s="144"/>
      <c r="V31" s="144">
        <v>157</v>
      </c>
      <c r="W31" s="144"/>
      <c r="X31" s="144"/>
      <c r="Y31" s="144"/>
      <c r="Z31" s="145"/>
      <c r="AA31" s="145"/>
      <c r="AB31" s="145">
        <v>83</v>
      </c>
      <c r="AC31" s="145"/>
      <c r="AD31" s="146" t="s">
        <v>1027</v>
      </c>
      <c r="AE31" s="171">
        <v>1</v>
      </c>
      <c r="AF31" s="147">
        <f t="shared" si="10"/>
        <v>0</v>
      </c>
      <c r="AG31" s="147">
        <f t="shared" si="11"/>
        <v>0</v>
      </c>
      <c r="AH31" s="147">
        <f t="shared" si="12"/>
        <v>0</v>
      </c>
      <c r="AI31" s="147">
        <f t="shared" si="13"/>
        <v>0</v>
      </c>
      <c r="AJ31" s="148" t="str">
        <f t="shared" si="14"/>
        <v>ja</v>
      </c>
      <c r="AK31" s="149">
        <f t="shared" si="15"/>
        <v>0</v>
      </c>
      <c r="AL31" s="149">
        <f t="shared" si="16"/>
        <v>0</v>
      </c>
      <c r="AM31" s="149">
        <f t="shared" si="17"/>
        <v>0</v>
      </c>
      <c r="AN31" s="149">
        <f t="shared" si="18"/>
        <v>0</v>
      </c>
      <c r="AO31" s="150" t="str">
        <f t="shared" si="19"/>
        <v>V</v>
      </c>
      <c r="AQ31" s="151">
        <f t="shared" si="20"/>
        <v>26572</v>
      </c>
    </row>
    <row r="32" spans="1:43" ht="15" customHeight="1">
      <c r="A32" s="82">
        <f t="shared" si="0"/>
        <v>32</v>
      </c>
      <c r="B32" s="134">
        <v>102</v>
      </c>
      <c r="C32" s="135" t="s">
        <v>942</v>
      </c>
      <c r="D32" s="136" t="s">
        <v>274</v>
      </c>
      <c r="E32" s="137" t="s">
        <v>947</v>
      </c>
      <c r="F32" s="138" t="s">
        <v>959</v>
      </c>
      <c r="G32" s="139" t="s">
        <v>960</v>
      </c>
      <c r="H32" s="140" t="str">
        <f t="shared" si="1"/>
        <v>Liften</v>
      </c>
      <c r="I32" s="138" t="s">
        <v>457</v>
      </c>
      <c r="J32" s="138" t="s">
        <v>1171</v>
      </c>
      <c r="K32" s="141" t="str">
        <f t="shared" si="2"/>
        <v>Omde dag Vol/Nal.</v>
      </c>
      <c r="L32" s="141" t="str">
        <f t="shared" si="3"/>
        <v>Omde dag Nal./Vol</v>
      </c>
      <c r="M32" s="141" t="str">
        <f t="shared" si="4"/>
        <v>Omde dag Vol/Nal.</v>
      </c>
      <c r="N32" s="141" t="str">
        <f t="shared" si="5"/>
        <v>Omde dag Nal./Vol</v>
      </c>
      <c r="O32" s="141" t="str">
        <f t="shared" si="6"/>
        <v>Omde dag Vol/Nal.</v>
      </c>
      <c r="P32" s="141" t="str">
        <f t="shared" si="7"/>
        <v>Omde dag Nal./Vol</v>
      </c>
      <c r="Q32" s="141" t="str">
        <f t="shared" si="8"/>
        <v>Omde dag Vol/Nal.</v>
      </c>
      <c r="R32" s="63" t="s">
        <v>1475</v>
      </c>
      <c r="S32" s="142">
        <f t="shared" si="9"/>
        <v>365</v>
      </c>
      <c r="T32" s="143">
        <v>0</v>
      </c>
      <c r="U32" s="144"/>
      <c r="V32" s="144"/>
      <c r="W32" s="144"/>
      <c r="X32" s="144"/>
      <c r="Y32" s="144"/>
      <c r="Z32" s="145"/>
      <c r="AA32" s="145"/>
      <c r="AB32" s="145"/>
      <c r="AC32" s="145"/>
      <c r="AD32" s="146" t="s">
        <v>752</v>
      </c>
      <c r="AE32" s="171">
        <v>1</v>
      </c>
      <c r="AF32" s="147">
        <f t="shared" si="10"/>
        <v>0</v>
      </c>
      <c r="AG32" s="147">
        <f t="shared" si="11"/>
        <v>0</v>
      </c>
      <c r="AH32" s="147">
        <f t="shared" si="12"/>
        <v>0</v>
      </c>
      <c r="AI32" s="147">
        <f t="shared" si="13"/>
        <v>0</v>
      </c>
      <c r="AJ32" s="148" t="str">
        <f t="shared" si="14"/>
        <v>ja</v>
      </c>
      <c r="AK32" s="149">
        <f t="shared" si="15"/>
        <v>0</v>
      </c>
      <c r="AL32" s="149">
        <f t="shared" si="16"/>
        <v>0</v>
      </c>
      <c r="AM32" s="149">
        <f t="shared" si="17"/>
        <v>0</v>
      </c>
      <c r="AN32" s="149">
        <f t="shared" si="18"/>
        <v>0</v>
      </c>
      <c r="AO32" s="150" t="str">
        <f t="shared" si="19"/>
        <v>V</v>
      </c>
      <c r="AQ32" s="151">
        <f t="shared" si="20"/>
        <v>0</v>
      </c>
    </row>
    <row r="33" spans="1:43" ht="15" customHeight="1">
      <c r="A33" s="82">
        <f t="shared" si="0"/>
        <v>33</v>
      </c>
      <c r="B33" s="134">
        <v>102</v>
      </c>
      <c r="C33" s="135" t="s">
        <v>942</v>
      </c>
      <c r="D33" s="136" t="s">
        <v>274</v>
      </c>
      <c r="E33" s="137" t="s">
        <v>947</v>
      </c>
      <c r="F33" s="138" t="s">
        <v>961</v>
      </c>
      <c r="G33" s="139" t="s">
        <v>962</v>
      </c>
      <c r="H33" s="140" t="str">
        <f t="shared" si="1"/>
        <v>Liften</v>
      </c>
      <c r="I33" s="138" t="s">
        <v>457</v>
      </c>
      <c r="J33" s="138" t="s">
        <v>1171</v>
      </c>
      <c r="K33" s="141" t="str">
        <f t="shared" si="2"/>
        <v>Omde dag Vol/Nal.</v>
      </c>
      <c r="L33" s="141" t="str">
        <f t="shared" si="3"/>
        <v>Omde dag Nal./Vol</v>
      </c>
      <c r="M33" s="141" t="str">
        <f t="shared" si="4"/>
        <v>Omde dag Vol/Nal.</v>
      </c>
      <c r="N33" s="141" t="str">
        <f t="shared" si="5"/>
        <v>Omde dag Nal./Vol</v>
      </c>
      <c r="O33" s="141" t="str">
        <f t="shared" si="6"/>
        <v>Omde dag Vol/Nal.</v>
      </c>
      <c r="P33" s="141" t="str">
        <f t="shared" si="7"/>
        <v>Omde dag Nal./Vol</v>
      </c>
      <c r="Q33" s="141" t="str">
        <f t="shared" si="8"/>
        <v>Omde dag Vol/Nal.</v>
      </c>
      <c r="R33" s="63" t="s">
        <v>1475</v>
      </c>
      <c r="S33" s="142">
        <f t="shared" si="9"/>
        <v>365</v>
      </c>
      <c r="T33" s="143">
        <v>0</v>
      </c>
      <c r="U33" s="144"/>
      <c r="V33" s="144"/>
      <c r="W33" s="144"/>
      <c r="X33" s="144"/>
      <c r="Y33" s="144"/>
      <c r="Z33" s="145"/>
      <c r="AA33" s="145"/>
      <c r="AB33" s="145"/>
      <c r="AC33" s="145"/>
      <c r="AD33" s="146" t="s">
        <v>752</v>
      </c>
      <c r="AE33" s="171">
        <v>1</v>
      </c>
      <c r="AF33" s="147">
        <f t="shared" si="10"/>
        <v>0</v>
      </c>
      <c r="AG33" s="147">
        <f t="shared" si="11"/>
        <v>0</v>
      </c>
      <c r="AH33" s="147">
        <f t="shared" si="12"/>
        <v>0</v>
      </c>
      <c r="AI33" s="147">
        <f t="shared" si="13"/>
        <v>0</v>
      </c>
      <c r="AJ33" s="148" t="str">
        <f t="shared" si="14"/>
        <v>ja</v>
      </c>
      <c r="AK33" s="149">
        <f t="shared" si="15"/>
        <v>0</v>
      </c>
      <c r="AL33" s="149">
        <f t="shared" si="16"/>
        <v>0</v>
      </c>
      <c r="AM33" s="149">
        <f t="shared" si="17"/>
        <v>0</v>
      </c>
      <c r="AN33" s="149">
        <f t="shared" si="18"/>
        <v>0</v>
      </c>
      <c r="AO33" s="150" t="str">
        <f t="shared" si="19"/>
        <v>V</v>
      </c>
      <c r="AQ33" s="151">
        <f t="shared" si="20"/>
        <v>0</v>
      </c>
    </row>
    <row r="34" spans="1:43" ht="15" customHeight="1">
      <c r="A34" s="82">
        <f t="shared" si="0"/>
        <v>34</v>
      </c>
      <c r="B34" s="134">
        <v>102</v>
      </c>
      <c r="C34" s="135" t="s">
        <v>942</v>
      </c>
      <c r="D34" s="136" t="s">
        <v>274</v>
      </c>
      <c r="E34" s="137" t="s">
        <v>947</v>
      </c>
      <c r="F34" s="138" t="s">
        <v>851</v>
      </c>
      <c r="G34" s="139" t="s">
        <v>454</v>
      </c>
      <c r="H34" s="140" t="str">
        <f t="shared" si="1"/>
        <v>Liften</v>
      </c>
      <c r="I34" s="138" t="s">
        <v>457</v>
      </c>
      <c r="J34" s="138" t="s">
        <v>1171</v>
      </c>
      <c r="K34" s="141" t="str">
        <f t="shared" si="2"/>
        <v>Omde dag Vol/Nal.</v>
      </c>
      <c r="L34" s="141" t="str">
        <f t="shared" si="3"/>
        <v>Omde dag Nal./Vol</v>
      </c>
      <c r="M34" s="141" t="str">
        <f t="shared" si="4"/>
        <v>Omde dag Vol/Nal.</v>
      </c>
      <c r="N34" s="141" t="str">
        <f t="shared" si="5"/>
        <v>Omde dag Nal./Vol</v>
      </c>
      <c r="O34" s="141" t="str">
        <f t="shared" si="6"/>
        <v>Omde dag Vol/Nal.</v>
      </c>
      <c r="P34" s="141" t="str">
        <f t="shared" si="7"/>
        <v>Omde dag Nal./Vol</v>
      </c>
      <c r="Q34" s="141" t="str">
        <f t="shared" si="8"/>
        <v>Omde dag Vol/Nal.</v>
      </c>
      <c r="R34" s="63" t="s">
        <v>1475</v>
      </c>
      <c r="S34" s="142">
        <f t="shared" si="9"/>
        <v>365</v>
      </c>
      <c r="T34" s="143">
        <v>7.8000000000000007</v>
      </c>
      <c r="U34" s="144"/>
      <c r="V34" s="144"/>
      <c r="W34" s="144"/>
      <c r="X34" s="144"/>
      <c r="Y34" s="144"/>
      <c r="Z34" s="145"/>
      <c r="AA34" s="145"/>
      <c r="AB34" s="145"/>
      <c r="AC34" s="145"/>
      <c r="AD34" s="146"/>
      <c r="AE34" s="171">
        <v>1</v>
      </c>
      <c r="AF34" s="147">
        <f t="shared" si="10"/>
        <v>0</v>
      </c>
      <c r="AG34" s="147">
        <f t="shared" si="11"/>
        <v>0</v>
      </c>
      <c r="AH34" s="147">
        <f t="shared" si="12"/>
        <v>0</v>
      </c>
      <c r="AI34" s="147">
        <f t="shared" si="13"/>
        <v>0</v>
      </c>
      <c r="AJ34" s="148" t="str">
        <f t="shared" si="14"/>
        <v>ja</v>
      </c>
      <c r="AK34" s="149">
        <f t="shared" si="15"/>
        <v>0</v>
      </c>
      <c r="AL34" s="149">
        <f t="shared" si="16"/>
        <v>0</v>
      </c>
      <c r="AM34" s="149">
        <f t="shared" si="17"/>
        <v>0</v>
      </c>
      <c r="AN34" s="149">
        <f t="shared" si="18"/>
        <v>0</v>
      </c>
      <c r="AO34" s="150" t="str">
        <f t="shared" si="19"/>
        <v>V</v>
      </c>
      <c r="AQ34" s="151">
        <f t="shared" si="20"/>
        <v>2847.0000000000005</v>
      </c>
    </row>
    <row r="35" spans="1:43" ht="15" customHeight="1">
      <c r="A35" s="82">
        <f t="shared" si="0"/>
        <v>35</v>
      </c>
      <c r="B35" s="134">
        <v>102</v>
      </c>
      <c r="C35" s="135" t="s">
        <v>942</v>
      </c>
      <c r="D35" s="136" t="s">
        <v>274</v>
      </c>
      <c r="E35" s="137" t="s">
        <v>947</v>
      </c>
      <c r="F35" s="138" t="s">
        <v>966</v>
      </c>
      <c r="G35" s="139" t="s">
        <v>182</v>
      </c>
      <c r="H35" s="140" t="str">
        <f t="shared" si="1"/>
        <v>Liften</v>
      </c>
      <c r="I35" s="138" t="s">
        <v>457</v>
      </c>
      <c r="J35" s="138" t="s">
        <v>1171</v>
      </c>
      <c r="K35" s="141" t="str">
        <f t="shared" si="2"/>
        <v>Omde dag Vol/Nal.</v>
      </c>
      <c r="L35" s="141" t="str">
        <f t="shared" si="3"/>
        <v>Omde dag Nal./Vol</v>
      </c>
      <c r="M35" s="141" t="str">
        <f t="shared" si="4"/>
        <v>Omde dag Vol/Nal.</v>
      </c>
      <c r="N35" s="141" t="str">
        <f t="shared" si="5"/>
        <v>Omde dag Nal./Vol</v>
      </c>
      <c r="O35" s="141" t="str">
        <f t="shared" si="6"/>
        <v>Omde dag Vol/Nal.</v>
      </c>
      <c r="P35" s="141" t="str">
        <f t="shared" si="7"/>
        <v>Omde dag Nal./Vol</v>
      </c>
      <c r="Q35" s="141" t="str">
        <f t="shared" si="8"/>
        <v>Omde dag Vol/Nal.</v>
      </c>
      <c r="R35" s="63" t="s">
        <v>1475</v>
      </c>
      <c r="S35" s="142">
        <f t="shared" si="9"/>
        <v>365</v>
      </c>
      <c r="T35" s="143">
        <v>7.8000000000000007</v>
      </c>
      <c r="U35" s="144"/>
      <c r="V35" s="144"/>
      <c r="W35" s="144"/>
      <c r="X35" s="144"/>
      <c r="Y35" s="144"/>
      <c r="Z35" s="145"/>
      <c r="AA35" s="145"/>
      <c r="AB35" s="145"/>
      <c r="AC35" s="145"/>
      <c r="AD35" s="146"/>
      <c r="AE35" s="171">
        <v>1</v>
      </c>
      <c r="AF35" s="147">
        <f t="shared" si="10"/>
        <v>0</v>
      </c>
      <c r="AG35" s="147">
        <f t="shared" si="11"/>
        <v>0</v>
      </c>
      <c r="AH35" s="147">
        <f t="shared" si="12"/>
        <v>0</v>
      </c>
      <c r="AI35" s="147">
        <f t="shared" si="13"/>
        <v>0</v>
      </c>
      <c r="AJ35" s="148" t="str">
        <f t="shared" si="14"/>
        <v>ja</v>
      </c>
      <c r="AK35" s="149">
        <f t="shared" si="15"/>
        <v>0</v>
      </c>
      <c r="AL35" s="149">
        <f t="shared" si="16"/>
        <v>0</v>
      </c>
      <c r="AM35" s="149">
        <f t="shared" si="17"/>
        <v>0</v>
      </c>
      <c r="AN35" s="149">
        <f t="shared" si="18"/>
        <v>0</v>
      </c>
      <c r="AO35" s="150" t="str">
        <f t="shared" si="19"/>
        <v>V</v>
      </c>
      <c r="AQ35" s="151">
        <f t="shared" si="20"/>
        <v>2847.0000000000005</v>
      </c>
    </row>
    <row r="36" spans="1:43" ht="15" customHeight="1">
      <c r="A36" s="82" t="e">
        <f>1+#REF!</f>
        <v>#REF!</v>
      </c>
      <c r="B36" s="134">
        <v>102</v>
      </c>
      <c r="C36" s="135" t="s">
        <v>942</v>
      </c>
      <c r="D36" s="136" t="s">
        <v>274</v>
      </c>
      <c r="E36" s="137" t="s">
        <v>947</v>
      </c>
      <c r="F36" s="138" t="s">
        <v>967</v>
      </c>
      <c r="G36" s="139" t="s">
        <v>581</v>
      </c>
      <c r="H36" s="140" t="str">
        <f t="shared" si="1"/>
        <v>Niet van toepassing</v>
      </c>
      <c r="I36" s="138" t="s">
        <v>35</v>
      </c>
      <c r="J36" s="138" t="s">
        <v>1172</v>
      </c>
      <c r="K36" s="141" t="str">
        <f t="shared" si="2"/>
        <v>NVT</v>
      </c>
      <c r="L36" s="141" t="str">
        <f t="shared" si="3"/>
        <v>NVT</v>
      </c>
      <c r="M36" s="141" t="str">
        <f t="shared" si="4"/>
        <v>NVT</v>
      </c>
      <c r="N36" s="141" t="str">
        <f t="shared" si="5"/>
        <v>NVT</v>
      </c>
      <c r="O36" s="141" t="str">
        <f t="shared" si="6"/>
        <v>NVT</v>
      </c>
      <c r="P36" s="141" t="str">
        <f t="shared" si="7"/>
        <v>NVT</v>
      </c>
      <c r="Q36" s="141" t="str">
        <f t="shared" si="8"/>
        <v>NVT</v>
      </c>
      <c r="R36" s="63" t="s">
        <v>1221</v>
      </c>
      <c r="S36" s="142">
        <f t="shared" si="9"/>
        <v>0</v>
      </c>
      <c r="T36" s="143">
        <v>9.1</v>
      </c>
      <c r="U36" s="144"/>
      <c r="V36" s="144"/>
      <c r="W36" s="144">
        <v>47</v>
      </c>
      <c r="X36" s="144"/>
      <c r="Y36" s="144"/>
      <c r="Z36" s="145"/>
      <c r="AA36" s="145">
        <v>7</v>
      </c>
      <c r="AB36" s="145"/>
      <c r="AC36" s="145"/>
      <c r="AD36" s="146"/>
      <c r="AE36" s="171">
        <v>1</v>
      </c>
      <c r="AF36" s="147">
        <f t="shared" si="10"/>
        <v>0</v>
      </c>
      <c r="AG36" s="147">
        <f t="shared" si="11"/>
        <v>0</v>
      </c>
      <c r="AH36" s="147">
        <f t="shared" si="12"/>
        <v>0</v>
      </c>
      <c r="AI36" s="147">
        <f t="shared" si="13"/>
        <v>0</v>
      </c>
      <c r="AJ36" s="148">
        <f t="shared" si="14"/>
        <v>0</v>
      </c>
      <c r="AK36" s="149">
        <f t="shared" ref="AK36:AK89" si="21">IF($R36="",0,VLOOKUP($R36,Kengetal,5,FALSE))</f>
        <v>0</v>
      </c>
      <c r="AL36" s="149">
        <f t="shared" ref="AL36:AL89" si="22">IF($R36="",0,VLOOKUP($R36,Kengetal,6,FALSE))</f>
        <v>0</v>
      </c>
      <c r="AM36" s="149">
        <f t="shared" ref="AM36:AM89" si="23">IF($R36="",0,VLOOKUP($R36,Kengetal,7,FALSE))</f>
        <v>0</v>
      </c>
      <c r="AN36" s="149">
        <f t="shared" ref="AN36:AN89" si="24">IF($R36="",0,VLOOKUP($R36,Kengetal,8,FALSE))</f>
        <v>0</v>
      </c>
      <c r="AO36" s="150">
        <f t="shared" si="19"/>
        <v>0</v>
      </c>
      <c r="AQ36" s="151">
        <f t="shared" si="20"/>
        <v>0</v>
      </c>
    </row>
    <row r="37" spans="1:43" ht="15" customHeight="1">
      <c r="A37" s="82" t="e">
        <f t="shared" si="0"/>
        <v>#REF!</v>
      </c>
      <c r="B37" s="134">
        <v>102</v>
      </c>
      <c r="C37" s="135" t="s">
        <v>942</v>
      </c>
      <c r="D37" s="136" t="s">
        <v>274</v>
      </c>
      <c r="E37" s="137" t="s">
        <v>947</v>
      </c>
      <c r="F37" s="138" t="s">
        <v>715</v>
      </c>
      <c r="G37" s="139" t="s">
        <v>968</v>
      </c>
      <c r="H37" s="140" t="str">
        <f t="shared" si="1"/>
        <v>Niet van toepassing</v>
      </c>
      <c r="I37" s="138" t="s">
        <v>270</v>
      </c>
      <c r="J37" s="138" t="s">
        <v>1172</v>
      </c>
      <c r="K37" s="141" t="str">
        <f t="shared" si="2"/>
        <v>NVT</v>
      </c>
      <c r="L37" s="141" t="str">
        <f t="shared" si="3"/>
        <v>NVT</v>
      </c>
      <c r="M37" s="141" t="str">
        <f t="shared" si="4"/>
        <v>NVT</v>
      </c>
      <c r="N37" s="141" t="str">
        <f t="shared" si="5"/>
        <v>NVT</v>
      </c>
      <c r="O37" s="141" t="str">
        <f t="shared" si="6"/>
        <v>NVT</v>
      </c>
      <c r="P37" s="141" t="str">
        <f t="shared" si="7"/>
        <v>NVT</v>
      </c>
      <c r="Q37" s="141" t="str">
        <f t="shared" si="8"/>
        <v>NVT</v>
      </c>
      <c r="R37" s="63" t="s">
        <v>1221</v>
      </c>
      <c r="S37" s="142">
        <f t="shared" si="9"/>
        <v>0</v>
      </c>
      <c r="T37" s="143">
        <v>19.5</v>
      </c>
      <c r="U37" s="144"/>
      <c r="V37" s="144"/>
      <c r="W37" s="144">
        <v>67</v>
      </c>
      <c r="X37" s="144"/>
      <c r="Y37" s="144"/>
      <c r="Z37" s="145"/>
      <c r="AA37" s="145"/>
      <c r="AB37" s="145"/>
      <c r="AC37" s="145">
        <v>15</v>
      </c>
      <c r="AD37" s="146" t="s">
        <v>679</v>
      </c>
      <c r="AE37" s="171">
        <v>1</v>
      </c>
      <c r="AF37" s="147">
        <f t="shared" si="10"/>
        <v>0</v>
      </c>
      <c r="AG37" s="147">
        <f t="shared" si="11"/>
        <v>0</v>
      </c>
      <c r="AH37" s="147">
        <f t="shared" si="12"/>
        <v>0</v>
      </c>
      <c r="AI37" s="147">
        <f t="shared" si="13"/>
        <v>0</v>
      </c>
      <c r="AJ37" s="148">
        <f t="shared" si="14"/>
        <v>0</v>
      </c>
      <c r="AK37" s="149">
        <f t="shared" si="21"/>
        <v>0</v>
      </c>
      <c r="AL37" s="149">
        <f t="shared" si="22"/>
        <v>0</v>
      </c>
      <c r="AM37" s="149">
        <f t="shared" si="23"/>
        <v>0</v>
      </c>
      <c r="AN37" s="149">
        <f t="shared" si="24"/>
        <v>0</v>
      </c>
      <c r="AO37" s="150">
        <f t="shared" si="19"/>
        <v>0</v>
      </c>
      <c r="AQ37" s="151">
        <f t="shared" si="20"/>
        <v>0</v>
      </c>
    </row>
    <row r="38" spans="1:43" ht="15" customHeight="1">
      <c r="A38" s="82" t="e">
        <f t="shared" si="0"/>
        <v>#REF!</v>
      </c>
      <c r="B38" s="134">
        <v>102</v>
      </c>
      <c r="C38" s="135" t="s">
        <v>942</v>
      </c>
      <c r="D38" s="136" t="s">
        <v>274</v>
      </c>
      <c r="E38" s="137" t="s">
        <v>947</v>
      </c>
      <c r="F38" s="138" t="s">
        <v>585</v>
      </c>
      <c r="G38" s="139" t="s">
        <v>586</v>
      </c>
      <c r="H38" s="140" t="str">
        <f t="shared" si="1"/>
        <v>Niet van toepassing</v>
      </c>
      <c r="I38" s="138" t="s">
        <v>35</v>
      </c>
      <c r="J38" s="138" t="s">
        <v>1172</v>
      </c>
      <c r="K38" s="141" t="str">
        <f t="shared" si="2"/>
        <v>NVT</v>
      </c>
      <c r="L38" s="141" t="str">
        <f t="shared" si="3"/>
        <v>NVT</v>
      </c>
      <c r="M38" s="141" t="str">
        <f t="shared" si="4"/>
        <v>NVT</v>
      </c>
      <c r="N38" s="141" t="str">
        <f t="shared" si="5"/>
        <v>NVT</v>
      </c>
      <c r="O38" s="141" t="str">
        <f t="shared" si="6"/>
        <v>NVT</v>
      </c>
      <c r="P38" s="141" t="str">
        <f t="shared" si="7"/>
        <v>NVT</v>
      </c>
      <c r="Q38" s="141" t="str">
        <f t="shared" si="8"/>
        <v>NVT</v>
      </c>
      <c r="R38" s="63" t="s">
        <v>1221</v>
      </c>
      <c r="S38" s="142">
        <f t="shared" si="9"/>
        <v>0</v>
      </c>
      <c r="T38" s="143">
        <v>7.8000000000000007</v>
      </c>
      <c r="U38" s="144"/>
      <c r="V38" s="144"/>
      <c r="W38" s="144">
        <v>29</v>
      </c>
      <c r="X38" s="144"/>
      <c r="Y38" s="144"/>
      <c r="Z38" s="145"/>
      <c r="AA38" s="145"/>
      <c r="AB38" s="145"/>
      <c r="AC38" s="145">
        <v>6</v>
      </c>
      <c r="AD38" s="146" t="s">
        <v>679</v>
      </c>
      <c r="AE38" s="171">
        <v>1</v>
      </c>
      <c r="AF38" s="147">
        <f t="shared" si="10"/>
        <v>0</v>
      </c>
      <c r="AG38" s="147">
        <f t="shared" si="11"/>
        <v>0</v>
      </c>
      <c r="AH38" s="147">
        <f t="shared" si="12"/>
        <v>0</v>
      </c>
      <c r="AI38" s="147">
        <f t="shared" si="13"/>
        <v>0</v>
      </c>
      <c r="AJ38" s="148">
        <f t="shared" si="14"/>
        <v>0</v>
      </c>
      <c r="AK38" s="149">
        <f t="shared" si="21"/>
        <v>0</v>
      </c>
      <c r="AL38" s="149">
        <f t="shared" si="22"/>
        <v>0</v>
      </c>
      <c r="AM38" s="149">
        <f t="shared" si="23"/>
        <v>0</v>
      </c>
      <c r="AN38" s="149">
        <f t="shared" si="24"/>
        <v>0</v>
      </c>
      <c r="AO38" s="150">
        <f t="shared" si="19"/>
        <v>0</v>
      </c>
      <c r="AQ38" s="151">
        <f t="shared" si="20"/>
        <v>0</v>
      </c>
    </row>
    <row r="39" spans="1:43" ht="15" customHeight="1">
      <c r="A39" s="82" t="e">
        <f t="shared" si="0"/>
        <v>#REF!</v>
      </c>
      <c r="B39" s="134">
        <v>102</v>
      </c>
      <c r="C39" s="135" t="s">
        <v>942</v>
      </c>
      <c r="D39" s="136" t="s">
        <v>274</v>
      </c>
      <c r="E39" s="137" t="s">
        <v>947</v>
      </c>
      <c r="F39" s="138" t="s">
        <v>587</v>
      </c>
      <c r="G39" s="139" t="s">
        <v>588</v>
      </c>
      <c r="H39" s="140" t="str">
        <f t="shared" si="1"/>
        <v>Niet van toepassing</v>
      </c>
      <c r="I39" s="138" t="s">
        <v>35</v>
      </c>
      <c r="J39" s="138" t="s">
        <v>1172</v>
      </c>
      <c r="K39" s="141" t="str">
        <f t="shared" si="2"/>
        <v>NVT</v>
      </c>
      <c r="L39" s="141" t="str">
        <f t="shared" si="3"/>
        <v>NVT</v>
      </c>
      <c r="M39" s="141" t="str">
        <f t="shared" si="4"/>
        <v>NVT</v>
      </c>
      <c r="N39" s="141" t="str">
        <f t="shared" si="5"/>
        <v>NVT</v>
      </c>
      <c r="O39" s="141" t="str">
        <f t="shared" si="6"/>
        <v>NVT</v>
      </c>
      <c r="P39" s="141" t="str">
        <f t="shared" si="7"/>
        <v>NVT</v>
      </c>
      <c r="Q39" s="141" t="str">
        <f t="shared" si="8"/>
        <v>NVT</v>
      </c>
      <c r="R39" s="63" t="s">
        <v>1221</v>
      </c>
      <c r="S39" s="142">
        <f t="shared" si="9"/>
        <v>0</v>
      </c>
      <c r="T39" s="143">
        <v>3.9000000000000004</v>
      </c>
      <c r="U39" s="144"/>
      <c r="V39" s="144"/>
      <c r="W39" s="144">
        <v>22</v>
      </c>
      <c r="X39" s="144"/>
      <c r="Y39" s="144"/>
      <c r="Z39" s="145"/>
      <c r="AA39" s="145"/>
      <c r="AB39" s="145"/>
      <c r="AC39" s="145">
        <v>3</v>
      </c>
      <c r="AD39" s="146" t="s">
        <v>679</v>
      </c>
      <c r="AE39" s="171">
        <v>1</v>
      </c>
      <c r="AF39" s="147">
        <f t="shared" si="10"/>
        <v>0</v>
      </c>
      <c r="AG39" s="147">
        <f t="shared" si="11"/>
        <v>0</v>
      </c>
      <c r="AH39" s="147">
        <f t="shared" si="12"/>
        <v>0</v>
      </c>
      <c r="AI39" s="147">
        <f t="shared" si="13"/>
        <v>0</v>
      </c>
      <c r="AJ39" s="148">
        <f t="shared" si="14"/>
        <v>0</v>
      </c>
      <c r="AK39" s="149">
        <f t="shared" si="21"/>
        <v>0</v>
      </c>
      <c r="AL39" s="149">
        <f t="shared" si="22"/>
        <v>0</v>
      </c>
      <c r="AM39" s="149">
        <f t="shared" si="23"/>
        <v>0</v>
      </c>
      <c r="AN39" s="149">
        <f t="shared" si="24"/>
        <v>0</v>
      </c>
      <c r="AO39" s="150">
        <f t="shared" si="19"/>
        <v>0</v>
      </c>
      <c r="AQ39" s="151">
        <f t="shared" si="20"/>
        <v>0</v>
      </c>
    </row>
    <row r="40" spans="1:43" ht="15" customHeight="1">
      <c r="A40" s="82" t="e">
        <f t="shared" si="0"/>
        <v>#REF!</v>
      </c>
      <c r="B40" s="134">
        <v>102</v>
      </c>
      <c r="C40" s="135" t="s">
        <v>942</v>
      </c>
      <c r="D40" s="136" t="s">
        <v>274</v>
      </c>
      <c r="E40" s="137" t="s">
        <v>947</v>
      </c>
      <c r="F40" s="138" t="s">
        <v>585</v>
      </c>
      <c r="G40" s="139" t="s">
        <v>589</v>
      </c>
      <c r="H40" s="140" t="str">
        <f t="shared" si="1"/>
        <v>Niet van toepassing</v>
      </c>
      <c r="I40" s="138" t="s">
        <v>35</v>
      </c>
      <c r="J40" s="138" t="s">
        <v>1172</v>
      </c>
      <c r="K40" s="141" t="str">
        <f t="shared" si="2"/>
        <v>NVT</v>
      </c>
      <c r="L40" s="141" t="str">
        <f t="shared" si="3"/>
        <v>NVT</v>
      </c>
      <c r="M40" s="141" t="str">
        <f t="shared" si="4"/>
        <v>NVT</v>
      </c>
      <c r="N40" s="141" t="str">
        <f t="shared" si="5"/>
        <v>NVT</v>
      </c>
      <c r="O40" s="141" t="str">
        <f t="shared" si="6"/>
        <v>NVT</v>
      </c>
      <c r="P40" s="141" t="str">
        <f t="shared" si="7"/>
        <v>NVT</v>
      </c>
      <c r="Q40" s="141" t="str">
        <f t="shared" si="8"/>
        <v>NVT</v>
      </c>
      <c r="R40" s="63" t="s">
        <v>1221</v>
      </c>
      <c r="S40" s="142">
        <f t="shared" si="9"/>
        <v>0</v>
      </c>
      <c r="T40" s="143">
        <v>7.8000000000000007</v>
      </c>
      <c r="U40" s="144"/>
      <c r="V40" s="144"/>
      <c r="W40" s="144">
        <v>29</v>
      </c>
      <c r="X40" s="144"/>
      <c r="Y40" s="144"/>
      <c r="Z40" s="145"/>
      <c r="AA40" s="145"/>
      <c r="AB40" s="145"/>
      <c r="AC40" s="145">
        <v>6</v>
      </c>
      <c r="AD40" s="146" t="s">
        <v>679</v>
      </c>
      <c r="AE40" s="171">
        <v>1</v>
      </c>
      <c r="AF40" s="147">
        <f t="shared" si="10"/>
        <v>0</v>
      </c>
      <c r="AG40" s="147">
        <f t="shared" si="11"/>
        <v>0</v>
      </c>
      <c r="AH40" s="147">
        <f t="shared" si="12"/>
        <v>0</v>
      </c>
      <c r="AI40" s="147">
        <f t="shared" si="13"/>
        <v>0</v>
      </c>
      <c r="AJ40" s="148">
        <f t="shared" si="14"/>
        <v>0</v>
      </c>
      <c r="AK40" s="149">
        <f t="shared" si="21"/>
        <v>0</v>
      </c>
      <c r="AL40" s="149">
        <f t="shared" si="22"/>
        <v>0</v>
      </c>
      <c r="AM40" s="149">
        <f t="shared" si="23"/>
        <v>0</v>
      </c>
      <c r="AN40" s="149">
        <f t="shared" si="24"/>
        <v>0</v>
      </c>
      <c r="AO40" s="150">
        <f t="shared" si="19"/>
        <v>0</v>
      </c>
      <c r="AQ40" s="151">
        <f t="shared" si="20"/>
        <v>0</v>
      </c>
    </row>
    <row r="41" spans="1:43" ht="15" customHeight="1">
      <c r="A41" s="82" t="e">
        <f t="shared" si="0"/>
        <v>#REF!</v>
      </c>
      <c r="B41" s="134">
        <v>102</v>
      </c>
      <c r="C41" s="135" t="s">
        <v>942</v>
      </c>
      <c r="D41" s="136" t="s">
        <v>274</v>
      </c>
      <c r="E41" s="137" t="s">
        <v>947</v>
      </c>
      <c r="F41" s="138" t="s">
        <v>587</v>
      </c>
      <c r="G41" s="139" t="s">
        <v>590</v>
      </c>
      <c r="H41" s="140" t="str">
        <f t="shared" si="1"/>
        <v>Niet van toepassing</v>
      </c>
      <c r="I41" s="138" t="s">
        <v>35</v>
      </c>
      <c r="J41" s="138" t="s">
        <v>1172</v>
      </c>
      <c r="K41" s="141" t="str">
        <f t="shared" si="2"/>
        <v>NVT</v>
      </c>
      <c r="L41" s="141" t="str">
        <f t="shared" si="3"/>
        <v>NVT</v>
      </c>
      <c r="M41" s="141" t="str">
        <f t="shared" si="4"/>
        <v>NVT</v>
      </c>
      <c r="N41" s="141" t="str">
        <f t="shared" si="5"/>
        <v>NVT</v>
      </c>
      <c r="O41" s="141" t="str">
        <f t="shared" si="6"/>
        <v>NVT</v>
      </c>
      <c r="P41" s="141" t="str">
        <f t="shared" si="7"/>
        <v>NVT</v>
      </c>
      <c r="Q41" s="141" t="str">
        <f t="shared" si="8"/>
        <v>NVT</v>
      </c>
      <c r="R41" s="63" t="s">
        <v>1221</v>
      </c>
      <c r="S41" s="142">
        <f t="shared" si="9"/>
        <v>0</v>
      </c>
      <c r="T41" s="143">
        <v>3.9000000000000004</v>
      </c>
      <c r="U41" s="144"/>
      <c r="V41" s="144"/>
      <c r="W41" s="144">
        <v>22</v>
      </c>
      <c r="X41" s="144"/>
      <c r="Y41" s="144"/>
      <c r="Z41" s="145"/>
      <c r="AA41" s="145"/>
      <c r="AB41" s="145"/>
      <c r="AC41" s="145">
        <v>3</v>
      </c>
      <c r="AD41" s="146" t="s">
        <v>679</v>
      </c>
      <c r="AE41" s="171">
        <v>1</v>
      </c>
      <c r="AF41" s="147">
        <f t="shared" si="10"/>
        <v>0</v>
      </c>
      <c r="AG41" s="147">
        <f t="shared" si="11"/>
        <v>0</v>
      </c>
      <c r="AH41" s="147">
        <f t="shared" si="12"/>
        <v>0</v>
      </c>
      <c r="AI41" s="147">
        <f t="shared" si="13"/>
        <v>0</v>
      </c>
      <c r="AJ41" s="148">
        <f t="shared" si="14"/>
        <v>0</v>
      </c>
      <c r="AK41" s="149">
        <f t="shared" si="21"/>
        <v>0</v>
      </c>
      <c r="AL41" s="149">
        <f t="shared" si="22"/>
        <v>0</v>
      </c>
      <c r="AM41" s="149">
        <f t="shared" si="23"/>
        <v>0</v>
      </c>
      <c r="AN41" s="149">
        <f t="shared" si="24"/>
        <v>0</v>
      </c>
      <c r="AO41" s="150">
        <f t="shared" si="19"/>
        <v>0</v>
      </c>
      <c r="AQ41" s="151">
        <f t="shared" si="20"/>
        <v>0</v>
      </c>
    </row>
    <row r="42" spans="1:43" ht="15" customHeight="1">
      <c r="A42" s="82" t="e">
        <f t="shared" si="0"/>
        <v>#REF!</v>
      </c>
      <c r="B42" s="134">
        <v>102</v>
      </c>
      <c r="C42" s="135" t="s">
        <v>942</v>
      </c>
      <c r="D42" s="136" t="s">
        <v>274</v>
      </c>
      <c r="E42" s="137" t="s">
        <v>947</v>
      </c>
      <c r="F42" s="138" t="s">
        <v>272</v>
      </c>
      <c r="G42" s="139" t="s">
        <v>592</v>
      </c>
      <c r="H42" s="140" t="str">
        <f t="shared" si="1"/>
        <v>Niet van toepassing</v>
      </c>
      <c r="I42" s="138" t="s">
        <v>1252</v>
      </c>
      <c r="J42" s="138" t="s">
        <v>1172</v>
      </c>
      <c r="K42" s="141" t="str">
        <f t="shared" si="2"/>
        <v>NVT</v>
      </c>
      <c r="L42" s="141" t="str">
        <f t="shared" si="3"/>
        <v>NVT</v>
      </c>
      <c r="M42" s="141" t="str">
        <f t="shared" si="4"/>
        <v>NVT</v>
      </c>
      <c r="N42" s="141" t="str">
        <f t="shared" si="5"/>
        <v>NVT</v>
      </c>
      <c r="O42" s="141" t="str">
        <f t="shared" si="6"/>
        <v>NVT</v>
      </c>
      <c r="P42" s="141" t="str">
        <f t="shared" si="7"/>
        <v>NVT</v>
      </c>
      <c r="Q42" s="141" t="str">
        <f t="shared" si="8"/>
        <v>NVT</v>
      </c>
      <c r="R42" s="63" t="s">
        <v>1221</v>
      </c>
      <c r="S42" s="142">
        <f t="shared" si="9"/>
        <v>0</v>
      </c>
      <c r="T42" s="143">
        <v>152.1</v>
      </c>
      <c r="U42" s="144"/>
      <c r="V42" s="144">
        <v>141</v>
      </c>
      <c r="W42" s="144"/>
      <c r="X42" s="144"/>
      <c r="Y42" s="144"/>
      <c r="Z42" s="145"/>
      <c r="AA42" s="145"/>
      <c r="AB42" s="145">
        <v>117</v>
      </c>
      <c r="AC42" s="145"/>
      <c r="AD42" s="146" t="s">
        <v>679</v>
      </c>
      <c r="AE42" s="171">
        <v>1</v>
      </c>
      <c r="AF42" s="147">
        <f t="shared" si="10"/>
        <v>0</v>
      </c>
      <c r="AG42" s="147">
        <f t="shared" si="11"/>
        <v>0</v>
      </c>
      <c r="AH42" s="147">
        <f t="shared" si="12"/>
        <v>0</v>
      </c>
      <c r="AI42" s="147">
        <f t="shared" si="13"/>
        <v>0</v>
      </c>
      <c r="AJ42" s="148">
        <f t="shared" si="14"/>
        <v>0</v>
      </c>
      <c r="AK42" s="149">
        <f t="shared" si="21"/>
        <v>0</v>
      </c>
      <c r="AL42" s="149">
        <f t="shared" si="22"/>
        <v>0</v>
      </c>
      <c r="AM42" s="149">
        <f t="shared" si="23"/>
        <v>0</v>
      </c>
      <c r="AN42" s="149">
        <f t="shared" si="24"/>
        <v>0</v>
      </c>
      <c r="AO42" s="150">
        <f t="shared" si="19"/>
        <v>0</v>
      </c>
      <c r="AQ42" s="151">
        <f t="shared" si="20"/>
        <v>0</v>
      </c>
    </row>
    <row r="43" spans="1:43" ht="15" customHeight="1">
      <c r="A43" s="82" t="e">
        <f t="shared" si="0"/>
        <v>#REF!</v>
      </c>
      <c r="B43" s="134">
        <v>102</v>
      </c>
      <c r="C43" s="135" t="s">
        <v>942</v>
      </c>
      <c r="D43" s="136" t="s">
        <v>274</v>
      </c>
      <c r="E43" s="137" t="s">
        <v>947</v>
      </c>
      <c r="F43" s="138" t="s">
        <v>733</v>
      </c>
      <c r="G43" s="139" t="s">
        <v>594</v>
      </c>
      <c r="H43" s="140" t="str">
        <f t="shared" si="1"/>
        <v>Niet van toepassing</v>
      </c>
      <c r="I43" s="138" t="s">
        <v>1252</v>
      </c>
      <c r="J43" s="138" t="s">
        <v>1172</v>
      </c>
      <c r="K43" s="141" t="str">
        <f t="shared" si="2"/>
        <v>NVT</v>
      </c>
      <c r="L43" s="141" t="str">
        <f t="shared" si="3"/>
        <v>NVT</v>
      </c>
      <c r="M43" s="141" t="str">
        <f t="shared" si="4"/>
        <v>NVT</v>
      </c>
      <c r="N43" s="141" t="str">
        <f t="shared" si="5"/>
        <v>NVT</v>
      </c>
      <c r="O43" s="141" t="str">
        <f t="shared" si="6"/>
        <v>NVT</v>
      </c>
      <c r="P43" s="141" t="str">
        <f t="shared" si="7"/>
        <v>NVT</v>
      </c>
      <c r="Q43" s="141" t="str">
        <f t="shared" si="8"/>
        <v>NVT</v>
      </c>
      <c r="R43" s="63" t="s">
        <v>1221</v>
      </c>
      <c r="S43" s="142">
        <f t="shared" si="9"/>
        <v>0</v>
      </c>
      <c r="T43" s="143">
        <v>28.6</v>
      </c>
      <c r="U43" s="144"/>
      <c r="V43" s="144">
        <v>59</v>
      </c>
      <c r="W43" s="144"/>
      <c r="X43" s="144"/>
      <c r="Y43" s="144"/>
      <c r="Z43" s="145"/>
      <c r="AA43" s="145"/>
      <c r="AB43" s="145">
        <v>22</v>
      </c>
      <c r="AC43" s="145"/>
      <c r="AD43" s="146" t="s">
        <v>679</v>
      </c>
      <c r="AE43" s="171">
        <v>1</v>
      </c>
      <c r="AF43" s="147">
        <f t="shared" si="10"/>
        <v>0</v>
      </c>
      <c r="AG43" s="147">
        <f t="shared" si="11"/>
        <v>0</v>
      </c>
      <c r="AH43" s="147">
        <f t="shared" si="12"/>
        <v>0</v>
      </c>
      <c r="AI43" s="147">
        <f t="shared" si="13"/>
        <v>0</v>
      </c>
      <c r="AJ43" s="148">
        <f t="shared" si="14"/>
        <v>0</v>
      </c>
      <c r="AK43" s="149">
        <f t="shared" si="21"/>
        <v>0</v>
      </c>
      <c r="AL43" s="149">
        <f t="shared" si="22"/>
        <v>0</v>
      </c>
      <c r="AM43" s="149">
        <f t="shared" si="23"/>
        <v>0</v>
      </c>
      <c r="AN43" s="149">
        <f t="shared" si="24"/>
        <v>0</v>
      </c>
      <c r="AO43" s="150">
        <f t="shared" si="19"/>
        <v>0</v>
      </c>
      <c r="AQ43" s="151">
        <f t="shared" si="20"/>
        <v>0</v>
      </c>
    </row>
    <row r="44" spans="1:43" ht="15" customHeight="1">
      <c r="A44" s="82" t="e">
        <f t="shared" si="0"/>
        <v>#REF!</v>
      </c>
      <c r="B44" s="134">
        <v>102</v>
      </c>
      <c r="C44" s="135" t="s">
        <v>942</v>
      </c>
      <c r="D44" s="136" t="s">
        <v>274</v>
      </c>
      <c r="E44" s="137" t="s">
        <v>947</v>
      </c>
      <c r="F44" s="138" t="s">
        <v>969</v>
      </c>
      <c r="G44" s="139" t="s">
        <v>596</v>
      </c>
      <c r="H44" s="140" t="str">
        <f t="shared" si="1"/>
        <v>Niet van toepassing</v>
      </c>
      <c r="I44" s="138" t="s">
        <v>269</v>
      </c>
      <c r="J44" s="138" t="s">
        <v>1172</v>
      </c>
      <c r="K44" s="141" t="str">
        <f t="shared" si="2"/>
        <v>NVT</v>
      </c>
      <c r="L44" s="141" t="str">
        <f t="shared" si="3"/>
        <v>NVT</v>
      </c>
      <c r="M44" s="141" t="str">
        <f t="shared" si="4"/>
        <v>NVT</v>
      </c>
      <c r="N44" s="141" t="str">
        <f t="shared" si="5"/>
        <v>NVT</v>
      </c>
      <c r="O44" s="141" t="str">
        <f t="shared" si="6"/>
        <v>NVT</v>
      </c>
      <c r="P44" s="141" t="str">
        <f t="shared" si="7"/>
        <v>NVT</v>
      </c>
      <c r="Q44" s="141" t="str">
        <f t="shared" si="8"/>
        <v>NVT</v>
      </c>
      <c r="R44" s="63" t="s">
        <v>1221</v>
      </c>
      <c r="S44" s="142">
        <f t="shared" si="9"/>
        <v>0</v>
      </c>
      <c r="T44" s="143">
        <v>3</v>
      </c>
      <c r="U44" s="144"/>
      <c r="V44" s="144"/>
      <c r="W44" s="144">
        <v>32</v>
      </c>
      <c r="X44" s="144"/>
      <c r="Y44" s="144"/>
      <c r="Z44" s="145"/>
      <c r="AA44" s="145">
        <v>3</v>
      </c>
      <c r="AB44" s="145"/>
      <c r="AC44" s="145"/>
      <c r="AD44" s="146"/>
      <c r="AE44" s="171">
        <v>1</v>
      </c>
      <c r="AF44" s="147">
        <f t="shared" si="10"/>
        <v>0</v>
      </c>
      <c r="AG44" s="147">
        <f t="shared" si="11"/>
        <v>0</v>
      </c>
      <c r="AH44" s="147">
        <f t="shared" si="12"/>
        <v>0</v>
      </c>
      <c r="AI44" s="147">
        <f t="shared" si="13"/>
        <v>0</v>
      </c>
      <c r="AJ44" s="148">
        <f t="shared" si="14"/>
        <v>0</v>
      </c>
      <c r="AK44" s="149">
        <f t="shared" si="21"/>
        <v>0</v>
      </c>
      <c r="AL44" s="149">
        <f t="shared" si="22"/>
        <v>0</v>
      </c>
      <c r="AM44" s="149">
        <f t="shared" si="23"/>
        <v>0</v>
      </c>
      <c r="AN44" s="149">
        <f t="shared" si="24"/>
        <v>0</v>
      </c>
      <c r="AO44" s="150">
        <f t="shared" si="19"/>
        <v>0</v>
      </c>
      <c r="AQ44" s="151">
        <f t="shared" si="20"/>
        <v>0</v>
      </c>
    </row>
    <row r="45" spans="1:43" ht="15" customHeight="1">
      <c r="A45" s="82" t="e">
        <f t="shared" si="0"/>
        <v>#REF!</v>
      </c>
      <c r="B45" s="134">
        <v>102</v>
      </c>
      <c r="C45" s="135" t="s">
        <v>942</v>
      </c>
      <c r="D45" s="136" t="s">
        <v>274</v>
      </c>
      <c r="E45" s="137" t="s">
        <v>947</v>
      </c>
      <c r="F45" s="138" t="s">
        <v>279</v>
      </c>
      <c r="G45" s="139" t="s">
        <v>970</v>
      </c>
      <c r="H45" s="140" t="str">
        <f t="shared" si="1"/>
        <v>Niet van toepassing</v>
      </c>
      <c r="I45" s="138" t="s">
        <v>1252</v>
      </c>
      <c r="J45" s="138" t="s">
        <v>1172</v>
      </c>
      <c r="K45" s="141" t="str">
        <f t="shared" si="2"/>
        <v>NVT</v>
      </c>
      <c r="L45" s="141" t="str">
        <f t="shared" si="3"/>
        <v>NVT</v>
      </c>
      <c r="M45" s="141" t="str">
        <f t="shared" si="4"/>
        <v>NVT</v>
      </c>
      <c r="N45" s="141" t="str">
        <f t="shared" si="5"/>
        <v>NVT</v>
      </c>
      <c r="O45" s="141" t="str">
        <f t="shared" si="6"/>
        <v>NVT</v>
      </c>
      <c r="P45" s="141" t="str">
        <f t="shared" si="7"/>
        <v>NVT</v>
      </c>
      <c r="Q45" s="141" t="str">
        <f t="shared" si="8"/>
        <v>NVT</v>
      </c>
      <c r="R45" s="63" t="s">
        <v>1221</v>
      </c>
      <c r="S45" s="142">
        <f t="shared" si="9"/>
        <v>0</v>
      </c>
      <c r="T45" s="143">
        <v>9.1</v>
      </c>
      <c r="U45" s="144"/>
      <c r="V45" s="144">
        <v>32</v>
      </c>
      <c r="W45" s="144"/>
      <c r="X45" s="144"/>
      <c r="Y45" s="144"/>
      <c r="Z45" s="145"/>
      <c r="AA45" s="145"/>
      <c r="AB45" s="145">
        <v>7</v>
      </c>
      <c r="AC45" s="145"/>
      <c r="AD45" s="146" t="s">
        <v>679</v>
      </c>
      <c r="AE45" s="171">
        <v>1</v>
      </c>
      <c r="AF45" s="147">
        <f t="shared" si="10"/>
        <v>0</v>
      </c>
      <c r="AG45" s="147">
        <f t="shared" si="11"/>
        <v>0</v>
      </c>
      <c r="AH45" s="147">
        <f t="shared" si="12"/>
        <v>0</v>
      </c>
      <c r="AI45" s="147">
        <f t="shared" si="13"/>
        <v>0</v>
      </c>
      <c r="AJ45" s="148">
        <f t="shared" si="14"/>
        <v>0</v>
      </c>
      <c r="AK45" s="149">
        <f t="shared" si="21"/>
        <v>0</v>
      </c>
      <c r="AL45" s="149">
        <f t="shared" si="22"/>
        <v>0</v>
      </c>
      <c r="AM45" s="149">
        <f t="shared" si="23"/>
        <v>0</v>
      </c>
      <c r="AN45" s="149">
        <f t="shared" si="24"/>
        <v>0</v>
      </c>
      <c r="AO45" s="150">
        <f t="shared" si="19"/>
        <v>0</v>
      </c>
      <c r="AQ45" s="151">
        <f t="shared" si="20"/>
        <v>0</v>
      </c>
    </row>
    <row r="46" spans="1:43" ht="15" customHeight="1">
      <c r="A46" s="82" t="e">
        <f t="shared" si="0"/>
        <v>#REF!</v>
      </c>
      <c r="B46" s="134">
        <v>102</v>
      </c>
      <c r="C46" s="135" t="s">
        <v>942</v>
      </c>
      <c r="D46" s="136" t="s">
        <v>274</v>
      </c>
      <c r="E46" s="137" t="s">
        <v>947</v>
      </c>
      <c r="F46" s="138" t="s">
        <v>76</v>
      </c>
      <c r="G46" s="139" t="s">
        <v>599</v>
      </c>
      <c r="H46" s="140" t="str">
        <f t="shared" si="1"/>
        <v>Niet van toepassing</v>
      </c>
      <c r="I46" s="138" t="s">
        <v>195</v>
      </c>
      <c r="J46" s="138" t="s">
        <v>1172</v>
      </c>
      <c r="K46" s="141" t="str">
        <f t="shared" si="2"/>
        <v>NVT</v>
      </c>
      <c r="L46" s="141" t="str">
        <f t="shared" si="3"/>
        <v>NVT</v>
      </c>
      <c r="M46" s="141" t="str">
        <f t="shared" si="4"/>
        <v>NVT</v>
      </c>
      <c r="N46" s="141" t="str">
        <f t="shared" si="5"/>
        <v>NVT</v>
      </c>
      <c r="O46" s="141" t="str">
        <f t="shared" si="6"/>
        <v>NVT</v>
      </c>
      <c r="P46" s="141" t="str">
        <f t="shared" si="7"/>
        <v>NVT</v>
      </c>
      <c r="Q46" s="141" t="str">
        <f t="shared" si="8"/>
        <v>NVT</v>
      </c>
      <c r="R46" s="63" t="s">
        <v>1221</v>
      </c>
      <c r="S46" s="142">
        <f t="shared" si="9"/>
        <v>0</v>
      </c>
      <c r="T46" s="143">
        <v>14.3</v>
      </c>
      <c r="U46" s="144"/>
      <c r="V46" s="144">
        <v>60</v>
      </c>
      <c r="W46" s="144"/>
      <c r="X46" s="144"/>
      <c r="Y46" s="144"/>
      <c r="Z46" s="145"/>
      <c r="AA46" s="145"/>
      <c r="AB46" s="145">
        <v>11</v>
      </c>
      <c r="AC46" s="145"/>
      <c r="AD46" s="146" t="s">
        <v>679</v>
      </c>
      <c r="AE46" s="171">
        <v>1</v>
      </c>
      <c r="AF46" s="147">
        <f t="shared" si="10"/>
        <v>0</v>
      </c>
      <c r="AG46" s="147">
        <f t="shared" si="11"/>
        <v>0</v>
      </c>
      <c r="AH46" s="147">
        <f t="shared" si="12"/>
        <v>0</v>
      </c>
      <c r="AI46" s="147">
        <f t="shared" si="13"/>
        <v>0</v>
      </c>
      <c r="AJ46" s="148">
        <f t="shared" si="14"/>
        <v>0</v>
      </c>
      <c r="AK46" s="149">
        <f t="shared" si="21"/>
        <v>0</v>
      </c>
      <c r="AL46" s="149">
        <f t="shared" si="22"/>
        <v>0</v>
      </c>
      <c r="AM46" s="149">
        <f t="shared" si="23"/>
        <v>0</v>
      </c>
      <c r="AN46" s="149">
        <f t="shared" si="24"/>
        <v>0</v>
      </c>
      <c r="AO46" s="150">
        <f t="shared" si="19"/>
        <v>0</v>
      </c>
      <c r="AQ46" s="151">
        <f t="shared" si="20"/>
        <v>0</v>
      </c>
    </row>
    <row r="47" spans="1:43" ht="15" customHeight="1">
      <c r="A47" s="82" t="e">
        <f t="shared" ref="A47:A106" si="25">1+A46</f>
        <v>#REF!</v>
      </c>
      <c r="B47" s="134">
        <v>102</v>
      </c>
      <c r="C47" s="135" t="s">
        <v>942</v>
      </c>
      <c r="D47" s="136" t="s">
        <v>274</v>
      </c>
      <c r="E47" s="137" t="s">
        <v>947</v>
      </c>
      <c r="F47" s="138" t="s">
        <v>646</v>
      </c>
      <c r="G47" s="139" t="s">
        <v>601</v>
      </c>
      <c r="H47" s="140" t="str">
        <f t="shared" si="1"/>
        <v>Niet van toepassing</v>
      </c>
      <c r="I47" s="138" t="s">
        <v>195</v>
      </c>
      <c r="J47" s="138" t="s">
        <v>1172</v>
      </c>
      <c r="K47" s="141" t="str">
        <f t="shared" si="2"/>
        <v>NVT</v>
      </c>
      <c r="L47" s="141" t="str">
        <f t="shared" si="3"/>
        <v>NVT</v>
      </c>
      <c r="M47" s="141" t="str">
        <f t="shared" si="4"/>
        <v>NVT</v>
      </c>
      <c r="N47" s="141" t="str">
        <f t="shared" si="5"/>
        <v>NVT</v>
      </c>
      <c r="O47" s="141" t="str">
        <f t="shared" si="6"/>
        <v>NVT</v>
      </c>
      <c r="P47" s="141" t="str">
        <f t="shared" si="7"/>
        <v>NVT</v>
      </c>
      <c r="Q47" s="141" t="str">
        <f t="shared" si="8"/>
        <v>NVT</v>
      </c>
      <c r="R47" s="63" t="s">
        <v>1221</v>
      </c>
      <c r="S47" s="142">
        <f t="shared" si="9"/>
        <v>0</v>
      </c>
      <c r="T47" s="143">
        <v>7.8000000000000007</v>
      </c>
      <c r="U47" s="144"/>
      <c r="V47" s="144">
        <v>33</v>
      </c>
      <c r="W47" s="144"/>
      <c r="X47" s="144"/>
      <c r="Y47" s="144"/>
      <c r="Z47" s="145"/>
      <c r="AA47" s="145"/>
      <c r="AB47" s="145"/>
      <c r="AC47" s="145">
        <v>6</v>
      </c>
      <c r="AD47" s="146" t="s">
        <v>679</v>
      </c>
      <c r="AE47" s="171">
        <v>1</v>
      </c>
      <c r="AF47" s="147">
        <f t="shared" si="10"/>
        <v>0</v>
      </c>
      <c r="AG47" s="147">
        <f t="shared" si="11"/>
        <v>0</v>
      </c>
      <c r="AH47" s="147">
        <f t="shared" si="12"/>
        <v>0</v>
      </c>
      <c r="AI47" s="147">
        <f t="shared" si="13"/>
        <v>0</v>
      </c>
      <c r="AJ47" s="148">
        <f t="shared" si="14"/>
        <v>0</v>
      </c>
      <c r="AK47" s="149">
        <f t="shared" si="21"/>
        <v>0</v>
      </c>
      <c r="AL47" s="149">
        <f t="shared" si="22"/>
        <v>0</v>
      </c>
      <c r="AM47" s="149">
        <f t="shared" si="23"/>
        <v>0</v>
      </c>
      <c r="AN47" s="149">
        <f t="shared" si="24"/>
        <v>0</v>
      </c>
      <c r="AO47" s="150">
        <f t="shared" si="19"/>
        <v>0</v>
      </c>
      <c r="AQ47" s="151">
        <f t="shared" si="20"/>
        <v>0</v>
      </c>
    </row>
    <row r="48" spans="1:43" ht="15" customHeight="1">
      <c r="A48" s="82" t="e">
        <f t="shared" si="25"/>
        <v>#REF!</v>
      </c>
      <c r="B48" s="134">
        <v>102</v>
      </c>
      <c r="C48" s="135" t="s">
        <v>942</v>
      </c>
      <c r="D48" s="136" t="s">
        <v>274</v>
      </c>
      <c r="E48" s="137" t="s">
        <v>947</v>
      </c>
      <c r="F48" s="138" t="s">
        <v>74</v>
      </c>
      <c r="G48" s="139" t="s">
        <v>603</v>
      </c>
      <c r="H48" s="140" t="str">
        <f t="shared" si="1"/>
        <v>Niet van toepassing</v>
      </c>
      <c r="I48" s="138" t="s">
        <v>82</v>
      </c>
      <c r="J48" s="138" t="s">
        <v>1172</v>
      </c>
      <c r="K48" s="141" t="str">
        <f t="shared" si="2"/>
        <v>NVT</v>
      </c>
      <c r="L48" s="141" t="str">
        <f t="shared" si="3"/>
        <v>NVT</v>
      </c>
      <c r="M48" s="141" t="str">
        <f t="shared" si="4"/>
        <v>NVT</v>
      </c>
      <c r="N48" s="141" t="str">
        <f t="shared" si="5"/>
        <v>NVT</v>
      </c>
      <c r="O48" s="141" t="str">
        <f t="shared" si="6"/>
        <v>NVT</v>
      </c>
      <c r="P48" s="141" t="str">
        <f t="shared" si="7"/>
        <v>NVT</v>
      </c>
      <c r="Q48" s="141" t="str">
        <f t="shared" si="8"/>
        <v>NVT</v>
      </c>
      <c r="R48" s="63" t="s">
        <v>1221</v>
      </c>
      <c r="S48" s="142">
        <f t="shared" si="9"/>
        <v>0</v>
      </c>
      <c r="T48" s="143">
        <v>9.1</v>
      </c>
      <c r="U48" s="144"/>
      <c r="V48" s="144">
        <v>36</v>
      </c>
      <c r="W48" s="144"/>
      <c r="X48" s="144"/>
      <c r="Y48" s="144"/>
      <c r="Z48" s="145"/>
      <c r="AA48" s="145"/>
      <c r="AB48" s="145">
        <v>7</v>
      </c>
      <c r="AC48" s="145"/>
      <c r="AD48" s="146" t="s">
        <v>679</v>
      </c>
      <c r="AE48" s="171">
        <v>1</v>
      </c>
      <c r="AF48" s="147">
        <f t="shared" si="10"/>
        <v>0</v>
      </c>
      <c r="AG48" s="147">
        <f t="shared" si="11"/>
        <v>0</v>
      </c>
      <c r="AH48" s="147">
        <f t="shared" si="12"/>
        <v>0</v>
      </c>
      <c r="AI48" s="147">
        <f t="shared" si="13"/>
        <v>0</v>
      </c>
      <c r="AJ48" s="148">
        <f t="shared" si="14"/>
        <v>0</v>
      </c>
      <c r="AK48" s="149">
        <f t="shared" si="21"/>
        <v>0</v>
      </c>
      <c r="AL48" s="149">
        <f t="shared" si="22"/>
        <v>0</v>
      </c>
      <c r="AM48" s="149">
        <f t="shared" si="23"/>
        <v>0</v>
      </c>
      <c r="AN48" s="149">
        <f t="shared" si="24"/>
        <v>0</v>
      </c>
      <c r="AO48" s="150">
        <f t="shared" si="19"/>
        <v>0</v>
      </c>
      <c r="AQ48" s="151">
        <f t="shared" si="20"/>
        <v>0</v>
      </c>
    </row>
    <row r="49" spans="1:43" ht="15" customHeight="1">
      <c r="A49" s="82" t="e">
        <f t="shared" si="25"/>
        <v>#REF!</v>
      </c>
      <c r="B49" s="134">
        <v>102</v>
      </c>
      <c r="C49" s="135" t="s">
        <v>942</v>
      </c>
      <c r="D49" s="136" t="s">
        <v>274</v>
      </c>
      <c r="E49" s="137" t="s">
        <v>947</v>
      </c>
      <c r="F49" s="138" t="s">
        <v>604</v>
      </c>
      <c r="G49" s="139" t="s">
        <v>605</v>
      </c>
      <c r="H49" s="140" t="str">
        <f t="shared" si="1"/>
        <v>Sanitair</v>
      </c>
      <c r="I49" s="138" t="s">
        <v>237</v>
      </c>
      <c r="J49" s="138" t="s">
        <v>1171</v>
      </c>
      <c r="K49" s="141" t="str">
        <f t="shared" si="2"/>
        <v>Omde dag Vol/Nal.</v>
      </c>
      <c r="L49" s="141" t="str">
        <f t="shared" si="3"/>
        <v>Omde dag Nal./Vol</v>
      </c>
      <c r="M49" s="141" t="str">
        <f t="shared" si="4"/>
        <v>Omde dag Vol/Nal.</v>
      </c>
      <c r="N49" s="141" t="str">
        <f t="shared" si="5"/>
        <v>Omde dag Nal./Vol</v>
      </c>
      <c r="O49" s="141" t="str">
        <f t="shared" si="6"/>
        <v>Omde dag Vol/Nal.</v>
      </c>
      <c r="P49" s="141" t="str">
        <f t="shared" si="7"/>
        <v>Omde dag Nal./Vol</v>
      </c>
      <c r="Q49" s="141" t="str">
        <f t="shared" si="8"/>
        <v>Omde dag Vol/Nal.</v>
      </c>
      <c r="R49" s="63" t="s">
        <v>1211</v>
      </c>
      <c r="S49" s="142">
        <f t="shared" si="9"/>
        <v>365</v>
      </c>
      <c r="T49" s="143">
        <v>2.6</v>
      </c>
      <c r="U49" s="144">
        <v>13</v>
      </c>
      <c r="V49" s="144"/>
      <c r="W49" s="144"/>
      <c r="X49" s="144"/>
      <c r="Y49" s="144"/>
      <c r="Z49" s="145"/>
      <c r="AA49" s="145"/>
      <c r="AB49" s="145"/>
      <c r="AC49" s="145">
        <v>2</v>
      </c>
      <c r="AD49" s="146" t="s">
        <v>683</v>
      </c>
      <c r="AE49" s="171">
        <v>1</v>
      </c>
      <c r="AF49" s="147">
        <f t="shared" si="10"/>
        <v>0</v>
      </c>
      <c r="AG49" s="147">
        <f t="shared" si="11"/>
        <v>0</v>
      </c>
      <c r="AH49" s="147">
        <f t="shared" si="12"/>
        <v>0</v>
      </c>
      <c r="AI49" s="147">
        <f t="shared" si="13"/>
        <v>0</v>
      </c>
      <c r="AJ49" s="148" t="str">
        <f t="shared" si="14"/>
        <v>ja</v>
      </c>
      <c r="AK49" s="149">
        <f t="shared" si="21"/>
        <v>0</v>
      </c>
      <c r="AL49" s="149">
        <f t="shared" si="22"/>
        <v>0</v>
      </c>
      <c r="AM49" s="149">
        <f t="shared" si="23"/>
        <v>0</v>
      </c>
      <c r="AN49" s="149">
        <f t="shared" si="24"/>
        <v>0</v>
      </c>
      <c r="AO49" s="150" t="str">
        <f t="shared" si="19"/>
        <v>S</v>
      </c>
      <c r="AQ49" s="151">
        <f t="shared" si="20"/>
        <v>949</v>
      </c>
    </row>
    <row r="50" spans="1:43" ht="15" customHeight="1">
      <c r="A50" s="82" t="e">
        <f t="shared" si="25"/>
        <v>#REF!</v>
      </c>
      <c r="B50" s="134">
        <v>102</v>
      </c>
      <c r="C50" s="135" t="s">
        <v>942</v>
      </c>
      <c r="D50" s="136" t="s">
        <v>274</v>
      </c>
      <c r="E50" s="137" t="s">
        <v>947</v>
      </c>
      <c r="F50" s="138" t="s">
        <v>604</v>
      </c>
      <c r="G50" s="139" t="s">
        <v>606</v>
      </c>
      <c r="H50" s="140" t="str">
        <f t="shared" si="1"/>
        <v>Sanitair</v>
      </c>
      <c r="I50" s="138" t="s">
        <v>237</v>
      </c>
      <c r="J50" s="138" t="s">
        <v>1171</v>
      </c>
      <c r="K50" s="141" t="str">
        <f t="shared" si="2"/>
        <v>Omde dag Vol/Nal.</v>
      </c>
      <c r="L50" s="141" t="str">
        <f t="shared" si="3"/>
        <v>Omde dag Nal./Vol</v>
      </c>
      <c r="M50" s="141" t="str">
        <f t="shared" si="4"/>
        <v>Omde dag Vol/Nal.</v>
      </c>
      <c r="N50" s="141" t="str">
        <f t="shared" si="5"/>
        <v>Omde dag Nal./Vol</v>
      </c>
      <c r="O50" s="141" t="str">
        <f t="shared" si="6"/>
        <v>Omde dag Vol/Nal.</v>
      </c>
      <c r="P50" s="141" t="str">
        <f t="shared" si="7"/>
        <v>Omde dag Nal./Vol</v>
      </c>
      <c r="Q50" s="141" t="str">
        <f t="shared" si="8"/>
        <v>Omde dag Vol/Nal.</v>
      </c>
      <c r="R50" s="63" t="s">
        <v>1211</v>
      </c>
      <c r="S50" s="142">
        <f t="shared" si="9"/>
        <v>365</v>
      </c>
      <c r="T50" s="143">
        <v>2.6</v>
      </c>
      <c r="U50" s="144">
        <v>13</v>
      </c>
      <c r="V50" s="144"/>
      <c r="W50" s="144"/>
      <c r="X50" s="144"/>
      <c r="Y50" s="144"/>
      <c r="Z50" s="145"/>
      <c r="AA50" s="145"/>
      <c r="AB50" s="145"/>
      <c r="AC50" s="145">
        <v>2</v>
      </c>
      <c r="AD50" s="146" t="s">
        <v>683</v>
      </c>
      <c r="AE50" s="171">
        <v>1</v>
      </c>
      <c r="AF50" s="147">
        <f t="shared" si="10"/>
        <v>0</v>
      </c>
      <c r="AG50" s="147">
        <f t="shared" si="11"/>
        <v>0</v>
      </c>
      <c r="AH50" s="147">
        <f t="shared" si="12"/>
        <v>0</v>
      </c>
      <c r="AI50" s="147">
        <f t="shared" si="13"/>
        <v>0</v>
      </c>
      <c r="AJ50" s="148" t="str">
        <f t="shared" si="14"/>
        <v>ja</v>
      </c>
      <c r="AK50" s="149">
        <f t="shared" si="21"/>
        <v>0</v>
      </c>
      <c r="AL50" s="149">
        <f t="shared" si="22"/>
        <v>0</v>
      </c>
      <c r="AM50" s="149">
        <f t="shared" si="23"/>
        <v>0</v>
      </c>
      <c r="AN50" s="149">
        <f t="shared" si="24"/>
        <v>0</v>
      </c>
      <c r="AO50" s="150" t="str">
        <f t="shared" si="19"/>
        <v>S</v>
      </c>
      <c r="AQ50" s="151">
        <f t="shared" si="20"/>
        <v>949</v>
      </c>
    </row>
    <row r="51" spans="1:43" ht="15" customHeight="1">
      <c r="A51" s="82" t="e">
        <f t="shared" si="25"/>
        <v>#REF!</v>
      </c>
      <c r="B51" s="134">
        <v>102</v>
      </c>
      <c r="C51" s="135" t="s">
        <v>942</v>
      </c>
      <c r="D51" s="136" t="s">
        <v>274</v>
      </c>
      <c r="E51" s="137" t="s">
        <v>947</v>
      </c>
      <c r="F51" s="138" t="s">
        <v>604</v>
      </c>
      <c r="G51" s="139" t="s">
        <v>607</v>
      </c>
      <c r="H51" s="140" t="str">
        <f t="shared" si="1"/>
        <v>Sanitair</v>
      </c>
      <c r="I51" s="138" t="s">
        <v>237</v>
      </c>
      <c r="J51" s="138" t="s">
        <v>1171</v>
      </c>
      <c r="K51" s="141" t="str">
        <f t="shared" si="2"/>
        <v>Omde dag Vol/Nal.</v>
      </c>
      <c r="L51" s="141" t="str">
        <f t="shared" si="3"/>
        <v>Omde dag Nal./Vol</v>
      </c>
      <c r="M51" s="141" t="str">
        <f t="shared" si="4"/>
        <v>Omde dag Vol/Nal.</v>
      </c>
      <c r="N51" s="141" t="str">
        <f t="shared" si="5"/>
        <v>Omde dag Nal./Vol</v>
      </c>
      <c r="O51" s="141" t="str">
        <f t="shared" si="6"/>
        <v>Omde dag Vol/Nal.</v>
      </c>
      <c r="P51" s="141" t="str">
        <f t="shared" si="7"/>
        <v>Omde dag Nal./Vol</v>
      </c>
      <c r="Q51" s="141" t="str">
        <f t="shared" si="8"/>
        <v>Omde dag Vol/Nal.</v>
      </c>
      <c r="R51" s="63" t="s">
        <v>1211</v>
      </c>
      <c r="S51" s="142">
        <f t="shared" si="9"/>
        <v>365</v>
      </c>
      <c r="T51" s="143">
        <v>2.6</v>
      </c>
      <c r="U51" s="144">
        <v>13</v>
      </c>
      <c r="V51" s="144"/>
      <c r="W51" s="144"/>
      <c r="X51" s="144"/>
      <c r="Y51" s="144"/>
      <c r="Z51" s="145"/>
      <c r="AA51" s="145"/>
      <c r="AB51" s="145"/>
      <c r="AC51" s="145">
        <v>2</v>
      </c>
      <c r="AD51" s="146" t="s">
        <v>683</v>
      </c>
      <c r="AE51" s="171">
        <v>1</v>
      </c>
      <c r="AF51" s="147">
        <f t="shared" si="10"/>
        <v>0</v>
      </c>
      <c r="AG51" s="147">
        <f t="shared" si="11"/>
        <v>0</v>
      </c>
      <c r="AH51" s="147">
        <f t="shared" si="12"/>
        <v>0</v>
      </c>
      <c r="AI51" s="147">
        <f t="shared" si="13"/>
        <v>0</v>
      </c>
      <c r="AJ51" s="148" t="str">
        <f t="shared" si="14"/>
        <v>ja</v>
      </c>
      <c r="AK51" s="149">
        <f t="shared" si="21"/>
        <v>0</v>
      </c>
      <c r="AL51" s="149">
        <f t="shared" si="22"/>
        <v>0</v>
      </c>
      <c r="AM51" s="149">
        <f t="shared" si="23"/>
        <v>0</v>
      </c>
      <c r="AN51" s="149">
        <f t="shared" si="24"/>
        <v>0</v>
      </c>
      <c r="AO51" s="150" t="str">
        <f t="shared" si="19"/>
        <v>S</v>
      </c>
      <c r="AQ51" s="151">
        <f t="shared" si="20"/>
        <v>949</v>
      </c>
    </row>
    <row r="52" spans="1:43" ht="15" customHeight="1">
      <c r="A52" s="82" t="e">
        <f t="shared" si="25"/>
        <v>#REF!</v>
      </c>
      <c r="B52" s="134">
        <v>102</v>
      </c>
      <c r="C52" s="135" t="s">
        <v>942</v>
      </c>
      <c r="D52" s="136" t="s">
        <v>274</v>
      </c>
      <c r="E52" s="137" t="s">
        <v>947</v>
      </c>
      <c r="F52" s="138" t="s">
        <v>604</v>
      </c>
      <c r="G52" s="139" t="s">
        <v>608</v>
      </c>
      <c r="H52" s="140" t="str">
        <f t="shared" si="1"/>
        <v>Sanitair</v>
      </c>
      <c r="I52" s="138" t="s">
        <v>237</v>
      </c>
      <c r="J52" s="138" t="s">
        <v>1171</v>
      </c>
      <c r="K52" s="141" t="str">
        <f t="shared" si="2"/>
        <v>Omde dag Vol/Nal.</v>
      </c>
      <c r="L52" s="141" t="str">
        <f t="shared" si="3"/>
        <v>Omde dag Nal./Vol</v>
      </c>
      <c r="M52" s="141" t="str">
        <f t="shared" si="4"/>
        <v>Omde dag Vol/Nal.</v>
      </c>
      <c r="N52" s="141" t="str">
        <f t="shared" si="5"/>
        <v>Omde dag Nal./Vol</v>
      </c>
      <c r="O52" s="141" t="str">
        <f t="shared" si="6"/>
        <v>Omde dag Vol/Nal.</v>
      </c>
      <c r="P52" s="141" t="str">
        <f t="shared" si="7"/>
        <v>Omde dag Nal./Vol</v>
      </c>
      <c r="Q52" s="141" t="str">
        <f t="shared" si="8"/>
        <v>Omde dag Vol/Nal.</v>
      </c>
      <c r="R52" s="63" t="s">
        <v>1211</v>
      </c>
      <c r="S52" s="142">
        <f t="shared" si="9"/>
        <v>365</v>
      </c>
      <c r="T52" s="143">
        <v>2.6</v>
      </c>
      <c r="U52" s="144">
        <v>13</v>
      </c>
      <c r="V52" s="144"/>
      <c r="W52" s="144"/>
      <c r="X52" s="144"/>
      <c r="Y52" s="144"/>
      <c r="Z52" s="145"/>
      <c r="AA52" s="145"/>
      <c r="AB52" s="145"/>
      <c r="AC52" s="145">
        <v>2</v>
      </c>
      <c r="AD52" s="146" t="s">
        <v>683</v>
      </c>
      <c r="AE52" s="171">
        <v>1</v>
      </c>
      <c r="AF52" s="147">
        <f t="shared" si="10"/>
        <v>0</v>
      </c>
      <c r="AG52" s="147">
        <f t="shared" si="11"/>
        <v>0</v>
      </c>
      <c r="AH52" s="147">
        <f t="shared" si="12"/>
        <v>0</v>
      </c>
      <c r="AI52" s="147">
        <f t="shared" si="13"/>
        <v>0</v>
      </c>
      <c r="AJ52" s="148" t="str">
        <f t="shared" si="14"/>
        <v>ja</v>
      </c>
      <c r="AK52" s="149">
        <f t="shared" si="21"/>
        <v>0</v>
      </c>
      <c r="AL52" s="149">
        <f t="shared" si="22"/>
        <v>0</v>
      </c>
      <c r="AM52" s="149">
        <f t="shared" si="23"/>
        <v>0</v>
      </c>
      <c r="AN52" s="149">
        <f t="shared" si="24"/>
        <v>0</v>
      </c>
      <c r="AO52" s="150" t="str">
        <f t="shared" si="19"/>
        <v>S</v>
      </c>
      <c r="AQ52" s="151">
        <f t="shared" si="20"/>
        <v>949</v>
      </c>
    </row>
    <row r="53" spans="1:43" ht="15" customHeight="1">
      <c r="A53" s="82" t="e">
        <f t="shared" si="25"/>
        <v>#REF!</v>
      </c>
      <c r="B53" s="134">
        <v>102</v>
      </c>
      <c r="C53" s="135" t="s">
        <v>942</v>
      </c>
      <c r="D53" s="136" t="s">
        <v>274</v>
      </c>
      <c r="E53" s="137" t="s">
        <v>947</v>
      </c>
      <c r="F53" s="138" t="s">
        <v>604</v>
      </c>
      <c r="G53" s="139" t="s">
        <v>609</v>
      </c>
      <c r="H53" s="140" t="str">
        <f t="shared" si="1"/>
        <v>Sanitair</v>
      </c>
      <c r="I53" s="138" t="s">
        <v>237</v>
      </c>
      <c r="J53" s="138" t="s">
        <v>1171</v>
      </c>
      <c r="K53" s="141" t="str">
        <f t="shared" si="2"/>
        <v>Omde dag Vol/Nal.</v>
      </c>
      <c r="L53" s="141" t="str">
        <f t="shared" si="3"/>
        <v>Omde dag Nal./Vol</v>
      </c>
      <c r="M53" s="141" t="str">
        <f t="shared" si="4"/>
        <v>Omde dag Vol/Nal.</v>
      </c>
      <c r="N53" s="141" t="str">
        <f t="shared" si="5"/>
        <v>Omde dag Nal./Vol</v>
      </c>
      <c r="O53" s="141" t="str">
        <f t="shared" si="6"/>
        <v>Omde dag Vol/Nal.</v>
      </c>
      <c r="P53" s="141" t="str">
        <f t="shared" si="7"/>
        <v>Omde dag Nal./Vol</v>
      </c>
      <c r="Q53" s="141" t="str">
        <f t="shared" si="8"/>
        <v>Omde dag Vol/Nal.</v>
      </c>
      <c r="R53" s="63" t="s">
        <v>1211</v>
      </c>
      <c r="S53" s="142">
        <f t="shared" si="9"/>
        <v>365</v>
      </c>
      <c r="T53" s="143">
        <v>1.3</v>
      </c>
      <c r="U53" s="144">
        <v>9</v>
      </c>
      <c r="V53" s="144"/>
      <c r="W53" s="144"/>
      <c r="X53" s="144"/>
      <c r="Y53" s="144"/>
      <c r="Z53" s="145"/>
      <c r="AA53" s="145"/>
      <c r="AB53" s="145"/>
      <c r="AC53" s="145">
        <v>1</v>
      </c>
      <c r="AD53" s="146" t="s">
        <v>683</v>
      </c>
      <c r="AE53" s="171">
        <v>1</v>
      </c>
      <c r="AF53" s="147">
        <f t="shared" si="10"/>
        <v>0</v>
      </c>
      <c r="AG53" s="147">
        <f t="shared" si="11"/>
        <v>0</v>
      </c>
      <c r="AH53" s="147">
        <f t="shared" si="12"/>
        <v>0</v>
      </c>
      <c r="AI53" s="147">
        <f t="shared" si="13"/>
        <v>0</v>
      </c>
      <c r="AJ53" s="148" t="str">
        <f t="shared" si="14"/>
        <v>ja</v>
      </c>
      <c r="AK53" s="149">
        <f t="shared" si="21"/>
        <v>0</v>
      </c>
      <c r="AL53" s="149">
        <f t="shared" si="22"/>
        <v>0</v>
      </c>
      <c r="AM53" s="149">
        <f t="shared" si="23"/>
        <v>0</v>
      </c>
      <c r="AN53" s="149">
        <f t="shared" si="24"/>
        <v>0</v>
      </c>
      <c r="AO53" s="150" t="str">
        <f t="shared" si="19"/>
        <v>S</v>
      </c>
      <c r="AQ53" s="151">
        <f t="shared" si="20"/>
        <v>474.5</v>
      </c>
    </row>
    <row r="54" spans="1:43" ht="15" customHeight="1">
      <c r="A54" s="82" t="e">
        <f t="shared" si="25"/>
        <v>#REF!</v>
      </c>
      <c r="B54" s="134">
        <v>102</v>
      </c>
      <c r="C54" s="135" t="s">
        <v>942</v>
      </c>
      <c r="D54" s="136" t="s">
        <v>274</v>
      </c>
      <c r="E54" s="137" t="s">
        <v>947</v>
      </c>
      <c r="F54" s="138" t="s">
        <v>604</v>
      </c>
      <c r="G54" s="139" t="s">
        <v>610</v>
      </c>
      <c r="H54" s="140" t="str">
        <f t="shared" si="1"/>
        <v>Sanitair</v>
      </c>
      <c r="I54" s="138" t="s">
        <v>237</v>
      </c>
      <c r="J54" s="138" t="s">
        <v>1171</v>
      </c>
      <c r="K54" s="141" t="str">
        <f t="shared" si="2"/>
        <v>Omde dag Vol/Nal.</v>
      </c>
      <c r="L54" s="141" t="str">
        <f t="shared" si="3"/>
        <v>Omde dag Nal./Vol</v>
      </c>
      <c r="M54" s="141" t="str">
        <f t="shared" si="4"/>
        <v>Omde dag Vol/Nal.</v>
      </c>
      <c r="N54" s="141" t="str">
        <f t="shared" si="5"/>
        <v>Omde dag Nal./Vol</v>
      </c>
      <c r="O54" s="141" t="str">
        <f t="shared" si="6"/>
        <v>Omde dag Vol/Nal.</v>
      </c>
      <c r="P54" s="141" t="str">
        <f t="shared" si="7"/>
        <v>Omde dag Nal./Vol</v>
      </c>
      <c r="Q54" s="141" t="str">
        <f t="shared" si="8"/>
        <v>Omde dag Vol/Nal.</v>
      </c>
      <c r="R54" s="63" t="s">
        <v>1211</v>
      </c>
      <c r="S54" s="142">
        <f t="shared" si="9"/>
        <v>365</v>
      </c>
      <c r="T54" s="143">
        <v>2.6</v>
      </c>
      <c r="U54" s="144">
        <v>12</v>
      </c>
      <c r="V54" s="144"/>
      <c r="W54" s="144"/>
      <c r="X54" s="144"/>
      <c r="Y54" s="144"/>
      <c r="Z54" s="145"/>
      <c r="AA54" s="145"/>
      <c r="AB54" s="145"/>
      <c r="AC54" s="145">
        <v>2</v>
      </c>
      <c r="AD54" s="146" t="s">
        <v>683</v>
      </c>
      <c r="AE54" s="171">
        <v>1</v>
      </c>
      <c r="AF54" s="147">
        <f t="shared" si="10"/>
        <v>0</v>
      </c>
      <c r="AG54" s="147">
        <f t="shared" si="11"/>
        <v>0</v>
      </c>
      <c r="AH54" s="147">
        <f t="shared" si="12"/>
        <v>0</v>
      </c>
      <c r="AI54" s="147">
        <f t="shared" si="13"/>
        <v>0</v>
      </c>
      <c r="AJ54" s="148" t="str">
        <f t="shared" si="14"/>
        <v>ja</v>
      </c>
      <c r="AK54" s="149">
        <f t="shared" si="21"/>
        <v>0</v>
      </c>
      <c r="AL54" s="149">
        <f t="shared" si="22"/>
        <v>0</v>
      </c>
      <c r="AM54" s="149">
        <f t="shared" si="23"/>
        <v>0</v>
      </c>
      <c r="AN54" s="149">
        <f t="shared" si="24"/>
        <v>0</v>
      </c>
      <c r="AO54" s="150" t="str">
        <f t="shared" si="19"/>
        <v>S</v>
      </c>
      <c r="AQ54" s="151">
        <f t="shared" si="20"/>
        <v>949</v>
      </c>
    </row>
    <row r="55" spans="1:43" ht="15" customHeight="1">
      <c r="A55" s="82" t="e">
        <f t="shared" si="25"/>
        <v>#REF!</v>
      </c>
      <c r="B55" s="134">
        <v>102</v>
      </c>
      <c r="C55" s="135" t="s">
        <v>942</v>
      </c>
      <c r="D55" s="136" t="s">
        <v>274</v>
      </c>
      <c r="E55" s="137" t="s">
        <v>947</v>
      </c>
      <c r="F55" s="138" t="s">
        <v>971</v>
      </c>
      <c r="G55" s="139" t="s">
        <v>627</v>
      </c>
      <c r="H55" s="140" t="str">
        <f t="shared" si="1"/>
        <v>Niet van toepassing</v>
      </c>
      <c r="I55" s="138" t="s">
        <v>269</v>
      </c>
      <c r="J55" s="138" t="s">
        <v>1172</v>
      </c>
      <c r="K55" s="141" t="str">
        <f t="shared" si="2"/>
        <v>NVT</v>
      </c>
      <c r="L55" s="141" t="str">
        <f t="shared" si="3"/>
        <v>NVT</v>
      </c>
      <c r="M55" s="141" t="str">
        <f t="shared" si="4"/>
        <v>NVT</v>
      </c>
      <c r="N55" s="141" t="str">
        <f t="shared" si="5"/>
        <v>NVT</v>
      </c>
      <c r="O55" s="141" t="str">
        <f t="shared" si="6"/>
        <v>NVT</v>
      </c>
      <c r="P55" s="141" t="str">
        <f t="shared" si="7"/>
        <v>NVT</v>
      </c>
      <c r="Q55" s="141" t="str">
        <f t="shared" si="8"/>
        <v>NVT</v>
      </c>
      <c r="R55" s="63" t="s">
        <v>1221</v>
      </c>
      <c r="S55" s="142">
        <f t="shared" si="9"/>
        <v>0</v>
      </c>
      <c r="T55" s="143">
        <v>2</v>
      </c>
      <c r="U55" s="144"/>
      <c r="V55" s="144"/>
      <c r="W55" s="144">
        <v>16</v>
      </c>
      <c r="X55" s="144"/>
      <c r="Y55" s="144"/>
      <c r="Z55" s="145"/>
      <c r="AA55" s="145"/>
      <c r="AB55" s="145">
        <v>2</v>
      </c>
      <c r="AC55" s="145"/>
      <c r="AD55" s="146"/>
      <c r="AE55" s="171">
        <v>1</v>
      </c>
      <c r="AF55" s="147">
        <f t="shared" si="10"/>
        <v>0</v>
      </c>
      <c r="AG55" s="147">
        <f t="shared" si="11"/>
        <v>0</v>
      </c>
      <c r="AH55" s="147">
        <f t="shared" si="12"/>
        <v>0</v>
      </c>
      <c r="AI55" s="147">
        <f t="shared" si="13"/>
        <v>0</v>
      </c>
      <c r="AJ55" s="148">
        <f t="shared" si="14"/>
        <v>0</v>
      </c>
      <c r="AK55" s="149">
        <f t="shared" si="21"/>
        <v>0</v>
      </c>
      <c r="AL55" s="149">
        <f t="shared" si="22"/>
        <v>0</v>
      </c>
      <c r="AM55" s="149">
        <f t="shared" si="23"/>
        <v>0</v>
      </c>
      <c r="AN55" s="149">
        <f t="shared" si="24"/>
        <v>0</v>
      </c>
      <c r="AO55" s="150">
        <f t="shared" si="19"/>
        <v>0</v>
      </c>
      <c r="AQ55" s="151">
        <f t="shared" si="20"/>
        <v>0</v>
      </c>
    </row>
    <row r="56" spans="1:43" ht="15" customHeight="1">
      <c r="A56" s="82" t="e">
        <f t="shared" si="25"/>
        <v>#REF!</v>
      </c>
      <c r="B56" s="134">
        <v>102</v>
      </c>
      <c r="C56" s="135" t="s">
        <v>942</v>
      </c>
      <c r="D56" s="136" t="s">
        <v>274</v>
      </c>
      <c r="E56" s="137" t="s">
        <v>947</v>
      </c>
      <c r="F56" s="138" t="s">
        <v>972</v>
      </c>
      <c r="G56" s="139" t="s">
        <v>630</v>
      </c>
      <c r="H56" s="140" t="str">
        <f t="shared" ref="H56:H109" si="26">VLOOKUP(R56,Kengetal,3,FALSE)</f>
        <v>Niet van toepassing</v>
      </c>
      <c r="I56" s="138" t="s">
        <v>195</v>
      </c>
      <c r="J56" s="138" t="s">
        <v>1172</v>
      </c>
      <c r="K56" s="141" t="str">
        <f t="shared" ref="K56:K109" si="27">IF($R56="",0,VLOOKUP($R56,Kengetal,14,FALSE))</f>
        <v>NVT</v>
      </c>
      <c r="L56" s="141" t="str">
        <f t="shared" ref="L56:L109" si="28">IF($R56="",0,VLOOKUP($R56,Kengetal,15,FALSE))</f>
        <v>NVT</v>
      </c>
      <c r="M56" s="141" t="str">
        <f t="shared" ref="M56:M109" si="29">IF($R56="",0,VLOOKUP($R56,Kengetal,16,FALSE))</f>
        <v>NVT</v>
      </c>
      <c r="N56" s="141" t="str">
        <f t="shared" ref="N56:N109" si="30">IF($R56="",0,VLOOKUP($R56,Kengetal,17,FALSE))</f>
        <v>NVT</v>
      </c>
      <c r="O56" s="141" t="str">
        <f t="shared" ref="O56:O109" si="31">IF($R56="",0,VLOOKUP($R56,Kengetal,18,FALSE))</f>
        <v>NVT</v>
      </c>
      <c r="P56" s="141" t="str">
        <f t="shared" ref="P56:P109" si="32">IF($R56="",0,VLOOKUP($R56,Kengetal,19,FALSE))</f>
        <v>NVT</v>
      </c>
      <c r="Q56" s="141" t="str">
        <f t="shared" ref="Q56:Q109" si="33">IF($R56="",0,VLOOKUP($R56,Kengetal,20,FALSE))</f>
        <v>NVT</v>
      </c>
      <c r="R56" s="63" t="s">
        <v>1221</v>
      </c>
      <c r="S56" s="142">
        <f t="shared" si="9"/>
        <v>0</v>
      </c>
      <c r="T56" s="143">
        <v>5.2</v>
      </c>
      <c r="U56" s="144"/>
      <c r="V56" s="144"/>
      <c r="W56" s="144">
        <v>26</v>
      </c>
      <c r="X56" s="144"/>
      <c r="Y56" s="144"/>
      <c r="Z56" s="145"/>
      <c r="AA56" s="145"/>
      <c r="AB56" s="145"/>
      <c r="AC56" s="145">
        <v>4</v>
      </c>
      <c r="AD56" s="146" t="s">
        <v>1028</v>
      </c>
      <c r="AE56" s="171">
        <v>1</v>
      </c>
      <c r="AF56" s="147">
        <f t="shared" ref="AF56:AF109" si="34">T56*AK56*AE56</f>
        <v>0</v>
      </c>
      <c r="AG56" s="147">
        <f t="shared" ref="AG56:AG109" si="35">T56*AL56*AE56</f>
        <v>0</v>
      </c>
      <c r="AH56" s="147">
        <f t="shared" ref="AH56:AH109" si="36">T56*AM56*AE56</f>
        <v>0</v>
      </c>
      <c r="AI56" s="147">
        <f t="shared" ref="AI56:AI109" si="37">T56*AN56*AE56</f>
        <v>0</v>
      </c>
      <c r="AJ56" s="148">
        <f t="shared" ref="AJ56:AJ109" si="38">IF($R56="",0,VLOOKUP($R56,Kengetal,12,FALSE))</f>
        <v>0</v>
      </c>
      <c r="AK56" s="149">
        <f t="shared" si="21"/>
        <v>0</v>
      </c>
      <c r="AL56" s="149">
        <f t="shared" si="22"/>
        <v>0</v>
      </c>
      <c r="AM56" s="149">
        <f t="shared" si="23"/>
        <v>0</v>
      </c>
      <c r="AN56" s="149">
        <f t="shared" si="24"/>
        <v>0</v>
      </c>
      <c r="AO56" s="150">
        <f t="shared" ref="AO56:AO109" si="39">IF($R56="",0,VLOOKUP($R56,Kengetal,13,FALSE))</f>
        <v>0</v>
      </c>
      <c r="AQ56" s="151">
        <f t="shared" ref="AQ56:AQ109" si="40">T56*S56</f>
        <v>0</v>
      </c>
    </row>
    <row r="57" spans="1:43" ht="15" customHeight="1">
      <c r="A57" s="82" t="e">
        <f t="shared" si="25"/>
        <v>#REF!</v>
      </c>
      <c r="B57" s="134">
        <v>102</v>
      </c>
      <c r="C57" s="135" t="s">
        <v>942</v>
      </c>
      <c r="D57" s="136" t="s">
        <v>274</v>
      </c>
      <c r="E57" s="137" t="s">
        <v>947</v>
      </c>
      <c r="F57" s="138" t="s">
        <v>503</v>
      </c>
      <c r="G57" s="139" t="s">
        <v>866</v>
      </c>
      <c r="H57" s="140" t="str">
        <f t="shared" si="26"/>
        <v>Niet van toepassing</v>
      </c>
      <c r="I57" s="138" t="s">
        <v>195</v>
      </c>
      <c r="J57" s="138" t="s">
        <v>1172</v>
      </c>
      <c r="K57" s="141" t="str">
        <f t="shared" si="27"/>
        <v>NVT</v>
      </c>
      <c r="L57" s="141" t="str">
        <f t="shared" si="28"/>
        <v>NVT</v>
      </c>
      <c r="M57" s="141" t="str">
        <f t="shared" si="29"/>
        <v>NVT</v>
      </c>
      <c r="N57" s="141" t="str">
        <f t="shared" si="30"/>
        <v>NVT</v>
      </c>
      <c r="O57" s="141" t="str">
        <f t="shared" si="31"/>
        <v>NVT</v>
      </c>
      <c r="P57" s="141" t="str">
        <f t="shared" si="32"/>
        <v>NVT</v>
      </c>
      <c r="Q57" s="141" t="str">
        <f t="shared" si="33"/>
        <v>NVT</v>
      </c>
      <c r="R57" s="63" t="s">
        <v>1221</v>
      </c>
      <c r="S57" s="142">
        <f t="shared" si="9"/>
        <v>0</v>
      </c>
      <c r="T57" s="143">
        <v>22.1</v>
      </c>
      <c r="U57" s="144"/>
      <c r="V57" s="144">
        <v>62</v>
      </c>
      <c r="W57" s="144"/>
      <c r="X57" s="144"/>
      <c r="Y57" s="144"/>
      <c r="Z57" s="145"/>
      <c r="AA57" s="145"/>
      <c r="AB57" s="145">
        <v>17</v>
      </c>
      <c r="AC57" s="145"/>
      <c r="AD57" s="146" t="s">
        <v>679</v>
      </c>
      <c r="AE57" s="171">
        <v>1</v>
      </c>
      <c r="AF57" s="147">
        <f t="shared" si="34"/>
        <v>0</v>
      </c>
      <c r="AG57" s="147">
        <f t="shared" si="35"/>
        <v>0</v>
      </c>
      <c r="AH57" s="147">
        <f t="shared" si="36"/>
        <v>0</v>
      </c>
      <c r="AI57" s="147">
        <f t="shared" si="37"/>
        <v>0</v>
      </c>
      <c r="AJ57" s="148">
        <f t="shared" si="38"/>
        <v>0</v>
      </c>
      <c r="AK57" s="149">
        <f t="shared" si="21"/>
        <v>0</v>
      </c>
      <c r="AL57" s="149">
        <f t="shared" si="22"/>
        <v>0</v>
      </c>
      <c r="AM57" s="149">
        <f t="shared" si="23"/>
        <v>0</v>
      </c>
      <c r="AN57" s="149">
        <f t="shared" si="24"/>
        <v>0</v>
      </c>
      <c r="AO57" s="150">
        <f t="shared" si="39"/>
        <v>0</v>
      </c>
      <c r="AQ57" s="151">
        <f t="shared" si="40"/>
        <v>0</v>
      </c>
    </row>
    <row r="58" spans="1:43" ht="15" customHeight="1">
      <c r="A58" s="82" t="e">
        <f t="shared" si="25"/>
        <v>#REF!</v>
      </c>
      <c r="B58" s="134">
        <v>102</v>
      </c>
      <c r="C58" s="135" t="s">
        <v>942</v>
      </c>
      <c r="D58" s="136" t="s">
        <v>274</v>
      </c>
      <c r="E58" s="137" t="s">
        <v>947</v>
      </c>
      <c r="F58" s="138" t="s">
        <v>505</v>
      </c>
      <c r="G58" s="139" t="s">
        <v>867</v>
      </c>
      <c r="H58" s="140" t="str">
        <f t="shared" si="26"/>
        <v>Niet van toepassing</v>
      </c>
      <c r="I58" s="138" t="s">
        <v>35</v>
      </c>
      <c r="J58" s="138" t="s">
        <v>1172</v>
      </c>
      <c r="K58" s="141" t="str">
        <f t="shared" si="27"/>
        <v>NVT</v>
      </c>
      <c r="L58" s="141" t="str">
        <f t="shared" si="28"/>
        <v>NVT</v>
      </c>
      <c r="M58" s="141" t="str">
        <f t="shared" si="29"/>
        <v>NVT</v>
      </c>
      <c r="N58" s="141" t="str">
        <f t="shared" si="30"/>
        <v>NVT</v>
      </c>
      <c r="O58" s="141" t="str">
        <f t="shared" si="31"/>
        <v>NVT</v>
      </c>
      <c r="P58" s="141" t="str">
        <f t="shared" si="32"/>
        <v>NVT</v>
      </c>
      <c r="Q58" s="141" t="str">
        <f t="shared" si="33"/>
        <v>NVT</v>
      </c>
      <c r="R58" s="63" t="s">
        <v>1221</v>
      </c>
      <c r="S58" s="142">
        <f t="shared" si="9"/>
        <v>0</v>
      </c>
      <c r="T58" s="143">
        <v>87.100000000000009</v>
      </c>
      <c r="U58" s="144"/>
      <c r="V58" s="144"/>
      <c r="W58" s="144">
        <v>410</v>
      </c>
      <c r="X58" s="144"/>
      <c r="Y58" s="144"/>
      <c r="Z58" s="145"/>
      <c r="AA58" s="145"/>
      <c r="AB58" s="145"/>
      <c r="AC58" s="145">
        <v>44</v>
      </c>
      <c r="AD58" s="146" t="s">
        <v>679</v>
      </c>
      <c r="AE58" s="171">
        <v>1</v>
      </c>
      <c r="AF58" s="147">
        <f t="shared" si="34"/>
        <v>0</v>
      </c>
      <c r="AG58" s="147">
        <f t="shared" si="35"/>
        <v>0</v>
      </c>
      <c r="AH58" s="147">
        <f t="shared" si="36"/>
        <v>0</v>
      </c>
      <c r="AI58" s="147">
        <f t="shared" si="37"/>
        <v>0</v>
      </c>
      <c r="AJ58" s="148">
        <f t="shared" si="38"/>
        <v>0</v>
      </c>
      <c r="AK58" s="149">
        <f t="shared" si="21"/>
        <v>0</v>
      </c>
      <c r="AL58" s="149">
        <f t="shared" si="22"/>
        <v>0</v>
      </c>
      <c r="AM58" s="149">
        <f t="shared" si="23"/>
        <v>0</v>
      </c>
      <c r="AN58" s="149">
        <f t="shared" si="24"/>
        <v>0</v>
      </c>
      <c r="AO58" s="150">
        <f t="shared" si="39"/>
        <v>0</v>
      </c>
      <c r="AQ58" s="151">
        <f t="shared" si="40"/>
        <v>0</v>
      </c>
    </row>
    <row r="59" spans="1:43" ht="15" customHeight="1">
      <c r="A59" s="82" t="e">
        <f t="shared" si="25"/>
        <v>#REF!</v>
      </c>
      <c r="B59" s="134">
        <v>102</v>
      </c>
      <c r="C59" s="135" t="s">
        <v>942</v>
      </c>
      <c r="D59" s="136" t="s">
        <v>274</v>
      </c>
      <c r="E59" s="137" t="s">
        <v>947</v>
      </c>
      <c r="F59" s="138" t="s">
        <v>503</v>
      </c>
      <c r="G59" s="139" t="s">
        <v>868</v>
      </c>
      <c r="H59" s="140" t="str">
        <f t="shared" si="26"/>
        <v>Niet van toepassing</v>
      </c>
      <c r="I59" s="138" t="s">
        <v>195</v>
      </c>
      <c r="J59" s="138" t="s">
        <v>1172</v>
      </c>
      <c r="K59" s="141" t="str">
        <f t="shared" si="27"/>
        <v>NVT</v>
      </c>
      <c r="L59" s="141" t="str">
        <f t="shared" si="28"/>
        <v>NVT</v>
      </c>
      <c r="M59" s="141" t="str">
        <f t="shared" si="29"/>
        <v>NVT</v>
      </c>
      <c r="N59" s="141" t="str">
        <f t="shared" si="30"/>
        <v>NVT</v>
      </c>
      <c r="O59" s="141" t="str">
        <f t="shared" si="31"/>
        <v>NVT</v>
      </c>
      <c r="P59" s="141" t="str">
        <f t="shared" si="32"/>
        <v>NVT</v>
      </c>
      <c r="Q59" s="141" t="str">
        <f t="shared" si="33"/>
        <v>NVT</v>
      </c>
      <c r="R59" s="63" t="s">
        <v>1221</v>
      </c>
      <c r="S59" s="142">
        <f t="shared" si="9"/>
        <v>0</v>
      </c>
      <c r="T59" s="143">
        <v>16.900000000000002</v>
      </c>
      <c r="U59" s="144"/>
      <c r="V59" s="144"/>
      <c r="W59" s="144">
        <v>61</v>
      </c>
      <c r="X59" s="144"/>
      <c r="Y59" s="144"/>
      <c r="Z59" s="145"/>
      <c r="AA59" s="145"/>
      <c r="AB59" s="145"/>
      <c r="AC59" s="145">
        <v>13</v>
      </c>
      <c r="AD59" s="146" t="s">
        <v>679</v>
      </c>
      <c r="AE59" s="171">
        <v>1</v>
      </c>
      <c r="AF59" s="147">
        <f t="shared" si="34"/>
        <v>0</v>
      </c>
      <c r="AG59" s="147">
        <f t="shared" si="35"/>
        <v>0</v>
      </c>
      <c r="AH59" s="147">
        <f t="shared" si="36"/>
        <v>0</v>
      </c>
      <c r="AI59" s="147">
        <f t="shared" si="37"/>
        <v>0</v>
      </c>
      <c r="AJ59" s="148">
        <f t="shared" si="38"/>
        <v>0</v>
      </c>
      <c r="AK59" s="149">
        <f t="shared" si="21"/>
        <v>0</v>
      </c>
      <c r="AL59" s="149">
        <f t="shared" si="22"/>
        <v>0</v>
      </c>
      <c r="AM59" s="149">
        <f t="shared" si="23"/>
        <v>0</v>
      </c>
      <c r="AN59" s="149">
        <f t="shared" si="24"/>
        <v>0</v>
      </c>
      <c r="AO59" s="150">
        <f t="shared" si="39"/>
        <v>0</v>
      </c>
      <c r="AQ59" s="151">
        <f t="shared" si="40"/>
        <v>0</v>
      </c>
    </row>
    <row r="60" spans="1:43" ht="15" customHeight="1">
      <c r="A60" s="82" t="e">
        <f t="shared" si="25"/>
        <v>#REF!</v>
      </c>
      <c r="B60" s="134">
        <v>102</v>
      </c>
      <c r="C60" s="135" t="s">
        <v>942</v>
      </c>
      <c r="D60" s="136" t="s">
        <v>274</v>
      </c>
      <c r="E60" s="137" t="s">
        <v>947</v>
      </c>
      <c r="F60" s="138" t="s">
        <v>505</v>
      </c>
      <c r="G60" s="139" t="s">
        <v>624</v>
      </c>
      <c r="H60" s="140" t="str">
        <f t="shared" si="26"/>
        <v>Niet van toepassing</v>
      </c>
      <c r="I60" s="138" t="s">
        <v>35</v>
      </c>
      <c r="J60" s="138" t="s">
        <v>1172</v>
      </c>
      <c r="K60" s="141" t="str">
        <f t="shared" si="27"/>
        <v>NVT</v>
      </c>
      <c r="L60" s="141" t="str">
        <f t="shared" si="28"/>
        <v>NVT</v>
      </c>
      <c r="M60" s="141" t="str">
        <f t="shared" si="29"/>
        <v>NVT</v>
      </c>
      <c r="N60" s="141" t="str">
        <f t="shared" si="30"/>
        <v>NVT</v>
      </c>
      <c r="O60" s="141" t="str">
        <f t="shared" si="31"/>
        <v>NVT</v>
      </c>
      <c r="P60" s="141" t="str">
        <f t="shared" si="32"/>
        <v>NVT</v>
      </c>
      <c r="Q60" s="141" t="str">
        <f t="shared" si="33"/>
        <v>NVT</v>
      </c>
      <c r="R60" s="63" t="s">
        <v>1221</v>
      </c>
      <c r="S60" s="142">
        <f t="shared" si="9"/>
        <v>0</v>
      </c>
      <c r="T60" s="143">
        <v>63.7</v>
      </c>
      <c r="U60" s="144"/>
      <c r="V60" s="144"/>
      <c r="W60" s="144">
        <v>392</v>
      </c>
      <c r="X60" s="144"/>
      <c r="Y60" s="144"/>
      <c r="Z60" s="145"/>
      <c r="AA60" s="145">
        <v>20</v>
      </c>
      <c r="AB60" s="145"/>
      <c r="AC60" s="145"/>
      <c r="AD60" s="146"/>
      <c r="AE60" s="171">
        <v>1</v>
      </c>
      <c r="AF60" s="147">
        <f t="shared" si="34"/>
        <v>0</v>
      </c>
      <c r="AG60" s="147">
        <f t="shared" si="35"/>
        <v>0</v>
      </c>
      <c r="AH60" s="147">
        <f t="shared" si="36"/>
        <v>0</v>
      </c>
      <c r="AI60" s="147">
        <f t="shared" si="37"/>
        <v>0</v>
      </c>
      <c r="AJ60" s="148">
        <f t="shared" si="38"/>
        <v>0</v>
      </c>
      <c r="AK60" s="149">
        <f t="shared" si="21"/>
        <v>0</v>
      </c>
      <c r="AL60" s="149">
        <f t="shared" si="22"/>
        <v>0</v>
      </c>
      <c r="AM60" s="149">
        <f t="shared" si="23"/>
        <v>0</v>
      </c>
      <c r="AN60" s="149">
        <f t="shared" si="24"/>
        <v>0</v>
      </c>
      <c r="AO60" s="150">
        <f t="shared" si="39"/>
        <v>0</v>
      </c>
      <c r="AQ60" s="151">
        <f t="shared" si="40"/>
        <v>0</v>
      </c>
    </row>
    <row r="61" spans="1:43" ht="15" customHeight="1">
      <c r="A61" s="82" t="e">
        <f t="shared" si="25"/>
        <v>#REF!</v>
      </c>
      <c r="B61" s="134">
        <v>102</v>
      </c>
      <c r="C61" s="135" t="s">
        <v>942</v>
      </c>
      <c r="D61" s="136" t="s">
        <v>274</v>
      </c>
      <c r="E61" s="137" t="s">
        <v>947</v>
      </c>
      <c r="F61" s="138" t="s">
        <v>263</v>
      </c>
      <c r="G61" s="139" t="s">
        <v>869</v>
      </c>
      <c r="H61" s="140" t="str">
        <f t="shared" si="26"/>
        <v>Niet van toepassing</v>
      </c>
      <c r="I61" s="138" t="s">
        <v>1022</v>
      </c>
      <c r="J61" s="138" t="s">
        <v>1172</v>
      </c>
      <c r="K61" s="141" t="str">
        <f t="shared" si="27"/>
        <v>NVT</v>
      </c>
      <c r="L61" s="141" t="str">
        <f t="shared" si="28"/>
        <v>NVT</v>
      </c>
      <c r="M61" s="141" t="str">
        <f t="shared" si="29"/>
        <v>NVT</v>
      </c>
      <c r="N61" s="141" t="str">
        <f t="shared" si="30"/>
        <v>NVT</v>
      </c>
      <c r="O61" s="141" t="str">
        <f t="shared" si="31"/>
        <v>NVT</v>
      </c>
      <c r="P61" s="141" t="str">
        <f t="shared" si="32"/>
        <v>NVT</v>
      </c>
      <c r="Q61" s="141" t="str">
        <f t="shared" si="33"/>
        <v>NVT</v>
      </c>
      <c r="R61" s="63" t="s">
        <v>1221</v>
      </c>
      <c r="S61" s="142">
        <f t="shared" si="9"/>
        <v>0</v>
      </c>
      <c r="T61" s="143">
        <v>156</v>
      </c>
      <c r="U61" s="144"/>
      <c r="V61" s="144"/>
      <c r="W61" s="144"/>
      <c r="X61" s="144"/>
      <c r="Y61" s="144">
        <v>205</v>
      </c>
      <c r="Z61" s="145"/>
      <c r="AA61" s="145"/>
      <c r="AB61" s="145">
        <v>98</v>
      </c>
      <c r="AC61" s="145"/>
      <c r="AD61" s="146" t="s">
        <v>1029</v>
      </c>
      <c r="AE61" s="171">
        <v>1</v>
      </c>
      <c r="AF61" s="147">
        <f t="shared" si="34"/>
        <v>0</v>
      </c>
      <c r="AG61" s="147">
        <f t="shared" si="35"/>
        <v>0</v>
      </c>
      <c r="AH61" s="147">
        <f t="shared" si="36"/>
        <v>0</v>
      </c>
      <c r="AI61" s="147">
        <f t="shared" si="37"/>
        <v>0</v>
      </c>
      <c r="AJ61" s="148">
        <f t="shared" si="38"/>
        <v>0</v>
      </c>
      <c r="AK61" s="149">
        <f t="shared" si="21"/>
        <v>0</v>
      </c>
      <c r="AL61" s="149">
        <f t="shared" si="22"/>
        <v>0</v>
      </c>
      <c r="AM61" s="149">
        <f t="shared" si="23"/>
        <v>0</v>
      </c>
      <c r="AN61" s="149">
        <f t="shared" si="24"/>
        <v>0</v>
      </c>
      <c r="AO61" s="150">
        <f t="shared" si="39"/>
        <v>0</v>
      </c>
      <c r="AQ61" s="151">
        <f t="shared" si="40"/>
        <v>0</v>
      </c>
    </row>
    <row r="62" spans="1:43" ht="15" customHeight="1">
      <c r="A62" s="82" t="e">
        <f t="shared" si="25"/>
        <v>#REF!</v>
      </c>
      <c r="B62" s="134">
        <v>102</v>
      </c>
      <c r="C62" s="135" t="s">
        <v>942</v>
      </c>
      <c r="D62" s="136" t="s">
        <v>274</v>
      </c>
      <c r="E62" s="137" t="s">
        <v>947</v>
      </c>
      <c r="F62" s="138" t="s">
        <v>263</v>
      </c>
      <c r="G62" s="139" t="s">
        <v>626</v>
      </c>
      <c r="H62" s="140" t="str">
        <f t="shared" si="26"/>
        <v>Niet van toepassing</v>
      </c>
      <c r="I62" s="138" t="s">
        <v>195</v>
      </c>
      <c r="J62" s="138" t="s">
        <v>1172</v>
      </c>
      <c r="K62" s="141" t="str">
        <f t="shared" si="27"/>
        <v>NVT</v>
      </c>
      <c r="L62" s="141" t="str">
        <f t="shared" si="28"/>
        <v>NVT</v>
      </c>
      <c r="M62" s="141" t="str">
        <f t="shared" si="29"/>
        <v>NVT</v>
      </c>
      <c r="N62" s="141" t="str">
        <f t="shared" si="30"/>
        <v>NVT</v>
      </c>
      <c r="O62" s="141" t="str">
        <f t="shared" si="31"/>
        <v>NVT</v>
      </c>
      <c r="P62" s="141" t="str">
        <f t="shared" si="32"/>
        <v>NVT</v>
      </c>
      <c r="Q62" s="141" t="str">
        <f t="shared" si="33"/>
        <v>NVT</v>
      </c>
      <c r="R62" s="63" t="s">
        <v>1221</v>
      </c>
      <c r="S62" s="142">
        <f t="shared" si="9"/>
        <v>0</v>
      </c>
      <c r="T62" s="143">
        <v>114.4</v>
      </c>
      <c r="U62" s="144"/>
      <c r="V62" s="144">
        <v>153</v>
      </c>
      <c r="W62" s="144"/>
      <c r="X62" s="144"/>
      <c r="Y62" s="144"/>
      <c r="Z62" s="145"/>
      <c r="AA62" s="145"/>
      <c r="AB62" s="145">
        <v>70</v>
      </c>
      <c r="AC62" s="145"/>
      <c r="AD62" s="146"/>
      <c r="AE62" s="171">
        <v>1</v>
      </c>
      <c r="AF62" s="147">
        <f t="shared" si="34"/>
        <v>0</v>
      </c>
      <c r="AG62" s="147">
        <f t="shared" si="35"/>
        <v>0</v>
      </c>
      <c r="AH62" s="147">
        <f t="shared" si="36"/>
        <v>0</v>
      </c>
      <c r="AI62" s="147">
        <f t="shared" si="37"/>
        <v>0</v>
      </c>
      <c r="AJ62" s="148">
        <f t="shared" si="38"/>
        <v>0</v>
      </c>
      <c r="AK62" s="149">
        <f t="shared" si="21"/>
        <v>0</v>
      </c>
      <c r="AL62" s="149">
        <f t="shared" si="22"/>
        <v>0</v>
      </c>
      <c r="AM62" s="149">
        <f t="shared" si="23"/>
        <v>0</v>
      </c>
      <c r="AN62" s="149">
        <f t="shared" si="24"/>
        <v>0</v>
      </c>
      <c r="AO62" s="150">
        <f t="shared" si="39"/>
        <v>0</v>
      </c>
      <c r="AQ62" s="151">
        <f t="shared" si="40"/>
        <v>0</v>
      </c>
    </row>
    <row r="63" spans="1:43" ht="15" customHeight="1">
      <c r="A63" s="82" t="e">
        <f t="shared" si="25"/>
        <v>#REF!</v>
      </c>
      <c r="B63" s="134">
        <v>102</v>
      </c>
      <c r="C63" s="135" t="s">
        <v>942</v>
      </c>
      <c r="D63" s="136" t="s">
        <v>274</v>
      </c>
      <c r="E63" s="137" t="s">
        <v>947</v>
      </c>
      <c r="F63" s="138" t="s">
        <v>263</v>
      </c>
      <c r="G63" s="139" t="s">
        <v>973</v>
      </c>
      <c r="H63" s="140" t="str">
        <f t="shared" si="26"/>
        <v>Niet van toepassing</v>
      </c>
      <c r="I63" s="138" t="s">
        <v>82</v>
      </c>
      <c r="J63" s="138" t="s">
        <v>1172</v>
      </c>
      <c r="K63" s="141" t="str">
        <f t="shared" si="27"/>
        <v>NVT</v>
      </c>
      <c r="L63" s="141" t="str">
        <f t="shared" si="28"/>
        <v>NVT</v>
      </c>
      <c r="M63" s="141" t="str">
        <f t="shared" si="29"/>
        <v>NVT</v>
      </c>
      <c r="N63" s="141" t="str">
        <f t="shared" si="30"/>
        <v>NVT</v>
      </c>
      <c r="O63" s="141" t="str">
        <f t="shared" si="31"/>
        <v>NVT</v>
      </c>
      <c r="P63" s="141" t="str">
        <f t="shared" si="32"/>
        <v>NVT</v>
      </c>
      <c r="Q63" s="141" t="str">
        <f t="shared" si="33"/>
        <v>NVT</v>
      </c>
      <c r="R63" s="63" t="s">
        <v>1221</v>
      </c>
      <c r="S63" s="142">
        <f t="shared" si="9"/>
        <v>0</v>
      </c>
      <c r="T63" s="143">
        <v>172.9</v>
      </c>
      <c r="U63" s="144"/>
      <c r="V63" s="144"/>
      <c r="W63" s="144"/>
      <c r="X63" s="144"/>
      <c r="Y63" s="144">
        <v>285</v>
      </c>
      <c r="Z63" s="145"/>
      <c r="AA63" s="145"/>
      <c r="AB63" s="145">
        <v>68</v>
      </c>
      <c r="AC63" s="145"/>
      <c r="AD63" s="146" t="s">
        <v>1030</v>
      </c>
      <c r="AE63" s="171">
        <v>1</v>
      </c>
      <c r="AF63" s="147">
        <f t="shared" si="34"/>
        <v>0</v>
      </c>
      <c r="AG63" s="147">
        <f t="shared" si="35"/>
        <v>0</v>
      </c>
      <c r="AH63" s="147">
        <f t="shared" si="36"/>
        <v>0</v>
      </c>
      <c r="AI63" s="147">
        <f t="shared" si="37"/>
        <v>0</v>
      </c>
      <c r="AJ63" s="148">
        <f t="shared" si="38"/>
        <v>0</v>
      </c>
      <c r="AK63" s="149">
        <f t="shared" si="21"/>
        <v>0</v>
      </c>
      <c r="AL63" s="149">
        <f t="shared" si="22"/>
        <v>0</v>
      </c>
      <c r="AM63" s="149">
        <f t="shared" si="23"/>
        <v>0</v>
      </c>
      <c r="AN63" s="149">
        <f t="shared" si="24"/>
        <v>0</v>
      </c>
      <c r="AO63" s="150">
        <f t="shared" si="39"/>
        <v>0</v>
      </c>
      <c r="AQ63" s="151">
        <f t="shared" si="40"/>
        <v>0</v>
      </c>
    </row>
    <row r="64" spans="1:43" ht="15" customHeight="1">
      <c r="A64" s="82" t="e">
        <f t="shared" si="25"/>
        <v>#REF!</v>
      </c>
      <c r="B64" s="134">
        <v>102</v>
      </c>
      <c r="C64" s="135" t="s">
        <v>942</v>
      </c>
      <c r="D64" s="136" t="s">
        <v>274</v>
      </c>
      <c r="E64" s="137" t="s">
        <v>947</v>
      </c>
      <c r="F64" s="138" t="s">
        <v>210</v>
      </c>
      <c r="G64" s="139" t="s">
        <v>629</v>
      </c>
      <c r="H64" s="140" t="str">
        <f t="shared" si="26"/>
        <v>Niet van toepassing</v>
      </c>
      <c r="I64" s="138" t="s">
        <v>195</v>
      </c>
      <c r="J64" s="138" t="s">
        <v>1172</v>
      </c>
      <c r="K64" s="141" t="str">
        <f t="shared" si="27"/>
        <v>NVT</v>
      </c>
      <c r="L64" s="141" t="str">
        <f t="shared" si="28"/>
        <v>NVT</v>
      </c>
      <c r="M64" s="141" t="str">
        <f t="shared" si="29"/>
        <v>NVT</v>
      </c>
      <c r="N64" s="141" t="str">
        <f t="shared" si="30"/>
        <v>NVT</v>
      </c>
      <c r="O64" s="141" t="str">
        <f t="shared" si="31"/>
        <v>NVT</v>
      </c>
      <c r="P64" s="141" t="str">
        <f t="shared" si="32"/>
        <v>NVT</v>
      </c>
      <c r="Q64" s="141" t="str">
        <f t="shared" si="33"/>
        <v>NVT</v>
      </c>
      <c r="R64" s="63" t="s">
        <v>1221</v>
      </c>
      <c r="S64" s="142">
        <f t="shared" si="9"/>
        <v>0</v>
      </c>
      <c r="T64" s="143">
        <v>11.700000000000001</v>
      </c>
      <c r="U64" s="144"/>
      <c r="V64" s="144">
        <v>44</v>
      </c>
      <c r="W64" s="144"/>
      <c r="X64" s="144"/>
      <c r="Y64" s="144"/>
      <c r="Z64" s="145"/>
      <c r="AA64" s="145"/>
      <c r="AB64" s="145">
        <v>9</v>
      </c>
      <c r="AC64" s="145"/>
      <c r="AD64" s="146" t="s">
        <v>679</v>
      </c>
      <c r="AE64" s="171">
        <v>1</v>
      </c>
      <c r="AF64" s="147">
        <f t="shared" si="34"/>
        <v>0</v>
      </c>
      <c r="AG64" s="147">
        <f t="shared" si="35"/>
        <v>0</v>
      </c>
      <c r="AH64" s="147">
        <f t="shared" si="36"/>
        <v>0</v>
      </c>
      <c r="AI64" s="147">
        <f t="shared" si="37"/>
        <v>0</v>
      </c>
      <c r="AJ64" s="148">
        <f t="shared" si="38"/>
        <v>0</v>
      </c>
      <c r="AK64" s="149">
        <f t="shared" si="21"/>
        <v>0</v>
      </c>
      <c r="AL64" s="149">
        <f t="shared" si="22"/>
        <v>0</v>
      </c>
      <c r="AM64" s="149">
        <f t="shared" si="23"/>
        <v>0</v>
      </c>
      <c r="AN64" s="149">
        <f t="shared" si="24"/>
        <v>0</v>
      </c>
      <c r="AO64" s="150">
        <f t="shared" si="39"/>
        <v>0</v>
      </c>
      <c r="AQ64" s="151">
        <f t="shared" si="40"/>
        <v>0</v>
      </c>
    </row>
    <row r="65" spans="1:43" ht="15" customHeight="1">
      <c r="A65" s="82" t="e">
        <f t="shared" si="25"/>
        <v>#REF!</v>
      </c>
      <c r="B65" s="134">
        <v>102</v>
      </c>
      <c r="C65" s="135" t="s">
        <v>942</v>
      </c>
      <c r="D65" s="136" t="s">
        <v>274</v>
      </c>
      <c r="E65" s="137" t="s">
        <v>947</v>
      </c>
      <c r="F65" s="138" t="s">
        <v>870</v>
      </c>
      <c r="G65" s="139" t="s">
        <v>871</v>
      </c>
      <c r="H65" s="140" t="str">
        <f t="shared" si="26"/>
        <v>Niet van toepassing</v>
      </c>
      <c r="I65" s="138" t="s">
        <v>35</v>
      </c>
      <c r="J65" s="138" t="s">
        <v>1172</v>
      </c>
      <c r="K65" s="141" t="str">
        <f t="shared" si="27"/>
        <v>NVT</v>
      </c>
      <c r="L65" s="141" t="str">
        <f t="shared" si="28"/>
        <v>NVT</v>
      </c>
      <c r="M65" s="141" t="str">
        <f t="shared" si="29"/>
        <v>NVT</v>
      </c>
      <c r="N65" s="141" t="str">
        <f t="shared" si="30"/>
        <v>NVT</v>
      </c>
      <c r="O65" s="141" t="str">
        <f t="shared" si="31"/>
        <v>NVT</v>
      </c>
      <c r="P65" s="141" t="str">
        <f t="shared" si="32"/>
        <v>NVT</v>
      </c>
      <c r="Q65" s="141" t="str">
        <f t="shared" si="33"/>
        <v>NVT</v>
      </c>
      <c r="R65" s="63" t="s">
        <v>1221</v>
      </c>
      <c r="S65" s="142">
        <f t="shared" si="9"/>
        <v>0</v>
      </c>
      <c r="T65" s="143">
        <v>9.1</v>
      </c>
      <c r="U65" s="144"/>
      <c r="V65" s="144"/>
      <c r="W65" s="144">
        <v>32</v>
      </c>
      <c r="X65" s="144"/>
      <c r="Y65" s="144"/>
      <c r="Z65" s="145"/>
      <c r="AA65" s="145"/>
      <c r="AB65" s="145"/>
      <c r="AC65" s="145">
        <v>7</v>
      </c>
      <c r="AD65" s="146" t="s">
        <v>679</v>
      </c>
      <c r="AE65" s="171">
        <v>1</v>
      </c>
      <c r="AF65" s="147">
        <f t="shared" si="34"/>
        <v>0</v>
      </c>
      <c r="AG65" s="147">
        <f t="shared" si="35"/>
        <v>0</v>
      </c>
      <c r="AH65" s="147">
        <f t="shared" si="36"/>
        <v>0</v>
      </c>
      <c r="AI65" s="147">
        <f t="shared" si="37"/>
        <v>0</v>
      </c>
      <c r="AJ65" s="148">
        <f t="shared" si="38"/>
        <v>0</v>
      </c>
      <c r="AK65" s="149">
        <f t="shared" si="21"/>
        <v>0</v>
      </c>
      <c r="AL65" s="149">
        <f t="shared" si="22"/>
        <v>0</v>
      </c>
      <c r="AM65" s="149">
        <f t="shared" si="23"/>
        <v>0</v>
      </c>
      <c r="AN65" s="149">
        <f t="shared" si="24"/>
        <v>0</v>
      </c>
      <c r="AO65" s="150">
        <f t="shared" si="39"/>
        <v>0</v>
      </c>
      <c r="AQ65" s="151">
        <f t="shared" si="40"/>
        <v>0</v>
      </c>
    </row>
    <row r="66" spans="1:43" ht="15" customHeight="1">
      <c r="A66" s="82" t="e">
        <f t="shared" si="25"/>
        <v>#REF!</v>
      </c>
      <c r="B66" s="134">
        <v>102</v>
      </c>
      <c r="C66" s="135" t="s">
        <v>942</v>
      </c>
      <c r="D66" s="136" t="s">
        <v>274</v>
      </c>
      <c r="E66" s="137" t="s">
        <v>947</v>
      </c>
      <c r="F66" s="138" t="s">
        <v>974</v>
      </c>
      <c r="G66" s="139" t="s">
        <v>648</v>
      </c>
      <c r="H66" s="140" t="str">
        <f t="shared" si="26"/>
        <v>Kantoren/spreekkamers</v>
      </c>
      <c r="I66" s="138" t="s">
        <v>82</v>
      </c>
      <c r="J66" s="138" t="s">
        <v>1171</v>
      </c>
      <c r="K66" s="141" t="str">
        <f t="shared" si="27"/>
        <v>Omde dag Vol/Nal.</v>
      </c>
      <c r="L66" s="141" t="str">
        <f t="shared" si="28"/>
        <v>Omde dag Nal./Vol</v>
      </c>
      <c r="M66" s="141" t="str">
        <f t="shared" si="29"/>
        <v>Omde dag Vol/Nal.</v>
      </c>
      <c r="N66" s="141" t="str">
        <f t="shared" si="30"/>
        <v>Omde dag Nal./Vol</v>
      </c>
      <c r="O66" s="141" t="str">
        <f t="shared" si="31"/>
        <v>Omde dag Vol/Nal.</v>
      </c>
      <c r="P66" s="141" t="str">
        <f t="shared" si="32"/>
        <v>Omde dag Nal./Vol</v>
      </c>
      <c r="Q66" s="141" t="str">
        <f t="shared" si="33"/>
        <v>Omde dag Vol/Nal.</v>
      </c>
      <c r="R66" s="63" t="s">
        <v>1220</v>
      </c>
      <c r="S66" s="142">
        <f t="shared" si="9"/>
        <v>365</v>
      </c>
      <c r="T66" s="143">
        <v>67.600000000000009</v>
      </c>
      <c r="U66" s="144"/>
      <c r="V66" s="144"/>
      <c r="W66" s="144"/>
      <c r="X66" s="144"/>
      <c r="Y66" s="144">
        <v>102</v>
      </c>
      <c r="Z66" s="145"/>
      <c r="AA66" s="145"/>
      <c r="AB66" s="145">
        <v>52</v>
      </c>
      <c r="AC66" s="145"/>
      <c r="AD66" s="146" t="s">
        <v>490</v>
      </c>
      <c r="AE66" s="171">
        <v>1</v>
      </c>
      <c r="AF66" s="147">
        <f t="shared" si="34"/>
        <v>0</v>
      </c>
      <c r="AG66" s="147">
        <f t="shared" si="35"/>
        <v>0</v>
      </c>
      <c r="AH66" s="147">
        <f t="shared" si="36"/>
        <v>0</v>
      </c>
      <c r="AI66" s="147">
        <f t="shared" si="37"/>
        <v>0</v>
      </c>
      <c r="AJ66" s="148" t="str">
        <f t="shared" si="38"/>
        <v>nee</v>
      </c>
      <c r="AK66" s="149">
        <f t="shared" si="21"/>
        <v>0</v>
      </c>
      <c r="AL66" s="149">
        <f t="shared" si="22"/>
        <v>0</v>
      </c>
      <c r="AM66" s="149">
        <f t="shared" si="23"/>
        <v>0</v>
      </c>
      <c r="AN66" s="149">
        <f t="shared" si="24"/>
        <v>0</v>
      </c>
      <c r="AO66" s="150" t="str">
        <f t="shared" si="39"/>
        <v>B</v>
      </c>
      <c r="AQ66" s="151">
        <f t="shared" si="40"/>
        <v>24674.000000000004</v>
      </c>
    </row>
    <row r="67" spans="1:43" ht="15" customHeight="1">
      <c r="A67" s="82" t="e">
        <f t="shared" si="25"/>
        <v>#REF!</v>
      </c>
      <c r="B67" s="134">
        <v>102</v>
      </c>
      <c r="C67" s="135" t="s">
        <v>942</v>
      </c>
      <c r="D67" s="136" t="s">
        <v>274</v>
      </c>
      <c r="E67" s="137" t="s">
        <v>947</v>
      </c>
      <c r="F67" s="138" t="s">
        <v>974</v>
      </c>
      <c r="G67" s="139" t="s">
        <v>651</v>
      </c>
      <c r="H67" s="140" t="str">
        <f t="shared" si="26"/>
        <v>Kantoren/spreekkamers</v>
      </c>
      <c r="I67" s="138" t="s">
        <v>82</v>
      </c>
      <c r="J67" s="138" t="s">
        <v>1171</v>
      </c>
      <c r="K67" s="141" t="str">
        <f t="shared" si="27"/>
        <v>Omde dag Vol/Nal.</v>
      </c>
      <c r="L67" s="141" t="str">
        <f t="shared" si="28"/>
        <v>Omde dag Nal./Vol</v>
      </c>
      <c r="M67" s="141" t="str">
        <f t="shared" si="29"/>
        <v>Omde dag Vol/Nal.</v>
      </c>
      <c r="N67" s="141" t="str">
        <f t="shared" si="30"/>
        <v>Omde dag Nal./Vol</v>
      </c>
      <c r="O67" s="141" t="str">
        <f t="shared" si="31"/>
        <v>Omde dag Vol/Nal.</v>
      </c>
      <c r="P67" s="141" t="str">
        <f t="shared" si="32"/>
        <v>Omde dag Nal./Vol</v>
      </c>
      <c r="Q67" s="141" t="str">
        <f t="shared" si="33"/>
        <v>Omde dag Vol/Nal.</v>
      </c>
      <c r="R67" s="63" t="s">
        <v>1220</v>
      </c>
      <c r="S67" s="142">
        <f t="shared" si="9"/>
        <v>365</v>
      </c>
      <c r="T67" s="143">
        <v>24.7</v>
      </c>
      <c r="U67" s="144"/>
      <c r="V67" s="144"/>
      <c r="W67" s="144"/>
      <c r="X67" s="144"/>
      <c r="Y67" s="144">
        <v>51</v>
      </c>
      <c r="Z67" s="145"/>
      <c r="AA67" s="145"/>
      <c r="AB67" s="145">
        <v>19</v>
      </c>
      <c r="AC67" s="145"/>
      <c r="AD67" s="146" t="s">
        <v>490</v>
      </c>
      <c r="AE67" s="171">
        <v>1</v>
      </c>
      <c r="AF67" s="147">
        <f t="shared" si="34"/>
        <v>0</v>
      </c>
      <c r="AG67" s="147">
        <f t="shared" si="35"/>
        <v>0</v>
      </c>
      <c r="AH67" s="147">
        <f t="shared" si="36"/>
        <v>0</v>
      </c>
      <c r="AI67" s="147">
        <f t="shared" si="37"/>
        <v>0</v>
      </c>
      <c r="AJ67" s="148" t="str">
        <f t="shared" si="38"/>
        <v>nee</v>
      </c>
      <c r="AK67" s="149">
        <f t="shared" si="21"/>
        <v>0</v>
      </c>
      <c r="AL67" s="149">
        <f t="shared" si="22"/>
        <v>0</v>
      </c>
      <c r="AM67" s="149">
        <f t="shared" si="23"/>
        <v>0</v>
      </c>
      <c r="AN67" s="149">
        <f t="shared" si="24"/>
        <v>0</v>
      </c>
      <c r="AO67" s="150" t="str">
        <f t="shared" si="39"/>
        <v>B</v>
      </c>
      <c r="AQ67" s="151">
        <f t="shared" si="40"/>
        <v>9015.5</v>
      </c>
    </row>
    <row r="68" spans="1:43" ht="15" customHeight="1">
      <c r="A68" s="82" t="e">
        <f t="shared" si="25"/>
        <v>#REF!</v>
      </c>
      <c r="B68" s="134">
        <v>102</v>
      </c>
      <c r="C68" s="135" t="s">
        <v>942</v>
      </c>
      <c r="D68" s="136" t="s">
        <v>274</v>
      </c>
      <c r="E68" s="137" t="s">
        <v>947</v>
      </c>
      <c r="F68" s="138" t="s">
        <v>974</v>
      </c>
      <c r="G68" s="139" t="s">
        <v>975</v>
      </c>
      <c r="H68" s="140" t="str">
        <f t="shared" si="26"/>
        <v>Kantoren/spreekkamers</v>
      </c>
      <c r="I68" s="138" t="s">
        <v>195</v>
      </c>
      <c r="J68" s="138" t="s">
        <v>1171</v>
      </c>
      <c r="K68" s="141" t="str">
        <f t="shared" si="27"/>
        <v>Omde dag Vol/Nal.</v>
      </c>
      <c r="L68" s="141" t="str">
        <f t="shared" si="28"/>
        <v>Omde dag Nal./Vol</v>
      </c>
      <c r="M68" s="141" t="str">
        <f t="shared" si="29"/>
        <v>Omde dag Vol/Nal.</v>
      </c>
      <c r="N68" s="141" t="str">
        <f t="shared" si="30"/>
        <v>Omde dag Nal./Vol</v>
      </c>
      <c r="O68" s="141" t="str">
        <f t="shared" si="31"/>
        <v>Omde dag Vol/Nal.</v>
      </c>
      <c r="P68" s="141" t="str">
        <f t="shared" si="32"/>
        <v>Omde dag Nal./Vol</v>
      </c>
      <c r="Q68" s="141" t="str">
        <f t="shared" si="33"/>
        <v>Omde dag Vol/Nal.</v>
      </c>
      <c r="R68" s="63" t="s">
        <v>1220</v>
      </c>
      <c r="S68" s="142">
        <f t="shared" si="9"/>
        <v>365</v>
      </c>
      <c r="T68" s="143">
        <v>13</v>
      </c>
      <c r="U68" s="144"/>
      <c r="V68" s="144"/>
      <c r="W68" s="144"/>
      <c r="X68" s="144"/>
      <c r="Y68" s="144">
        <v>42</v>
      </c>
      <c r="Z68" s="145"/>
      <c r="AA68" s="145"/>
      <c r="AB68" s="145">
        <v>10</v>
      </c>
      <c r="AC68" s="145"/>
      <c r="AD68" s="146" t="s">
        <v>679</v>
      </c>
      <c r="AE68" s="171">
        <v>1</v>
      </c>
      <c r="AF68" s="147">
        <f t="shared" si="34"/>
        <v>0</v>
      </c>
      <c r="AG68" s="147">
        <f t="shared" si="35"/>
        <v>0</v>
      </c>
      <c r="AH68" s="147">
        <f t="shared" si="36"/>
        <v>0</v>
      </c>
      <c r="AI68" s="147">
        <f t="shared" si="37"/>
        <v>0</v>
      </c>
      <c r="AJ68" s="148" t="str">
        <f t="shared" si="38"/>
        <v>nee</v>
      </c>
      <c r="AK68" s="149">
        <f t="shared" si="21"/>
        <v>0</v>
      </c>
      <c r="AL68" s="149">
        <f t="shared" si="22"/>
        <v>0</v>
      </c>
      <c r="AM68" s="149">
        <f t="shared" si="23"/>
        <v>0</v>
      </c>
      <c r="AN68" s="149">
        <f t="shared" si="24"/>
        <v>0</v>
      </c>
      <c r="AO68" s="150" t="str">
        <f t="shared" si="39"/>
        <v>B</v>
      </c>
      <c r="AQ68" s="151">
        <f t="shared" si="40"/>
        <v>4745</v>
      </c>
    </row>
    <row r="69" spans="1:43" ht="15" customHeight="1">
      <c r="A69" s="82" t="e">
        <f t="shared" si="25"/>
        <v>#REF!</v>
      </c>
      <c r="B69" s="134">
        <v>102</v>
      </c>
      <c r="C69" s="135" t="s">
        <v>942</v>
      </c>
      <c r="D69" s="136" t="s">
        <v>274</v>
      </c>
      <c r="E69" s="137" t="s">
        <v>947</v>
      </c>
      <c r="F69" s="138" t="s">
        <v>974</v>
      </c>
      <c r="G69" s="139" t="s">
        <v>976</v>
      </c>
      <c r="H69" s="140" t="str">
        <f t="shared" si="26"/>
        <v>Kantoren/spreekkamers</v>
      </c>
      <c r="I69" s="138" t="s">
        <v>195</v>
      </c>
      <c r="J69" s="138" t="s">
        <v>1171</v>
      </c>
      <c r="K69" s="141" t="str">
        <f t="shared" si="27"/>
        <v>Omde dag Vol/Nal.</v>
      </c>
      <c r="L69" s="141" t="str">
        <f t="shared" si="28"/>
        <v>Omde dag Nal./Vol</v>
      </c>
      <c r="M69" s="141" t="str">
        <f t="shared" si="29"/>
        <v>Omde dag Vol/Nal.</v>
      </c>
      <c r="N69" s="141" t="str">
        <f t="shared" si="30"/>
        <v>Omde dag Nal./Vol</v>
      </c>
      <c r="O69" s="141" t="str">
        <f t="shared" si="31"/>
        <v>Omde dag Vol/Nal.</v>
      </c>
      <c r="P69" s="141" t="str">
        <f t="shared" si="32"/>
        <v>Omde dag Nal./Vol</v>
      </c>
      <c r="Q69" s="141" t="str">
        <f t="shared" si="33"/>
        <v>Omde dag Vol/Nal.</v>
      </c>
      <c r="R69" s="63" t="s">
        <v>1220</v>
      </c>
      <c r="S69" s="142">
        <f t="shared" si="9"/>
        <v>365</v>
      </c>
      <c r="T69" s="143">
        <v>9.1</v>
      </c>
      <c r="U69" s="144">
        <v>3</v>
      </c>
      <c r="V69" s="144"/>
      <c r="W69" s="144"/>
      <c r="X69" s="144"/>
      <c r="Y69" s="144">
        <v>30</v>
      </c>
      <c r="Z69" s="145"/>
      <c r="AA69" s="145"/>
      <c r="AB69" s="145">
        <v>7</v>
      </c>
      <c r="AC69" s="145"/>
      <c r="AD69" s="146" t="s">
        <v>490</v>
      </c>
      <c r="AE69" s="171">
        <v>1</v>
      </c>
      <c r="AF69" s="147">
        <f t="shared" si="34"/>
        <v>0</v>
      </c>
      <c r="AG69" s="147">
        <f t="shared" si="35"/>
        <v>0</v>
      </c>
      <c r="AH69" s="147">
        <f t="shared" si="36"/>
        <v>0</v>
      </c>
      <c r="AI69" s="147">
        <f t="shared" si="37"/>
        <v>0</v>
      </c>
      <c r="AJ69" s="148" t="str">
        <f t="shared" si="38"/>
        <v>nee</v>
      </c>
      <c r="AK69" s="149">
        <f t="shared" si="21"/>
        <v>0</v>
      </c>
      <c r="AL69" s="149">
        <f t="shared" si="22"/>
        <v>0</v>
      </c>
      <c r="AM69" s="149">
        <f t="shared" si="23"/>
        <v>0</v>
      </c>
      <c r="AN69" s="149">
        <f t="shared" si="24"/>
        <v>0</v>
      </c>
      <c r="AO69" s="150" t="str">
        <f t="shared" si="39"/>
        <v>B</v>
      </c>
      <c r="AQ69" s="151">
        <f t="shared" si="40"/>
        <v>3321.5</v>
      </c>
    </row>
    <row r="70" spans="1:43" ht="15" customHeight="1">
      <c r="A70" s="82" t="e">
        <f t="shared" si="25"/>
        <v>#REF!</v>
      </c>
      <c r="B70" s="134">
        <v>102</v>
      </c>
      <c r="C70" s="135" t="s">
        <v>942</v>
      </c>
      <c r="D70" s="136" t="s">
        <v>274</v>
      </c>
      <c r="E70" s="137" t="s">
        <v>947</v>
      </c>
      <c r="F70" s="138" t="s">
        <v>428</v>
      </c>
      <c r="G70" s="139" t="s">
        <v>874</v>
      </c>
      <c r="H70" s="140" t="str">
        <f t="shared" si="26"/>
        <v>Niet van toepassing</v>
      </c>
      <c r="I70" s="138" t="s">
        <v>195</v>
      </c>
      <c r="J70" s="138" t="s">
        <v>1172</v>
      </c>
      <c r="K70" s="141" t="str">
        <f t="shared" si="27"/>
        <v>NVT</v>
      </c>
      <c r="L70" s="141" t="str">
        <f t="shared" si="28"/>
        <v>NVT</v>
      </c>
      <c r="M70" s="141" t="str">
        <f t="shared" si="29"/>
        <v>NVT</v>
      </c>
      <c r="N70" s="141" t="str">
        <f t="shared" si="30"/>
        <v>NVT</v>
      </c>
      <c r="O70" s="141" t="str">
        <f t="shared" si="31"/>
        <v>NVT</v>
      </c>
      <c r="P70" s="141" t="str">
        <f t="shared" si="32"/>
        <v>NVT</v>
      </c>
      <c r="Q70" s="141" t="str">
        <f t="shared" si="33"/>
        <v>NVT</v>
      </c>
      <c r="R70" s="63" t="s">
        <v>1221</v>
      </c>
      <c r="S70" s="142">
        <f t="shared" si="9"/>
        <v>0</v>
      </c>
      <c r="T70" s="143">
        <v>16.900000000000002</v>
      </c>
      <c r="U70" s="144"/>
      <c r="V70" s="144"/>
      <c r="W70" s="144">
        <v>50</v>
      </c>
      <c r="X70" s="144"/>
      <c r="Y70" s="144"/>
      <c r="Z70" s="145"/>
      <c r="AA70" s="145"/>
      <c r="AB70" s="145"/>
      <c r="AC70" s="145">
        <v>13</v>
      </c>
      <c r="AD70" s="146" t="s">
        <v>679</v>
      </c>
      <c r="AE70" s="171">
        <v>1</v>
      </c>
      <c r="AF70" s="147">
        <f t="shared" si="34"/>
        <v>0</v>
      </c>
      <c r="AG70" s="147">
        <f t="shared" si="35"/>
        <v>0</v>
      </c>
      <c r="AH70" s="147">
        <f t="shared" si="36"/>
        <v>0</v>
      </c>
      <c r="AI70" s="147">
        <f t="shared" si="37"/>
        <v>0</v>
      </c>
      <c r="AJ70" s="148">
        <f t="shared" si="38"/>
        <v>0</v>
      </c>
      <c r="AK70" s="149">
        <f t="shared" si="21"/>
        <v>0</v>
      </c>
      <c r="AL70" s="149">
        <f t="shared" si="22"/>
        <v>0</v>
      </c>
      <c r="AM70" s="149">
        <f t="shared" si="23"/>
        <v>0</v>
      </c>
      <c r="AN70" s="149">
        <f t="shared" si="24"/>
        <v>0</v>
      </c>
      <c r="AO70" s="150">
        <f t="shared" si="39"/>
        <v>0</v>
      </c>
      <c r="AQ70" s="151">
        <f t="shared" si="40"/>
        <v>0</v>
      </c>
    </row>
    <row r="71" spans="1:43" ht="15" customHeight="1">
      <c r="A71" s="82" t="e">
        <f t="shared" si="25"/>
        <v>#REF!</v>
      </c>
      <c r="B71" s="134">
        <v>102</v>
      </c>
      <c r="C71" s="135" t="s">
        <v>942</v>
      </c>
      <c r="D71" s="136" t="s">
        <v>274</v>
      </c>
      <c r="E71" s="137" t="s">
        <v>947</v>
      </c>
      <c r="F71" s="138" t="s">
        <v>977</v>
      </c>
      <c r="G71" s="139" t="s">
        <v>633</v>
      </c>
      <c r="H71" s="140" t="str">
        <f t="shared" si="26"/>
        <v>Niet van toepassing</v>
      </c>
      <c r="I71" s="138" t="s">
        <v>35</v>
      </c>
      <c r="J71" s="138" t="s">
        <v>1172</v>
      </c>
      <c r="K71" s="141" t="str">
        <f t="shared" si="27"/>
        <v>NVT</v>
      </c>
      <c r="L71" s="141" t="str">
        <f t="shared" si="28"/>
        <v>NVT</v>
      </c>
      <c r="M71" s="141" t="str">
        <f t="shared" si="29"/>
        <v>NVT</v>
      </c>
      <c r="N71" s="141" t="str">
        <f t="shared" si="30"/>
        <v>NVT</v>
      </c>
      <c r="O71" s="141" t="str">
        <f t="shared" si="31"/>
        <v>NVT</v>
      </c>
      <c r="P71" s="141" t="str">
        <f t="shared" si="32"/>
        <v>NVT</v>
      </c>
      <c r="Q71" s="141" t="str">
        <f t="shared" si="33"/>
        <v>NVT</v>
      </c>
      <c r="R71" s="63" t="s">
        <v>1221</v>
      </c>
      <c r="S71" s="142">
        <f t="shared" si="9"/>
        <v>0</v>
      </c>
      <c r="T71" s="143">
        <v>3.9000000000000004</v>
      </c>
      <c r="U71" s="144"/>
      <c r="V71" s="144"/>
      <c r="W71" s="144">
        <v>30</v>
      </c>
      <c r="X71" s="144"/>
      <c r="Y71" s="144"/>
      <c r="Z71" s="145"/>
      <c r="AA71" s="145"/>
      <c r="AB71" s="145">
        <v>3</v>
      </c>
      <c r="AC71" s="145"/>
      <c r="AD71" s="146" t="s">
        <v>679</v>
      </c>
      <c r="AE71" s="171">
        <v>1</v>
      </c>
      <c r="AF71" s="147">
        <f t="shared" si="34"/>
        <v>0</v>
      </c>
      <c r="AG71" s="147">
        <f t="shared" si="35"/>
        <v>0</v>
      </c>
      <c r="AH71" s="147">
        <f t="shared" si="36"/>
        <v>0</v>
      </c>
      <c r="AI71" s="147">
        <f t="shared" si="37"/>
        <v>0</v>
      </c>
      <c r="AJ71" s="148">
        <f t="shared" si="38"/>
        <v>0</v>
      </c>
      <c r="AK71" s="149">
        <f t="shared" si="21"/>
        <v>0</v>
      </c>
      <c r="AL71" s="149">
        <f t="shared" si="22"/>
        <v>0</v>
      </c>
      <c r="AM71" s="149">
        <f t="shared" si="23"/>
        <v>0</v>
      </c>
      <c r="AN71" s="149">
        <f t="shared" si="24"/>
        <v>0</v>
      </c>
      <c r="AO71" s="150">
        <f t="shared" si="39"/>
        <v>0</v>
      </c>
      <c r="AQ71" s="151">
        <f t="shared" si="40"/>
        <v>0</v>
      </c>
    </row>
    <row r="72" spans="1:43" ht="15" customHeight="1">
      <c r="A72" s="82" t="e">
        <f t="shared" si="25"/>
        <v>#REF!</v>
      </c>
      <c r="B72" s="134">
        <v>102</v>
      </c>
      <c r="C72" s="135" t="s">
        <v>942</v>
      </c>
      <c r="D72" s="136" t="s">
        <v>274</v>
      </c>
      <c r="E72" s="137" t="s">
        <v>947</v>
      </c>
      <c r="F72" s="138" t="s">
        <v>636</v>
      </c>
      <c r="G72" s="139" t="s">
        <v>875</v>
      </c>
      <c r="H72" s="140" t="str">
        <f t="shared" si="26"/>
        <v>Niet van toepassing</v>
      </c>
      <c r="I72" s="138"/>
      <c r="J72" s="138" t="s">
        <v>1172</v>
      </c>
      <c r="K72" s="141" t="str">
        <f t="shared" si="27"/>
        <v>NVT</v>
      </c>
      <c r="L72" s="141" t="str">
        <f t="shared" si="28"/>
        <v>NVT</v>
      </c>
      <c r="M72" s="141" t="str">
        <f t="shared" si="29"/>
        <v>NVT</v>
      </c>
      <c r="N72" s="141" t="str">
        <f t="shared" si="30"/>
        <v>NVT</v>
      </c>
      <c r="O72" s="141" t="str">
        <f t="shared" si="31"/>
        <v>NVT</v>
      </c>
      <c r="P72" s="141" t="str">
        <f t="shared" si="32"/>
        <v>NVT</v>
      </c>
      <c r="Q72" s="141" t="str">
        <f t="shared" si="33"/>
        <v>NVT</v>
      </c>
      <c r="R72" s="63" t="s">
        <v>1221</v>
      </c>
      <c r="S72" s="142">
        <f t="shared" si="9"/>
        <v>0</v>
      </c>
      <c r="T72" s="143">
        <v>0</v>
      </c>
      <c r="U72" s="144"/>
      <c r="V72" s="144"/>
      <c r="W72" s="144"/>
      <c r="X72" s="144"/>
      <c r="Y72" s="144"/>
      <c r="Z72" s="145"/>
      <c r="AA72" s="145"/>
      <c r="AB72" s="145"/>
      <c r="AC72" s="145"/>
      <c r="AD72" s="146" t="s">
        <v>1258</v>
      </c>
      <c r="AE72" s="171">
        <v>1</v>
      </c>
      <c r="AF72" s="147">
        <f t="shared" si="34"/>
        <v>0</v>
      </c>
      <c r="AG72" s="147">
        <f t="shared" si="35"/>
        <v>0</v>
      </c>
      <c r="AH72" s="147">
        <f t="shared" si="36"/>
        <v>0</v>
      </c>
      <c r="AI72" s="147">
        <f t="shared" si="37"/>
        <v>0</v>
      </c>
      <c r="AJ72" s="148">
        <f t="shared" si="38"/>
        <v>0</v>
      </c>
      <c r="AK72" s="149">
        <f t="shared" si="21"/>
        <v>0</v>
      </c>
      <c r="AL72" s="149">
        <f t="shared" si="22"/>
        <v>0</v>
      </c>
      <c r="AM72" s="149">
        <f t="shared" si="23"/>
        <v>0</v>
      </c>
      <c r="AN72" s="149">
        <f t="shared" si="24"/>
        <v>0</v>
      </c>
      <c r="AO72" s="150">
        <f t="shared" si="39"/>
        <v>0</v>
      </c>
      <c r="AQ72" s="151">
        <f t="shared" si="40"/>
        <v>0</v>
      </c>
    </row>
    <row r="73" spans="1:43" ht="15" customHeight="1">
      <c r="A73" s="82" t="e">
        <f t="shared" si="25"/>
        <v>#REF!</v>
      </c>
      <c r="B73" s="134">
        <v>102</v>
      </c>
      <c r="C73" s="135" t="s">
        <v>942</v>
      </c>
      <c r="D73" s="136" t="s">
        <v>274</v>
      </c>
      <c r="E73" s="137" t="s">
        <v>947</v>
      </c>
      <c r="F73" s="138" t="s">
        <v>636</v>
      </c>
      <c r="G73" s="139" t="s">
        <v>877</v>
      </c>
      <c r="H73" s="140" t="str">
        <f t="shared" si="26"/>
        <v>Niet van toepassing</v>
      </c>
      <c r="I73" s="138"/>
      <c r="J73" s="138" t="s">
        <v>1172</v>
      </c>
      <c r="K73" s="141" t="str">
        <f t="shared" si="27"/>
        <v>NVT</v>
      </c>
      <c r="L73" s="141" t="str">
        <f t="shared" si="28"/>
        <v>NVT</v>
      </c>
      <c r="M73" s="141" t="str">
        <f t="shared" si="29"/>
        <v>NVT</v>
      </c>
      <c r="N73" s="141" t="str">
        <f t="shared" si="30"/>
        <v>NVT</v>
      </c>
      <c r="O73" s="141" t="str">
        <f t="shared" si="31"/>
        <v>NVT</v>
      </c>
      <c r="P73" s="141" t="str">
        <f t="shared" si="32"/>
        <v>NVT</v>
      </c>
      <c r="Q73" s="141" t="str">
        <f t="shared" si="33"/>
        <v>NVT</v>
      </c>
      <c r="R73" s="63" t="s">
        <v>1221</v>
      </c>
      <c r="S73" s="142">
        <f t="shared" si="9"/>
        <v>0</v>
      </c>
      <c r="T73" s="143">
        <v>0</v>
      </c>
      <c r="U73" s="144"/>
      <c r="V73" s="144"/>
      <c r="W73" s="144"/>
      <c r="X73" s="144"/>
      <c r="Y73" s="144"/>
      <c r="Z73" s="145"/>
      <c r="AA73" s="145"/>
      <c r="AB73" s="145"/>
      <c r="AC73" s="145"/>
      <c r="AD73" s="146" t="s">
        <v>1258</v>
      </c>
      <c r="AE73" s="171">
        <v>1</v>
      </c>
      <c r="AF73" s="147">
        <f t="shared" si="34"/>
        <v>0</v>
      </c>
      <c r="AG73" s="147">
        <f t="shared" si="35"/>
        <v>0</v>
      </c>
      <c r="AH73" s="147">
        <f t="shared" si="36"/>
        <v>0</v>
      </c>
      <c r="AI73" s="147">
        <f t="shared" si="37"/>
        <v>0</v>
      </c>
      <c r="AJ73" s="148">
        <f t="shared" si="38"/>
        <v>0</v>
      </c>
      <c r="AK73" s="149">
        <f t="shared" si="21"/>
        <v>0</v>
      </c>
      <c r="AL73" s="149">
        <f t="shared" si="22"/>
        <v>0</v>
      </c>
      <c r="AM73" s="149">
        <f t="shared" si="23"/>
        <v>0</v>
      </c>
      <c r="AN73" s="149">
        <f t="shared" si="24"/>
        <v>0</v>
      </c>
      <c r="AO73" s="150">
        <f t="shared" si="39"/>
        <v>0</v>
      </c>
      <c r="AQ73" s="151">
        <f t="shared" si="40"/>
        <v>0</v>
      </c>
    </row>
    <row r="74" spans="1:43" ht="15" customHeight="1">
      <c r="A74" s="82" t="e">
        <f t="shared" si="25"/>
        <v>#REF!</v>
      </c>
      <c r="B74" s="134">
        <v>102</v>
      </c>
      <c r="C74" s="135" t="s">
        <v>942</v>
      </c>
      <c r="D74" s="136" t="s">
        <v>274</v>
      </c>
      <c r="E74" s="137" t="s">
        <v>947</v>
      </c>
      <c r="F74" s="138" t="s">
        <v>636</v>
      </c>
      <c r="G74" s="139" t="s">
        <v>639</v>
      </c>
      <c r="H74" s="140" t="str">
        <f t="shared" si="26"/>
        <v>Niet van toepassing</v>
      </c>
      <c r="I74" s="138"/>
      <c r="J74" s="138" t="s">
        <v>1172</v>
      </c>
      <c r="K74" s="141" t="str">
        <f t="shared" si="27"/>
        <v>NVT</v>
      </c>
      <c r="L74" s="141" t="str">
        <f t="shared" si="28"/>
        <v>NVT</v>
      </c>
      <c r="M74" s="141" t="str">
        <f t="shared" si="29"/>
        <v>NVT</v>
      </c>
      <c r="N74" s="141" t="str">
        <f t="shared" si="30"/>
        <v>NVT</v>
      </c>
      <c r="O74" s="141" t="str">
        <f t="shared" si="31"/>
        <v>NVT</v>
      </c>
      <c r="P74" s="141" t="str">
        <f t="shared" si="32"/>
        <v>NVT</v>
      </c>
      <c r="Q74" s="141" t="str">
        <f t="shared" si="33"/>
        <v>NVT</v>
      </c>
      <c r="R74" s="63" t="s">
        <v>1221</v>
      </c>
      <c r="S74" s="142">
        <f t="shared" si="9"/>
        <v>0</v>
      </c>
      <c r="T74" s="143">
        <v>0</v>
      </c>
      <c r="U74" s="144"/>
      <c r="V74" s="144"/>
      <c r="W74" s="144"/>
      <c r="X74" s="144"/>
      <c r="Y74" s="144"/>
      <c r="Z74" s="145"/>
      <c r="AA74" s="145"/>
      <c r="AB74" s="145"/>
      <c r="AC74" s="145"/>
      <c r="AD74" s="146" t="s">
        <v>1258</v>
      </c>
      <c r="AE74" s="171">
        <v>1</v>
      </c>
      <c r="AF74" s="147">
        <f t="shared" si="34"/>
        <v>0</v>
      </c>
      <c r="AG74" s="147">
        <f t="shared" si="35"/>
        <v>0</v>
      </c>
      <c r="AH74" s="147">
        <f t="shared" si="36"/>
        <v>0</v>
      </c>
      <c r="AI74" s="147">
        <f t="shared" si="37"/>
        <v>0</v>
      </c>
      <c r="AJ74" s="148">
        <f t="shared" si="38"/>
        <v>0</v>
      </c>
      <c r="AK74" s="149">
        <f t="shared" si="21"/>
        <v>0</v>
      </c>
      <c r="AL74" s="149">
        <f t="shared" si="22"/>
        <v>0</v>
      </c>
      <c r="AM74" s="149">
        <f t="shared" si="23"/>
        <v>0</v>
      </c>
      <c r="AN74" s="149">
        <f t="shared" si="24"/>
        <v>0</v>
      </c>
      <c r="AO74" s="150">
        <f t="shared" si="39"/>
        <v>0</v>
      </c>
      <c r="AQ74" s="151">
        <f t="shared" si="40"/>
        <v>0</v>
      </c>
    </row>
    <row r="75" spans="1:43" ht="15" customHeight="1">
      <c r="A75" s="82" t="e">
        <f t="shared" si="25"/>
        <v>#REF!</v>
      </c>
      <c r="B75" s="134">
        <v>102</v>
      </c>
      <c r="C75" s="135" t="s">
        <v>942</v>
      </c>
      <c r="D75" s="136" t="s">
        <v>274</v>
      </c>
      <c r="E75" s="137" t="s">
        <v>947</v>
      </c>
      <c r="F75" s="138" t="s">
        <v>646</v>
      </c>
      <c r="G75" s="139" t="s">
        <v>637</v>
      </c>
      <c r="H75" s="140" t="str">
        <f t="shared" si="26"/>
        <v>Niet van toepassing</v>
      </c>
      <c r="I75" s="138" t="s">
        <v>35</v>
      </c>
      <c r="J75" s="138" t="s">
        <v>1172</v>
      </c>
      <c r="K75" s="141" t="str">
        <f t="shared" si="27"/>
        <v>NVT</v>
      </c>
      <c r="L75" s="141" t="str">
        <f t="shared" si="28"/>
        <v>NVT</v>
      </c>
      <c r="M75" s="141" t="str">
        <f t="shared" si="29"/>
        <v>NVT</v>
      </c>
      <c r="N75" s="141" t="str">
        <f t="shared" si="30"/>
        <v>NVT</v>
      </c>
      <c r="O75" s="141" t="str">
        <f t="shared" si="31"/>
        <v>NVT</v>
      </c>
      <c r="P75" s="141" t="str">
        <f t="shared" si="32"/>
        <v>NVT</v>
      </c>
      <c r="Q75" s="141" t="str">
        <f t="shared" si="33"/>
        <v>NVT</v>
      </c>
      <c r="R75" s="63" t="s">
        <v>1221</v>
      </c>
      <c r="S75" s="142">
        <f t="shared" si="9"/>
        <v>0</v>
      </c>
      <c r="T75" s="143">
        <v>37.700000000000003</v>
      </c>
      <c r="U75" s="144"/>
      <c r="V75" s="144"/>
      <c r="W75" s="144">
        <v>80</v>
      </c>
      <c r="X75" s="144"/>
      <c r="Y75" s="144"/>
      <c r="Z75" s="145"/>
      <c r="AA75" s="145">
        <v>29</v>
      </c>
      <c r="AB75" s="145"/>
      <c r="AC75" s="145"/>
      <c r="AD75" s="146" t="s">
        <v>683</v>
      </c>
      <c r="AE75" s="171">
        <v>1</v>
      </c>
      <c r="AF75" s="147">
        <f t="shared" si="34"/>
        <v>0</v>
      </c>
      <c r="AG75" s="147">
        <f t="shared" si="35"/>
        <v>0</v>
      </c>
      <c r="AH75" s="147">
        <f t="shared" si="36"/>
        <v>0</v>
      </c>
      <c r="AI75" s="147">
        <f t="shared" si="37"/>
        <v>0</v>
      </c>
      <c r="AJ75" s="148">
        <f t="shared" si="38"/>
        <v>0</v>
      </c>
      <c r="AK75" s="149">
        <f t="shared" si="21"/>
        <v>0</v>
      </c>
      <c r="AL75" s="149">
        <f t="shared" si="22"/>
        <v>0</v>
      </c>
      <c r="AM75" s="149">
        <f t="shared" si="23"/>
        <v>0</v>
      </c>
      <c r="AN75" s="149">
        <f t="shared" si="24"/>
        <v>0</v>
      </c>
      <c r="AO75" s="150">
        <f t="shared" si="39"/>
        <v>0</v>
      </c>
      <c r="AQ75" s="151">
        <f t="shared" si="40"/>
        <v>0</v>
      </c>
    </row>
    <row r="76" spans="1:43" ht="15" customHeight="1">
      <c r="A76" s="82" t="e">
        <f t="shared" si="25"/>
        <v>#REF!</v>
      </c>
      <c r="B76" s="134">
        <v>102</v>
      </c>
      <c r="C76" s="135" t="s">
        <v>942</v>
      </c>
      <c r="D76" s="136" t="s">
        <v>274</v>
      </c>
      <c r="E76" s="137" t="s">
        <v>947</v>
      </c>
      <c r="F76" s="138" t="s">
        <v>646</v>
      </c>
      <c r="G76" s="139" t="s">
        <v>881</v>
      </c>
      <c r="H76" s="140" t="str">
        <f t="shared" si="26"/>
        <v>Niet van toepassing</v>
      </c>
      <c r="I76" s="138" t="s">
        <v>195</v>
      </c>
      <c r="J76" s="138" t="s">
        <v>1172</v>
      </c>
      <c r="K76" s="141" t="str">
        <f t="shared" si="27"/>
        <v>NVT</v>
      </c>
      <c r="L76" s="141" t="str">
        <f t="shared" si="28"/>
        <v>NVT</v>
      </c>
      <c r="M76" s="141" t="str">
        <f t="shared" si="29"/>
        <v>NVT</v>
      </c>
      <c r="N76" s="141" t="str">
        <f t="shared" si="30"/>
        <v>NVT</v>
      </c>
      <c r="O76" s="141" t="str">
        <f t="shared" si="31"/>
        <v>NVT</v>
      </c>
      <c r="P76" s="141" t="str">
        <f t="shared" si="32"/>
        <v>NVT</v>
      </c>
      <c r="Q76" s="141" t="str">
        <f t="shared" si="33"/>
        <v>NVT</v>
      </c>
      <c r="R76" s="63" t="s">
        <v>1221</v>
      </c>
      <c r="S76" s="142">
        <f t="shared" ref="S76:S139" si="41">VLOOKUP(R76,Kengetal,2,FALSE)</f>
        <v>0</v>
      </c>
      <c r="T76" s="143">
        <v>19.5</v>
      </c>
      <c r="U76" s="144"/>
      <c r="V76" s="144">
        <v>67</v>
      </c>
      <c r="W76" s="144"/>
      <c r="X76" s="144"/>
      <c r="Y76" s="144"/>
      <c r="Z76" s="145"/>
      <c r="AA76" s="145"/>
      <c r="AB76" s="145">
        <v>15</v>
      </c>
      <c r="AC76" s="145"/>
      <c r="AD76" s="146" t="s">
        <v>490</v>
      </c>
      <c r="AE76" s="171">
        <v>1</v>
      </c>
      <c r="AF76" s="147">
        <f t="shared" si="34"/>
        <v>0</v>
      </c>
      <c r="AG76" s="147">
        <f t="shared" si="35"/>
        <v>0</v>
      </c>
      <c r="AH76" s="147">
        <f t="shared" si="36"/>
        <v>0</v>
      </c>
      <c r="AI76" s="147">
        <f t="shared" si="37"/>
        <v>0</v>
      </c>
      <c r="AJ76" s="148">
        <f t="shared" si="38"/>
        <v>0</v>
      </c>
      <c r="AK76" s="149">
        <f t="shared" si="21"/>
        <v>0</v>
      </c>
      <c r="AL76" s="149">
        <f t="shared" si="22"/>
        <v>0</v>
      </c>
      <c r="AM76" s="149">
        <f t="shared" si="23"/>
        <v>0</v>
      </c>
      <c r="AN76" s="149">
        <f t="shared" si="24"/>
        <v>0</v>
      </c>
      <c r="AO76" s="150">
        <f t="shared" si="39"/>
        <v>0</v>
      </c>
      <c r="AQ76" s="151">
        <f t="shared" si="40"/>
        <v>0</v>
      </c>
    </row>
    <row r="77" spans="1:43" ht="15" customHeight="1">
      <c r="A77" s="82" t="e">
        <f t="shared" si="25"/>
        <v>#REF!</v>
      </c>
      <c r="B77" s="134">
        <v>102</v>
      </c>
      <c r="C77" s="135" t="s">
        <v>942</v>
      </c>
      <c r="D77" s="136" t="s">
        <v>274</v>
      </c>
      <c r="E77" s="137" t="s">
        <v>947</v>
      </c>
      <c r="F77" s="138" t="s">
        <v>646</v>
      </c>
      <c r="G77" s="139" t="s">
        <v>882</v>
      </c>
      <c r="H77" s="140" t="str">
        <f t="shared" si="26"/>
        <v>Niet van toepassing</v>
      </c>
      <c r="I77" s="138" t="s">
        <v>195</v>
      </c>
      <c r="J77" s="138" t="s">
        <v>1172</v>
      </c>
      <c r="K77" s="141" t="str">
        <f t="shared" si="27"/>
        <v>NVT</v>
      </c>
      <c r="L77" s="141" t="str">
        <f t="shared" si="28"/>
        <v>NVT</v>
      </c>
      <c r="M77" s="141" t="str">
        <f t="shared" si="29"/>
        <v>NVT</v>
      </c>
      <c r="N77" s="141" t="str">
        <f t="shared" si="30"/>
        <v>NVT</v>
      </c>
      <c r="O77" s="141" t="str">
        <f t="shared" si="31"/>
        <v>NVT</v>
      </c>
      <c r="P77" s="141" t="str">
        <f t="shared" si="32"/>
        <v>NVT</v>
      </c>
      <c r="Q77" s="141" t="str">
        <f t="shared" si="33"/>
        <v>NVT</v>
      </c>
      <c r="R77" s="63" t="s">
        <v>1221</v>
      </c>
      <c r="S77" s="142">
        <f t="shared" si="41"/>
        <v>0</v>
      </c>
      <c r="T77" s="143">
        <v>23.400000000000002</v>
      </c>
      <c r="U77" s="144"/>
      <c r="V77" s="144">
        <v>62</v>
      </c>
      <c r="W77" s="144"/>
      <c r="X77" s="144"/>
      <c r="Y77" s="144"/>
      <c r="Z77" s="145"/>
      <c r="AA77" s="145"/>
      <c r="AB77" s="145">
        <v>18</v>
      </c>
      <c r="AC77" s="145"/>
      <c r="AD77" s="146" t="s">
        <v>679</v>
      </c>
      <c r="AE77" s="171">
        <v>1</v>
      </c>
      <c r="AF77" s="147">
        <f t="shared" si="34"/>
        <v>0</v>
      </c>
      <c r="AG77" s="147">
        <f t="shared" si="35"/>
        <v>0</v>
      </c>
      <c r="AH77" s="147">
        <f t="shared" si="36"/>
        <v>0</v>
      </c>
      <c r="AI77" s="147">
        <f t="shared" si="37"/>
        <v>0</v>
      </c>
      <c r="AJ77" s="148">
        <f t="shared" si="38"/>
        <v>0</v>
      </c>
      <c r="AK77" s="149">
        <f t="shared" si="21"/>
        <v>0</v>
      </c>
      <c r="AL77" s="149">
        <f t="shared" si="22"/>
        <v>0</v>
      </c>
      <c r="AM77" s="149">
        <f t="shared" si="23"/>
        <v>0</v>
      </c>
      <c r="AN77" s="149">
        <f t="shared" si="24"/>
        <v>0</v>
      </c>
      <c r="AO77" s="150">
        <f t="shared" si="39"/>
        <v>0</v>
      </c>
      <c r="AQ77" s="151">
        <f t="shared" si="40"/>
        <v>0</v>
      </c>
    </row>
    <row r="78" spans="1:43" ht="15" customHeight="1">
      <c r="A78" s="82" t="e">
        <f t="shared" si="25"/>
        <v>#REF!</v>
      </c>
      <c r="B78" s="134">
        <v>102</v>
      </c>
      <c r="C78" s="135" t="s">
        <v>942</v>
      </c>
      <c r="D78" s="136" t="s">
        <v>274</v>
      </c>
      <c r="E78" s="137" t="s">
        <v>947</v>
      </c>
      <c r="F78" s="138" t="s">
        <v>646</v>
      </c>
      <c r="G78" s="139" t="s">
        <v>670</v>
      </c>
      <c r="H78" s="140" t="str">
        <f t="shared" si="26"/>
        <v>Niet van toepassing</v>
      </c>
      <c r="I78" s="138" t="s">
        <v>35</v>
      </c>
      <c r="J78" s="138" t="s">
        <v>1172</v>
      </c>
      <c r="K78" s="141" t="str">
        <f t="shared" si="27"/>
        <v>NVT</v>
      </c>
      <c r="L78" s="141" t="str">
        <f t="shared" si="28"/>
        <v>NVT</v>
      </c>
      <c r="M78" s="141" t="str">
        <f t="shared" si="29"/>
        <v>NVT</v>
      </c>
      <c r="N78" s="141" t="str">
        <f t="shared" si="30"/>
        <v>NVT</v>
      </c>
      <c r="O78" s="141" t="str">
        <f t="shared" si="31"/>
        <v>NVT</v>
      </c>
      <c r="P78" s="141" t="str">
        <f t="shared" si="32"/>
        <v>NVT</v>
      </c>
      <c r="Q78" s="141" t="str">
        <f t="shared" si="33"/>
        <v>NVT</v>
      </c>
      <c r="R78" s="63" t="s">
        <v>1221</v>
      </c>
      <c r="S78" s="142">
        <f t="shared" si="41"/>
        <v>0</v>
      </c>
      <c r="T78" s="143">
        <v>59.800000000000004</v>
      </c>
      <c r="U78" s="144"/>
      <c r="V78" s="144"/>
      <c r="W78" s="144">
        <v>99</v>
      </c>
      <c r="X78" s="144"/>
      <c r="Y78" s="144"/>
      <c r="Z78" s="145"/>
      <c r="AA78" s="145">
        <v>46</v>
      </c>
      <c r="AB78" s="145"/>
      <c r="AC78" s="145"/>
      <c r="AD78" s="146"/>
      <c r="AE78" s="171">
        <v>1</v>
      </c>
      <c r="AF78" s="147">
        <f t="shared" si="34"/>
        <v>0</v>
      </c>
      <c r="AG78" s="147">
        <f t="shared" si="35"/>
        <v>0</v>
      </c>
      <c r="AH78" s="147">
        <f t="shared" si="36"/>
        <v>0</v>
      </c>
      <c r="AI78" s="147">
        <f t="shared" si="37"/>
        <v>0</v>
      </c>
      <c r="AJ78" s="148">
        <f t="shared" si="38"/>
        <v>0</v>
      </c>
      <c r="AK78" s="149">
        <f t="shared" si="21"/>
        <v>0</v>
      </c>
      <c r="AL78" s="149">
        <f t="shared" si="22"/>
        <v>0</v>
      </c>
      <c r="AM78" s="149">
        <f t="shared" si="23"/>
        <v>0</v>
      </c>
      <c r="AN78" s="149">
        <f t="shared" si="24"/>
        <v>0</v>
      </c>
      <c r="AO78" s="150">
        <f t="shared" si="39"/>
        <v>0</v>
      </c>
      <c r="AQ78" s="151">
        <f t="shared" si="40"/>
        <v>0</v>
      </c>
    </row>
    <row r="79" spans="1:43" ht="15" customHeight="1">
      <c r="A79" s="82" t="e">
        <f t="shared" si="25"/>
        <v>#REF!</v>
      </c>
      <c r="B79" s="134">
        <v>102</v>
      </c>
      <c r="C79" s="135" t="s">
        <v>942</v>
      </c>
      <c r="D79" s="136" t="s">
        <v>274</v>
      </c>
      <c r="E79" s="137" t="s">
        <v>947</v>
      </c>
      <c r="F79" s="138" t="s">
        <v>646</v>
      </c>
      <c r="G79" s="139" t="s">
        <v>647</v>
      </c>
      <c r="H79" s="140" t="str">
        <f t="shared" si="26"/>
        <v>Niet van toepassing</v>
      </c>
      <c r="I79" s="138" t="s">
        <v>35</v>
      </c>
      <c r="J79" s="138" t="s">
        <v>1172</v>
      </c>
      <c r="K79" s="141" t="str">
        <f t="shared" si="27"/>
        <v>NVT</v>
      </c>
      <c r="L79" s="141" t="str">
        <f t="shared" si="28"/>
        <v>NVT</v>
      </c>
      <c r="M79" s="141" t="str">
        <f t="shared" si="29"/>
        <v>NVT</v>
      </c>
      <c r="N79" s="141" t="str">
        <f t="shared" si="30"/>
        <v>NVT</v>
      </c>
      <c r="O79" s="141" t="str">
        <f t="shared" si="31"/>
        <v>NVT</v>
      </c>
      <c r="P79" s="141" t="str">
        <f t="shared" si="32"/>
        <v>NVT</v>
      </c>
      <c r="Q79" s="141" t="str">
        <f t="shared" si="33"/>
        <v>NVT</v>
      </c>
      <c r="R79" s="63" t="s">
        <v>1221</v>
      </c>
      <c r="S79" s="142">
        <f t="shared" si="41"/>
        <v>0</v>
      </c>
      <c r="T79" s="143">
        <v>7.8000000000000007</v>
      </c>
      <c r="U79" s="144"/>
      <c r="V79" s="144"/>
      <c r="W79" s="144">
        <v>58</v>
      </c>
      <c r="X79" s="144"/>
      <c r="Y79" s="144"/>
      <c r="Z79" s="145"/>
      <c r="AA79" s="145"/>
      <c r="AB79" s="145"/>
      <c r="AC79" s="145">
        <v>6</v>
      </c>
      <c r="AD79" s="146" t="s">
        <v>679</v>
      </c>
      <c r="AE79" s="171">
        <v>1</v>
      </c>
      <c r="AF79" s="147">
        <f t="shared" si="34"/>
        <v>0</v>
      </c>
      <c r="AG79" s="147">
        <f t="shared" si="35"/>
        <v>0</v>
      </c>
      <c r="AH79" s="147">
        <f t="shared" si="36"/>
        <v>0</v>
      </c>
      <c r="AI79" s="147">
        <f t="shared" si="37"/>
        <v>0</v>
      </c>
      <c r="AJ79" s="148">
        <f t="shared" si="38"/>
        <v>0</v>
      </c>
      <c r="AK79" s="149">
        <f t="shared" si="21"/>
        <v>0</v>
      </c>
      <c r="AL79" s="149">
        <f t="shared" si="22"/>
        <v>0</v>
      </c>
      <c r="AM79" s="149">
        <f t="shared" si="23"/>
        <v>0</v>
      </c>
      <c r="AN79" s="149">
        <f t="shared" si="24"/>
        <v>0</v>
      </c>
      <c r="AO79" s="150">
        <f t="shared" si="39"/>
        <v>0</v>
      </c>
      <c r="AQ79" s="151">
        <f t="shared" si="40"/>
        <v>0</v>
      </c>
    </row>
    <row r="80" spans="1:43" ht="15" customHeight="1">
      <c r="A80" s="82" t="e">
        <f t="shared" si="25"/>
        <v>#REF!</v>
      </c>
      <c r="B80" s="134">
        <v>102</v>
      </c>
      <c r="C80" s="135" t="s">
        <v>942</v>
      </c>
      <c r="D80" s="136" t="s">
        <v>274</v>
      </c>
      <c r="E80" s="137" t="s">
        <v>947</v>
      </c>
      <c r="F80" s="138" t="s">
        <v>646</v>
      </c>
      <c r="G80" s="139" t="s">
        <v>649</v>
      </c>
      <c r="H80" s="140" t="str">
        <f t="shared" si="26"/>
        <v>Niet van toepassing</v>
      </c>
      <c r="I80" s="138" t="s">
        <v>35</v>
      </c>
      <c r="J80" s="138" t="s">
        <v>1172</v>
      </c>
      <c r="K80" s="141" t="str">
        <f t="shared" si="27"/>
        <v>NVT</v>
      </c>
      <c r="L80" s="141" t="str">
        <f t="shared" si="28"/>
        <v>NVT</v>
      </c>
      <c r="M80" s="141" t="str">
        <f t="shared" si="29"/>
        <v>NVT</v>
      </c>
      <c r="N80" s="141" t="str">
        <f t="shared" si="30"/>
        <v>NVT</v>
      </c>
      <c r="O80" s="141" t="str">
        <f t="shared" si="31"/>
        <v>NVT</v>
      </c>
      <c r="P80" s="141" t="str">
        <f t="shared" si="32"/>
        <v>NVT</v>
      </c>
      <c r="Q80" s="141" t="str">
        <f t="shared" si="33"/>
        <v>NVT</v>
      </c>
      <c r="R80" s="63" t="s">
        <v>1221</v>
      </c>
      <c r="S80" s="142">
        <f t="shared" si="41"/>
        <v>0</v>
      </c>
      <c r="T80" s="143">
        <v>11.700000000000001</v>
      </c>
      <c r="U80" s="144"/>
      <c r="V80" s="144"/>
      <c r="W80" s="144">
        <v>48</v>
      </c>
      <c r="X80" s="144"/>
      <c r="Y80" s="144"/>
      <c r="Z80" s="145"/>
      <c r="AA80" s="145"/>
      <c r="AB80" s="145"/>
      <c r="AC80" s="145">
        <v>9</v>
      </c>
      <c r="AD80" s="146" t="s">
        <v>679</v>
      </c>
      <c r="AE80" s="171">
        <v>1</v>
      </c>
      <c r="AF80" s="147">
        <f t="shared" si="34"/>
        <v>0</v>
      </c>
      <c r="AG80" s="147">
        <f t="shared" si="35"/>
        <v>0</v>
      </c>
      <c r="AH80" s="147">
        <f t="shared" si="36"/>
        <v>0</v>
      </c>
      <c r="AI80" s="147">
        <f t="shared" si="37"/>
        <v>0</v>
      </c>
      <c r="AJ80" s="148">
        <f t="shared" si="38"/>
        <v>0</v>
      </c>
      <c r="AK80" s="149">
        <f t="shared" si="21"/>
        <v>0</v>
      </c>
      <c r="AL80" s="149">
        <f t="shared" si="22"/>
        <v>0</v>
      </c>
      <c r="AM80" s="149">
        <f t="shared" si="23"/>
        <v>0</v>
      </c>
      <c r="AN80" s="149">
        <f t="shared" si="24"/>
        <v>0</v>
      </c>
      <c r="AO80" s="150">
        <f t="shared" si="39"/>
        <v>0</v>
      </c>
      <c r="AQ80" s="151">
        <f t="shared" si="40"/>
        <v>0</v>
      </c>
    </row>
    <row r="81" spans="1:43" ht="15" customHeight="1">
      <c r="A81" s="82" t="e">
        <f t="shared" si="25"/>
        <v>#REF!</v>
      </c>
      <c r="B81" s="134">
        <v>102</v>
      </c>
      <c r="C81" s="135" t="s">
        <v>942</v>
      </c>
      <c r="D81" s="136" t="s">
        <v>274</v>
      </c>
      <c r="E81" s="137" t="s">
        <v>947</v>
      </c>
      <c r="F81" s="138" t="s">
        <v>646</v>
      </c>
      <c r="G81" s="139" t="s">
        <v>660</v>
      </c>
      <c r="H81" s="140" t="str">
        <f t="shared" si="26"/>
        <v>Niet van toepassing</v>
      </c>
      <c r="I81" s="138"/>
      <c r="J81" s="138" t="s">
        <v>1172</v>
      </c>
      <c r="K81" s="141" t="str">
        <f t="shared" si="27"/>
        <v>NVT</v>
      </c>
      <c r="L81" s="141" t="str">
        <f t="shared" si="28"/>
        <v>NVT</v>
      </c>
      <c r="M81" s="141" t="str">
        <f t="shared" si="29"/>
        <v>NVT</v>
      </c>
      <c r="N81" s="141" t="str">
        <f t="shared" si="30"/>
        <v>NVT</v>
      </c>
      <c r="O81" s="141" t="str">
        <f t="shared" si="31"/>
        <v>NVT</v>
      </c>
      <c r="P81" s="141" t="str">
        <f t="shared" si="32"/>
        <v>NVT</v>
      </c>
      <c r="Q81" s="141" t="str">
        <f t="shared" si="33"/>
        <v>NVT</v>
      </c>
      <c r="R81" s="63" t="s">
        <v>1221</v>
      </c>
      <c r="S81" s="142">
        <f t="shared" si="41"/>
        <v>0</v>
      </c>
      <c r="T81" s="143">
        <v>0</v>
      </c>
      <c r="U81" s="144"/>
      <c r="V81" s="144"/>
      <c r="W81" s="144"/>
      <c r="X81" s="144"/>
      <c r="Y81" s="144"/>
      <c r="Z81" s="145"/>
      <c r="AA81" s="145"/>
      <c r="AB81" s="145"/>
      <c r="AC81" s="145"/>
      <c r="AD81" s="146" t="s">
        <v>1258</v>
      </c>
      <c r="AE81" s="171">
        <v>1</v>
      </c>
      <c r="AF81" s="147">
        <f t="shared" si="34"/>
        <v>0</v>
      </c>
      <c r="AG81" s="147">
        <f t="shared" si="35"/>
        <v>0</v>
      </c>
      <c r="AH81" s="147">
        <f t="shared" si="36"/>
        <v>0</v>
      </c>
      <c r="AI81" s="147">
        <f t="shared" si="37"/>
        <v>0</v>
      </c>
      <c r="AJ81" s="148">
        <f t="shared" si="38"/>
        <v>0</v>
      </c>
      <c r="AK81" s="149">
        <f t="shared" si="21"/>
        <v>0</v>
      </c>
      <c r="AL81" s="149">
        <f t="shared" si="22"/>
        <v>0</v>
      </c>
      <c r="AM81" s="149">
        <f t="shared" si="23"/>
        <v>0</v>
      </c>
      <c r="AN81" s="149">
        <f t="shared" si="24"/>
        <v>0</v>
      </c>
      <c r="AO81" s="150">
        <f t="shared" si="39"/>
        <v>0</v>
      </c>
      <c r="AQ81" s="151">
        <f t="shared" si="40"/>
        <v>0</v>
      </c>
    </row>
    <row r="82" spans="1:43" ht="15" customHeight="1">
      <c r="A82" s="82" t="e">
        <f t="shared" si="25"/>
        <v>#REF!</v>
      </c>
      <c r="B82" s="134">
        <v>102</v>
      </c>
      <c r="C82" s="135" t="s">
        <v>942</v>
      </c>
      <c r="D82" s="136" t="s">
        <v>274</v>
      </c>
      <c r="E82" s="137" t="s">
        <v>947</v>
      </c>
      <c r="F82" s="138" t="s">
        <v>646</v>
      </c>
      <c r="G82" s="139" t="s">
        <v>661</v>
      </c>
      <c r="H82" s="140" t="str">
        <f t="shared" si="26"/>
        <v>Niet van toepassing</v>
      </c>
      <c r="I82" s="138"/>
      <c r="J82" s="138" t="s">
        <v>1172</v>
      </c>
      <c r="K82" s="141" t="str">
        <f t="shared" si="27"/>
        <v>NVT</v>
      </c>
      <c r="L82" s="141" t="str">
        <f t="shared" si="28"/>
        <v>NVT</v>
      </c>
      <c r="M82" s="141" t="str">
        <f t="shared" si="29"/>
        <v>NVT</v>
      </c>
      <c r="N82" s="141" t="str">
        <f t="shared" si="30"/>
        <v>NVT</v>
      </c>
      <c r="O82" s="141" t="str">
        <f t="shared" si="31"/>
        <v>NVT</v>
      </c>
      <c r="P82" s="141" t="str">
        <f t="shared" si="32"/>
        <v>NVT</v>
      </c>
      <c r="Q82" s="141" t="str">
        <f t="shared" si="33"/>
        <v>NVT</v>
      </c>
      <c r="R82" s="63" t="s">
        <v>1221</v>
      </c>
      <c r="S82" s="142">
        <f t="shared" si="41"/>
        <v>0</v>
      </c>
      <c r="T82" s="143">
        <v>0</v>
      </c>
      <c r="U82" s="144"/>
      <c r="V82" s="144"/>
      <c r="W82" s="144"/>
      <c r="X82" s="144"/>
      <c r="Y82" s="144"/>
      <c r="Z82" s="145"/>
      <c r="AA82" s="145"/>
      <c r="AB82" s="145"/>
      <c r="AC82" s="145"/>
      <c r="AD82" s="146" t="s">
        <v>1258</v>
      </c>
      <c r="AE82" s="171">
        <v>1</v>
      </c>
      <c r="AF82" s="147">
        <f t="shared" si="34"/>
        <v>0</v>
      </c>
      <c r="AG82" s="147">
        <f t="shared" si="35"/>
        <v>0</v>
      </c>
      <c r="AH82" s="147">
        <f t="shared" si="36"/>
        <v>0</v>
      </c>
      <c r="AI82" s="147">
        <f t="shared" si="37"/>
        <v>0</v>
      </c>
      <c r="AJ82" s="148">
        <f t="shared" si="38"/>
        <v>0</v>
      </c>
      <c r="AK82" s="149">
        <f t="shared" si="21"/>
        <v>0</v>
      </c>
      <c r="AL82" s="149">
        <f t="shared" si="22"/>
        <v>0</v>
      </c>
      <c r="AM82" s="149">
        <f t="shared" si="23"/>
        <v>0</v>
      </c>
      <c r="AN82" s="149">
        <f t="shared" si="24"/>
        <v>0</v>
      </c>
      <c r="AO82" s="150">
        <f t="shared" si="39"/>
        <v>0</v>
      </c>
      <c r="AQ82" s="151">
        <f t="shared" si="40"/>
        <v>0</v>
      </c>
    </row>
    <row r="83" spans="1:43" ht="15" customHeight="1">
      <c r="A83" s="82" t="e">
        <f t="shared" si="25"/>
        <v>#REF!</v>
      </c>
      <c r="B83" s="134">
        <v>102</v>
      </c>
      <c r="C83" s="135" t="s">
        <v>942</v>
      </c>
      <c r="D83" s="136" t="s">
        <v>274</v>
      </c>
      <c r="E83" s="137" t="s">
        <v>947</v>
      </c>
      <c r="F83" s="138" t="s">
        <v>646</v>
      </c>
      <c r="G83" s="139" t="s">
        <v>662</v>
      </c>
      <c r="H83" s="140" t="str">
        <f t="shared" si="26"/>
        <v>Niet van toepassing</v>
      </c>
      <c r="I83" s="138" t="s">
        <v>270</v>
      </c>
      <c r="J83" s="138" t="s">
        <v>1172</v>
      </c>
      <c r="K83" s="141" t="str">
        <f t="shared" si="27"/>
        <v>NVT</v>
      </c>
      <c r="L83" s="141" t="str">
        <f t="shared" si="28"/>
        <v>NVT</v>
      </c>
      <c r="M83" s="141" t="str">
        <f t="shared" si="29"/>
        <v>NVT</v>
      </c>
      <c r="N83" s="141" t="str">
        <f t="shared" si="30"/>
        <v>NVT</v>
      </c>
      <c r="O83" s="141" t="str">
        <f t="shared" si="31"/>
        <v>NVT</v>
      </c>
      <c r="P83" s="141" t="str">
        <f t="shared" si="32"/>
        <v>NVT</v>
      </c>
      <c r="Q83" s="141" t="str">
        <f t="shared" si="33"/>
        <v>NVT</v>
      </c>
      <c r="R83" s="63" t="s">
        <v>1221</v>
      </c>
      <c r="S83" s="142">
        <f t="shared" si="41"/>
        <v>0</v>
      </c>
      <c r="T83" s="143">
        <v>33.800000000000004</v>
      </c>
      <c r="U83" s="144">
        <v>29</v>
      </c>
      <c r="V83" s="144"/>
      <c r="W83" s="144"/>
      <c r="X83" s="144"/>
      <c r="Y83" s="144">
        <v>47</v>
      </c>
      <c r="Z83" s="145"/>
      <c r="AA83" s="145"/>
      <c r="AB83" s="145"/>
      <c r="AC83" s="145">
        <v>29</v>
      </c>
      <c r="AD83" s="146"/>
      <c r="AE83" s="171">
        <v>1</v>
      </c>
      <c r="AF83" s="147">
        <f t="shared" si="34"/>
        <v>0</v>
      </c>
      <c r="AG83" s="147">
        <f t="shared" si="35"/>
        <v>0</v>
      </c>
      <c r="AH83" s="147">
        <f t="shared" si="36"/>
        <v>0</v>
      </c>
      <c r="AI83" s="147">
        <f t="shared" si="37"/>
        <v>0</v>
      </c>
      <c r="AJ83" s="148">
        <f t="shared" si="38"/>
        <v>0</v>
      </c>
      <c r="AK83" s="149">
        <f t="shared" si="21"/>
        <v>0</v>
      </c>
      <c r="AL83" s="149">
        <f t="shared" si="22"/>
        <v>0</v>
      </c>
      <c r="AM83" s="149">
        <f t="shared" si="23"/>
        <v>0</v>
      </c>
      <c r="AN83" s="149">
        <f t="shared" si="24"/>
        <v>0</v>
      </c>
      <c r="AO83" s="150">
        <f t="shared" si="39"/>
        <v>0</v>
      </c>
      <c r="AQ83" s="151">
        <f t="shared" si="40"/>
        <v>0</v>
      </c>
    </row>
    <row r="84" spans="1:43" ht="15" customHeight="1">
      <c r="A84" s="82" t="e">
        <f t="shared" si="25"/>
        <v>#REF!</v>
      </c>
      <c r="B84" s="134">
        <v>102</v>
      </c>
      <c r="C84" s="135" t="s">
        <v>942</v>
      </c>
      <c r="D84" s="136" t="s">
        <v>274</v>
      </c>
      <c r="E84" s="137" t="s">
        <v>947</v>
      </c>
      <c r="F84" s="138" t="s">
        <v>646</v>
      </c>
      <c r="G84" s="139" t="s">
        <v>663</v>
      </c>
      <c r="H84" s="140" t="str">
        <f t="shared" si="26"/>
        <v>Niet van toepassing</v>
      </c>
      <c r="I84" s="138" t="s">
        <v>195</v>
      </c>
      <c r="J84" s="138" t="s">
        <v>1172</v>
      </c>
      <c r="K84" s="141" t="str">
        <f t="shared" si="27"/>
        <v>NVT</v>
      </c>
      <c r="L84" s="141" t="str">
        <f t="shared" si="28"/>
        <v>NVT</v>
      </c>
      <c r="M84" s="141" t="str">
        <f t="shared" si="29"/>
        <v>NVT</v>
      </c>
      <c r="N84" s="141" t="str">
        <f t="shared" si="30"/>
        <v>NVT</v>
      </c>
      <c r="O84" s="141" t="str">
        <f t="shared" si="31"/>
        <v>NVT</v>
      </c>
      <c r="P84" s="141" t="str">
        <f t="shared" si="32"/>
        <v>NVT</v>
      </c>
      <c r="Q84" s="141" t="str">
        <f t="shared" si="33"/>
        <v>NVT</v>
      </c>
      <c r="R84" s="63" t="s">
        <v>1221</v>
      </c>
      <c r="S84" s="142">
        <f t="shared" si="41"/>
        <v>0</v>
      </c>
      <c r="T84" s="143">
        <v>29.900000000000002</v>
      </c>
      <c r="U84" s="144"/>
      <c r="V84" s="144"/>
      <c r="W84" s="144">
        <v>85</v>
      </c>
      <c r="X84" s="144"/>
      <c r="Y84" s="144"/>
      <c r="Z84" s="145"/>
      <c r="AA84" s="145"/>
      <c r="AB84" s="145">
        <v>23</v>
      </c>
      <c r="AC84" s="145"/>
      <c r="AD84" s="146" t="s">
        <v>679</v>
      </c>
      <c r="AE84" s="171">
        <v>1</v>
      </c>
      <c r="AF84" s="147">
        <f t="shared" si="34"/>
        <v>0</v>
      </c>
      <c r="AG84" s="147">
        <f t="shared" si="35"/>
        <v>0</v>
      </c>
      <c r="AH84" s="147">
        <f t="shared" si="36"/>
        <v>0</v>
      </c>
      <c r="AI84" s="147">
        <f t="shared" si="37"/>
        <v>0</v>
      </c>
      <c r="AJ84" s="148">
        <f t="shared" si="38"/>
        <v>0</v>
      </c>
      <c r="AK84" s="149">
        <f t="shared" si="21"/>
        <v>0</v>
      </c>
      <c r="AL84" s="149">
        <f t="shared" si="22"/>
        <v>0</v>
      </c>
      <c r="AM84" s="149">
        <f t="shared" si="23"/>
        <v>0</v>
      </c>
      <c r="AN84" s="149">
        <f t="shared" si="24"/>
        <v>0</v>
      </c>
      <c r="AO84" s="150">
        <f t="shared" si="39"/>
        <v>0</v>
      </c>
      <c r="AQ84" s="151">
        <f t="shared" si="40"/>
        <v>0</v>
      </c>
    </row>
    <row r="85" spans="1:43" ht="15" customHeight="1">
      <c r="A85" s="82" t="e">
        <f t="shared" si="25"/>
        <v>#REF!</v>
      </c>
      <c r="B85" s="134">
        <v>102</v>
      </c>
      <c r="C85" s="135" t="s">
        <v>942</v>
      </c>
      <c r="D85" s="136" t="s">
        <v>274</v>
      </c>
      <c r="E85" s="137" t="s">
        <v>947</v>
      </c>
      <c r="F85" s="138" t="s">
        <v>646</v>
      </c>
      <c r="G85" s="139" t="s">
        <v>664</v>
      </c>
      <c r="H85" s="140" t="str">
        <f t="shared" si="26"/>
        <v>Niet van toepassing</v>
      </c>
      <c r="I85" s="138" t="s">
        <v>35</v>
      </c>
      <c r="J85" s="138" t="s">
        <v>1172</v>
      </c>
      <c r="K85" s="141" t="str">
        <f t="shared" si="27"/>
        <v>NVT</v>
      </c>
      <c r="L85" s="141" t="str">
        <f t="shared" si="28"/>
        <v>NVT</v>
      </c>
      <c r="M85" s="141" t="str">
        <f t="shared" si="29"/>
        <v>NVT</v>
      </c>
      <c r="N85" s="141" t="str">
        <f t="shared" si="30"/>
        <v>NVT</v>
      </c>
      <c r="O85" s="141" t="str">
        <f t="shared" si="31"/>
        <v>NVT</v>
      </c>
      <c r="P85" s="141" t="str">
        <f t="shared" si="32"/>
        <v>NVT</v>
      </c>
      <c r="Q85" s="141" t="str">
        <f t="shared" si="33"/>
        <v>NVT</v>
      </c>
      <c r="R85" s="63" t="s">
        <v>1221</v>
      </c>
      <c r="S85" s="142">
        <f t="shared" si="41"/>
        <v>0</v>
      </c>
      <c r="T85" s="143">
        <v>10.4</v>
      </c>
      <c r="U85" s="144"/>
      <c r="V85" s="144"/>
      <c r="W85" s="144">
        <v>56</v>
      </c>
      <c r="X85" s="144"/>
      <c r="Y85" s="144"/>
      <c r="Z85" s="145"/>
      <c r="AA85" s="145"/>
      <c r="AB85" s="145"/>
      <c r="AC85" s="145">
        <v>8</v>
      </c>
      <c r="AD85" s="146" t="s">
        <v>679</v>
      </c>
      <c r="AE85" s="171">
        <v>1</v>
      </c>
      <c r="AF85" s="147">
        <f t="shared" si="34"/>
        <v>0</v>
      </c>
      <c r="AG85" s="147">
        <f t="shared" si="35"/>
        <v>0</v>
      </c>
      <c r="AH85" s="147">
        <f t="shared" si="36"/>
        <v>0</v>
      </c>
      <c r="AI85" s="147">
        <f t="shared" si="37"/>
        <v>0</v>
      </c>
      <c r="AJ85" s="148">
        <f t="shared" si="38"/>
        <v>0</v>
      </c>
      <c r="AK85" s="149">
        <f t="shared" si="21"/>
        <v>0</v>
      </c>
      <c r="AL85" s="149">
        <f t="shared" si="22"/>
        <v>0</v>
      </c>
      <c r="AM85" s="149">
        <f t="shared" si="23"/>
        <v>0</v>
      </c>
      <c r="AN85" s="149">
        <f t="shared" si="24"/>
        <v>0</v>
      </c>
      <c r="AO85" s="150">
        <f t="shared" si="39"/>
        <v>0</v>
      </c>
      <c r="AQ85" s="151">
        <f t="shared" si="40"/>
        <v>0</v>
      </c>
    </row>
    <row r="86" spans="1:43" ht="15" customHeight="1">
      <c r="A86" s="82" t="e">
        <f t="shared" si="25"/>
        <v>#REF!</v>
      </c>
      <c r="B86" s="134">
        <v>102</v>
      </c>
      <c r="C86" s="135" t="s">
        <v>942</v>
      </c>
      <c r="D86" s="136" t="s">
        <v>274</v>
      </c>
      <c r="E86" s="137" t="s">
        <v>947</v>
      </c>
      <c r="F86" s="138" t="s">
        <v>646</v>
      </c>
      <c r="G86" s="139" t="s">
        <v>665</v>
      </c>
      <c r="H86" s="140" t="str">
        <f t="shared" si="26"/>
        <v>Niet van toepassing</v>
      </c>
      <c r="I86" s="138" t="s">
        <v>35</v>
      </c>
      <c r="J86" s="138" t="s">
        <v>1172</v>
      </c>
      <c r="K86" s="141" t="str">
        <f t="shared" si="27"/>
        <v>NVT</v>
      </c>
      <c r="L86" s="141" t="str">
        <f t="shared" si="28"/>
        <v>NVT</v>
      </c>
      <c r="M86" s="141" t="str">
        <f t="shared" si="29"/>
        <v>NVT</v>
      </c>
      <c r="N86" s="141" t="str">
        <f t="shared" si="30"/>
        <v>NVT</v>
      </c>
      <c r="O86" s="141" t="str">
        <f t="shared" si="31"/>
        <v>NVT</v>
      </c>
      <c r="P86" s="141" t="str">
        <f t="shared" si="32"/>
        <v>NVT</v>
      </c>
      <c r="Q86" s="141" t="str">
        <f t="shared" si="33"/>
        <v>NVT</v>
      </c>
      <c r="R86" s="63" t="s">
        <v>1221</v>
      </c>
      <c r="S86" s="142">
        <f t="shared" si="41"/>
        <v>0</v>
      </c>
      <c r="T86" s="143">
        <v>41.6</v>
      </c>
      <c r="U86" s="144"/>
      <c r="V86" s="144"/>
      <c r="W86" s="144">
        <v>81</v>
      </c>
      <c r="X86" s="144"/>
      <c r="Y86" s="144"/>
      <c r="Z86" s="145"/>
      <c r="AA86" s="145"/>
      <c r="AB86" s="145"/>
      <c r="AC86" s="145">
        <v>32</v>
      </c>
      <c r="AD86" s="146" t="s">
        <v>679</v>
      </c>
      <c r="AE86" s="171">
        <v>1</v>
      </c>
      <c r="AF86" s="147">
        <f t="shared" si="34"/>
        <v>0</v>
      </c>
      <c r="AG86" s="147">
        <f t="shared" si="35"/>
        <v>0</v>
      </c>
      <c r="AH86" s="147">
        <f t="shared" si="36"/>
        <v>0</v>
      </c>
      <c r="AI86" s="147">
        <f t="shared" si="37"/>
        <v>0</v>
      </c>
      <c r="AJ86" s="148">
        <f t="shared" si="38"/>
        <v>0</v>
      </c>
      <c r="AK86" s="149">
        <f t="shared" si="21"/>
        <v>0</v>
      </c>
      <c r="AL86" s="149">
        <f t="shared" si="22"/>
        <v>0</v>
      </c>
      <c r="AM86" s="149">
        <f t="shared" si="23"/>
        <v>0</v>
      </c>
      <c r="AN86" s="149">
        <f t="shared" si="24"/>
        <v>0</v>
      </c>
      <c r="AO86" s="150">
        <f t="shared" si="39"/>
        <v>0</v>
      </c>
      <c r="AQ86" s="151">
        <f t="shared" si="40"/>
        <v>0</v>
      </c>
    </row>
    <row r="87" spans="1:43" ht="15" customHeight="1">
      <c r="A87" s="82" t="e">
        <f t="shared" si="25"/>
        <v>#REF!</v>
      </c>
      <c r="B87" s="134">
        <v>102</v>
      </c>
      <c r="C87" s="135" t="s">
        <v>942</v>
      </c>
      <c r="D87" s="136" t="s">
        <v>274</v>
      </c>
      <c r="E87" s="137" t="s">
        <v>947</v>
      </c>
      <c r="F87" s="138" t="s">
        <v>646</v>
      </c>
      <c r="G87" s="139" t="s">
        <v>666</v>
      </c>
      <c r="H87" s="140" t="str">
        <f t="shared" si="26"/>
        <v>Niet van toepassing</v>
      </c>
      <c r="I87" s="138" t="s">
        <v>35</v>
      </c>
      <c r="J87" s="138" t="s">
        <v>1172</v>
      </c>
      <c r="K87" s="141" t="str">
        <f t="shared" si="27"/>
        <v>NVT</v>
      </c>
      <c r="L87" s="141" t="str">
        <f t="shared" si="28"/>
        <v>NVT</v>
      </c>
      <c r="M87" s="141" t="str">
        <f t="shared" si="29"/>
        <v>NVT</v>
      </c>
      <c r="N87" s="141" t="str">
        <f t="shared" si="30"/>
        <v>NVT</v>
      </c>
      <c r="O87" s="141" t="str">
        <f t="shared" si="31"/>
        <v>NVT</v>
      </c>
      <c r="P87" s="141" t="str">
        <f t="shared" si="32"/>
        <v>NVT</v>
      </c>
      <c r="Q87" s="141" t="str">
        <f t="shared" si="33"/>
        <v>NVT</v>
      </c>
      <c r="R87" s="63" t="s">
        <v>1221</v>
      </c>
      <c r="S87" s="142">
        <f t="shared" si="41"/>
        <v>0</v>
      </c>
      <c r="T87" s="143">
        <v>37.700000000000003</v>
      </c>
      <c r="U87" s="144"/>
      <c r="V87" s="144"/>
      <c r="W87" s="144">
        <v>81</v>
      </c>
      <c r="X87" s="144"/>
      <c r="Y87" s="144"/>
      <c r="Z87" s="145"/>
      <c r="AA87" s="145"/>
      <c r="AB87" s="145"/>
      <c r="AC87" s="145">
        <v>29</v>
      </c>
      <c r="AD87" s="146" t="s">
        <v>679</v>
      </c>
      <c r="AE87" s="171">
        <v>1</v>
      </c>
      <c r="AF87" s="147">
        <f t="shared" si="34"/>
        <v>0</v>
      </c>
      <c r="AG87" s="147">
        <f t="shared" si="35"/>
        <v>0</v>
      </c>
      <c r="AH87" s="147">
        <f t="shared" si="36"/>
        <v>0</v>
      </c>
      <c r="AI87" s="147">
        <f t="shared" si="37"/>
        <v>0</v>
      </c>
      <c r="AJ87" s="148">
        <f t="shared" si="38"/>
        <v>0</v>
      </c>
      <c r="AK87" s="149">
        <f t="shared" si="21"/>
        <v>0</v>
      </c>
      <c r="AL87" s="149">
        <f t="shared" si="22"/>
        <v>0</v>
      </c>
      <c r="AM87" s="149">
        <f t="shared" si="23"/>
        <v>0</v>
      </c>
      <c r="AN87" s="149">
        <f t="shared" si="24"/>
        <v>0</v>
      </c>
      <c r="AO87" s="150">
        <f t="shared" si="39"/>
        <v>0</v>
      </c>
      <c r="AQ87" s="151">
        <f t="shared" si="40"/>
        <v>0</v>
      </c>
    </row>
    <row r="88" spans="1:43" ht="15" customHeight="1">
      <c r="A88" s="82" t="e">
        <f t="shared" si="25"/>
        <v>#REF!</v>
      </c>
      <c r="B88" s="134">
        <v>102</v>
      </c>
      <c r="C88" s="135" t="s">
        <v>942</v>
      </c>
      <c r="D88" s="136" t="s">
        <v>274</v>
      </c>
      <c r="E88" s="137" t="s">
        <v>947</v>
      </c>
      <c r="F88" s="138" t="s">
        <v>978</v>
      </c>
      <c r="G88" s="139" t="s">
        <v>264</v>
      </c>
      <c r="H88" s="140" t="str">
        <f t="shared" si="26"/>
        <v>Niet van toepassing</v>
      </c>
      <c r="I88" s="138"/>
      <c r="J88" s="138" t="s">
        <v>1172</v>
      </c>
      <c r="K88" s="141" t="str">
        <f t="shared" si="27"/>
        <v>NVT</v>
      </c>
      <c r="L88" s="141" t="str">
        <f t="shared" si="28"/>
        <v>NVT</v>
      </c>
      <c r="M88" s="141" t="str">
        <f t="shared" si="29"/>
        <v>NVT</v>
      </c>
      <c r="N88" s="141" t="str">
        <f t="shared" si="30"/>
        <v>NVT</v>
      </c>
      <c r="O88" s="141" t="str">
        <f t="shared" si="31"/>
        <v>NVT</v>
      </c>
      <c r="P88" s="141" t="str">
        <f t="shared" si="32"/>
        <v>NVT</v>
      </c>
      <c r="Q88" s="141" t="str">
        <f t="shared" si="33"/>
        <v>NVT</v>
      </c>
      <c r="R88" s="63" t="s">
        <v>1221</v>
      </c>
      <c r="S88" s="142">
        <f t="shared" si="41"/>
        <v>0</v>
      </c>
      <c r="T88" s="143">
        <v>0</v>
      </c>
      <c r="U88" s="144"/>
      <c r="V88" s="144"/>
      <c r="W88" s="144"/>
      <c r="X88" s="144"/>
      <c r="Y88" s="144"/>
      <c r="Z88" s="145"/>
      <c r="AA88" s="145"/>
      <c r="AB88" s="145"/>
      <c r="AC88" s="145"/>
      <c r="AD88" s="146" t="s">
        <v>1258</v>
      </c>
      <c r="AE88" s="171">
        <v>1</v>
      </c>
      <c r="AF88" s="147">
        <f t="shared" si="34"/>
        <v>0</v>
      </c>
      <c r="AG88" s="147">
        <f t="shared" si="35"/>
        <v>0</v>
      </c>
      <c r="AH88" s="147">
        <f t="shared" si="36"/>
        <v>0</v>
      </c>
      <c r="AI88" s="147">
        <f t="shared" si="37"/>
        <v>0</v>
      </c>
      <c r="AJ88" s="148">
        <f t="shared" si="38"/>
        <v>0</v>
      </c>
      <c r="AK88" s="149">
        <f t="shared" si="21"/>
        <v>0</v>
      </c>
      <c r="AL88" s="149">
        <f t="shared" si="22"/>
        <v>0</v>
      </c>
      <c r="AM88" s="149">
        <f t="shared" si="23"/>
        <v>0</v>
      </c>
      <c r="AN88" s="149">
        <f t="shared" si="24"/>
        <v>0</v>
      </c>
      <c r="AO88" s="150">
        <f t="shared" si="39"/>
        <v>0</v>
      </c>
      <c r="AQ88" s="151">
        <f t="shared" si="40"/>
        <v>0</v>
      </c>
    </row>
    <row r="89" spans="1:43" ht="15" customHeight="1">
      <c r="A89" s="82" t="e">
        <f t="shared" si="25"/>
        <v>#REF!</v>
      </c>
      <c r="B89" s="134">
        <v>102</v>
      </c>
      <c r="C89" s="135" t="s">
        <v>942</v>
      </c>
      <c r="D89" s="136" t="s">
        <v>274</v>
      </c>
      <c r="E89" s="137" t="s">
        <v>499</v>
      </c>
      <c r="F89" s="138" t="s">
        <v>961</v>
      </c>
      <c r="G89" s="139" t="s">
        <v>962</v>
      </c>
      <c r="H89" s="140" t="str">
        <f t="shared" si="26"/>
        <v>Liften</v>
      </c>
      <c r="I89" s="138" t="s">
        <v>457</v>
      </c>
      <c r="J89" s="138" t="s">
        <v>1171</v>
      </c>
      <c r="K89" s="141" t="str">
        <f t="shared" si="27"/>
        <v>Omde dag Vol/Nal.</v>
      </c>
      <c r="L89" s="141" t="str">
        <f t="shared" si="28"/>
        <v>Omde dag Nal./Vol</v>
      </c>
      <c r="M89" s="141" t="str">
        <f t="shared" si="29"/>
        <v>Omde dag Vol/Nal.</v>
      </c>
      <c r="N89" s="141" t="str">
        <f t="shared" si="30"/>
        <v>Omde dag Nal./Vol</v>
      </c>
      <c r="O89" s="141" t="str">
        <f t="shared" si="31"/>
        <v>Omde dag Vol/Nal.</v>
      </c>
      <c r="P89" s="141" t="str">
        <f t="shared" si="32"/>
        <v>Omde dag Nal./Vol</v>
      </c>
      <c r="Q89" s="141" t="str">
        <f t="shared" si="33"/>
        <v>Omde dag Vol/Nal.</v>
      </c>
      <c r="R89" s="63" t="s">
        <v>1475</v>
      </c>
      <c r="S89" s="142">
        <f t="shared" si="41"/>
        <v>365</v>
      </c>
      <c r="T89" s="143">
        <v>0</v>
      </c>
      <c r="U89" s="144"/>
      <c r="V89" s="144"/>
      <c r="W89" s="144"/>
      <c r="X89" s="144"/>
      <c r="Y89" s="144"/>
      <c r="Z89" s="145"/>
      <c r="AA89" s="145"/>
      <c r="AB89" s="145"/>
      <c r="AC89" s="145"/>
      <c r="AD89" s="146" t="s">
        <v>752</v>
      </c>
      <c r="AE89" s="171">
        <v>1</v>
      </c>
      <c r="AF89" s="147">
        <f t="shared" si="34"/>
        <v>0</v>
      </c>
      <c r="AG89" s="147">
        <f t="shared" si="35"/>
        <v>0</v>
      </c>
      <c r="AH89" s="147">
        <f t="shared" si="36"/>
        <v>0</v>
      </c>
      <c r="AI89" s="147">
        <f t="shared" si="37"/>
        <v>0</v>
      </c>
      <c r="AJ89" s="148" t="str">
        <f t="shared" si="38"/>
        <v>ja</v>
      </c>
      <c r="AK89" s="149">
        <f t="shared" si="21"/>
        <v>0</v>
      </c>
      <c r="AL89" s="149">
        <f t="shared" si="22"/>
        <v>0</v>
      </c>
      <c r="AM89" s="149">
        <f t="shared" si="23"/>
        <v>0</v>
      </c>
      <c r="AN89" s="149">
        <f t="shared" si="24"/>
        <v>0</v>
      </c>
      <c r="AO89" s="150" t="str">
        <f t="shared" si="39"/>
        <v>V</v>
      </c>
      <c r="AQ89" s="151">
        <f t="shared" si="40"/>
        <v>0</v>
      </c>
    </row>
    <row r="90" spans="1:43" ht="15" customHeight="1">
      <c r="A90" s="82" t="e">
        <f>1+#REF!</f>
        <v>#REF!</v>
      </c>
      <c r="B90" s="134">
        <v>102</v>
      </c>
      <c r="C90" s="135" t="s">
        <v>942</v>
      </c>
      <c r="D90" s="136" t="s">
        <v>274</v>
      </c>
      <c r="E90" s="137" t="s">
        <v>499</v>
      </c>
      <c r="F90" s="138" t="s">
        <v>505</v>
      </c>
      <c r="G90" s="139" t="s">
        <v>979</v>
      </c>
      <c r="H90" s="140" t="str">
        <f t="shared" si="26"/>
        <v>Niet van toepassing</v>
      </c>
      <c r="I90" s="138" t="s">
        <v>82</v>
      </c>
      <c r="J90" s="138" t="s">
        <v>1172</v>
      </c>
      <c r="K90" s="141" t="str">
        <f t="shared" si="27"/>
        <v>NVT</v>
      </c>
      <c r="L90" s="141" t="str">
        <f t="shared" si="28"/>
        <v>NVT</v>
      </c>
      <c r="M90" s="141" t="str">
        <f t="shared" si="29"/>
        <v>NVT</v>
      </c>
      <c r="N90" s="141" t="str">
        <f t="shared" si="30"/>
        <v>NVT</v>
      </c>
      <c r="O90" s="141" t="str">
        <f t="shared" si="31"/>
        <v>NVT</v>
      </c>
      <c r="P90" s="141" t="str">
        <f t="shared" si="32"/>
        <v>NVT</v>
      </c>
      <c r="Q90" s="141" t="str">
        <f t="shared" si="33"/>
        <v>NVT</v>
      </c>
      <c r="R90" s="63" t="s">
        <v>1221</v>
      </c>
      <c r="S90" s="142">
        <f t="shared" si="41"/>
        <v>0</v>
      </c>
      <c r="T90" s="143">
        <v>45.5</v>
      </c>
      <c r="U90" s="144"/>
      <c r="V90" s="144"/>
      <c r="W90" s="144">
        <v>79</v>
      </c>
      <c r="X90" s="144"/>
      <c r="Y90" s="144"/>
      <c r="Z90" s="145"/>
      <c r="AA90" s="145"/>
      <c r="AB90" s="145">
        <v>35</v>
      </c>
      <c r="AC90" s="145"/>
      <c r="AD90" s="146" t="s">
        <v>679</v>
      </c>
      <c r="AE90" s="171">
        <v>1</v>
      </c>
      <c r="AF90" s="147">
        <f t="shared" si="34"/>
        <v>0</v>
      </c>
      <c r="AG90" s="147">
        <f t="shared" si="35"/>
        <v>0</v>
      </c>
      <c r="AH90" s="147">
        <f t="shared" si="36"/>
        <v>0</v>
      </c>
      <c r="AI90" s="147">
        <f t="shared" si="37"/>
        <v>0</v>
      </c>
      <c r="AJ90" s="148">
        <f t="shared" si="38"/>
        <v>0</v>
      </c>
      <c r="AK90" s="149">
        <f t="shared" ref="AK90:AK138" si="42">IF($R90="",0,VLOOKUP($R90,Kengetal,5,FALSE))</f>
        <v>0</v>
      </c>
      <c r="AL90" s="149">
        <f t="shared" ref="AL90:AL138" si="43">IF($R90="",0,VLOOKUP($R90,Kengetal,6,FALSE))</f>
        <v>0</v>
      </c>
      <c r="AM90" s="149">
        <f t="shared" ref="AM90:AM138" si="44">IF($R90="",0,VLOOKUP($R90,Kengetal,7,FALSE))</f>
        <v>0</v>
      </c>
      <c r="AN90" s="149">
        <f t="shared" ref="AN90:AN138" si="45">IF($R90="",0,VLOOKUP($R90,Kengetal,8,FALSE))</f>
        <v>0</v>
      </c>
      <c r="AO90" s="150">
        <f t="shared" si="39"/>
        <v>0</v>
      </c>
      <c r="AQ90" s="151">
        <f t="shared" si="40"/>
        <v>0</v>
      </c>
    </row>
    <row r="91" spans="1:43" ht="15" customHeight="1">
      <c r="A91" s="82" t="e">
        <f t="shared" si="25"/>
        <v>#REF!</v>
      </c>
      <c r="B91" s="134">
        <v>102</v>
      </c>
      <c r="C91" s="135" t="s">
        <v>942</v>
      </c>
      <c r="D91" s="136" t="s">
        <v>274</v>
      </c>
      <c r="E91" s="137" t="s">
        <v>499</v>
      </c>
      <c r="F91" s="138" t="s">
        <v>505</v>
      </c>
      <c r="G91" s="139" t="s">
        <v>892</v>
      </c>
      <c r="H91" s="140" t="str">
        <f t="shared" si="26"/>
        <v>Niet van toepassing</v>
      </c>
      <c r="I91" s="138" t="s">
        <v>82</v>
      </c>
      <c r="J91" s="138" t="s">
        <v>1172</v>
      </c>
      <c r="K91" s="141" t="str">
        <f t="shared" si="27"/>
        <v>NVT</v>
      </c>
      <c r="L91" s="141" t="str">
        <f t="shared" si="28"/>
        <v>NVT</v>
      </c>
      <c r="M91" s="141" t="str">
        <f t="shared" si="29"/>
        <v>NVT</v>
      </c>
      <c r="N91" s="141" t="str">
        <f t="shared" si="30"/>
        <v>NVT</v>
      </c>
      <c r="O91" s="141" t="str">
        <f t="shared" si="31"/>
        <v>NVT</v>
      </c>
      <c r="P91" s="141" t="str">
        <f t="shared" si="32"/>
        <v>NVT</v>
      </c>
      <c r="Q91" s="141" t="str">
        <f t="shared" si="33"/>
        <v>NVT</v>
      </c>
      <c r="R91" s="63" t="s">
        <v>1221</v>
      </c>
      <c r="S91" s="142">
        <f t="shared" si="41"/>
        <v>0</v>
      </c>
      <c r="T91" s="143">
        <v>53.300000000000004</v>
      </c>
      <c r="U91" s="144"/>
      <c r="V91" s="144"/>
      <c r="W91" s="144">
        <v>120</v>
      </c>
      <c r="X91" s="144"/>
      <c r="Y91" s="144"/>
      <c r="Z91" s="145"/>
      <c r="AA91" s="145"/>
      <c r="AB91" s="145">
        <v>41</v>
      </c>
      <c r="AC91" s="145"/>
      <c r="AD91" s="146" t="s">
        <v>679</v>
      </c>
      <c r="AE91" s="171">
        <v>1</v>
      </c>
      <c r="AF91" s="147">
        <f t="shared" si="34"/>
        <v>0</v>
      </c>
      <c r="AG91" s="147">
        <f t="shared" si="35"/>
        <v>0</v>
      </c>
      <c r="AH91" s="147">
        <f t="shared" si="36"/>
        <v>0</v>
      </c>
      <c r="AI91" s="147">
        <f t="shared" si="37"/>
        <v>0</v>
      </c>
      <c r="AJ91" s="148">
        <f t="shared" si="38"/>
        <v>0</v>
      </c>
      <c r="AK91" s="149">
        <f t="shared" si="42"/>
        <v>0</v>
      </c>
      <c r="AL91" s="149">
        <f t="shared" si="43"/>
        <v>0</v>
      </c>
      <c r="AM91" s="149">
        <f t="shared" si="44"/>
        <v>0</v>
      </c>
      <c r="AN91" s="149">
        <f t="shared" si="45"/>
        <v>0</v>
      </c>
      <c r="AO91" s="150">
        <f t="shared" si="39"/>
        <v>0</v>
      </c>
      <c r="AQ91" s="151">
        <f t="shared" si="40"/>
        <v>0</v>
      </c>
    </row>
    <row r="92" spans="1:43" ht="15" customHeight="1">
      <c r="A92" s="82" t="e">
        <f t="shared" si="25"/>
        <v>#REF!</v>
      </c>
      <c r="B92" s="134">
        <v>102</v>
      </c>
      <c r="C92" s="135" t="s">
        <v>942</v>
      </c>
      <c r="D92" s="136" t="s">
        <v>274</v>
      </c>
      <c r="E92" s="137" t="s">
        <v>499</v>
      </c>
      <c r="F92" s="138" t="s">
        <v>980</v>
      </c>
      <c r="G92" s="139" t="s">
        <v>893</v>
      </c>
      <c r="H92" s="140" t="str">
        <f t="shared" si="26"/>
        <v>Niet van toepassing</v>
      </c>
      <c r="I92" s="138" t="s">
        <v>82</v>
      </c>
      <c r="J92" s="138" t="s">
        <v>1172</v>
      </c>
      <c r="K92" s="141" t="str">
        <f t="shared" si="27"/>
        <v>NVT</v>
      </c>
      <c r="L92" s="141" t="str">
        <f t="shared" si="28"/>
        <v>NVT</v>
      </c>
      <c r="M92" s="141" t="str">
        <f t="shared" si="29"/>
        <v>NVT</v>
      </c>
      <c r="N92" s="141" t="str">
        <f t="shared" si="30"/>
        <v>NVT</v>
      </c>
      <c r="O92" s="141" t="str">
        <f t="shared" si="31"/>
        <v>NVT</v>
      </c>
      <c r="P92" s="141" t="str">
        <f t="shared" si="32"/>
        <v>NVT</v>
      </c>
      <c r="Q92" s="141" t="str">
        <f t="shared" si="33"/>
        <v>NVT</v>
      </c>
      <c r="R92" s="63" t="s">
        <v>1221</v>
      </c>
      <c r="S92" s="142">
        <f t="shared" si="41"/>
        <v>0</v>
      </c>
      <c r="T92" s="143">
        <v>18.2</v>
      </c>
      <c r="U92" s="144"/>
      <c r="V92" s="144"/>
      <c r="W92" s="144">
        <v>60</v>
      </c>
      <c r="X92" s="144"/>
      <c r="Y92" s="144"/>
      <c r="Z92" s="145"/>
      <c r="AA92" s="145"/>
      <c r="AB92" s="145">
        <v>41</v>
      </c>
      <c r="AC92" s="145"/>
      <c r="AD92" s="146" t="s">
        <v>679</v>
      </c>
      <c r="AE92" s="171">
        <v>1</v>
      </c>
      <c r="AF92" s="147">
        <f t="shared" si="34"/>
        <v>0</v>
      </c>
      <c r="AG92" s="147">
        <f t="shared" si="35"/>
        <v>0</v>
      </c>
      <c r="AH92" s="147">
        <f t="shared" si="36"/>
        <v>0</v>
      </c>
      <c r="AI92" s="147">
        <f t="shared" si="37"/>
        <v>0</v>
      </c>
      <c r="AJ92" s="148">
        <f t="shared" si="38"/>
        <v>0</v>
      </c>
      <c r="AK92" s="149">
        <f t="shared" si="42"/>
        <v>0</v>
      </c>
      <c r="AL92" s="149">
        <f t="shared" si="43"/>
        <v>0</v>
      </c>
      <c r="AM92" s="149">
        <f t="shared" si="44"/>
        <v>0</v>
      </c>
      <c r="AN92" s="149">
        <f t="shared" si="45"/>
        <v>0</v>
      </c>
      <c r="AO92" s="150">
        <f t="shared" si="39"/>
        <v>0</v>
      </c>
      <c r="AQ92" s="151">
        <f t="shared" si="40"/>
        <v>0</v>
      </c>
    </row>
    <row r="93" spans="1:43" ht="15" customHeight="1">
      <c r="A93" s="82" t="e">
        <f t="shared" si="25"/>
        <v>#REF!</v>
      </c>
      <c r="B93" s="134">
        <v>102</v>
      </c>
      <c r="C93" s="135" t="s">
        <v>942</v>
      </c>
      <c r="D93" s="136" t="s">
        <v>274</v>
      </c>
      <c r="E93" s="137" t="s">
        <v>499</v>
      </c>
      <c r="F93" s="138" t="s">
        <v>505</v>
      </c>
      <c r="G93" s="139" t="s">
        <v>894</v>
      </c>
      <c r="H93" s="140" t="str">
        <f t="shared" si="26"/>
        <v>Niet van toepassing</v>
      </c>
      <c r="I93" s="138" t="s">
        <v>82</v>
      </c>
      <c r="J93" s="138" t="s">
        <v>1172</v>
      </c>
      <c r="K93" s="141" t="str">
        <f t="shared" si="27"/>
        <v>NVT</v>
      </c>
      <c r="L93" s="141" t="str">
        <f t="shared" si="28"/>
        <v>NVT</v>
      </c>
      <c r="M93" s="141" t="str">
        <f t="shared" si="29"/>
        <v>NVT</v>
      </c>
      <c r="N93" s="141" t="str">
        <f t="shared" si="30"/>
        <v>NVT</v>
      </c>
      <c r="O93" s="141" t="str">
        <f t="shared" si="31"/>
        <v>NVT</v>
      </c>
      <c r="P93" s="141" t="str">
        <f t="shared" si="32"/>
        <v>NVT</v>
      </c>
      <c r="Q93" s="141" t="str">
        <f t="shared" si="33"/>
        <v>NVT</v>
      </c>
      <c r="R93" s="63" t="s">
        <v>1221</v>
      </c>
      <c r="S93" s="142">
        <f t="shared" si="41"/>
        <v>0</v>
      </c>
      <c r="T93" s="143">
        <v>44.2</v>
      </c>
      <c r="U93" s="144"/>
      <c r="V93" s="144"/>
      <c r="W93" s="144">
        <v>72</v>
      </c>
      <c r="X93" s="144"/>
      <c r="Y93" s="144"/>
      <c r="Z93" s="145"/>
      <c r="AA93" s="145"/>
      <c r="AB93" s="145">
        <v>34</v>
      </c>
      <c r="AC93" s="145"/>
      <c r="AD93" s="146" t="s">
        <v>679</v>
      </c>
      <c r="AE93" s="171">
        <v>1</v>
      </c>
      <c r="AF93" s="147">
        <f t="shared" si="34"/>
        <v>0</v>
      </c>
      <c r="AG93" s="147">
        <f t="shared" si="35"/>
        <v>0</v>
      </c>
      <c r="AH93" s="147">
        <f t="shared" si="36"/>
        <v>0</v>
      </c>
      <c r="AI93" s="147">
        <f t="shared" si="37"/>
        <v>0</v>
      </c>
      <c r="AJ93" s="148">
        <f t="shared" si="38"/>
        <v>0</v>
      </c>
      <c r="AK93" s="149">
        <f t="shared" si="42"/>
        <v>0</v>
      </c>
      <c r="AL93" s="149">
        <f t="shared" si="43"/>
        <v>0</v>
      </c>
      <c r="AM93" s="149">
        <f t="shared" si="44"/>
        <v>0</v>
      </c>
      <c r="AN93" s="149">
        <f t="shared" si="45"/>
        <v>0</v>
      </c>
      <c r="AO93" s="150">
        <f t="shared" si="39"/>
        <v>0</v>
      </c>
      <c r="AQ93" s="151">
        <f t="shared" si="40"/>
        <v>0</v>
      </c>
    </row>
    <row r="94" spans="1:43" ht="15" customHeight="1">
      <c r="A94" s="82" t="e">
        <f t="shared" si="25"/>
        <v>#REF!</v>
      </c>
      <c r="B94" s="134">
        <v>102</v>
      </c>
      <c r="C94" s="135" t="s">
        <v>942</v>
      </c>
      <c r="D94" s="136" t="s">
        <v>274</v>
      </c>
      <c r="E94" s="137" t="s">
        <v>499</v>
      </c>
      <c r="F94" s="138" t="s">
        <v>505</v>
      </c>
      <c r="G94" s="139" t="s">
        <v>981</v>
      </c>
      <c r="H94" s="140" t="str">
        <f t="shared" si="26"/>
        <v>Niet van toepassing</v>
      </c>
      <c r="I94" s="138" t="s">
        <v>82</v>
      </c>
      <c r="J94" s="138" t="s">
        <v>1172</v>
      </c>
      <c r="K94" s="141" t="str">
        <f t="shared" si="27"/>
        <v>NVT</v>
      </c>
      <c r="L94" s="141" t="str">
        <f t="shared" si="28"/>
        <v>NVT</v>
      </c>
      <c r="M94" s="141" t="str">
        <f t="shared" si="29"/>
        <v>NVT</v>
      </c>
      <c r="N94" s="141" t="str">
        <f t="shared" si="30"/>
        <v>NVT</v>
      </c>
      <c r="O94" s="141" t="str">
        <f t="shared" si="31"/>
        <v>NVT</v>
      </c>
      <c r="P94" s="141" t="str">
        <f t="shared" si="32"/>
        <v>NVT</v>
      </c>
      <c r="Q94" s="141" t="str">
        <f t="shared" si="33"/>
        <v>NVT</v>
      </c>
      <c r="R94" s="63" t="s">
        <v>1221</v>
      </c>
      <c r="S94" s="142">
        <f t="shared" si="41"/>
        <v>0</v>
      </c>
      <c r="T94" s="143">
        <v>49.4</v>
      </c>
      <c r="U94" s="144"/>
      <c r="V94" s="144"/>
      <c r="W94" s="144">
        <v>68</v>
      </c>
      <c r="X94" s="144"/>
      <c r="Y94" s="144"/>
      <c r="Z94" s="145"/>
      <c r="AA94" s="145"/>
      <c r="AB94" s="145">
        <v>30</v>
      </c>
      <c r="AC94" s="145"/>
      <c r="AD94" s="146" t="s">
        <v>679</v>
      </c>
      <c r="AE94" s="171">
        <v>1</v>
      </c>
      <c r="AF94" s="147">
        <f t="shared" si="34"/>
        <v>0</v>
      </c>
      <c r="AG94" s="147">
        <f t="shared" si="35"/>
        <v>0</v>
      </c>
      <c r="AH94" s="147">
        <f t="shared" si="36"/>
        <v>0</v>
      </c>
      <c r="AI94" s="147">
        <f t="shared" si="37"/>
        <v>0</v>
      </c>
      <c r="AJ94" s="148">
        <f t="shared" si="38"/>
        <v>0</v>
      </c>
      <c r="AK94" s="149">
        <f t="shared" si="42"/>
        <v>0</v>
      </c>
      <c r="AL94" s="149">
        <f t="shared" si="43"/>
        <v>0</v>
      </c>
      <c r="AM94" s="149">
        <f t="shared" si="44"/>
        <v>0</v>
      </c>
      <c r="AN94" s="149">
        <f t="shared" si="45"/>
        <v>0</v>
      </c>
      <c r="AO94" s="150">
        <f t="shared" si="39"/>
        <v>0</v>
      </c>
      <c r="AQ94" s="151">
        <f t="shared" si="40"/>
        <v>0</v>
      </c>
    </row>
    <row r="95" spans="1:43" ht="15" customHeight="1">
      <c r="A95" s="82" t="e">
        <f t="shared" si="25"/>
        <v>#REF!</v>
      </c>
      <c r="B95" s="134">
        <v>102</v>
      </c>
      <c r="C95" s="135" t="s">
        <v>942</v>
      </c>
      <c r="D95" s="136" t="s">
        <v>274</v>
      </c>
      <c r="E95" s="137" t="s">
        <v>499</v>
      </c>
      <c r="F95" s="138" t="s">
        <v>263</v>
      </c>
      <c r="G95" s="139" t="s">
        <v>896</v>
      </c>
      <c r="H95" s="140" t="str">
        <f t="shared" si="26"/>
        <v>Niet van toepassing</v>
      </c>
      <c r="I95" s="138"/>
      <c r="J95" s="138" t="s">
        <v>1172</v>
      </c>
      <c r="K95" s="141" t="str">
        <f t="shared" si="27"/>
        <v>NVT</v>
      </c>
      <c r="L95" s="141" t="str">
        <f t="shared" si="28"/>
        <v>NVT</v>
      </c>
      <c r="M95" s="141" t="str">
        <f t="shared" si="29"/>
        <v>NVT</v>
      </c>
      <c r="N95" s="141" t="str">
        <f t="shared" si="30"/>
        <v>NVT</v>
      </c>
      <c r="O95" s="141" t="str">
        <f t="shared" si="31"/>
        <v>NVT</v>
      </c>
      <c r="P95" s="141" t="str">
        <f t="shared" si="32"/>
        <v>NVT</v>
      </c>
      <c r="Q95" s="141" t="str">
        <f t="shared" si="33"/>
        <v>NVT</v>
      </c>
      <c r="R95" s="63" t="s">
        <v>1221</v>
      </c>
      <c r="S95" s="142">
        <f t="shared" si="41"/>
        <v>0</v>
      </c>
      <c r="T95" s="143">
        <v>0</v>
      </c>
      <c r="U95" s="144"/>
      <c r="V95" s="144"/>
      <c r="W95" s="144"/>
      <c r="X95" s="144"/>
      <c r="Y95" s="144"/>
      <c r="Z95" s="145"/>
      <c r="AA95" s="145"/>
      <c r="AB95" s="145"/>
      <c r="AC95" s="145"/>
      <c r="AD95" s="146" t="s">
        <v>1031</v>
      </c>
      <c r="AE95" s="171">
        <v>1</v>
      </c>
      <c r="AF95" s="147">
        <f t="shared" si="34"/>
        <v>0</v>
      </c>
      <c r="AG95" s="147">
        <f t="shared" si="35"/>
        <v>0</v>
      </c>
      <c r="AH95" s="147">
        <f t="shared" si="36"/>
        <v>0</v>
      </c>
      <c r="AI95" s="147">
        <f t="shared" si="37"/>
        <v>0</v>
      </c>
      <c r="AJ95" s="148">
        <f t="shared" si="38"/>
        <v>0</v>
      </c>
      <c r="AK95" s="149">
        <f t="shared" si="42"/>
        <v>0</v>
      </c>
      <c r="AL95" s="149">
        <f t="shared" si="43"/>
        <v>0</v>
      </c>
      <c r="AM95" s="149">
        <f t="shared" si="44"/>
        <v>0</v>
      </c>
      <c r="AN95" s="149">
        <f t="shared" si="45"/>
        <v>0</v>
      </c>
      <c r="AO95" s="150">
        <f t="shared" si="39"/>
        <v>0</v>
      </c>
      <c r="AQ95" s="151">
        <f t="shared" si="40"/>
        <v>0</v>
      </c>
    </row>
    <row r="96" spans="1:43" ht="15" customHeight="1">
      <c r="A96" s="82" t="e">
        <f t="shared" si="25"/>
        <v>#REF!</v>
      </c>
      <c r="B96" s="134">
        <v>102</v>
      </c>
      <c r="C96" s="135" t="s">
        <v>942</v>
      </c>
      <c r="D96" s="136" t="s">
        <v>274</v>
      </c>
      <c r="E96" s="137" t="s">
        <v>499</v>
      </c>
      <c r="F96" s="138" t="s">
        <v>210</v>
      </c>
      <c r="G96" s="139" t="s">
        <v>982</v>
      </c>
      <c r="H96" s="140" t="str">
        <f t="shared" si="26"/>
        <v>Niet van toepassing</v>
      </c>
      <c r="I96" s="138" t="s">
        <v>195</v>
      </c>
      <c r="J96" s="138" t="s">
        <v>1172</v>
      </c>
      <c r="K96" s="141" t="str">
        <f t="shared" si="27"/>
        <v>NVT</v>
      </c>
      <c r="L96" s="141" t="str">
        <f t="shared" si="28"/>
        <v>NVT</v>
      </c>
      <c r="M96" s="141" t="str">
        <f t="shared" si="29"/>
        <v>NVT</v>
      </c>
      <c r="N96" s="141" t="str">
        <f t="shared" si="30"/>
        <v>NVT</v>
      </c>
      <c r="O96" s="141" t="str">
        <f t="shared" si="31"/>
        <v>NVT</v>
      </c>
      <c r="P96" s="141" t="str">
        <f t="shared" si="32"/>
        <v>NVT</v>
      </c>
      <c r="Q96" s="141" t="str">
        <f t="shared" si="33"/>
        <v>NVT</v>
      </c>
      <c r="R96" s="63" t="s">
        <v>1221</v>
      </c>
      <c r="S96" s="142">
        <f t="shared" si="41"/>
        <v>0</v>
      </c>
      <c r="T96" s="143">
        <v>10.4</v>
      </c>
      <c r="U96" s="144"/>
      <c r="V96" s="144"/>
      <c r="W96" s="144"/>
      <c r="X96" s="144"/>
      <c r="Y96" s="144">
        <v>42</v>
      </c>
      <c r="Z96" s="145"/>
      <c r="AA96" s="145"/>
      <c r="AB96" s="145">
        <v>8</v>
      </c>
      <c r="AC96" s="145"/>
      <c r="AD96" s="146"/>
      <c r="AE96" s="171">
        <v>1</v>
      </c>
      <c r="AF96" s="147">
        <f t="shared" si="34"/>
        <v>0</v>
      </c>
      <c r="AG96" s="147">
        <f t="shared" si="35"/>
        <v>0</v>
      </c>
      <c r="AH96" s="147">
        <f t="shared" si="36"/>
        <v>0</v>
      </c>
      <c r="AI96" s="147">
        <f t="shared" si="37"/>
        <v>0</v>
      </c>
      <c r="AJ96" s="148">
        <f t="shared" si="38"/>
        <v>0</v>
      </c>
      <c r="AK96" s="149">
        <f t="shared" si="42"/>
        <v>0</v>
      </c>
      <c r="AL96" s="149">
        <f t="shared" si="43"/>
        <v>0</v>
      </c>
      <c r="AM96" s="149">
        <f t="shared" si="44"/>
        <v>0</v>
      </c>
      <c r="AN96" s="149">
        <f t="shared" si="45"/>
        <v>0</v>
      </c>
      <c r="AO96" s="150">
        <f t="shared" si="39"/>
        <v>0</v>
      </c>
      <c r="AQ96" s="151">
        <f t="shared" si="40"/>
        <v>0</v>
      </c>
    </row>
    <row r="97" spans="1:43" ht="15" customHeight="1">
      <c r="A97" s="82" t="e">
        <f t="shared" si="25"/>
        <v>#REF!</v>
      </c>
      <c r="B97" s="134">
        <v>102</v>
      </c>
      <c r="C97" s="135" t="s">
        <v>942</v>
      </c>
      <c r="D97" s="136" t="s">
        <v>274</v>
      </c>
      <c r="E97" s="137" t="s">
        <v>499</v>
      </c>
      <c r="F97" s="138" t="s">
        <v>646</v>
      </c>
      <c r="G97" s="139" t="s">
        <v>983</v>
      </c>
      <c r="H97" s="140" t="str">
        <f t="shared" si="26"/>
        <v>Niet van toepassing</v>
      </c>
      <c r="I97" s="138" t="s">
        <v>35</v>
      </c>
      <c r="J97" s="138" t="s">
        <v>1172</v>
      </c>
      <c r="K97" s="141" t="str">
        <f t="shared" si="27"/>
        <v>NVT</v>
      </c>
      <c r="L97" s="141" t="str">
        <f t="shared" si="28"/>
        <v>NVT</v>
      </c>
      <c r="M97" s="141" t="str">
        <f t="shared" si="29"/>
        <v>NVT</v>
      </c>
      <c r="N97" s="141" t="str">
        <f t="shared" si="30"/>
        <v>NVT</v>
      </c>
      <c r="O97" s="141" t="str">
        <f t="shared" si="31"/>
        <v>NVT</v>
      </c>
      <c r="P97" s="141" t="str">
        <f t="shared" si="32"/>
        <v>NVT</v>
      </c>
      <c r="Q97" s="141" t="str">
        <f t="shared" si="33"/>
        <v>NVT</v>
      </c>
      <c r="R97" s="63" t="s">
        <v>1221</v>
      </c>
      <c r="S97" s="142">
        <f t="shared" si="41"/>
        <v>0</v>
      </c>
      <c r="T97" s="143">
        <v>161.20000000000002</v>
      </c>
      <c r="U97" s="144"/>
      <c r="V97" s="144"/>
      <c r="W97" s="144">
        <v>460</v>
      </c>
      <c r="X97" s="144"/>
      <c r="Y97" s="144"/>
      <c r="Z97" s="145"/>
      <c r="AA97" s="145">
        <v>124</v>
      </c>
      <c r="AB97" s="145"/>
      <c r="AC97" s="145"/>
      <c r="AD97" s="146"/>
      <c r="AE97" s="171">
        <v>1</v>
      </c>
      <c r="AF97" s="147">
        <f t="shared" si="34"/>
        <v>0</v>
      </c>
      <c r="AG97" s="147">
        <f t="shared" si="35"/>
        <v>0</v>
      </c>
      <c r="AH97" s="147">
        <f t="shared" si="36"/>
        <v>0</v>
      </c>
      <c r="AI97" s="147">
        <f t="shared" si="37"/>
        <v>0</v>
      </c>
      <c r="AJ97" s="148">
        <f t="shared" si="38"/>
        <v>0</v>
      </c>
      <c r="AK97" s="149">
        <f t="shared" si="42"/>
        <v>0</v>
      </c>
      <c r="AL97" s="149">
        <f t="shared" si="43"/>
        <v>0</v>
      </c>
      <c r="AM97" s="149">
        <f t="shared" si="44"/>
        <v>0</v>
      </c>
      <c r="AN97" s="149">
        <f t="shared" si="45"/>
        <v>0</v>
      </c>
      <c r="AO97" s="150">
        <f t="shared" si="39"/>
        <v>0</v>
      </c>
      <c r="AQ97" s="151">
        <f t="shared" si="40"/>
        <v>0</v>
      </c>
    </row>
    <row r="98" spans="1:43" ht="15" customHeight="1">
      <c r="A98" s="82" t="e">
        <f t="shared" si="25"/>
        <v>#REF!</v>
      </c>
      <c r="B98" s="134">
        <v>102</v>
      </c>
      <c r="C98" s="135" t="s">
        <v>942</v>
      </c>
      <c r="D98" s="136" t="s">
        <v>274</v>
      </c>
      <c r="E98" s="137" t="s">
        <v>499</v>
      </c>
      <c r="F98" s="138" t="s">
        <v>646</v>
      </c>
      <c r="G98" s="139" t="s">
        <v>984</v>
      </c>
      <c r="H98" s="140" t="str">
        <f t="shared" si="26"/>
        <v>Niet van toepassing</v>
      </c>
      <c r="I98" s="138" t="s">
        <v>82</v>
      </c>
      <c r="J98" s="138" t="s">
        <v>1172</v>
      </c>
      <c r="K98" s="141" t="str">
        <f t="shared" si="27"/>
        <v>NVT</v>
      </c>
      <c r="L98" s="141" t="str">
        <f t="shared" si="28"/>
        <v>NVT</v>
      </c>
      <c r="M98" s="141" t="str">
        <f t="shared" si="29"/>
        <v>NVT</v>
      </c>
      <c r="N98" s="141" t="str">
        <f t="shared" si="30"/>
        <v>NVT</v>
      </c>
      <c r="O98" s="141" t="str">
        <f t="shared" si="31"/>
        <v>NVT</v>
      </c>
      <c r="P98" s="141" t="str">
        <f t="shared" si="32"/>
        <v>NVT</v>
      </c>
      <c r="Q98" s="141" t="str">
        <f t="shared" si="33"/>
        <v>NVT</v>
      </c>
      <c r="R98" s="63" t="s">
        <v>1221</v>
      </c>
      <c r="S98" s="142">
        <f t="shared" si="41"/>
        <v>0</v>
      </c>
      <c r="T98" s="143">
        <v>27.3</v>
      </c>
      <c r="U98" s="144"/>
      <c r="V98" s="144"/>
      <c r="W98" s="144">
        <v>62</v>
      </c>
      <c r="X98" s="144"/>
      <c r="Y98" s="144"/>
      <c r="Z98" s="145"/>
      <c r="AA98" s="145"/>
      <c r="AB98" s="145">
        <v>21</v>
      </c>
      <c r="AC98" s="145"/>
      <c r="AD98" s="146" t="s">
        <v>679</v>
      </c>
      <c r="AE98" s="171">
        <v>1</v>
      </c>
      <c r="AF98" s="147">
        <f t="shared" si="34"/>
        <v>0</v>
      </c>
      <c r="AG98" s="147">
        <f t="shared" si="35"/>
        <v>0</v>
      </c>
      <c r="AH98" s="147">
        <f t="shared" si="36"/>
        <v>0</v>
      </c>
      <c r="AI98" s="147">
        <f t="shared" si="37"/>
        <v>0</v>
      </c>
      <c r="AJ98" s="148">
        <f t="shared" si="38"/>
        <v>0</v>
      </c>
      <c r="AK98" s="149">
        <f t="shared" si="42"/>
        <v>0</v>
      </c>
      <c r="AL98" s="149">
        <f t="shared" si="43"/>
        <v>0</v>
      </c>
      <c r="AM98" s="149">
        <f t="shared" si="44"/>
        <v>0</v>
      </c>
      <c r="AN98" s="149">
        <f t="shared" si="45"/>
        <v>0</v>
      </c>
      <c r="AO98" s="150">
        <f t="shared" si="39"/>
        <v>0</v>
      </c>
      <c r="AQ98" s="151">
        <f t="shared" si="40"/>
        <v>0</v>
      </c>
    </row>
    <row r="99" spans="1:43" ht="15" customHeight="1">
      <c r="A99" s="82" t="e">
        <f t="shared" si="25"/>
        <v>#REF!</v>
      </c>
      <c r="B99" s="134">
        <v>102</v>
      </c>
      <c r="C99" s="135" t="s">
        <v>942</v>
      </c>
      <c r="D99" s="136" t="s">
        <v>274</v>
      </c>
      <c r="E99" s="137" t="s">
        <v>499</v>
      </c>
      <c r="F99" s="138" t="s">
        <v>646</v>
      </c>
      <c r="G99" s="139" t="s">
        <v>985</v>
      </c>
      <c r="H99" s="140" t="str">
        <f t="shared" si="26"/>
        <v>Niet van toepassing</v>
      </c>
      <c r="I99" s="138" t="s">
        <v>35</v>
      </c>
      <c r="J99" s="138" t="s">
        <v>1172</v>
      </c>
      <c r="K99" s="141" t="str">
        <f t="shared" si="27"/>
        <v>NVT</v>
      </c>
      <c r="L99" s="141" t="str">
        <f t="shared" si="28"/>
        <v>NVT</v>
      </c>
      <c r="M99" s="141" t="str">
        <f t="shared" si="29"/>
        <v>NVT</v>
      </c>
      <c r="N99" s="141" t="str">
        <f t="shared" si="30"/>
        <v>NVT</v>
      </c>
      <c r="O99" s="141" t="str">
        <f t="shared" si="31"/>
        <v>NVT</v>
      </c>
      <c r="P99" s="141" t="str">
        <f t="shared" si="32"/>
        <v>NVT</v>
      </c>
      <c r="Q99" s="141" t="str">
        <f t="shared" si="33"/>
        <v>NVT</v>
      </c>
      <c r="R99" s="63" t="s">
        <v>1221</v>
      </c>
      <c r="S99" s="142">
        <f t="shared" si="41"/>
        <v>0</v>
      </c>
      <c r="T99" s="143">
        <v>20.8</v>
      </c>
      <c r="U99" s="144"/>
      <c r="V99" s="144"/>
      <c r="W99" s="144">
        <v>48</v>
      </c>
      <c r="X99" s="144"/>
      <c r="Y99" s="144"/>
      <c r="Z99" s="145"/>
      <c r="AA99" s="145">
        <v>16</v>
      </c>
      <c r="AB99" s="145"/>
      <c r="AC99" s="145"/>
      <c r="AD99" s="146"/>
      <c r="AE99" s="171">
        <v>1</v>
      </c>
      <c r="AF99" s="147">
        <f t="shared" si="34"/>
        <v>0</v>
      </c>
      <c r="AG99" s="147">
        <f t="shared" si="35"/>
        <v>0</v>
      </c>
      <c r="AH99" s="147">
        <f t="shared" si="36"/>
        <v>0</v>
      </c>
      <c r="AI99" s="147">
        <f t="shared" si="37"/>
        <v>0</v>
      </c>
      <c r="AJ99" s="148">
        <f t="shared" si="38"/>
        <v>0</v>
      </c>
      <c r="AK99" s="149">
        <f t="shared" si="42"/>
        <v>0</v>
      </c>
      <c r="AL99" s="149">
        <f t="shared" si="43"/>
        <v>0</v>
      </c>
      <c r="AM99" s="149">
        <f t="shared" si="44"/>
        <v>0</v>
      </c>
      <c r="AN99" s="149">
        <f t="shared" si="45"/>
        <v>0</v>
      </c>
      <c r="AO99" s="150">
        <f t="shared" si="39"/>
        <v>0</v>
      </c>
      <c r="AQ99" s="151">
        <f t="shared" si="40"/>
        <v>0</v>
      </c>
    </row>
    <row r="100" spans="1:43" ht="15" customHeight="1">
      <c r="A100" s="82" t="e">
        <f t="shared" si="25"/>
        <v>#REF!</v>
      </c>
      <c r="B100" s="134">
        <v>102</v>
      </c>
      <c r="C100" s="135" t="s">
        <v>942</v>
      </c>
      <c r="D100" s="136" t="s">
        <v>274</v>
      </c>
      <c r="E100" s="137" t="s">
        <v>499</v>
      </c>
      <c r="F100" s="138" t="s">
        <v>646</v>
      </c>
      <c r="G100" s="139" t="s">
        <v>744</v>
      </c>
      <c r="H100" s="140" t="str">
        <f t="shared" si="26"/>
        <v>Niet van toepassing</v>
      </c>
      <c r="I100" s="138" t="s">
        <v>35</v>
      </c>
      <c r="J100" s="138" t="s">
        <v>1172</v>
      </c>
      <c r="K100" s="141" t="str">
        <f t="shared" si="27"/>
        <v>NVT</v>
      </c>
      <c r="L100" s="141" t="str">
        <f t="shared" si="28"/>
        <v>NVT</v>
      </c>
      <c r="M100" s="141" t="str">
        <f t="shared" si="29"/>
        <v>NVT</v>
      </c>
      <c r="N100" s="141" t="str">
        <f t="shared" si="30"/>
        <v>NVT</v>
      </c>
      <c r="O100" s="141" t="str">
        <f t="shared" si="31"/>
        <v>NVT</v>
      </c>
      <c r="P100" s="141" t="str">
        <f t="shared" si="32"/>
        <v>NVT</v>
      </c>
      <c r="Q100" s="141" t="str">
        <f t="shared" si="33"/>
        <v>NVT</v>
      </c>
      <c r="R100" s="63" t="s">
        <v>1221</v>
      </c>
      <c r="S100" s="142">
        <f t="shared" si="41"/>
        <v>0</v>
      </c>
      <c r="T100" s="143">
        <v>20.8</v>
      </c>
      <c r="U100" s="144"/>
      <c r="V100" s="144"/>
      <c r="W100" s="144">
        <v>48</v>
      </c>
      <c r="X100" s="144"/>
      <c r="Y100" s="144"/>
      <c r="Z100" s="145"/>
      <c r="AA100" s="145">
        <v>16</v>
      </c>
      <c r="AB100" s="145"/>
      <c r="AC100" s="145"/>
      <c r="AD100" s="146"/>
      <c r="AE100" s="171">
        <v>1</v>
      </c>
      <c r="AF100" s="147">
        <f t="shared" si="34"/>
        <v>0</v>
      </c>
      <c r="AG100" s="147">
        <f t="shared" si="35"/>
        <v>0</v>
      </c>
      <c r="AH100" s="147">
        <f t="shared" si="36"/>
        <v>0</v>
      </c>
      <c r="AI100" s="147">
        <f t="shared" si="37"/>
        <v>0</v>
      </c>
      <c r="AJ100" s="148">
        <f t="shared" si="38"/>
        <v>0</v>
      </c>
      <c r="AK100" s="149">
        <f t="shared" si="42"/>
        <v>0</v>
      </c>
      <c r="AL100" s="149">
        <f t="shared" si="43"/>
        <v>0</v>
      </c>
      <c r="AM100" s="149">
        <f t="shared" si="44"/>
        <v>0</v>
      </c>
      <c r="AN100" s="149">
        <f t="shared" si="45"/>
        <v>0</v>
      </c>
      <c r="AO100" s="150">
        <f t="shared" si="39"/>
        <v>0</v>
      </c>
      <c r="AQ100" s="151">
        <f t="shared" si="40"/>
        <v>0</v>
      </c>
    </row>
    <row r="101" spans="1:43" ht="15" customHeight="1">
      <c r="A101" s="82" t="e">
        <f t="shared" si="25"/>
        <v>#REF!</v>
      </c>
      <c r="B101" s="134">
        <v>102</v>
      </c>
      <c r="C101" s="135" t="s">
        <v>942</v>
      </c>
      <c r="D101" s="136" t="s">
        <v>274</v>
      </c>
      <c r="E101" s="137" t="s">
        <v>499</v>
      </c>
      <c r="F101" s="138" t="s">
        <v>646</v>
      </c>
      <c r="G101" s="139" t="s">
        <v>742</v>
      </c>
      <c r="H101" s="140" t="str">
        <f t="shared" si="26"/>
        <v>Niet van toepassing</v>
      </c>
      <c r="I101" s="138" t="s">
        <v>195</v>
      </c>
      <c r="J101" s="138" t="s">
        <v>1172</v>
      </c>
      <c r="K101" s="141" t="str">
        <f t="shared" si="27"/>
        <v>NVT</v>
      </c>
      <c r="L101" s="141" t="str">
        <f t="shared" si="28"/>
        <v>NVT</v>
      </c>
      <c r="M101" s="141" t="str">
        <f t="shared" si="29"/>
        <v>NVT</v>
      </c>
      <c r="N101" s="141" t="str">
        <f t="shared" si="30"/>
        <v>NVT</v>
      </c>
      <c r="O101" s="141" t="str">
        <f t="shared" si="31"/>
        <v>NVT</v>
      </c>
      <c r="P101" s="141" t="str">
        <f t="shared" si="32"/>
        <v>NVT</v>
      </c>
      <c r="Q101" s="141" t="str">
        <f t="shared" si="33"/>
        <v>NVT</v>
      </c>
      <c r="R101" s="63" t="s">
        <v>1221</v>
      </c>
      <c r="S101" s="142">
        <f t="shared" si="41"/>
        <v>0</v>
      </c>
      <c r="T101" s="143">
        <v>75.400000000000006</v>
      </c>
      <c r="U101" s="144"/>
      <c r="V101" s="144"/>
      <c r="W101" s="144">
        <v>91</v>
      </c>
      <c r="X101" s="144"/>
      <c r="Y101" s="144"/>
      <c r="Z101" s="145"/>
      <c r="AA101" s="145"/>
      <c r="AB101" s="145">
        <v>58</v>
      </c>
      <c r="AC101" s="145"/>
      <c r="AD101" s="146" t="s">
        <v>679</v>
      </c>
      <c r="AE101" s="171">
        <v>1</v>
      </c>
      <c r="AF101" s="147">
        <f t="shared" si="34"/>
        <v>0</v>
      </c>
      <c r="AG101" s="147">
        <f t="shared" si="35"/>
        <v>0</v>
      </c>
      <c r="AH101" s="147">
        <f t="shared" si="36"/>
        <v>0</v>
      </c>
      <c r="AI101" s="147">
        <f t="shared" si="37"/>
        <v>0</v>
      </c>
      <c r="AJ101" s="148">
        <f t="shared" si="38"/>
        <v>0</v>
      </c>
      <c r="AK101" s="149">
        <f t="shared" si="42"/>
        <v>0</v>
      </c>
      <c r="AL101" s="149">
        <f t="shared" si="43"/>
        <v>0</v>
      </c>
      <c r="AM101" s="149">
        <f t="shared" si="44"/>
        <v>0</v>
      </c>
      <c r="AN101" s="149">
        <f t="shared" si="45"/>
        <v>0</v>
      </c>
      <c r="AO101" s="150">
        <f t="shared" si="39"/>
        <v>0</v>
      </c>
      <c r="AQ101" s="151">
        <f t="shared" si="40"/>
        <v>0</v>
      </c>
    </row>
    <row r="102" spans="1:43" ht="15" customHeight="1">
      <c r="A102" s="82" t="e">
        <f t="shared" si="25"/>
        <v>#REF!</v>
      </c>
      <c r="B102" s="134">
        <v>102</v>
      </c>
      <c r="C102" s="135" t="s">
        <v>942</v>
      </c>
      <c r="D102" s="136" t="s">
        <v>274</v>
      </c>
      <c r="E102" s="137" t="s">
        <v>499</v>
      </c>
      <c r="F102" s="138" t="s">
        <v>646</v>
      </c>
      <c r="G102" s="139" t="s">
        <v>986</v>
      </c>
      <c r="H102" s="140" t="str">
        <f t="shared" si="26"/>
        <v>Niet van toepassing</v>
      </c>
      <c r="I102" s="138" t="s">
        <v>35</v>
      </c>
      <c r="J102" s="138" t="s">
        <v>1172</v>
      </c>
      <c r="K102" s="141" t="str">
        <f t="shared" si="27"/>
        <v>NVT</v>
      </c>
      <c r="L102" s="141" t="str">
        <f t="shared" si="28"/>
        <v>NVT</v>
      </c>
      <c r="M102" s="141" t="str">
        <f t="shared" si="29"/>
        <v>NVT</v>
      </c>
      <c r="N102" s="141" t="str">
        <f t="shared" si="30"/>
        <v>NVT</v>
      </c>
      <c r="O102" s="141" t="str">
        <f t="shared" si="31"/>
        <v>NVT</v>
      </c>
      <c r="P102" s="141" t="str">
        <f t="shared" si="32"/>
        <v>NVT</v>
      </c>
      <c r="Q102" s="141" t="str">
        <f t="shared" si="33"/>
        <v>NVT</v>
      </c>
      <c r="R102" s="63" t="s">
        <v>1221</v>
      </c>
      <c r="S102" s="142">
        <f t="shared" si="41"/>
        <v>0</v>
      </c>
      <c r="T102" s="143">
        <v>16.900000000000002</v>
      </c>
      <c r="U102" s="144"/>
      <c r="V102" s="144"/>
      <c r="W102" s="144">
        <v>52</v>
      </c>
      <c r="X102" s="144"/>
      <c r="Y102" s="144"/>
      <c r="Z102" s="145"/>
      <c r="AA102" s="145"/>
      <c r="AB102" s="145"/>
      <c r="AC102" s="145">
        <v>13</v>
      </c>
      <c r="AD102" s="146" t="s">
        <v>679</v>
      </c>
      <c r="AE102" s="171">
        <v>1</v>
      </c>
      <c r="AF102" s="147">
        <f t="shared" si="34"/>
        <v>0</v>
      </c>
      <c r="AG102" s="147">
        <f t="shared" si="35"/>
        <v>0</v>
      </c>
      <c r="AH102" s="147">
        <f t="shared" si="36"/>
        <v>0</v>
      </c>
      <c r="AI102" s="147">
        <f t="shared" si="37"/>
        <v>0</v>
      </c>
      <c r="AJ102" s="148">
        <f t="shared" si="38"/>
        <v>0</v>
      </c>
      <c r="AK102" s="149">
        <f t="shared" si="42"/>
        <v>0</v>
      </c>
      <c r="AL102" s="149">
        <f t="shared" si="43"/>
        <v>0</v>
      </c>
      <c r="AM102" s="149">
        <f t="shared" si="44"/>
        <v>0</v>
      </c>
      <c r="AN102" s="149">
        <f t="shared" si="45"/>
        <v>0</v>
      </c>
      <c r="AO102" s="150">
        <f t="shared" si="39"/>
        <v>0</v>
      </c>
      <c r="AQ102" s="151">
        <f t="shared" si="40"/>
        <v>0</v>
      </c>
    </row>
    <row r="103" spans="1:43" ht="15" customHeight="1">
      <c r="A103" s="82" t="e">
        <f t="shared" si="25"/>
        <v>#REF!</v>
      </c>
      <c r="B103" s="134">
        <v>102</v>
      </c>
      <c r="C103" s="135" t="s">
        <v>942</v>
      </c>
      <c r="D103" s="136" t="s">
        <v>274</v>
      </c>
      <c r="E103" s="137" t="s">
        <v>101</v>
      </c>
      <c r="F103" s="138" t="s">
        <v>546</v>
      </c>
      <c r="G103" s="139" t="s">
        <v>898</v>
      </c>
      <c r="H103" s="140" t="str">
        <f t="shared" si="26"/>
        <v>Roltrappen(inclusief aangrenzende bouwdelen)</v>
      </c>
      <c r="I103" s="138" t="s">
        <v>264</v>
      </c>
      <c r="J103" s="138" t="s">
        <v>1171</v>
      </c>
      <c r="K103" s="141" t="str">
        <f t="shared" si="27"/>
        <v>Omde dag Vol/Nal.</v>
      </c>
      <c r="L103" s="141" t="str">
        <f t="shared" si="28"/>
        <v>Omde dag Nal./Vol</v>
      </c>
      <c r="M103" s="141" t="str">
        <f t="shared" si="29"/>
        <v>Omde dag Vol/Nal.</v>
      </c>
      <c r="N103" s="141" t="str">
        <f t="shared" si="30"/>
        <v>Omde dag Nal./Vol</v>
      </c>
      <c r="O103" s="141" t="str">
        <f t="shared" si="31"/>
        <v>Omde dag Vol/Nal.</v>
      </c>
      <c r="P103" s="141" t="str">
        <f t="shared" si="32"/>
        <v>Omde dag Nal./Vol</v>
      </c>
      <c r="Q103" s="141" t="str">
        <f t="shared" si="33"/>
        <v>Omde dag Vol/Nal.</v>
      </c>
      <c r="R103" s="63" t="s">
        <v>1481</v>
      </c>
      <c r="S103" s="142">
        <f t="shared" si="41"/>
        <v>365</v>
      </c>
      <c r="T103" s="143">
        <v>0</v>
      </c>
      <c r="U103" s="144"/>
      <c r="V103" s="144"/>
      <c r="W103" s="144"/>
      <c r="X103" s="144"/>
      <c r="Y103" s="144"/>
      <c r="Z103" s="145"/>
      <c r="AA103" s="145"/>
      <c r="AB103" s="145"/>
      <c r="AC103" s="145"/>
      <c r="AD103" s="146"/>
      <c r="AE103" s="171">
        <v>1</v>
      </c>
      <c r="AF103" s="147">
        <f t="shared" si="34"/>
        <v>0</v>
      </c>
      <c r="AG103" s="147">
        <f t="shared" si="35"/>
        <v>0</v>
      </c>
      <c r="AH103" s="147">
        <f t="shared" si="36"/>
        <v>0</v>
      </c>
      <c r="AI103" s="147">
        <f t="shared" si="37"/>
        <v>0</v>
      </c>
      <c r="AJ103" s="148" t="str">
        <f t="shared" si="38"/>
        <v>ja</v>
      </c>
      <c r="AK103" s="149">
        <f t="shared" si="42"/>
        <v>0</v>
      </c>
      <c r="AL103" s="149">
        <f t="shared" si="43"/>
        <v>0</v>
      </c>
      <c r="AM103" s="149">
        <f t="shared" si="44"/>
        <v>0</v>
      </c>
      <c r="AN103" s="149">
        <f t="shared" si="45"/>
        <v>0</v>
      </c>
      <c r="AO103" s="150" t="str">
        <f t="shared" si="39"/>
        <v>V</v>
      </c>
      <c r="AQ103" s="151">
        <f t="shared" si="40"/>
        <v>0</v>
      </c>
    </row>
    <row r="104" spans="1:43" ht="15" customHeight="1">
      <c r="A104" s="82" t="e">
        <f t="shared" si="25"/>
        <v>#REF!</v>
      </c>
      <c r="B104" s="134">
        <v>102</v>
      </c>
      <c r="C104" s="135" t="s">
        <v>942</v>
      </c>
      <c r="D104" s="136" t="s">
        <v>274</v>
      </c>
      <c r="E104" s="137" t="s">
        <v>101</v>
      </c>
      <c r="F104" s="138" t="s">
        <v>548</v>
      </c>
      <c r="G104" s="139" t="s">
        <v>899</v>
      </c>
      <c r="H104" s="140" t="str">
        <f t="shared" si="26"/>
        <v>Trappen</v>
      </c>
      <c r="I104" s="138" t="s">
        <v>1250</v>
      </c>
      <c r="J104" s="138" t="s">
        <v>1171</v>
      </c>
      <c r="K104" s="141" t="str">
        <f t="shared" si="27"/>
        <v>Omde dag Vol/Nal.</v>
      </c>
      <c r="L104" s="141" t="str">
        <f t="shared" si="28"/>
        <v>Omde dag Nal./Vol</v>
      </c>
      <c r="M104" s="141" t="str">
        <f t="shared" si="29"/>
        <v>Omde dag Vol/Nal.</v>
      </c>
      <c r="N104" s="141" t="str">
        <f t="shared" si="30"/>
        <v>Omde dag Nal./Vol</v>
      </c>
      <c r="O104" s="141" t="str">
        <f t="shared" si="31"/>
        <v>Omde dag Vol/Nal.</v>
      </c>
      <c r="P104" s="141" t="str">
        <f t="shared" si="32"/>
        <v>Omde dag Nal./Vol</v>
      </c>
      <c r="Q104" s="141" t="str">
        <f t="shared" si="33"/>
        <v>Omde dag Vol/Nal.</v>
      </c>
      <c r="R104" s="63" t="s">
        <v>1477</v>
      </c>
      <c r="S104" s="142">
        <f t="shared" si="41"/>
        <v>365</v>
      </c>
      <c r="T104" s="143">
        <v>32.5</v>
      </c>
      <c r="U104" s="144"/>
      <c r="V104" s="144"/>
      <c r="W104" s="144"/>
      <c r="X104" s="144"/>
      <c r="Y104" s="144"/>
      <c r="Z104" s="145"/>
      <c r="AA104" s="145"/>
      <c r="AB104" s="145"/>
      <c r="AC104" s="145"/>
      <c r="AD104" s="146" t="s">
        <v>1032</v>
      </c>
      <c r="AE104" s="171">
        <v>1</v>
      </c>
      <c r="AF104" s="147">
        <f t="shared" si="34"/>
        <v>0</v>
      </c>
      <c r="AG104" s="147">
        <f t="shared" si="35"/>
        <v>0</v>
      </c>
      <c r="AH104" s="147">
        <f t="shared" si="36"/>
        <v>0</v>
      </c>
      <c r="AI104" s="147">
        <f t="shared" si="37"/>
        <v>0</v>
      </c>
      <c r="AJ104" s="148" t="str">
        <f t="shared" si="38"/>
        <v>ja</v>
      </c>
      <c r="AK104" s="149">
        <f t="shared" si="42"/>
        <v>0</v>
      </c>
      <c r="AL104" s="149">
        <f t="shared" si="43"/>
        <v>0</v>
      </c>
      <c r="AM104" s="149">
        <f t="shared" si="44"/>
        <v>0</v>
      </c>
      <c r="AN104" s="149">
        <f t="shared" si="45"/>
        <v>0</v>
      </c>
      <c r="AO104" s="150" t="str">
        <f t="shared" si="39"/>
        <v>V</v>
      </c>
      <c r="AQ104" s="151">
        <f t="shared" si="40"/>
        <v>11862.5</v>
      </c>
    </row>
    <row r="105" spans="1:43" ht="15" customHeight="1">
      <c r="A105" s="82" t="e">
        <f t="shared" si="25"/>
        <v>#REF!</v>
      </c>
      <c r="B105" s="134">
        <v>102</v>
      </c>
      <c r="C105" s="135" t="s">
        <v>942</v>
      </c>
      <c r="D105" s="136" t="s">
        <v>274</v>
      </c>
      <c r="E105" s="137" t="s">
        <v>101</v>
      </c>
      <c r="F105" s="138" t="s">
        <v>101</v>
      </c>
      <c r="G105" s="139" t="s">
        <v>900</v>
      </c>
      <c r="H105" s="140" t="str">
        <f t="shared" si="26"/>
        <v>Perrons</v>
      </c>
      <c r="I105" s="138" t="s">
        <v>195</v>
      </c>
      <c r="J105" s="138" t="s">
        <v>1171</v>
      </c>
      <c r="K105" s="141" t="str">
        <f t="shared" si="27"/>
        <v>Omde dag Vol/Nal.</v>
      </c>
      <c r="L105" s="141" t="str">
        <f t="shared" si="28"/>
        <v>Omde dag Nal./Vol</v>
      </c>
      <c r="M105" s="141" t="str">
        <f t="shared" si="29"/>
        <v>Omde dag Vol/Nal.</v>
      </c>
      <c r="N105" s="141" t="str">
        <f t="shared" si="30"/>
        <v>Omde dag Nal./Vol</v>
      </c>
      <c r="O105" s="141" t="str">
        <f t="shared" si="31"/>
        <v>Omde dag Vol/Nal.</v>
      </c>
      <c r="P105" s="141" t="str">
        <f t="shared" si="32"/>
        <v>Omde dag Nal./Vol</v>
      </c>
      <c r="Q105" s="141" t="str">
        <f t="shared" si="33"/>
        <v>Omde dag Vol/Nal.</v>
      </c>
      <c r="R105" s="63" t="s">
        <v>1473</v>
      </c>
      <c r="S105" s="142">
        <f t="shared" si="41"/>
        <v>365</v>
      </c>
      <c r="T105" s="143">
        <v>1782.3</v>
      </c>
      <c r="U105" s="144"/>
      <c r="V105" s="144">
        <v>313</v>
      </c>
      <c r="W105" s="144"/>
      <c r="X105" s="144"/>
      <c r="Y105" s="144"/>
      <c r="Z105" s="145"/>
      <c r="AA105" s="145"/>
      <c r="AB105" s="145"/>
      <c r="AC105" s="145">
        <v>1935</v>
      </c>
      <c r="AD105" s="146" t="s">
        <v>679</v>
      </c>
      <c r="AE105" s="171">
        <v>1</v>
      </c>
      <c r="AF105" s="147">
        <f t="shared" si="34"/>
        <v>0</v>
      </c>
      <c r="AG105" s="147">
        <f t="shared" si="35"/>
        <v>0</v>
      </c>
      <c r="AH105" s="147">
        <f t="shared" si="36"/>
        <v>0</v>
      </c>
      <c r="AI105" s="147">
        <f t="shared" si="37"/>
        <v>0</v>
      </c>
      <c r="AJ105" s="148" t="str">
        <f t="shared" si="38"/>
        <v>ja</v>
      </c>
      <c r="AK105" s="149">
        <f t="shared" si="42"/>
        <v>0</v>
      </c>
      <c r="AL105" s="149">
        <f t="shared" si="43"/>
        <v>0</v>
      </c>
      <c r="AM105" s="149">
        <f t="shared" si="44"/>
        <v>0</v>
      </c>
      <c r="AN105" s="149">
        <f t="shared" si="45"/>
        <v>0</v>
      </c>
      <c r="AO105" s="150" t="str">
        <f t="shared" si="39"/>
        <v>V</v>
      </c>
      <c r="AQ105" s="151">
        <f t="shared" si="40"/>
        <v>650539.5</v>
      </c>
    </row>
    <row r="106" spans="1:43" ht="15" customHeight="1">
      <c r="A106" s="82" t="e">
        <f t="shared" si="25"/>
        <v>#REF!</v>
      </c>
      <c r="B106" s="134">
        <v>102</v>
      </c>
      <c r="C106" s="135" t="s">
        <v>942</v>
      </c>
      <c r="D106" s="136" t="s">
        <v>274</v>
      </c>
      <c r="E106" s="137" t="s">
        <v>101</v>
      </c>
      <c r="F106" s="138" t="s">
        <v>548</v>
      </c>
      <c r="G106" s="139" t="s">
        <v>901</v>
      </c>
      <c r="H106" s="140" t="str">
        <f t="shared" si="26"/>
        <v>Trappen</v>
      </c>
      <c r="I106" s="138" t="s">
        <v>1250</v>
      </c>
      <c r="J106" s="138" t="s">
        <v>1171</v>
      </c>
      <c r="K106" s="141" t="str">
        <f t="shared" si="27"/>
        <v>Omde dag Vol/Nal.</v>
      </c>
      <c r="L106" s="141" t="str">
        <f t="shared" si="28"/>
        <v>Omde dag Nal./Vol</v>
      </c>
      <c r="M106" s="141" t="str">
        <f t="shared" si="29"/>
        <v>Omde dag Vol/Nal.</v>
      </c>
      <c r="N106" s="141" t="str">
        <f t="shared" si="30"/>
        <v>Omde dag Nal./Vol</v>
      </c>
      <c r="O106" s="141" t="str">
        <f t="shared" si="31"/>
        <v>Omde dag Vol/Nal.</v>
      </c>
      <c r="P106" s="141" t="str">
        <f t="shared" si="32"/>
        <v>Omde dag Nal./Vol</v>
      </c>
      <c r="Q106" s="141" t="str">
        <f t="shared" si="33"/>
        <v>Omde dag Vol/Nal.</v>
      </c>
      <c r="R106" s="63" t="s">
        <v>1477</v>
      </c>
      <c r="S106" s="142">
        <f t="shared" si="41"/>
        <v>365</v>
      </c>
      <c r="T106" s="143">
        <v>33</v>
      </c>
      <c r="U106" s="144"/>
      <c r="V106" s="144"/>
      <c r="W106" s="144"/>
      <c r="X106" s="144"/>
      <c r="Y106" s="144"/>
      <c r="Z106" s="145"/>
      <c r="AA106" s="145"/>
      <c r="AB106" s="145"/>
      <c r="AC106" s="145"/>
      <c r="AD106" s="146" t="s">
        <v>1033</v>
      </c>
      <c r="AE106" s="171">
        <v>1</v>
      </c>
      <c r="AF106" s="147">
        <f t="shared" si="34"/>
        <v>0</v>
      </c>
      <c r="AG106" s="147">
        <f t="shared" si="35"/>
        <v>0</v>
      </c>
      <c r="AH106" s="147">
        <f t="shared" si="36"/>
        <v>0</v>
      </c>
      <c r="AI106" s="147">
        <f t="shared" si="37"/>
        <v>0</v>
      </c>
      <c r="AJ106" s="148" t="str">
        <f t="shared" si="38"/>
        <v>ja</v>
      </c>
      <c r="AK106" s="149">
        <f t="shared" si="42"/>
        <v>0</v>
      </c>
      <c r="AL106" s="149">
        <f t="shared" si="43"/>
        <v>0</v>
      </c>
      <c r="AM106" s="149">
        <f t="shared" si="44"/>
        <v>0</v>
      </c>
      <c r="AN106" s="149">
        <f t="shared" si="45"/>
        <v>0</v>
      </c>
      <c r="AO106" s="150" t="str">
        <f t="shared" si="39"/>
        <v>V</v>
      </c>
      <c r="AQ106" s="151">
        <f t="shared" si="40"/>
        <v>12045</v>
      </c>
    </row>
    <row r="107" spans="1:43" ht="15" customHeight="1">
      <c r="A107" s="82" t="e">
        <f t="shared" ref="A107:A155" si="46">1+A106</f>
        <v>#REF!</v>
      </c>
      <c r="B107" s="134">
        <v>102</v>
      </c>
      <c r="C107" s="135" t="s">
        <v>942</v>
      </c>
      <c r="D107" s="136" t="s">
        <v>274</v>
      </c>
      <c r="E107" s="137" t="s">
        <v>101</v>
      </c>
      <c r="F107" s="138" t="s">
        <v>546</v>
      </c>
      <c r="G107" s="139" t="s">
        <v>902</v>
      </c>
      <c r="H107" s="140" t="str">
        <f t="shared" si="26"/>
        <v>Roltrappen(inclusief aangrenzende bouwdelen)</v>
      </c>
      <c r="I107" s="138" t="s">
        <v>264</v>
      </c>
      <c r="J107" s="138" t="s">
        <v>1171</v>
      </c>
      <c r="K107" s="141" t="str">
        <f t="shared" si="27"/>
        <v>Omde dag Vol/Nal.</v>
      </c>
      <c r="L107" s="141" t="str">
        <f t="shared" si="28"/>
        <v>Omde dag Nal./Vol</v>
      </c>
      <c r="M107" s="141" t="str">
        <f t="shared" si="29"/>
        <v>Omde dag Vol/Nal.</v>
      </c>
      <c r="N107" s="141" t="str">
        <f t="shared" si="30"/>
        <v>Omde dag Nal./Vol</v>
      </c>
      <c r="O107" s="141" t="str">
        <f t="shared" si="31"/>
        <v>Omde dag Vol/Nal.</v>
      </c>
      <c r="P107" s="141" t="str">
        <f t="shared" si="32"/>
        <v>Omde dag Nal./Vol</v>
      </c>
      <c r="Q107" s="141" t="str">
        <f t="shared" si="33"/>
        <v>Omde dag Vol/Nal.</v>
      </c>
      <c r="R107" s="63" t="s">
        <v>1481</v>
      </c>
      <c r="S107" s="142">
        <f t="shared" si="41"/>
        <v>365</v>
      </c>
      <c r="T107" s="143">
        <v>0</v>
      </c>
      <c r="U107" s="144"/>
      <c r="V107" s="144"/>
      <c r="W107" s="144"/>
      <c r="X107" s="144"/>
      <c r="Y107" s="144"/>
      <c r="Z107" s="145"/>
      <c r="AA107" s="145"/>
      <c r="AB107" s="145"/>
      <c r="AC107" s="145"/>
      <c r="AD107" s="146"/>
      <c r="AE107" s="171">
        <v>1</v>
      </c>
      <c r="AF107" s="147">
        <f t="shared" si="34"/>
        <v>0</v>
      </c>
      <c r="AG107" s="147">
        <f t="shared" si="35"/>
        <v>0</v>
      </c>
      <c r="AH107" s="147">
        <f t="shared" si="36"/>
        <v>0</v>
      </c>
      <c r="AI107" s="147">
        <f t="shared" si="37"/>
        <v>0</v>
      </c>
      <c r="AJ107" s="148" t="str">
        <f t="shared" si="38"/>
        <v>ja</v>
      </c>
      <c r="AK107" s="149">
        <f t="shared" si="42"/>
        <v>0</v>
      </c>
      <c r="AL107" s="149">
        <f t="shared" si="43"/>
        <v>0</v>
      </c>
      <c r="AM107" s="149">
        <f t="shared" si="44"/>
        <v>0</v>
      </c>
      <c r="AN107" s="149">
        <f t="shared" si="45"/>
        <v>0</v>
      </c>
      <c r="AO107" s="150" t="str">
        <f t="shared" si="39"/>
        <v>V</v>
      </c>
      <c r="AQ107" s="151">
        <f t="shared" si="40"/>
        <v>0</v>
      </c>
    </row>
    <row r="108" spans="1:43" ht="15" customHeight="1">
      <c r="A108" s="82" t="e">
        <f t="shared" si="46"/>
        <v>#REF!</v>
      </c>
      <c r="B108" s="134">
        <v>102</v>
      </c>
      <c r="C108" s="135" t="s">
        <v>942</v>
      </c>
      <c r="D108" s="136" t="s">
        <v>274</v>
      </c>
      <c r="E108" s="137" t="s">
        <v>101</v>
      </c>
      <c r="F108" s="138" t="s">
        <v>851</v>
      </c>
      <c r="G108" s="139" t="s">
        <v>454</v>
      </c>
      <c r="H108" s="140" t="str">
        <f t="shared" si="26"/>
        <v>Liften</v>
      </c>
      <c r="I108" s="138"/>
      <c r="J108" s="138" t="s">
        <v>1171</v>
      </c>
      <c r="K108" s="141" t="str">
        <f t="shared" si="27"/>
        <v>Omde dag Vol/Nal.</v>
      </c>
      <c r="L108" s="141" t="str">
        <f t="shared" si="28"/>
        <v>Omde dag Nal./Vol</v>
      </c>
      <c r="M108" s="141" t="str">
        <f t="shared" si="29"/>
        <v>Omde dag Vol/Nal.</v>
      </c>
      <c r="N108" s="141" t="str">
        <f t="shared" si="30"/>
        <v>Omde dag Nal./Vol</v>
      </c>
      <c r="O108" s="141" t="str">
        <f t="shared" si="31"/>
        <v>Omde dag Vol/Nal.</v>
      </c>
      <c r="P108" s="141" t="str">
        <f t="shared" si="32"/>
        <v>Omde dag Nal./Vol</v>
      </c>
      <c r="Q108" s="141" t="str">
        <f t="shared" si="33"/>
        <v>Omde dag Vol/Nal.</v>
      </c>
      <c r="R108" s="63" t="s">
        <v>1475</v>
      </c>
      <c r="S108" s="142">
        <f t="shared" si="41"/>
        <v>365</v>
      </c>
      <c r="T108" s="143">
        <v>0</v>
      </c>
      <c r="U108" s="144"/>
      <c r="V108" s="144"/>
      <c r="W108" s="144"/>
      <c r="X108" s="144"/>
      <c r="Y108" s="144"/>
      <c r="Z108" s="145"/>
      <c r="AA108" s="145"/>
      <c r="AB108" s="145"/>
      <c r="AC108" s="145"/>
      <c r="AD108" s="146" t="s">
        <v>752</v>
      </c>
      <c r="AE108" s="171">
        <v>1</v>
      </c>
      <c r="AF108" s="147">
        <f t="shared" si="34"/>
        <v>0</v>
      </c>
      <c r="AG108" s="147">
        <f t="shared" si="35"/>
        <v>0</v>
      </c>
      <c r="AH108" s="147">
        <f t="shared" si="36"/>
        <v>0</v>
      </c>
      <c r="AI108" s="147">
        <f t="shared" si="37"/>
        <v>0</v>
      </c>
      <c r="AJ108" s="148" t="str">
        <f t="shared" si="38"/>
        <v>ja</v>
      </c>
      <c r="AK108" s="149">
        <f t="shared" si="42"/>
        <v>0</v>
      </c>
      <c r="AL108" s="149">
        <f t="shared" si="43"/>
        <v>0</v>
      </c>
      <c r="AM108" s="149">
        <f t="shared" si="44"/>
        <v>0</v>
      </c>
      <c r="AN108" s="149">
        <f t="shared" si="45"/>
        <v>0</v>
      </c>
      <c r="AO108" s="150" t="str">
        <f t="shared" si="39"/>
        <v>V</v>
      </c>
      <c r="AQ108" s="151">
        <f t="shared" si="40"/>
        <v>0</v>
      </c>
    </row>
    <row r="109" spans="1:43" ht="15" customHeight="1">
      <c r="A109" s="82" t="e">
        <f t="shared" si="46"/>
        <v>#REF!</v>
      </c>
      <c r="B109" s="134">
        <v>102</v>
      </c>
      <c r="C109" s="135" t="s">
        <v>942</v>
      </c>
      <c r="D109" s="136" t="s">
        <v>274</v>
      </c>
      <c r="E109" s="137" t="s">
        <v>101</v>
      </c>
      <c r="F109" s="138" t="s">
        <v>966</v>
      </c>
      <c r="G109" s="139" t="s">
        <v>182</v>
      </c>
      <c r="H109" s="140" t="str">
        <f t="shared" si="26"/>
        <v>Liften</v>
      </c>
      <c r="I109" s="138"/>
      <c r="J109" s="138" t="s">
        <v>1171</v>
      </c>
      <c r="K109" s="141" t="str">
        <f t="shared" si="27"/>
        <v>Omde dag Vol/Nal.</v>
      </c>
      <c r="L109" s="141" t="str">
        <f t="shared" si="28"/>
        <v>Omde dag Nal./Vol</v>
      </c>
      <c r="M109" s="141" t="str">
        <f t="shared" si="29"/>
        <v>Omde dag Vol/Nal.</v>
      </c>
      <c r="N109" s="141" t="str">
        <f t="shared" si="30"/>
        <v>Omde dag Nal./Vol</v>
      </c>
      <c r="O109" s="141" t="str">
        <f t="shared" si="31"/>
        <v>Omde dag Vol/Nal.</v>
      </c>
      <c r="P109" s="141" t="str">
        <f t="shared" si="32"/>
        <v>Omde dag Nal./Vol</v>
      </c>
      <c r="Q109" s="141" t="str">
        <f t="shared" si="33"/>
        <v>Omde dag Vol/Nal.</v>
      </c>
      <c r="R109" s="63" t="s">
        <v>1475</v>
      </c>
      <c r="S109" s="142">
        <f t="shared" si="41"/>
        <v>365</v>
      </c>
      <c r="T109" s="143">
        <v>0</v>
      </c>
      <c r="U109" s="144"/>
      <c r="V109" s="144"/>
      <c r="W109" s="144"/>
      <c r="X109" s="144"/>
      <c r="Y109" s="144"/>
      <c r="Z109" s="145"/>
      <c r="AA109" s="145"/>
      <c r="AB109" s="145"/>
      <c r="AC109" s="145"/>
      <c r="AD109" s="146" t="s">
        <v>752</v>
      </c>
      <c r="AE109" s="171">
        <v>1</v>
      </c>
      <c r="AF109" s="147">
        <f t="shared" si="34"/>
        <v>0</v>
      </c>
      <c r="AG109" s="147">
        <f t="shared" si="35"/>
        <v>0</v>
      </c>
      <c r="AH109" s="147">
        <f t="shared" si="36"/>
        <v>0</v>
      </c>
      <c r="AI109" s="147">
        <f t="shared" si="37"/>
        <v>0</v>
      </c>
      <c r="AJ109" s="148" t="str">
        <f t="shared" si="38"/>
        <v>ja</v>
      </c>
      <c r="AK109" s="149">
        <f t="shared" si="42"/>
        <v>0</v>
      </c>
      <c r="AL109" s="149">
        <f t="shared" si="43"/>
        <v>0</v>
      </c>
      <c r="AM109" s="149">
        <f t="shared" si="44"/>
        <v>0</v>
      </c>
      <c r="AN109" s="149">
        <f t="shared" si="45"/>
        <v>0</v>
      </c>
      <c r="AO109" s="150" t="str">
        <f t="shared" si="39"/>
        <v>V</v>
      </c>
      <c r="AQ109" s="151">
        <f t="shared" si="40"/>
        <v>0</v>
      </c>
    </row>
    <row r="110" spans="1:43" ht="15" customHeight="1">
      <c r="A110" s="82" t="e">
        <f>1+#REF!</f>
        <v>#REF!</v>
      </c>
      <c r="B110" s="134">
        <v>102</v>
      </c>
      <c r="C110" s="135" t="s">
        <v>942</v>
      </c>
      <c r="D110" s="136" t="s">
        <v>274</v>
      </c>
      <c r="E110" s="137" t="s">
        <v>101</v>
      </c>
      <c r="F110" s="138" t="s">
        <v>580</v>
      </c>
      <c r="G110" s="139" t="s">
        <v>904</v>
      </c>
      <c r="H110" s="140" t="str">
        <f t="shared" ref="H110:H164" si="47">VLOOKUP(R110,Kengetal,3,FALSE)</f>
        <v>Niet van toepassing</v>
      </c>
      <c r="I110" s="138" t="s">
        <v>270</v>
      </c>
      <c r="J110" s="138" t="s">
        <v>1172</v>
      </c>
      <c r="K110" s="141" t="str">
        <f t="shared" ref="K110:K164" si="48">IF($R110="",0,VLOOKUP($R110,Kengetal,14,FALSE))</f>
        <v>NVT</v>
      </c>
      <c r="L110" s="141" t="str">
        <f t="shared" ref="L110:L164" si="49">IF($R110="",0,VLOOKUP($R110,Kengetal,15,FALSE))</f>
        <v>NVT</v>
      </c>
      <c r="M110" s="141" t="str">
        <f t="shared" ref="M110:M164" si="50">IF($R110="",0,VLOOKUP($R110,Kengetal,16,FALSE))</f>
        <v>NVT</v>
      </c>
      <c r="N110" s="141" t="str">
        <f t="shared" ref="N110:N164" si="51">IF($R110="",0,VLOOKUP($R110,Kengetal,17,FALSE))</f>
        <v>NVT</v>
      </c>
      <c r="O110" s="141" t="str">
        <f t="shared" ref="O110:O164" si="52">IF($R110="",0,VLOOKUP($R110,Kengetal,18,FALSE))</f>
        <v>NVT</v>
      </c>
      <c r="P110" s="141" t="str">
        <f t="shared" ref="P110:P164" si="53">IF($R110="",0,VLOOKUP($R110,Kengetal,19,FALSE))</f>
        <v>NVT</v>
      </c>
      <c r="Q110" s="141" t="str">
        <f t="shared" ref="Q110:Q164" si="54">IF($R110="",0,VLOOKUP($R110,Kengetal,20,FALSE))</f>
        <v>NVT</v>
      </c>
      <c r="R110" s="63" t="s">
        <v>1221</v>
      </c>
      <c r="S110" s="142">
        <f t="shared" si="41"/>
        <v>0</v>
      </c>
      <c r="T110" s="143">
        <v>19.5</v>
      </c>
      <c r="U110" s="144"/>
      <c r="V110" s="144"/>
      <c r="W110" s="144"/>
      <c r="X110" s="144"/>
      <c r="Y110" s="144">
        <v>56</v>
      </c>
      <c r="Z110" s="145"/>
      <c r="AA110" s="145"/>
      <c r="AB110" s="145">
        <v>15</v>
      </c>
      <c r="AC110" s="145"/>
      <c r="AD110" s="146"/>
      <c r="AE110" s="171">
        <v>1</v>
      </c>
      <c r="AF110" s="147">
        <f t="shared" ref="AF110:AF164" si="55">T110*AK110*AE110</f>
        <v>0</v>
      </c>
      <c r="AG110" s="147">
        <f t="shared" ref="AG110:AG164" si="56">T110*AL110*AE110</f>
        <v>0</v>
      </c>
      <c r="AH110" s="147">
        <f t="shared" ref="AH110:AH164" si="57">T110*AM110*AE110</f>
        <v>0</v>
      </c>
      <c r="AI110" s="147">
        <f t="shared" ref="AI110:AI164" si="58">T110*AN110*AE110</f>
        <v>0</v>
      </c>
      <c r="AJ110" s="148">
        <f t="shared" ref="AJ110:AJ164" si="59">IF($R110="",0,VLOOKUP($R110,Kengetal,12,FALSE))</f>
        <v>0</v>
      </c>
      <c r="AK110" s="149">
        <f t="shared" si="42"/>
        <v>0</v>
      </c>
      <c r="AL110" s="149">
        <f t="shared" si="43"/>
        <v>0</v>
      </c>
      <c r="AM110" s="149">
        <f t="shared" si="44"/>
        <v>0</v>
      </c>
      <c r="AN110" s="149">
        <f t="shared" si="45"/>
        <v>0</v>
      </c>
      <c r="AO110" s="150">
        <f t="shared" ref="AO110:AO164" si="60">IF($R110="",0,VLOOKUP($R110,Kengetal,13,FALSE))</f>
        <v>0</v>
      </c>
      <c r="AQ110" s="151">
        <f t="shared" ref="AQ110:AQ164" si="61">T110*S110</f>
        <v>0</v>
      </c>
    </row>
    <row r="111" spans="1:43" ht="15" customHeight="1">
      <c r="A111" s="82" t="e">
        <f t="shared" si="46"/>
        <v>#REF!</v>
      </c>
      <c r="B111" s="134">
        <v>102</v>
      </c>
      <c r="C111" s="135" t="s">
        <v>942</v>
      </c>
      <c r="D111" s="136" t="s">
        <v>274</v>
      </c>
      <c r="E111" s="137" t="s">
        <v>101</v>
      </c>
      <c r="F111" s="138" t="s">
        <v>66</v>
      </c>
      <c r="G111" s="139" t="s">
        <v>987</v>
      </c>
      <c r="H111" s="140" t="str">
        <f t="shared" si="47"/>
        <v>Niet van toepassing</v>
      </c>
      <c r="I111" s="138" t="s">
        <v>270</v>
      </c>
      <c r="J111" s="138" t="s">
        <v>1172</v>
      </c>
      <c r="K111" s="141" t="str">
        <f t="shared" si="48"/>
        <v>NVT</v>
      </c>
      <c r="L111" s="141" t="str">
        <f t="shared" si="49"/>
        <v>NVT</v>
      </c>
      <c r="M111" s="141" t="str">
        <f t="shared" si="50"/>
        <v>NVT</v>
      </c>
      <c r="N111" s="141" t="str">
        <f t="shared" si="51"/>
        <v>NVT</v>
      </c>
      <c r="O111" s="141" t="str">
        <f t="shared" si="52"/>
        <v>NVT</v>
      </c>
      <c r="P111" s="141" t="str">
        <f t="shared" si="53"/>
        <v>NVT</v>
      </c>
      <c r="Q111" s="141" t="str">
        <f t="shared" si="54"/>
        <v>NVT</v>
      </c>
      <c r="R111" s="63" t="s">
        <v>1221</v>
      </c>
      <c r="S111" s="142">
        <f t="shared" si="41"/>
        <v>0</v>
      </c>
      <c r="T111" s="143">
        <v>52</v>
      </c>
      <c r="U111" s="144"/>
      <c r="V111" s="144"/>
      <c r="W111" s="144"/>
      <c r="X111" s="144"/>
      <c r="Y111" s="144">
        <v>136</v>
      </c>
      <c r="Z111" s="145"/>
      <c r="AA111" s="145"/>
      <c r="AB111" s="145">
        <v>15</v>
      </c>
      <c r="AC111" s="145"/>
      <c r="AD111" s="146"/>
      <c r="AE111" s="171">
        <v>1</v>
      </c>
      <c r="AF111" s="147">
        <f t="shared" si="55"/>
        <v>0</v>
      </c>
      <c r="AG111" s="147">
        <f t="shared" si="56"/>
        <v>0</v>
      </c>
      <c r="AH111" s="147">
        <f t="shared" si="57"/>
        <v>0</v>
      </c>
      <c r="AI111" s="147">
        <f t="shared" si="58"/>
        <v>0</v>
      </c>
      <c r="AJ111" s="148">
        <f t="shared" si="59"/>
        <v>0</v>
      </c>
      <c r="AK111" s="149">
        <f t="shared" si="42"/>
        <v>0</v>
      </c>
      <c r="AL111" s="149">
        <f t="shared" si="43"/>
        <v>0</v>
      </c>
      <c r="AM111" s="149">
        <f t="shared" si="44"/>
        <v>0</v>
      </c>
      <c r="AN111" s="149">
        <f t="shared" si="45"/>
        <v>0</v>
      </c>
      <c r="AO111" s="150">
        <f t="shared" si="60"/>
        <v>0</v>
      </c>
      <c r="AQ111" s="151">
        <f t="shared" si="61"/>
        <v>0</v>
      </c>
    </row>
    <row r="112" spans="1:43" ht="15" customHeight="1">
      <c r="A112" s="82" t="e">
        <f t="shared" si="46"/>
        <v>#REF!</v>
      </c>
      <c r="B112" s="134">
        <v>102</v>
      </c>
      <c r="C112" s="135" t="s">
        <v>942</v>
      </c>
      <c r="D112" s="136" t="s">
        <v>274</v>
      </c>
      <c r="E112" s="137" t="s">
        <v>101</v>
      </c>
      <c r="F112" s="138" t="s">
        <v>66</v>
      </c>
      <c r="G112" s="139" t="s">
        <v>905</v>
      </c>
      <c r="H112" s="140" t="str">
        <f t="shared" si="47"/>
        <v>Niet van toepassing</v>
      </c>
      <c r="I112" s="138" t="s">
        <v>270</v>
      </c>
      <c r="J112" s="138" t="s">
        <v>1172</v>
      </c>
      <c r="K112" s="141" t="str">
        <f t="shared" si="48"/>
        <v>NVT</v>
      </c>
      <c r="L112" s="141" t="str">
        <f t="shared" si="49"/>
        <v>NVT</v>
      </c>
      <c r="M112" s="141" t="str">
        <f t="shared" si="50"/>
        <v>NVT</v>
      </c>
      <c r="N112" s="141" t="str">
        <f t="shared" si="51"/>
        <v>NVT</v>
      </c>
      <c r="O112" s="141" t="str">
        <f t="shared" si="52"/>
        <v>NVT</v>
      </c>
      <c r="P112" s="141" t="str">
        <f t="shared" si="53"/>
        <v>NVT</v>
      </c>
      <c r="Q112" s="141" t="str">
        <f t="shared" si="54"/>
        <v>NVT</v>
      </c>
      <c r="R112" s="63" t="s">
        <v>1221</v>
      </c>
      <c r="S112" s="142">
        <f t="shared" si="41"/>
        <v>0</v>
      </c>
      <c r="T112" s="143">
        <v>27.3</v>
      </c>
      <c r="U112" s="144"/>
      <c r="V112" s="144"/>
      <c r="W112" s="144">
        <v>80</v>
      </c>
      <c r="X112" s="144"/>
      <c r="Y112" s="144"/>
      <c r="Z112" s="145"/>
      <c r="AA112" s="145">
        <v>21</v>
      </c>
      <c r="AB112" s="145"/>
      <c r="AC112" s="145"/>
      <c r="AD112" s="146"/>
      <c r="AE112" s="171">
        <v>1</v>
      </c>
      <c r="AF112" s="147">
        <f t="shared" si="55"/>
        <v>0</v>
      </c>
      <c r="AG112" s="147">
        <f t="shared" si="56"/>
        <v>0</v>
      </c>
      <c r="AH112" s="147">
        <f t="shared" si="57"/>
        <v>0</v>
      </c>
      <c r="AI112" s="147">
        <f t="shared" si="58"/>
        <v>0</v>
      </c>
      <c r="AJ112" s="148">
        <f t="shared" si="59"/>
        <v>0</v>
      </c>
      <c r="AK112" s="149">
        <f t="shared" si="42"/>
        <v>0</v>
      </c>
      <c r="AL112" s="149">
        <f t="shared" si="43"/>
        <v>0</v>
      </c>
      <c r="AM112" s="149">
        <f t="shared" si="44"/>
        <v>0</v>
      </c>
      <c r="AN112" s="149">
        <f t="shared" si="45"/>
        <v>0</v>
      </c>
      <c r="AO112" s="150">
        <f t="shared" si="60"/>
        <v>0</v>
      </c>
      <c r="AQ112" s="151">
        <f t="shared" si="61"/>
        <v>0</v>
      </c>
    </row>
    <row r="113" spans="1:43" ht="15" customHeight="1">
      <c r="A113" s="82" t="e">
        <f t="shared" si="46"/>
        <v>#REF!</v>
      </c>
      <c r="B113" s="134">
        <v>102</v>
      </c>
      <c r="C113" s="135" t="s">
        <v>942</v>
      </c>
      <c r="D113" s="136" t="s">
        <v>274</v>
      </c>
      <c r="E113" s="137" t="s">
        <v>101</v>
      </c>
      <c r="F113" s="138" t="s">
        <v>595</v>
      </c>
      <c r="G113" s="139" t="s">
        <v>988</v>
      </c>
      <c r="H113" s="140" t="str">
        <f t="shared" si="47"/>
        <v>Niet van toepassing</v>
      </c>
      <c r="I113" s="138" t="s">
        <v>35</v>
      </c>
      <c r="J113" s="138" t="s">
        <v>1172</v>
      </c>
      <c r="K113" s="141" t="str">
        <f t="shared" si="48"/>
        <v>NVT</v>
      </c>
      <c r="L113" s="141" t="str">
        <f t="shared" si="49"/>
        <v>NVT</v>
      </c>
      <c r="M113" s="141" t="str">
        <f t="shared" si="50"/>
        <v>NVT</v>
      </c>
      <c r="N113" s="141" t="str">
        <f t="shared" si="51"/>
        <v>NVT</v>
      </c>
      <c r="O113" s="141" t="str">
        <f t="shared" si="52"/>
        <v>NVT</v>
      </c>
      <c r="P113" s="141" t="str">
        <f t="shared" si="53"/>
        <v>NVT</v>
      </c>
      <c r="Q113" s="141" t="str">
        <f t="shared" si="54"/>
        <v>NVT</v>
      </c>
      <c r="R113" s="63" t="s">
        <v>1221</v>
      </c>
      <c r="S113" s="142">
        <f t="shared" si="41"/>
        <v>0</v>
      </c>
      <c r="T113" s="143">
        <v>9.1</v>
      </c>
      <c r="U113" s="144"/>
      <c r="V113" s="144"/>
      <c r="W113" s="144"/>
      <c r="X113" s="144"/>
      <c r="Y113" s="144">
        <v>24</v>
      </c>
      <c r="Z113" s="145"/>
      <c r="AA113" s="145"/>
      <c r="AB113" s="145"/>
      <c r="AC113" s="145"/>
      <c r="AD113" s="146"/>
      <c r="AE113" s="171">
        <v>1</v>
      </c>
      <c r="AF113" s="147">
        <f t="shared" si="55"/>
        <v>0</v>
      </c>
      <c r="AG113" s="147">
        <f t="shared" si="56"/>
        <v>0</v>
      </c>
      <c r="AH113" s="147">
        <f t="shared" si="57"/>
        <v>0</v>
      </c>
      <c r="AI113" s="147">
        <f t="shared" si="58"/>
        <v>0</v>
      </c>
      <c r="AJ113" s="148">
        <f t="shared" si="59"/>
        <v>0</v>
      </c>
      <c r="AK113" s="149">
        <f t="shared" si="42"/>
        <v>0</v>
      </c>
      <c r="AL113" s="149">
        <f t="shared" si="43"/>
        <v>0</v>
      </c>
      <c r="AM113" s="149">
        <f t="shared" si="44"/>
        <v>0</v>
      </c>
      <c r="AN113" s="149">
        <f t="shared" si="45"/>
        <v>0</v>
      </c>
      <c r="AO113" s="150">
        <f t="shared" si="60"/>
        <v>0</v>
      </c>
      <c r="AQ113" s="151">
        <f t="shared" si="61"/>
        <v>0</v>
      </c>
    </row>
    <row r="114" spans="1:43" ht="15" customHeight="1">
      <c r="A114" s="82" t="e">
        <f t="shared" si="46"/>
        <v>#REF!</v>
      </c>
      <c r="B114" s="134">
        <v>102</v>
      </c>
      <c r="C114" s="135" t="s">
        <v>942</v>
      </c>
      <c r="D114" s="136" t="s">
        <v>274</v>
      </c>
      <c r="E114" s="137" t="s">
        <v>101</v>
      </c>
      <c r="F114" s="138" t="s">
        <v>593</v>
      </c>
      <c r="G114" s="139" t="s">
        <v>989</v>
      </c>
      <c r="H114" s="140" t="str">
        <f t="shared" si="47"/>
        <v>Niet van toepassing</v>
      </c>
      <c r="I114" s="138" t="s">
        <v>35</v>
      </c>
      <c r="J114" s="138" t="s">
        <v>1172</v>
      </c>
      <c r="K114" s="141" t="str">
        <f t="shared" si="48"/>
        <v>NVT</v>
      </c>
      <c r="L114" s="141" t="str">
        <f t="shared" si="49"/>
        <v>NVT</v>
      </c>
      <c r="M114" s="141" t="str">
        <f t="shared" si="50"/>
        <v>NVT</v>
      </c>
      <c r="N114" s="141" t="str">
        <f t="shared" si="51"/>
        <v>NVT</v>
      </c>
      <c r="O114" s="141" t="str">
        <f t="shared" si="52"/>
        <v>NVT</v>
      </c>
      <c r="P114" s="141" t="str">
        <f t="shared" si="53"/>
        <v>NVT</v>
      </c>
      <c r="Q114" s="141" t="str">
        <f t="shared" si="54"/>
        <v>NVT</v>
      </c>
      <c r="R114" s="63" t="s">
        <v>1221</v>
      </c>
      <c r="S114" s="142">
        <f t="shared" si="41"/>
        <v>0</v>
      </c>
      <c r="T114" s="143">
        <v>10.4</v>
      </c>
      <c r="U114" s="144"/>
      <c r="V114" s="144"/>
      <c r="W114" s="144"/>
      <c r="X114" s="144"/>
      <c r="Y114" s="144">
        <v>43</v>
      </c>
      <c r="Z114" s="145"/>
      <c r="AA114" s="145"/>
      <c r="AB114" s="145">
        <v>8</v>
      </c>
      <c r="AC114" s="145"/>
      <c r="AD114" s="146"/>
      <c r="AE114" s="171">
        <v>1</v>
      </c>
      <c r="AF114" s="147">
        <f t="shared" si="55"/>
        <v>0</v>
      </c>
      <c r="AG114" s="147">
        <f t="shared" si="56"/>
        <v>0</v>
      </c>
      <c r="AH114" s="147">
        <f t="shared" si="57"/>
        <v>0</v>
      </c>
      <c r="AI114" s="147">
        <f t="shared" si="58"/>
        <v>0</v>
      </c>
      <c r="AJ114" s="148">
        <f t="shared" si="59"/>
        <v>0</v>
      </c>
      <c r="AK114" s="149">
        <f t="shared" si="42"/>
        <v>0</v>
      </c>
      <c r="AL114" s="149">
        <f t="shared" si="43"/>
        <v>0</v>
      </c>
      <c r="AM114" s="149">
        <f t="shared" si="44"/>
        <v>0</v>
      </c>
      <c r="AN114" s="149">
        <f t="shared" si="45"/>
        <v>0</v>
      </c>
      <c r="AO114" s="150">
        <f t="shared" si="60"/>
        <v>0</v>
      </c>
      <c r="AQ114" s="151">
        <f t="shared" si="61"/>
        <v>0</v>
      </c>
    </row>
    <row r="115" spans="1:43" ht="15" customHeight="1">
      <c r="A115" s="82" t="e">
        <f t="shared" si="46"/>
        <v>#REF!</v>
      </c>
      <c r="B115" s="134">
        <v>102</v>
      </c>
      <c r="C115" s="135" t="s">
        <v>942</v>
      </c>
      <c r="D115" s="136" t="s">
        <v>274</v>
      </c>
      <c r="E115" s="137" t="s">
        <v>101</v>
      </c>
      <c r="F115" s="138" t="s">
        <v>990</v>
      </c>
      <c r="G115" s="139" t="s">
        <v>991</v>
      </c>
      <c r="H115" s="140" t="str">
        <f t="shared" si="47"/>
        <v>Niet van toepassing</v>
      </c>
      <c r="I115" s="138"/>
      <c r="J115" s="138" t="s">
        <v>1172</v>
      </c>
      <c r="K115" s="141" t="str">
        <f t="shared" si="48"/>
        <v>NVT</v>
      </c>
      <c r="L115" s="141" t="str">
        <f t="shared" si="49"/>
        <v>NVT</v>
      </c>
      <c r="M115" s="141" t="str">
        <f t="shared" si="50"/>
        <v>NVT</v>
      </c>
      <c r="N115" s="141" t="str">
        <f t="shared" si="51"/>
        <v>NVT</v>
      </c>
      <c r="O115" s="141" t="str">
        <f t="shared" si="52"/>
        <v>NVT</v>
      </c>
      <c r="P115" s="141" t="str">
        <f t="shared" si="53"/>
        <v>NVT</v>
      </c>
      <c r="Q115" s="141" t="str">
        <f t="shared" si="54"/>
        <v>NVT</v>
      </c>
      <c r="R115" s="63" t="s">
        <v>1221</v>
      </c>
      <c r="S115" s="142">
        <f t="shared" si="41"/>
        <v>0</v>
      </c>
      <c r="T115" s="143">
        <v>11</v>
      </c>
      <c r="U115" s="144"/>
      <c r="V115" s="144"/>
      <c r="W115" s="144">
        <v>28</v>
      </c>
      <c r="X115" s="144"/>
      <c r="Y115" s="144"/>
      <c r="Z115" s="145"/>
      <c r="AA115" s="145">
        <v>11</v>
      </c>
      <c r="AB115" s="145"/>
      <c r="AC115" s="145"/>
      <c r="AD115" s="146"/>
      <c r="AE115" s="171">
        <v>1</v>
      </c>
      <c r="AF115" s="147">
        <f t="shared" si="55"/>
        <v>0</v>
      </c>
      <c r="AG115" s="147">
        <f t="shared" si="56"/>
        <v>0</v>
      </c>
      <c r="AH115" s="147">
        <f t="shared" si="57"/>
        <v>0</v>
      </c>
      <c r="AI115" s="147">
        <f t="shared" si="58"/>
        <v>0</v>
      </c>
      <c r="AJ115" s="148">
        <f t="shared" si="59"/>
        <v>0</v>
      </c>
      <c r="AK115" s="149">
        <f t="shared" si="42"/>
        <v>0</v>
      </c>
      <c r="AL115" s="149">
        <f t="shared" si="43"/>
        <v>0</v>
      </c>
      <c r="AM115" s="149">
        <f t="shared" si="44"/>
        <v>0</v>
      </c>
      <c r="AN115" s="149">
        <f t="shared" si="45"/>
        <v>0</v>
      </c>
      <c r="AO115" s="150">
        <f t="shared" si="60"/>
        <v>0</v>
      </c>
      <c r="AQ115" s="151">
        <f t="shared" si="61"/>
        <v>0</v>
      </c>
    </row>
    <row r="116" spans="1:43" ht="15" customHeight="1">
      <c r="A116" s="82" t="e">
        <f t="shared" si="46"/>
        <v>#REF!</v>
      </c>
      <c r="B116" s="134">
        <v>102</v>
      </c>
      <c r="C116" s="135" t="s">
        <v>942</v>
      </c>
      <c r="D116" s="136" t="s">
        <v>274</v>
      </c>
      <c r="E116" s="137" t="s">
        <v>101</v>
      </c>
      <c r="F116" s="138" t="s">
        <v>992</v>
      </c>
      <c r="G116" s="139" t="s">
        <v>993</v>
      </c>
      <c r="H116" s="140" t="str">
        <f t="shared" si="47"/>
        <v>Niet van toepassing</v>
      </c>
      <c r="I116" s="138"/>
      <c r="J116" s="138" t="s">
        <v>1172</v>
      </c>
      <c r="K116" s="141" t="str">
        <f t="shared" si="48"/>
        <v>NVT</v>
      </c>
      <c r="L116" s="141" t="str">
        <f t="shared" si="49"/>
        <v>NVT</v>
      </c>
      <c r="M116" s="141" t="str">
        <f t="shared" si="50"/>
        <v>NVT</v>
      </c>
      <c r="N116" s="141" t="str">
        <f t="shared" si="51"/>
        <v>NVT</v>
      </c>
      <c r="O116" s="141" t="str">
        <f t="shared" si="52"/>
        <v>NVT</v>
      </c>
      <c r="P116" s="141" t="str">
        <f t="shared" si="53"/>
        <v>NVT</v>
      </c>
      <c r="Q116" s="141" t="str">
        <f t="shared" si="54"/>
        <v>NVT</v>
      </c>
      <c r="R116" s="63" t="s">
        <v>1221</v>
      </c>
      <c r="S116" s="142">
        <f t="shared" si="41"/>
        <v>0</v>
      </c>
      <c r="T116" s="143">
        <v>11</v>
      </c>
      <c r="U116" s="144"/>
      <c r="V116" s="144"/>
      <c r="W116" s="144">
        <v>14</v>
      </c>
      <c r="X116" s="144"/>
      <c r="Y116" s="144"/>
      <c r="Z116" s="145"/>
      <c r="AA116" s="145">
        <v>11</v>
      </c>
      <c r="AB116" s="145"/>
      <c r="AC116" s="145"/>
      <c r="AD116" s="146"/>
      <c r="AE116" s="171">
        <v>1</v>
      </c>
      <c r="AF116" s="147">
        <f t="shared" si="55"/>
        <v>0</v>
      </c>
      <c r="AG116" s="147">
        <f t="shared" si="56"/>
        <v>0</v>
      </c>
      <c r="AH116" s="147">
        <f t="shared" si="57"/>
        <v>0</v>
      </c>
      <c r="AI116" s="147">
        <f t="shared" si="58"/>
        <v>0</v>
      </c>
      <c r="AJ116" s="148">
        <f t="shared" si="59"/>
        <v>0</v>
      </c>
      <c r="AK116" s="149">
        <f t="shared" si="42"/>
        <v>0</v>
      </c>
      <c r="AL116" s="149">
        <f t="shared" si="43"/>
        <v>0</v>
      </c>
      <c r="AM116" s="149">
        <f t="shared" si="44"/>
        <v>0</v>
      </c>
      <c r="AN116" s="149">
        <f t="shared" si="45"/>
        <v>0</v>
      </c>
      <c r="AO116" s="150">
        <f t="shared" si="60"/>
        <v>0</v>
      </c>
      <c r="AQ116" s="151">
        <f t="shared" si="61"/>
        <v>0</v>
      </c>
    </row>
    <row r="117" spans="1:43" ht="15" customHeight="1">
      <c r="A117" s="82" t="e">
        <f t="shared" si="46"/>
        <v>#REF!</v>
      </c>
      <c r="B117" s="134">
        <v>102</v>
      </c>
      <c r="C117" s="135" t="s">
        <v>942</v>
      </c>
      <c r="D117" s="136" t="s">
        <v>274</v>
      </c>
      <c r="E117" s="137" t="s">
        <v>101</v>
      </c>
      <c r="F117" s="138" t="s">
        <v>994</v>
      </c>
      <c r="G117" s="139" t="s">
        <v>995</v>
      </c>
      <c r="H117" s="140" t="str">
        <f t="shared" si="47"/>
        <v>Niet van toepassing</v>
      </c>
      <c r="I117" s="138"/>
      <c r="J117" s="138" t="s">
        <v>1172</v>
      </c>
      <c r="K117" s="141" t="str">
        <f t="shared" si="48"/>
        <v>NVT</v>
      </c>
      <c r="L117" s="141" t="str">
        <f t="shared" si="49"/>
        <v>NVT</v>
      </c>
      <c r="M117" s="141" t="str">
        <f t="shared" si="50"/>
        <v>NVT</v>
      </c>
      <c r="N117" s="141" t="str">
        <f t="shared" si="51"/>
        <v>NVT</v>
      </c>
      <c r="O117" s="141" t="str">
        <f t="shared" si="52"/>
        <v>NVT</v>
      </c>
      <c r="P117" s="141" t="str">
        <f t="shared" si="53"/>
        <v>NVT</v>
      </c>
      <c r="Q117" s="141" t="str">
        <f t="shared" si="54"/>
        <v>NVT</v>
      </c>
      <c r="R117" s="63" t="s">
        <v>1221</v>
      </c>
      <c r="S117" s="142">
        <f t="shared" si="41"/>
        <v>0</v>
      </c>
      <c r="T117" s="143">
        <v>11</v>
      </c>
      <c r="U117" s="144"/>
      <c r="V117" s="144"/>
      <c r="W117" s="144">
        <v>29</v>
      </c>
      <c r="X117" s="144"/>
      <c r="Y117" s="144"/>
      <c r="Z117" s="145"/>
      <c r="AA117" s="145">
        <v>11</v>
      </c>
      <c r="AB117" s="145"/>
      <c r="AC117" s="145"/>
      <c r="AD117" s="146"/>
      <c r="AE117" s="171">
        <v>1</v>
      </c>
      <c r="AF117" s="147">
        <f t="shared" si="55"/>
        <v>0</v>
      </c>
      <c r="AG117" s="147">
        <f t="shared" si="56"/>
        <v>0</v>
      </c>
      <c r="AH117" s="147">
        <f t="shared" si="57"/>
        <v>0</v>
      </c>
      <c r="AI117" s="147">
        <f t="shared" si="58"/>
        <v>0</v>
      </c>
      <c r="AJ117" s="148">
        <f t="shared" si="59"/>
        <v>0</v>
      </c>
      <c r="AK117" s="149">
        <f t="shared" si="42"/>
        <v>0</v>
      </c>
      <c r="AL117" s="149">
        <f t="shared" si="43"/>
        <v>0</v>
      </c>
      <c r="AM117" s="149">
        <f t="shared" si="44"/>
        <v>0</v>
      </c>
      <c r="AN117" s="149">
        <f t="shared" si="45"/>
        <v>0</v>
      </c>
      <c r="AO117" s="150">
        <f t="shared" si="60"/>
        <v>0</v>
      </c>
      <c r="AQ117" s="151">
        <f t="shared" si="61"/>
        <v>0</v>
      </c>
    </row>
    <row r="118" spans="1:43" ht="15" customHeight="1">
      <c r="A118" s="82" t="e">
        <f t="shared" si="46"/>
        <v>#REF!</v>
      </c>
      <c r="B118" s="134">
        <v>102</v>
      </c>
      <c r="C118" s="135" t="s">
        <v>942</v>
      </c>
      <c r="D118" s="136" t="s">
        <v>274</v>
      </c>
      <c r="E118" s="137" t="s">
        <v>101</v>
      </c>
      <c r="F118" s="138" t="s">
        <v>401</v>
      </c>
      <c r="G118" s="139" t="s">
        <v>996</v>
      </c>
      <c r="H118" s="140" t="str">
        <f t="shared" si="47"/>
        <v>Niet van toepassing</v>
      </c>
      <c r="I118" s="138" t="s">
        <v>270</v>
      </c>
      <c r="J118" s="138" t="s">
        <v>1172</v>
      </c>
      <c r="K118" s="141" t="str">
        <f t="shared" si="48"/>
        <v>NVT</v>
      </c>
      <c r="L118" s="141" t="str">
        <f t="shared" si="49"/>
        <v>NVT</v>
      </c>
      <c r="M118" s="141" t="str">
        <f t="shared" si="50"/>
        <v>NVT</v>
      </c>
      <c r="N118" s="141" t="str">
        <f t="shared" si="51"/>
        <v>NVT</v>
      </c>
      <c r="O118" s="141" t="str">
        <f t="shared" si="52"/>
        <v>NVT</v>
      </c>
      <c r="P118" s="141" t="str">
        <f t="shared" si="53"/>
        <v>NVT</v>
      </c>
      <c r="Q118" s="141" t="str">
        <f t="shared" si="54"/>
        <v>NVT</v>
      </c>
      <c r="R118" s="63" t="s">
        <v>1221</v>
      </c>
      <c r="S118" s="142">
        <f t="shared" si="41"/>
        <v>0</v>
      </c>
      <c r="T118" s="143">
        <v>19.5</v>
      </c>
      <c r="U118" s="144"/>
      <c r="V118" s="144"/>
      <c r="W118" s="144"/>
      <c r="X118" s="144"/>
      <c r="Y118" s="144">
        <v>66</v>
      </c>
      <c r="Z118" s="145"/>
      <c r="AA118" s="145">
        <v>15</v>
      </c>
      <c r="AB118" s="145"/>
      <c r="AC118" s="145"/>
      <c r="AD118" s="146"/>
      <c r="AE118" s="171">
        <v>1</v>
      </c>
      <c r="AF118" s="147">
        <f t="shared" si="55"/>
        <v>0</v>
      </c>
      <c r="AG118" s="147">
        <f t="shared" si="56"/>
        <v>0</v>
      </c>
      <c r="AH118" s="147">
        <f t="shared" si="57"/>
        <v>0</v>
      </c>
      <c r="AI118" s="147">
        <f t="shared" si="58"/>
        <v>0</v>
      </c>
      <c r="AJ118" s="148">
        <f t="shared" si="59"/>
        <v>0</v>
      </c>
      <c r="AK118" s="149">
        <f t="shared" si="42"/>
        <v>0</v>
      </c>
      <c r="AL118" s="149">
        <f t="shared" si="43"/>
        <v>0</v>
      </c>
      <c r="AM118" s="149">
        <f t="shared" si="44"/>
        <v>0</v>
      </c>
      <c r="AN118" s="149">
        <f t="shared" si="45"/>
        <v>0</v>
      </c>
      <c r="AO118" s="150">
        <f t="shared" si="60"/>
        <v>0</v>
      </c>
      <c r="AQ118" s="151">
        <f t="shared" si="61"/>
        <v>0</v>
      </c>
    </row>
    <row r="119" spans="1:43" ht="15" customHeight="1">
      <c r="A119" s="82" t="e">
        <f t="shared" si="46"/>
        <v>#REF!</v>
      </c>
      <c r="B119" s="134">
        <v>102</v>
      </c>
      <c r="C119" s="135" t="s">
        <v>942</v>
      </c>
      <c r="D119" s="136" t="s">
        <v>274</v>
      </c>
      <c r="E119" s="137" t="s">
        <v>101</v>
      </c>
      <c r="F119" s="138" t="s">
        <v>731</v>
      </c>
      <c r="G119" s="139" t="s">
        <v>997</v>
      </c>
      <c r="H119" s="140" t="str">
        <f t="shared" si="47"/>
        <v>Niet van toepassing</v>
      </c>
      <c r="I119" s="138" t="s">
        <v>270</v>
      </c>
      <c r="J119" s="138" t="s">
        <v>1172</v>
      </c>
      <c r="K119" s="141" t="str">
        <f t="shared" si="48"/>
        <v>NVT</v>
      </c>
      <c r="L119" s="141" t="str">
        <f t="shared" si="49"/>
        <v>NVT</v>
      </c>
      <c r="M119" s="141" t="str">
        <f t="shared" si="50"/>
        <v>NVT</v>
      </c>
      <c r="N119" s="141" t="str">
        <f t="shared" si="51"/>
        <v>NVT</v>
      </c>
      <c r="O119" s="141" t="str">
        <f t="shared" si="52"/>
        <v>NVT</v>
      </c>
      <c r="P119" s="141" t="str">
        <f t="shared" si="53"/>
        <v>NVT</v>
      </c>
      <c r="Q119" s="141" t="str">
        <f t="shared" si="54"/>
        <v>NVT</v>
      </c>
      <c r="R119" s="63" t="s">
        <v>1221</v>
      </c>
      <c r="S119" s="142">
        <f t="shared" si="41"/>
        <v>0</v>
      </c>
      <c r="T119" s="143">
        <v>26</v>
      </c>
      <c r="U119" s="144"/>
      <c r="V119" s="144"/>
      <c r="W119" s="144"/>
      <c r="X119" s="144"/>
      <c r="Y119" s="144">
        <v>87</v>
      </c>
      <c r="Z119" s="145"/>
      <c r="AA119" s="145">
        <v>20</v>
      </c>
      <c r="AB119" s="145"/>
      <c r="AC119" s="145"/>
      <c r="AD119" s="146"/>
      <c r="AE119" s="171">
        <v>1</v>
      </c>
      <c r="AF119" s="147">
        <f t="shared" si="55"/>
        <v>0</v>
      </c>
      <c r="AG119" s="147">
        <f t="shared" si="56"/>
        <v>0</v>
      </c>
      <c r="AH119" s="147">
        <f t="shared" si="57"/>
        <v>0</v>
      </c>
      <c r="AI119" s="147">
        <f t="shared" si="58"/>
        <v>0</v>
      </c>
      <c r="AJ119" s="148">
        <f t="shared" si="59"/>
        <v>0</v>
      </c>
      <c r="AK119" s="149">
        <f t="shared" si="42"/>
        <v>0</v>
      </c>
      <c r="AL119" s="149">
        <f t="shared" si="43"/>
        <v>0</v>
      </c>
      <c r="AM119" s="149">
        <f t="shared" si="44"/>
        <v>0</v>
      </c>
      <c r="AN119" s="149">
        <f t="shared" si="45"/>
        <v>0</v>
      </c>
      <c r="AO119" s="150">
        <f t="shared" si="60"/>
        <v>0</v>
      </c>
      <c r="AQ119" s="151">
        <f t="shared" si="61"/>
        <v>0</v>
      </c>
    </row>
    <row r="120" spans="1:43" ht="15" customHeight="1">
      <c r="A120" s="82" t="e">
        <f t="shared" si="46"/>
        <v>#REF!</v>
      </c>
      <c r="B120" s="134">
        <v>102</v>
      </c>
      <c r="C120" s="135" t="s">
        <v>942</v>
      </c>
      <c r="D120" s="136" t="s">
        <v>274</v>
      </c>
      <c r="E120" s="137" t="s">
        <v>101</v>
      </c>
      <c r="F120" s="138" t="s">
        <v>597</v>
      </c>
      <c r="G120" s="139" t="s">
        <v>910</v>
      </c>
      <c r="H120" s="140" t="str">
        <f t="shared" si="47"/>
        <v>Niet van toepassing</v>
      </c>
      <c r="I120" s="138" t="s">
        <v>270</v>
      </c>
      <c r="J120" s="138" t="s">
        <v>1172</v>
      </c>
      <c r="K120" s="141" t="str">
        <f t="shared" si="48"/>
        <v>NVT</v>
      </c>
      <c r="L120" s="141" t="str">
        <f t="shared" si="49"/>
        <v>NVT</v>
      </c>
      <c r="M120" s="141" t="str">
        <f t="shared" si="50"/>
        <v>NVT</v>
      </c>
      <c r="N120" s="141" t="str">
        <f t="shared" si="51"/>
        <v>NVT</v>
      </c>
      <c r="O120" s="141" t="str">
        <f t="shared" si="52"/>
        <v>NVT</v>
      </c>
      <c r="P120" s="141" t="str">
        <f t="shared" si="53"/>
        <v>NVT</v>
      </c>
      <c r="Q120" s="141" t="str">
        <f t="shared" si="54"/>
        <v>NVT</v>
      </c>
      <c r="R120" s="63" t="s">
        <v>1221</v>
      </c>
      <c r="S120" s="142">
        <f t="shared" si="41"/>
        <v>0</v>
      </c>
      <c r="T120" s="143">
        <v>10.4</v>
      </c>
      <c r="U120" s="144"/>
      <c r="V120" s="144"/>
      <c r="W120" s="144"/>
      <c r="X120" s="144"/>
      <c r="Y120" s="144">
        <v>41</v>
      </c>
      <c r="Z120" s="145"/>
      <c r="AA120" s="145"/>
      <c r="AB120" s="145">
        <v>8</v>
      </c>
      <c r="AC120" s="145"/>
      <c r="AD120" s="146"/>
      <c r="AE120" s="171">
        <v>1</v>
      </c>
      <c r="AF120" s="147">
        <f t="shared" si="55"/>
        <v>0</v>
      </c>
      <c r="AG120" s="147">
        <f t="shared" si="56"/>
        <v>0</v>
      </c>
      <c r="AH120" s="147">
        <f t="shared" si="57"/>
        <v>0</v>
      </c>
      <c r="AI120" s="147">
        <f t="shared" si="58"/>
        <v>0</v>
      </c>
      <c r="AJ120" s="148">
        <f t="shared" si="59"/>
        <v>0</v>
      </c>
      <c r="AK120" s="149">
        <f t="shared" si="42"/>
        <v>0</v>
      </c>
      <c r="AL120" s="149">
        <f t="shared" si="43"/>
        <v>0</v>
      </c>
      <c r="AM120" s="149">
        <f t="shared" si="44"/>
        <v>0</v>
      </c>
      <c r="AN120" s="149">
        <f t="shared" si="45"/>
        <v>0</v>
      </c>
      <c r="AO120" s="150">
        <f t="shared" si="60"/>
        <v>0</v>
      </c>
      <c r="AQ120" s="151">
        <f t="shared" si="61"/>
        <v>0</v>
      </c>
    </row>
    <row r="121" spans="1:43" ht="15" customHeight="1">
      <c r="A121" s="82" t="e">
        <f t="shared" si="46"/>
        <v>#REF!</v>
      </c>
      <c r="B121" s="134">
        <v>102</v>
      </c>
      <c r="C121" s="135" t="s">
        <v>942</v>
      </c>
      <c r="D121" s="136" t="s">
        <v>274</v>
      </c>
      <c r="E121" s="137" t="s">
        <v>101</v>
      </c>
      <c r="F121" s="138" t="s">
        <v>597</v>
      </c>
      <c r="G121" s="139" t="s">
        <v>911</v>
      </c>
      <c r="H121" s="140" t="str">
        <f t="shared" si="47"/>
        <v>Niet van toepassing</v>
      </c>
      <c r="I121" s="138" t="s">
        <v>270</v>
      </c>
      <c r="J121" s="138" t="s">
        <v>1172</v>
      </c>
      <c r="K121" s="141" t="str">
        <f t="shared" si="48"/>
        <v>NVT</v>
      </c>
      <c r="L121" s="141" t="str">
        <f t="shared" si="49"/>
        <v>NVT</v>
      </c>
      <c r="M121" s="141" t="str">
        <f t="shared" si="50"/>
        <v>NVT</v>
      </c>
      <c r="N121" s="141" t="str">
        <f t="shared" si="51"/>
        <v>NVT</v>
      </c>
      <c r="O121" s="141" t="str">
        <f t="shared" si="52"/>
        <v>NVT</v>
      </c>
      <c r="P121" s="141" t="str">
        <f t="shared" si="53"/>
        <v>NVT</v>
      </c>
      <c r="Q121" s="141" t="str">
        <f t="shared" si="54"/>
        <v>NVT</v>
      </c>
      <c r="R121" s="63" t="s">
        <v>1221</v>
      </c>
      <c r="S121" s="142">
        <f t="shared" si="41"/>
        <v>0</v>
      </c>
      <c r="T121" s="143">
        <v>24.7</v>
      </c>
      <c r="U121" s="144"/>
      <c r="V121" s="144"/>
      <c r="W121" s="144"/>
      <c r="X121" s="144"/>
      <c r="Y121" s="144">
        <v>63</v>
      </c>
      <c r="Z121" s="145"/>
      <c r="AA121" s="145"/>
      <c r="AB121" s="145">
        <v>19</v>
      </c>
      <c r="AC121" s="145"/>
      <c r="AD121" s="146"/>
      <c r="AE121" s="171">
        <v>1</v>
      </c>
      <c r="AF121" s="147">
        <f t="shared" si="55"/>
        <v>0</v>
      </c>
      <c r="AG121" s="147">
        <f t="shared" si="56"/>
        <v>0</v>
      </c>
      <c r="AH121" s="147">
        <f t="shared" si="57"/>
        <v>0</v>
      </c>
      <c r="AI121" s="147">
        <f t="shared" si="58"/>
        <v>0</v>
      </c>
      <c r="AJ121" s="148">
        <f t="shared" si="59"/>
        <v>0</v>
      </c>
      <c r="AK121" s="149">
        <f t="shared" si="42"/>
        <v>0</v>
      </c>
      <c r="AL121" s="149">
        <f t="shared" si="43"/>
        <v>0</v>
      </c>
      <c r="AM121" s="149">
        <f t="shared" si="44"/>
        <v>0</v>
      </c>
      <c r="AN121" s="149">
        <f t="shared" si="45"/>
        <v>0</v>
      </c>
      <c r="AO121" s="150">
        <f t="shared" si="60"/>
        <v>0</v>
      </c>
      <c r="AQ121" s="151">
        <f t="shared" si="61"/>
        <v>0</v>
      </c>
    </row>
    <row r="122" spans="1:43" ht="15" customHeight="1">
      <c r="A122" s="82" t="e">
        <f t="shared" si="46"/>
        <v>#REF!</v>
      </c>
      <c r="B122" s="134">
        <v>102</v>
      </c>
      <c r="C122" s="135" t="s">
        <v>942</v>
      </c>
      <c r="D122" s="136" t="s">
        <v>274</v>
      </c>
      <c r="E122" s="137" t="s">
        <v>101</v>
      </c>
      <c r="F122" s="138" t="s">
        <v>619</v>
      </c>
      <c r="G122" s="139" t="s">
        <v>913</v>
      </c>
      <c r="H122" s="140" t="str">
        <f t="shared" si="47"/>
        <v>Niet van toepassing</v>
      </c>
      <c r="I122" s="138"/>
      <c r="J122" s="138" t="s">
        <v>1172</v>
      </c>
      <c r="K122" s="141" t="str">
        <f t="shared" si="48"/>
        <v>NVT</v>
      </c>
      <c r="L122" s="141" t="str">
        <f t="shared" si="49"/>
        <v>NVT</v>
      </c>
      <c r="M122" s="141" t="str">
        <f t="shared" si="50"/>
        <v>NVT</v>
      </c>
      <c r="N122" s="141" t="str">
        <f t="shared" si="51"/>
        <v>NVT</v>
      </c>
      <c r="O122" s="141" t="str">
        <f t="shared" si="52"/>
        <v>NVT</v>
      </c>
      <c r="P122" s="141" t="str">
        <f t="shared" si="53"/>
        <v>NVT</v>
      </c>
      <c r="Q122" s="141" t="str">
        <f t="shared" si="54"/>
        <v>NVT</v>
      </c>
      <c r="R122" s="63" t="s">
        <v>1221</v>
      </c>
      <c r="S122" s="142">
        <f t="shared" si="41"/>
        <v>0</v>
      </c>
      <c r="T122" s="143">
        <v>4</v>
      </c>
      <c r="U122" s="144"/>
      <c r="V122" s="144"/>
      <c r="W122" s="144">
        <v>32</v>
      </c>
      <c r="X122" s="144"/>
      <c r="Y122" s="144"/>
      <c r="Z122" s="145"/>
      <c r="AA122" s="145">
        <v>4</v>
      </c>
      <c r="AB122" s="145"/>
      <c r="AC122" s="145"/>
      <c r="AD122" s="146"/>
      <c r="AE122" s="171">
        <v>1</v>
      </c>
      <c r="AF122" s="147">
        <f t="shared" si="55"/>
        <v>0</v>
      </c>
      <c r="AG122" s="147">
        <f t="shared" si="56"/>
        <v>0</v>
      </c>
      <c r="AH122" s="147">
        <f t="shared" si="57"/>
        <v>0</v>
      </c>
      <c r="AI122" s="147">
        <f t="shared" si="58"/>
        <v>0</v>
      </c>
      <c r="AJ122" s="148">
        <f t="shared" si="59"/>
        <v>0</v>
      </c>
      <c r="AK122" s="149">
        <f t="shared" si="42"/>
        <v>0</v>
      </c>
      <c r="AL122" s="149">
        <f t="shared" si="43"/>
        <v>0</v>
      </c>
      <c r="AM122" s="149">
        <f t="shared" si="44"/>
        <v>0</v>
      </c>
      <c r="AN122" s="149">
        <f t="shared" si="45"/>
        <v>0</v>
      </c>
      <c r="AO122" s="150">
        <f t="shared" si="60"/>
        <v>0</v>
      </c>
      <c r="AQ122" s="151">
        <f t="shared" si="61"/>
        <v>0</v>
      </c>
    </row>
    <row r="123" spans="1:43" ht="15" customHeight="1">
      <c r="A123" s="82" t="e">
        <f t="shared" si="46"/>
        <v>#REF!</v>
      </c>
      <c r="B123" s="134">
        <v>102</v>
      </c>
      <c r="C123" s="135" t="s">
        <v>942</v>
      </c>
      <c r="D123" s="136" t="s">
        <v>274</v>
      </c>
      <c r="E123" s="137" t="s">
        <v>101</v>
      </c>
      <c r="F123" s="138" t="s">
        <v>619</v>
      </c>
      <c r="G123" s="139" t="s">
        <v>914</v>
      </c>
      <c r="H123" s="140" t="str">
        <f t="shared" si="47"/>
        <v>Niet van toepassing</v>
      </c>
      <c r="I123" s="138" t="s">
        <v>82</v>
      </c>
      <c r="J123" s="138" t="s">
        <v>1172</v>
      </c>
      <c r="K123" s="141" t="str">
        <f t="shared" si="48"/>
        <v>NVT</v>
      </c>
      <c r="L123" s="141" t="str">
        <f t="shared" si="49"/>
        <v>NVT</v>
      </c>
      <c r="M123" s="141" t="str">
        <f t="shared" si="50"/>
        <v>NVT</v>
      </c>
      <c r="N123" s="141" t="str">
        <f t="shared" si="51"/>
        <v>NVT</v>
      </c>
      <c r="O123" s="141" t="str">
        <f t="shared" si="52"/>
        <v>NVT</v>
      </c>
      <c r="P123" s="141" t="str">
        <f t="shared" si="53"/>
        <v>NVT</v>
      </c>
      <c r="Q123" s="141" t="str">
        <f t="shared" si="54"/>
        <v>NVT</v>
      </c>
      <c r="R123" s="63" t="s">
        <v>1221</v>
      </c>
      <c r="S123" s="142">
        <f t="shared" si="41"/>
        <v>0</v>
      </c>
      <c r="T123" s="143">
        <v>5.2</v>
      </c>
      <c r="U123" s="144"/>
      <c r="V123" s="144"/>
      <c r="W123" s="144">
        <v>30</v>
      </c>
      <c r="X123" s="144"/>
      <c r="Y123" s="144"/>
      <c r="Z123" s="145"/>
      <c r="AA123" s="145">
        <v>4</v>
      </c>
      <c r="AB123" s="145"/>
      <c r="AC123" s="145"/>
      <c r="AD123" s="146"/>
      <c r="AE123" s="171">
        <v>1</v>
      </c>
      <c r="AF123" s="147">
        <f t="shared" si="55"/>
        <v>0</v>
      </c>
      <c r="AG123" s="147">
        <f t="shared" si="56"/>
        <v>0</v>
      </c>
      <c r="AH123" s="147">
        <f t="shared" si="57"/>
        <v>0</v>
      </c>
      <c r="AI123" s="147">
        <f t="shared" si="58"/>
        <v>0</v>
      </c>
      <c r="AJ123" s="148">
        <f t="shared" si="59"/>
        <v>0</v>
      </c>
      <c r="AK123" s="149">
        <f t="shared" si="42"/>
        <v>0</v>
      </c>
      <c r="AL123" s="149">
        <f t="shared" si="43"/>
        <v>0</v>
      </c>
      <c r="AM123" s="149">
        <f t="shared" si="44"/>
        <v>0</v>
      </c>
      <c r="AN123" s="149">
        <f t="shared" si="45"/>
        <v>0</v>
      </c>
      <c r="AO123" s="150">
        <f t="shared" si="60"/>
        <v>0</v>
      </c>
      <c r="AQ123" s="151">
        <f t="shared" si="61"/>
        <v>0</v>
      </c>
    </row>
    <row r="124" spans="1:43" ht="15" customHeight="1">
      <c r="A124" s="82" t="e">
        <f t="shared" si="46"/>
        <v>#REF!</v>
      </c>
      <c r="B124" s="134">
        <v>102</v>
      </c>
      <c r="C124" s="135" t="s">
        <v>942</v>
      </c>
      <c r="D124" s="136" t="s">
        <v>274</v>
      </c>
      <c r="E124" s="137" t="s">
        <v>101</v>
      </c>
      <c r="F124" s="138" t="s">
        <v>263</v>
      </c>
      <c r="G124" s="139" t="s">
        <v>915</v>
      </c>
      <c r="H124" s="140" t="str">
        <f t="shared" si="47"/>
        <v>Niet van toepassing</v>
      </c>
      <c r="I124" s="138" t="s">
        <v>195</v>
      </c>
      <c r="J124" s="138" t="s">
        <v>1172</v>
      </c>
      <c r="K124" s="141" t="str">
        <f t="shared" si="48"/>
        <v>NVT</v>
      </c>
      <c r="L124" s="141" t="str">
        <f t="shared" si="49"/>
        <v>NVT</v>
      </c>
      <c r="M124" s="141" t="str">
        <f t="shared" si="50"/>
        <v>NVT</v>
      </c>
      <c r="N124" s="141" t="str">
        <f t="shared" si="51"/>
        <v>NVT</v>
      </c>
      <c r="O124" s="141" t="str">
        <f t="shared" si="52"/>
        <v>NVT</v>
      </c>
      <c r="P124" s="141" t="str">
        <f t="shared" si="53"/>
        <v>NVT</v>
      </c>
      <c r="Q124" s="141" t="str">
        <f t="shared" si="54"/>
        <v>NVT</v>
      </c>
      <c r="R124" s="63" t="s">
        <v>1221</v>
      </c>
      <c r="S124" s="142">
        <f t="shared" si="41"/>
        <v>0</v>
      </c>
      <c r="T124" s="143">
        <v>63.7</v>
      </c>
      <c r="U124" s="144"/>
      <c r="V124" s="144"/>
      <c r="W124" s="144"/>
      <c r="X124" s="144"/>
      <c r="Y124" s="144">
        <v>99</v>
      </c>
      <c r="Z124" s="145"/>
      <c r="AA124" s="145"/>
      <c r="AB124" s="145">
        <v>32</v>
      </c>
      <c r="AC124" s="145"/>
      <c r="AD124" s="146"/>
      <c r="AE124" s="171">
        <v>1</v>
      </c>
      <c r="AF124" s="147">
        <f t="shared" si="55"/>
        <v>0</v>
      </c>
      <c r="AG124" s="147">
        <f t="shared" si="56"/>
        <v>0</v>
      </c>
      <c r="AH124" s="147">
        <f t="shared" si="57"/>
        <v>0</v>
      </c>
      <c r="AI124" s="147">
        <f t="shared" si="58"/>
        <v>0</v>
      </c>
      <c r="AJ124" s="148">
        <f t="shared" si="59"/>
        <v>0</v>
      </c>
      <c r="AK124" s="149">
        <f t="shared" si="42"/>
        <v>0</v>
      </c>
      <c r="AL124" s="149">
        <f t="shared" si="43"/>
        <v>0</v>
      </c>
      <c r="AM124" s="149">
        <f t="shared" si="44"/>
        <v>0</v>
      </c>
      <c r="AN124" s="149">
        <f t="shared" si="45"/>
        <v>0</v>
      </c>
      <c r="AO124" s="150">
        <f t="shared" si="60"/>
        <v>0</v>
      </c>
      <c r="AQ124" s="151">
        <f t="shared" si="61"/>
        <v>0</v>
      </c>
    </row>
    <row r="125" spans="1:43" ht="15" customHeight="1">
      <c r="A125" s="82" t="e">
        <f t="shared" si="46"/>
        <v>#REF!</v>
      </c>
      <c r="B125" s="134">
        <v>102</v>
      </c>
      <c r="C125" s="135" t="s">
        <v>942</v>
      </c>
      <c r="D125" s="136" t="s">
        <v>274</v>
      </c>
      <c r="E125" s="137" t="s">
        <v>101</v>
      </c>
      <c r="F125" s="138" t="s">
        <v>263</v>
      </c>
      <c r="G125" s="139" t="s">
        <v>786</v>
      </c>
      <c r="H125" s="140" t="str">
        <f t="shared" si="47"/>
        <v>Niet van toepassing</v>
      </c>
      <c r="I125" s="138" t="s">
        <v>195</v>
      </c>
      <c r="J125" s="138" t="s">
        <v>1172</v>
      </c>
      <c r="K125" s="141" t="str">
        <f t="shared" si="48"/>
        <v>NVT</v>
      </c>
      <c r="L125" s="141" t="str">
        <f t="shared" si="49"/>
        <v>NVT</v>
      </c>
      <c r="M125" s="141" t="str">
        <f t="shared" si="50"/>
        <v>NVT</v>
      </c>
      <c r="N125" s="141" t="str">
        <f t="shared" si="51"/>
        <v>NVT</v>
      </c>
      <c r="O125" s="141" t="str">
        <f t="shared" si="52"/>
        <v>NVT</v>
      </c>
      <c r="P125" s="141" t="str">
        <f t="shared" si="53"/>
        <v>NVT</v>
      </c>
      <c r="Q125" s="141" t="str">
        <f t="shared" si="54"/>
        <v>NVT</v>
      </c>
      <c r="R125" s="63" t="s">
        <v>1221</v>
      </c>
      <c r="S125" s="142">
        <f t="shared" si="41"/>
        <v>0</v>
      </c>
      <c r="T125" s="143">
        <v>70.2</v>
      </c>
      <c r="U125" s="144"/>
      <c r="V125" s="144"/>
      <c r="W125" s="144"/>
      <c r="X125" s="144"/>
      <c r="Y125" s="144">
        <v>108</v>
      </c>
      <c r="Z125" s="145"/>
      <c r="AA125" s="145"/>
      <c r="AB125" s="145">
        <v>41</v>
      </c>
      <c r="AC125" s="145"/>
      <c r="AD125" s="146"/>
      <c r="AE125" s="171">
        <v>1</v>
      </c>
      <c r="AF125" s="147">
        <f t="shared" si="55"/>
        <v>0</v>
      </c>
      <c r="AG125" s="147">
        <f t="shared" si="56"/>
        <v>0</v>
      </c>
      <c r="AH125" s="147">
        <f t="shared" si="57"/>
        <v>0</v>
      </c>
      <c r="AI125" s="147">
        <f t="shared" si="58"/>
        <v>0</v>
      </c>
      <c r="AJ125" s="148">
        <f t="shared" si="59"/>
        <v>0</v>
      </c>
      <c r="AK125" s="149">
        <f t="shared" si="42"/>
        <v>0</v>
      </c>
      <c r="AL125" s="149">
        <f t="shared" si="43"/>
        <v>0</v>
      </c>
      <c r="AM125" s="149">
        <f t="shared" si="44"/>
        <v>0</v>
      </c>
      <c r="AN125" s="149">
        <f t="shared" si="45"/>
        <v>0</v>
      </c>
      <c r="AO125" s="150">
        <f t="shared" si="60"/>
        <v>0</v>
      </c>
      <c r="AQ125" s="151">
        <f t="shared" si="61"/>
        <v>0</v>
      </c>
    </row>
    <row r="126" spans="1:43" ht="15" customHeight="1">
      <c r="A126" s="82" t="e">
        <f t="shared" si="46"/>
        <v>#REF!</v>
      </c>
      <c r="B126" s="134">
        <v>102</v>
      </c>
      <c r="C126" s="135" t="s">
        <v>942</v>
      </c>
      <c r="D126" s="136" t="s">
        <v>274</v>
      </c>
      <c r="E126" s="137" t="s">
        <v>101</v>
      </c>
      <c r="F126" s="138" t="s">
        <v>210</v>
      </c>
      <c r="G126" s="139" t="s">
        <v>916</v>
      </c>
      <c r="H126" s="140" t="str">
        <f t="shared" si="47"/>
        <v>Niet van toepassing</v>
      </c>
      <c r="I126" s="138" t="s">
        <v>195</v>
      </c>
      <c r="J126" s="138" t="s">
        <v>1172</v>
      </c>
      <c r="K126" s="141" t="str">
        <f t="shared" si="48"/>
        <v>NVT</v>
      </c>
      <c r="L126" s="141" t="str">
        <f t="shared" si="49"/>
        <v>NVT</v>
      </c>
      <c r="M126" s="141" t="str">
        <f t="shared" si="50"/>
        <v>NVT</v>
      </c>
      <c r="N126" s="141" t="str">
        <f t="shared" si="51"/>
        <v>NVT</v>
      </c>
      <c r="O126" s="141" t="str">
        <f t="shared" si="52"/>
        <v>NVT</v>
      </c>
      <c r="P126" s="141" t="str">
        <f t="shared" si="53"/>
        <v>NVT</v>
      </c>
      <c r="Q126" s="141" t="str">
        <f t="shared" si="54"/>
        <v>NVT</v>
      </c>
      <c r="R126" s="63" t="s">
        <v>1221</v>
      </c>
      <c r="S126" s="142">
        <f t="shared" si="41"/>
        <v>0</v>
      </c>
      <c r="T126" s="143">
        <v>6.5</v>
      </c>
      <c r="U126" s="144"/>
      <c r="V126" s="144"/>
      <c r="W126" s="144"/>
      <c r="X126" s="144"/>
      <c r="Y126" s="144">
        <v>30</v>
      </c>
      <c r="Z126" s="145"/>
      <c r="AA126" s="145"/>
      <c r="AB126" s="145">
        <v>5</v>
      </c>
      <c r="AC126" s="145"/>
      <c r="AD126" s="146"/>
      <c r="AE126" s="171">
        <v>1</v>
      </c>
      <c r="AF126" s="147">
        <f t="shared" si="55"/>
        <v>0</v>
      </c>
      <c r="AG126" s="147">
        <f t="shared" si="56"/>
        <v>0</v>
      </c>
      <c r="AH126" s="147">
        <f t="shared" si="57"/>
        <v>0</v>
      </c>
      <c r="AI126" s="147">
        <f t="shared" si="58"/>
        <v>0</v>
      </c>
      <c r="AJ126" s="148">
        <f t="shared" si="59"/>
        <v>0</v>
      </c>
      <c r="AK126" s="149">
        <f t="shared" si="42"/>
        <v>0</v>
      </c>
      <c r="AL126" s="149">
        <f t="shared" si="43"/>
        <v>0</v>
      </c>
      <c r="AM126" s="149">
        <f t="shared" si="44"/>
        <v>0</v>
      </c>
      <c r="AN126" s="149">
        <f t="shared" si="45"/>
        <v>0</v>
      </c>
      <c r="AO126" s="150">
        <f t="shared" si="60"/>
        <v>0</v>
      </c>
      <c r="AQ126" s="151">
        <f t="shared" si="61"/>
        <v>0</v>
      </c>
    </row>
    <row r="127" spans="1:43" ht="15" customHeight="1">
      <c r="A127" s="82" t="e">
        <f t="shared" si="46"/>
        <v>#REF!</v>
      </c>
      <c r="B127" s="134">
        <v>102</v>
      </c>
      <c r="C127" s="135" t="s">
        <v>942</v>
      </c>
      <c r="D127" s="136" t="s">
        <v>274</v>
      </c>
      <c r="E127" s="137" t="s">
        <v>101</v>
      </c>
      <c r="F127" s="138" t="s">
        <v>210</v>
      </c>
      <c r="G127" s="139" t="s">
        <v>998</v>
      </c>
      <c r="H127" s="140" t="str">
        <f t="shared" si="47"/>
        <v>Niet van toepassing</v>
      </c>
      <c r="I127" s="138" t="s">
        <v>195</v>
      </c>
      <c r="J127" s="138" t="s">
        <v>1172</v>
      </c>
      <c r="K127" s="141" t="str">
        <f t="shared" si="48"/>
        <v>NVT</v>
      </c>
      <c r="L127" s="141" t="str">
        <f t="shared" si="49"/>
        <v>NVT</v>
      </c>
      <c r="M127" s="141" t="str">
        <f t="shared" si="50"/>
        <v>NVT</v>
      </c>
      <c r="N127" s="141" t="str">
        <f t="shared" si="51"/>
        <v>NVT</v>
      </c>
      <c r="O127" s="141" t="str">
        <f t="shared" si="52"/>
        <v>NVT</v>
      </c>
      <c r="P127" s="141" t="str">
        <f t="shared" si="53"/>
        <v>NVT</v>
      </c>
      <c r="Q127" s="141" t="str">
        <f t="shared" si="54"/>
        <v>NVT</v>
      </c>
      <c r="R127" s="63" t="s">
        <v>1221</v>
      </c>
      <c r="S127" s="142">
        <f t="shared" si="41"/>
        <v>0</v>
      </c>
      <c r="T127" s="143">
        <v>6.5</v>
      </c>
      <c r="U127" s="144"/>
      <c r="V127" s="144"/>
      <c r="W127" s="144"/>
      <c r="X127" s="144"/>
      <c r="Y127" s="144">
        <v>31</v>
      </c>
      <c r="Z127" s="145"/>
      <c r="AA127" s="145"/>
      <c r="AB127" s="145">
        <v>5</v>
      </c>
      <c r="AC127" s="145"/>
      <c r="AD127" s="146"/>
      <c r="AE127" s="171">
        <v>1</v>
      </c>
      <c r="AF127" s="147">
        <f t="shared" si="55"/>
        <v>0</v>
      </c>
      <c r="AG127" s="147">
        <f t="shared" si="56"/>
        <v>0</v>
      </c>
      <c r="AH127" s="147">
        <f t="shared" si="57"/>
        <v>0</v>
      </c>
      <c r="AI127" s="147">
        <f t="shared" si="58"/>
        <v>0</v>
      </c>
      <c r="AJ127" s="148">
        <f t="shared" si="59"/>
        <v>0</v>
      </c>
      <c r="AK127" s="149">
        <f t="shared" si="42"/>
        <v>0</v>
      </c>
      <c r="AL127" s="149">
        <f t="shared" si="43"/>
        <v>0</v>
      </c>
      <c r="AM127" s="149">
        <f t="shared" si="44"/>
        <v>0</v>
      </c>
      <c r="AN127" s="149">
        <f t="shared" si="45"/>
        <v>0</v>
      </c>
      <c r="AO127" s="150">
        <f t="shared" si="60"/>
        <v>0</v>
      </c>
      <c r="AQ127" s="151">
        <f t="shared" si="61"/>
        <v>0</v>
      </c>
    </row>
    <row r="128" spans="1:43" ht="15" customHeight="1">
      <c r="A128" s="82" t="e">
        <f t="shared" si="46"/>
        <v>#REF!</v>
      </c>
      <c r="B128" s="134">
        <v>102</v>
      </c>
      <c r="C128" s="135" t="s">
        <v>942</v>
      </c>
      <c r="D128" s="136" t="s">
        <v>274</v>
      </c>
      <c r="E128" s="137" t="s">
        <v>101</v>
      </c>
      <c r="F128" s="138" t="s">
        <v>646</v>
      </c>
      <c r="G128" s="139" t="s">
        <v>999</v>
      </c>
      <c r="H128" s="140" t="str">
        <f t="shared" si="47"/>
        <v>Niet van toepassing</v>
      </c>
      <c r="I128" s="138"/>
      <c r="J128" s="138" t="s">
        <v>1172</v>
      </c>
      <c r="K128" s="141" t="str">
        <f t="shared" si="48"/>
        <v>NVT</v>
      </c>
      <c r="L128" s="141" t="str">
        <f t="shared" si="49"/>
        <v>NVT</v>
      </c>
      <c r="M128" s="141" t="str">
        <f t="shared" si="50"/>
        <v>NVT</v>
      </c>
      <c r="N128" s="141" t="str">
        <f t="shared" si="51"/>
        <v>NVT</v>
      </c>
      <c r="O128" s="141" t="str">
        <f t="shared" si="52"/>
        <v>NVT</v>
      </c>
      <c r="P128" s="141" t="str">
        <f t="shared" si="53"/>
        <v>NVT</v>
      </c>
      <c r="Q128" s="141" t="str">
        <f t="shared" si="54"/>
        <v>NVT</v>
      </c>
      <c r="R128" s="63" t="s">
        <v>1221</v>
      </c>
      <c r="S128" s="142">
        <f t="shared" si="41"/>
        <v>0</v>
      </c>
      <c r="T128" s="143">
        <v>0</v>
      </c>
      <c r="U128" s="144"/>
      <c r="V128" s="144"/>
      <c r="W128" s="144">
        <v>10</v>
      </c>
      <c r="X128" s="144"/>
      <c r="Y128" s="144"/>
      <c r="Z128" s="145"/>
      <c r="AA128" s="145"/>
      <c r="AB128" s="145"/>
      <c r="AC128" s="145"/>
      <c r="AD128" s="146" t="s">
        <v>1229</v>
      </c>
      <c r="AE128" s="171">
        <v>1</v>
      </c>
      <c r="AF128" s="147">
        <f t="shared" si="55"/>
        <v>0</v>
      </c>
      <c r="AG128" s="147">
        <f t="shared" si="56"/>
        <v>0</v>
      </c>
      <c r="AH128" s="147">
        <f t="shared" si="57"/>
        <v>0</v>
      </c>
      <c r="AI128" s="147">
        <f t="shared" si="58"/>
        <v>0</v>
      </c>
      <c r="AJ128" s="148">
        <f t="shared" si="59"/>
        <v>0</v>
      </c>
      <c r="AK128" s="149">
        <f t="shared" si="42"/>
        <v>0</v>
      </c>
      <c r="AL128" s="149">
        <f t="shared" si="43"/>
        <v>0</v>
      </c>
      <c r="AM128" s="149">
        <f t="shared" si="44"/>
        <v>0</v>
      </c>
      <c r="AN128" s="149">
        <f t="shared" si="45"/>
        <v>0</v>
      </c>
      <c r="AO128" s="150">
        <f t="shared" si="60"/>
        <v>0</v>
      </c>
      <c r="AQ128" s="151">
        <f t="shared" si="61"/>
        <v>0</v>
      </c>
    </row>
    <row r="129" spans="1:43" ht="15" customHeight="1">
      <c r="A129" s="82" t="e">
        <f t="shared" si="46"/>
        <v>#REF!</v>
      </c>
      <c r="B129" s="134">
        <v>102</v>
      </c>
      <c r="C129" s="135" t="s">
        <v>942</v>
      </c>
      <c r="D129" s="136" t="s">
        <v>274</v>
      </c>
      <c r="E129" s="137" t="s">
        <v>101</v>
      </c>
      <c r="F129" s="138" t="s">
        <v>646</v>
      </c>
      <c r="G129" s="139" t="s">
        <v>1000</v>
      </c>
      <c r="H129" s="140" t="str">
        <f t="shared" si="47"/>
        <v>Niet van toepassing</v>
      </c>
      <c r="I129" s="138"/>
      <c r="J129" s="138" t="s">
        <v>1172</v>
      </c>
      <c r="K129" s="141" t="str">
        <f t="shared" si="48"/>
        <v>NVT</v>
      </c>
      <c r="L129" s="141" t="str">
        <f t="shared" si="49"/>
        <v>NVT</v>
      </c>
      <c r="M129" s="141" t="str">
        <f t="shared" si="50"/>
        <v>NVT</v>
      </c>
      <c r="N129" s="141" t="str">
        <f t="shared" si="51"/>
        <v>NVT</v>
      </c>
      <c r="O129" s="141" t="str">
        <f t="shared" si="52"/>
        <v>NVT</v>
      </c>
      <c r="P129" s="141" t="str">
        <f t="shared" si="53"/>
        <v>NVT</v>
      </c>
      <c r="Q129" s="141" t="str">
        <f t="shared" si="54"/>
        <v>NVT</v>
      </c>
      <c r="R129" s="63" t="s">
        <v>1221</v>
      </c>
      <c r="S129" s="142">
        <f t="shared" si="41"/>
        <v>0</v>
      </c>
      <c r="T129" s="143">
        <v>0</v>
      </c>
      <c r="U129" s="144"/>
      <c r="V129" s="144"/>
      <c r="W129" s="144">
        <v>20</v>
      </c>
      <c r="X129" s="144"/>
      <c r="Y129" s="144"/>
      <c r="Z129" s="145"/>
      <c r="AA129" s="145"/>
      <c r="AB129" s="145"/>
      <c r="AC129" s="145"/>
      <c r="AD129" s="146" t="s">
        <v>1229</v>
      </c>
      <c r="AE129" s="171">
        <v>1</v>
      </c>
      <c r="AF129" s="147">
        <f t="shared" si="55"/>
        <v>0</v>
      </c>
      <c r="AG129" s="147">
        <f t="shared" si="56"/>
        <v>0</v>
      </c>
      <c r="AH129" s="147">
        <f t="shared" si="57"/>
        <v>0</v>
      </c>
      <c r="AI129" s="147">
        <f t="shared" si="58"/>
        <v>0</v>
      </c>
      <c r="AJ129" s="148">
        <f t="shared" si="59"/>
        <v>0</v>
      </c>
      <c r="AK129" s="149">
        <f t="shared" si="42"/>
        <v>0</v>
      </c>
      <c r="AL129" s="149">
        <f t="shared" si="43"/>
        <v>0</v>
      </c>
      <c r="AM129" s="149">
        <f t="shared" si="44"/>
        <v>0</v>
      </c>
      <c r="AN129" s="149">
        <f t="shared" si="45"/>
        <v>0</v>
      </c>
      <c r="AO129" s="150">
        <f t="shared" si="60"/>
        <v>0</v>
      </c>
      <c r="AQ129" s="151">
        <f t="shared" si="61"/>
        <v>0</v>
      </c>
    </row>
    <row r="130" spans="1:43" ht="15" customHeight="1">
      <c r="A130" s="82" t="e">
        <f t="shared" si="46"/>
        <v>#REF!</v>
      </c>
      <c r="B130" s="134">
        <v>102</v>
      </c>
      <c r="C130" s="135" t="s">
        <v>942</v>
      </c>
      <c r="D130" s="136" t="s">
        <v>274</v>
      </c>
      <c r="E130" s="137" t="s">
        <v>101</v>
      </c>
      <c r="F130" s="138" t="s">
        <v>646</v>
      </c>
      <c r="G130" s="139" t="s">
        <v>1001</v>
      </c>
      <c r="H130" s="140" t="str">
        <f t="shared" si="47"/>
        <v>Niet van toepassing</v>
      </c>
      <c r="I130" s="138" t="s">
        <v>270</v>
      </c>
      <c r="J130" s="138" t="s">
        <v>1172</v>
      </c>
      <c r="K130" s="141" t="str">
        <f t="shared" si="48"/>
        <v>NVT</v>
      </c>
      <c r="L130" s="141" t="str">
        <f t="shared" si="49"/>
        <v>NVT</v>
      </c>
      <c r="M130" s="141" t="str">
        <f t="shared" si="50"/>
        <v>NVT</v>
      </c>
      <c r="N130" s="141" t="str">
        <f t="shared" si="51"/>
        <v>NVT</v>
      </c>
      <c r="O130" s="141" t="str">
        <f t="shared" si="52"/>
        <v>NVT</v>
      </c>
      <c r="P130" s="141" t="str">
        <f t="shared" si="53"/>
        <v>NVT</v>
      </c>
      <c r="Q130" s="141" t="str">
        <f t="shared" si="54"/>
        <v>NVT</v>
      </c>
      <c r="R130" s="63" t="s">
        <v>1221</v>
      </c>
      <c r="S130" s="142">
        <f t="shared" si="41"/>
        <v>0</v>
      </c>
      <c r="T130" s="143">
        <v>5.2</v>
      </c>
      <c r="U130" s="144"/>
      <c r="V130" s="144"/>
      <c r="W130" s="144"/>
      <c r="X130" s="144"/>
      <c r="Y130" s="144">
        <v>5</v>
      </c>
      <c r="Z130" s="145"/>
      <c r="AA130" s="145"/>
      <c r="AB130" s="145">
        <v>4</v>
      </c>
      <c r="AC130" s="145"/>
      <c r="AD130" s="146" t="s">
        <v>1034</v>
      </c>
      <c r="AE130" s="171">
        <v>1</v>
      </c>
      <c r="AF130" s="147">
        <f t="shared" si="55"/>
        <v>0</v>
      </c>
      <c r="AG130" s="147">
        <f t="shared" si="56"/>
        <v>0</v>
      </c>
      <c r="AH130" s="147">
        <f t="shared" si="57"/>
        <v>0</v>
      </c>
      <c r="AI130" s="147">
        <f t="shared" si="58"/>
        <v>0</v>
      </c>
      <c r="AJ130" s="148">
        <f t="shared" si="59"/>
        <v>0</v>
      </c>
      <c r="AK130" s="149">
        <f t="shared" si="42"/>
        <v>0</v>
      </c>
      <c r="AL130" s="149">
        <f t="shared" si="43"/>
        <v>0</v>
      </c>
      <c r="AM130" s="149">
        <f t="shared" si="44"/>
        <v>0</v>
      </c>
      <c r="AN130" s="149">
        <f t="shared" si="45"/>
        <v>0</v>
      </c>
      <c r="AO130" s="150">
        <f t="shared" si="60"/>
        <v>0</v>
      </c>
      <c r="AQ130" s="151">
        <f t="shared" si="61"/>
        <v>0</v>
      </c>
    </row>
    <row r="131" spans="1:43" ht="15" customHeight="1">
      <c r="A131" s="82" t="e">
        <f t="shared" si="46"/>
        <v>#REF!</v>
      </c>
      <c r="B131" s="134">
        <v>102</v>
      </c>
      <c r="C131" s="135" t="s">
        <v>942</v>
      </c>
      <c r="D131" s="136" t="s">
        <v>274</v>
      </c>
      <c r="E131" s="137" t="s">
        <v>101</v>
      </c>
      <c r="F131" s="138" t="s">
        <v>646</v>
      </c>
      <c r="G131" s="139" t="s">
        <v>1002</v>
      </c>
      <c r="H131" s="140" t="str">
        <f t="shared" si="47"/>
        <v>Niet van toepassing</v>
      </c>
      <c r="I131" s="138"/>
      <c r="J131" s="138" t="s">
        <v>1172</v>
      </c>
      <c r="K131" s="141" t="str">
        <f t="shared" si="48"/>
        <v>NVT</v>
      </c>
      <c r="L131" s="141" t="str">
        <f t="shared" si="49"/>
        <v>NVT</v>
      </c>
      <c r="M131" s="141" t="str">
        <f t="shared" si="50"/>
        <v>NVT</v>
      </c>
      <c r="N131" s="141" t="str">
        <f t="shared" si="51"/>
        <v>NVT</v>
      </c>
      <c r="O131" s="141" t="str">
        <f t="shared" si="52"/>
        <v>NVT</v>
      </c>
      <c r="P131" s="141" t="str">
        <f t="shared" si="53"/>
        <v>NVT</v>
      </c>
      <c r="Q131" s="141" t="str">
        <f t="shared" si="54"/>
        <v>NVT</v>
      </c>
      <c r="R131" s="63" t="s">
        <v>1221</v>
      </c>
      <c r="S131" s="142">
        <f t="shared" si="41"/>
        <v>0</v>
      </c>
      <c r="T131" s="143">
        <v>0.5</v>
      </c>
      <c r="U131" s="144"/>
      <c r="V131" s="144"/>
      <c r="W131" s="144">
        <v>0.5</v>
      </c>
      <c r="X131" s="144"/>
      <c r="Y131" s="144"/>
      <c r="Z131" s="145"/>
      <c r="AA131" s="145">
        <v>0.5</v>
      </c>
      <c r="AB131" s="145"/>
      <c r="AC131" s="145"/>
      <c r="AD131" s="146"/>
      <c r="AE131" s="171">
        <v>1</v>
      </c>
      <c r="AF131" s="147">
        <f t="shared" si="55"/>
        <v>0</v>
      </c>
      <c r="AG131" s="147">
        <f t="shared" si="56"/>
        <v>0</v>
      </c>
      <c r="AH131" s="147">
        <f t="shared" si="57"/>
        <v>0</v>
      </c>
      <c r="AI131" s="147">
        <f t="shared" si="58"/>
        <v>0</v>
      </c>
      <c r="AJ131" s="148">
        <f t="shared" si="59"/>
        <v>0</v>
      </c>
      <c r="AK131" s="149">
        <f t="shared" si="42"/>
        <v>0</v>
      </c>
      <c r="AL131" s="149">
        <f t="shared" si="43"/>
        <v>0</v>
      </c>
      <c r="AM131" s="149">
        <f t="shared" si="44"/>
        <v>0</v>
      </c>
      <c r="AN131" s="149">
        <f t="shared" si="45"/>
        <v>0</v>
      </c>
      <c r="AO131" s="150">
        <f t="shared" si="60"/>
        <v>0</v>
      </c>
      <c r="AQ131" s="151">
        <f t="shared" si="61"/>
        <v>0</v>
      </c>
    </row>
    <row r="132" spans="1:43" ht="15" customHeight="1">
      <c r="A132" s="82" t="e">
        <f t="shared" si="46"/>
        <v>#REF!</v>
      </c>
      <c r="B132" s="134">
        <v>102</v>
      </c>
      <c r="C132" s="135" t="s">
        <v>942</v>
      </c>
      <c r="D132" s="136" t="s">
        <v>274</v>
      </c>
      <c r="E132" s="137" t="s">
        <v>101</v>
      </c>
      <c r="F132" s="138" t="s">
        <v>646</v>
      </c>
      <c r="G132" s="139" t="s">
        <v>1003</v>
      </c>
      <c r="H132" s="140" t="str">
        <f t="shared" si="47"/>
        <v>Niet van toepassing</v>
      </c>
      <c r="I132" s="138" t="s">
        <v>269</v>
      </c>
      <c r="J132" s="138" t="s">
        <v>1172</v>
      </c>
      <c r="K132" s="141" t="str">
        <f t="shared" si="48"/>
        <v>NVT</v>
      </c>
      <c r="L132" s="141" t="str">
        <f t="shared" si="49"/>
        <v>NVT</v>
      </c>
      <c r="M132" s="141" t="str">
        <f t="shared" si="50"/>
        <v>NVT</v>
      </c>
      <c r="N132" s="141" t="str">
        <f t="shared" si="51"/>
        <v>NVT</v>
      </c>
      <c r="O132" s="141" t="str">
        <f t="shared" si="52"/>
        <v>NVT</v>
      </c>
      <c r="P132" s="141" t="str">
        <f t="shared" si="53"/>
        <v>NVT</v>
      </c>
      <c r="Q132" s="141" t="str">
        <f t="shared" si="54"/>
        <v>NVT</v>
      </c>
      <c r="R132" s="63" t="s">
        <v>1221</v>
      </c>
      <c r="S132" s="142">
        <f t="shared" si="41"/>
        <v>0</v>
      </c>
      <c r="T132" s="143">
        <v>0</v>
      </c>
      <c r="U132" s="144"/>
      <c r="V132" s="144"/>
      <c r="W132" s="144"/>
      <c r="X132" s="144"/>
      <c r="Y132" s="144"/>
      <c r="Z132" s="145"/>
      <c r="AA132" s="145"/>
      <c r="AB132" s="145"/>
      <c r="AC132" s="145"/>
      <c r="AD132" s="146" t="s">
        <v>1277</v>
      </c>
      <c r="AE132" s="171">
        <v>1</v>
      </c>
      <c r="AF132" s="147">
        <f t="shared" si="55"/>
        <v>0</v>
      </c>
      <c r="AG132" s="147">
        <f t="shared" si="56"/>
        <v>0</v>
      </c>
      <c r="AH132" s="147">
        <f t="shared" si="57"/>
        <v>0</v>
      </c>
      <c r="AI132" s="147">
        <f t="shared" si="58"/>
        <v>0</v>
      </c>
      <c r="AJ132" s="148">
        <f t="shared" si="59"/>
        <v>0</v>
      </c>
      <c r="AK132" s="149">
        <f t="shared" si="42"/>
        <v>0</v>
      </c>
      <c r="AL132" s="149">
        <f t="shared" si="43"/>
        <v>0</v>
      </c>
      <c r="AM132" s="149">
        <f t="shared" si="44"/>
        <v>0</v>
      </c>
      <c r="AN132" s="149">
        <f t="shared" si="45"/>
        <v>0</v>
      </c>
      <c r="AO132" s="150">
        <f t="shared" si="60"/>
        <v>0</v>
      </c>
      <c r="AQ132" s="151">
        <f t="shared" si="61"/>
        <v>0</v>
      </c>
    </row>
    <row r="133" spans="1:43" ht="15" customHeight="1">
      <c r="A133" s="82" t="e">
        <f t="shared" si="46"/>
        <v>#REF!</v>
      </c>
      <c r="B133" s="134">
        <v>102</v>
      </c>
      <c r="C133" s="135" t="s">
        <v>942</v>
      </c>
      <c r="D133" s="136" t="s">
        <v>274</v>
      </c>
      <c r="E133" s="137" t="s">
        <v>759</v>
      </c>
      <c r="F133" s="138" t="s">
        <v>760</v>
      </c>
      <c r="G133" s="139" t="s">
        <v>454</v>
      </c>
      <c r="H133" s="140" t="str">
        <f t="shared" si="47"/>
        <v>Niet van toepassing</v>
      </c>
      <c r="I133" s="138"/>
      <c r="J133" s="138" t="s">
        <v>1172</v>
      </c>
      <c r="K133" s="141" t="str">
        <f t="shared" si="48"/>
        <v>NVT</v>
      </c>
      <c r="L133" s="141" t="str">
        <f t="shared" si="49"/>
        <v>NVT</v>
      </c>
      <c r="M133" s="141" t="str">
        <f t="shared" si="50"/>
        <v>NVT</v>
      </c>
      <c r="N133" s="141" t="str">
        <f t="shared" si="51"/>
        <v>NVT</v>
      </c>
      <c r="O133" s="141" t="str">
        <f t="shared" si="52"/>
        <v>NVT</v>
      </c>
      <c r="P133" s="141" t="str">
        <f t="shared" si="53"/>
        <v>NVT</v>
      </c>
      <c r="Q133" s="141" t="str">
        <f t="shared" si="54"/>
        <v>NVT</v>
      </c>
      <c r="R133" s="63" t="s">
        <v>1221</v>
      </c>
      <c r="S133" s="142">
        <f t="shared" si="41"/>
        <v>0</v>
      </c>
      <c r="T133" s="143">
        <v>0</v>
      </c>
      <c r="U133" s="144"/>
      <c r="V133" s="144"/>
      <c r="W133" s="144"/>
      <c r="X133" s="144"/>
      <c r="Y133" s="144"/>
      <c r="Z133" s="145"/>
      <c r="AA133" s="145"/>
      <c r="AB133" s="145"/>
      <c r="AC133" s="145"/>
      <c r="AD133" s="146" t="s">
        <v>752</v>
      </c>
      <c r="AE133" s="171">
        <v>1</v>
      </c>
      <c r="AF133" s="147">
        <f t="shared" si="55"/>
        <v>0</v>
      </c>
      <c r="AG133" s="147">
        <f t="shared" si="56"/>
        <v>0</v>
      </c>
      <c r="AH133" s="147">
        <f t="shared" si="57"/>
        <v>0</v>
      </c>
      <c r="AI133" s="147">
        <f t="shared" si="58"/>
        <v>0</v>
      </c>
      <c r="AJ133" s="148">
        <f t="shared" si="59"/>
        <v>0</v>
      </c>
      <c r="AK133" s="149">
        <f t="shared" si="42"/>
        <v>0</v>
      </c>
      <c r="AL133" s="149">
        <f t="shared" si="43"/>
        <v>0</v>
      </c>
      <c r="AM133" s="149">
        <f t="shared" si="44"/>
        <v>0</v>
      </c>
      <c r="AN133" s="149">
        <f t="shared" si="45"/>
        <v>0</v>
      </c>
      <c r="AO133" s="150">
        <f t="shared" si="60"/>
        <v>0</v>
      </c>
      <c r="AQ133" s="151">
        <f t="shared" si="61"/>
        <v>0</v>
      </c>
    </row>
    <row r="134" spans="1:43" ht="15" customHeight="1">
      <c r="A134" s="82" t="e">
        <f t="shared" si="46"/>
        <v>#REF!</v>
      </c>
      <c r="B134" s="134">
        <v>102</v>
      </c>
      <c r="C134" s="135" t="s">
        <v>942</v>
      </c>
      <c r="D134" s="136" t="s">
        <v>274</v>
      </c>
      <c r="E134" s="137" t="s">
        <v>759</v>
      </c>
      <c r="F134" s="138" t="s">
        <v>1004</v>
      </c>
      <c r="G134" s="139" t="s">
        <v>182</v>
      </c>
      <c r="H134" s="140" t="str">
        <f t="shared" si="47"/>
        <v>Niet van toepassing</v>
      </c>
      <c r="I134" s="138"/>
      <c r="J134" s="138" t="s">
        <v>1172</v>
      </c>
      <c r="K134" s="141" t="str">
        <f t="shared" si="48"/>
        <v>NVT</v>
      </c>
      <c r="L134" s="141" t="str">
        <f t="shared" si="49"/>
        <v>NVT</v>
      </c>
      <c r="M134" s="141" t="str">
        <f t="shared" si="50"/>
        <v>NVT</v>
      </c>
      <c r="N134" s="141" t="str">
        <f t="shared" si="51"/>
        <v>NVT</v>
      </c>
      <c r="O134" s="141" t="str">
        <f t="shared" si="52"/>
        <v>NVT</v>
      </c>
      <c r="P134" s="141" t="str">
        <f t="shared" si="53"/>
        <v>NVT</v>
      </c>
      <c r="Q134" s="141" t="str">
        <f t="shared" si="54"/>
        <v>NVT</v>
      </c>
      <c r="R134" s="63" t="s">
        <v>1221</v>
      </c>
      <c r="S134" s="142">
        <f t="shared" si="41"/>
        <v>0</v>
      </c>
      <c r="T134" s="143">
        <v>0</v>
      </c>
      <c r="U134" s="144"/>
      <c r="V134" s="144"/>
      <c r="W134" s="144"/>
      <c r="X134" s="144"/>
      <c r="Y134" s="144"/>
      <c r="Z134" s="145"/>
      <c r="AA134" s="145"/>
      <c r="AB134" s="145"/>
      <c r="AC134" s="145"/>
      <c r="AD134" s="146" t="s">
        <v>752</v>
      </c>
      <c r="AE134" s="171">
        <v>1</v>
      </c>
      <c r="AF134" s="147">
        <f t="shared" si="55"/>
        <v>0</v>
      </c>
      <c r="AG134" s="147">
        <f t="shared" si="56"/>
        <v>0</v>
      </c>
      <c r="AH134" s="147">
        <f t="shared" si="57"/>
        <v>0</v>
      </c>
      <c r="AI134" s="147">
        <f t="shared" si="58"/>
        <v>0</v>
      </c>
      <c r="AJ134" s="148">
        <f t="shared" si="59"/>
        <v>0</v>
      </c>
      <c r="AK134" s="149">
        <f t="shared" si="42"/>
        <v>0</v>
      </c>
      <c r="AL134" s="149">
        <f t="shared" si="43"/>
        <v>0</v>
      </c>
      <c r="AM134" s="149">
        <f t="shared" si="44"/>
        <v>0</v>
      </c>
      <c r="AN134" s="149">
        <f t="shared" si="45"/>
        <v>0</v>
      </c>
      <c r="AO134" s="150">
        <f t="shared" si="60"/>
        <v>0</v>
      </c>
      <c r="AQ134" s="151">
        <f t="shared" si="61"/>
        <v>0</v>
      </c>
    </row>
    <row r="135" spans="1:43" ht="15" customHeight="1">
      <c r="A135" s="82" t="e">
        <f>1+#REF!</f>
        <v>#REF!</v>
      </c>
      <c r="B135" s="134">
        <v>102</v>
      </c>
      <c r="C135" s="135" t="s">
        <v>942</v>
      </c>
      <c r="D135" s="136" t="s">
        <v>274</v>
      </c>
      <c r="E135" s="137" t="s">
        <v>759</v>
      </c>
      <c r="F135" s="138" t="s">
        <v>765</v>
      </c>
      <c r="G135" s="139" t="s">
        <v>1005</v>
      </c>
      <c r="H135" s="140" t="str">
        <f t="shared" si="47"/>
        <v>Niet van toepassing</v>
      </c>
      <c r="I135" s="138" t="s">
        <v>35</v>
      </c>
      <c r="J135" s="138" t="s">
        <v>1172</v>
      </c>
      <c r="K135" s="141" t="str">
        <f t="shared" si="48"/>
        <v>NVT</v>
      </c>
      <c r="L135" s="141" t="str">
        <f t="shared" si="49"/>
        <v>NVT</v>
      </c>
      <c r="M135" s="141" t="str">
        <f t="shared" si="50"/>
        <v>NVT</v>
      </c>
      <c r="N135" s="141" t="str">
        <f t="shared" si="51"/>
        <v>NVT</v>
      </c>
      <c r="O135" s="141" t="str">
        <f t="shared" si="52"/>
        <v>NVT</v>
      </c>
      <c r="P135" s="141" t="str">
        <f t="shared" si="53"/>
        <v>NVT</v>
      </c>
      <c r="Q135" s="141" t="str">
        <f t="shared" si="54"/>
        <v>NVT</v>
      </c>
      <c r="R135" s="63" t="s">
        <v>1221</v>
      </c>
      <c r="S135" s="142">
        <f t="shared" si="41"/>
        <v>0</v>
      </c>
      <c r="T135" s="143">
        <v>1791.4</v>
      </c>
      <c r="U135" s="144"/>
      <c r="V135" s="144"/>
      <c r="W135" s="144">
        <v>1384</v>
      </c>
      <c r="X135" s="144"/>
      <c r="Y135" s="144"/>
      <c r="Z135" s="145"/>
      <c r="AA135" s="145">
        <v>1378</v>
      </c>
      <c r="AB135" s="145"/>
      <c r="AC135" s="145"/>
      <c r="AD135" s="146"/>
      <c r="AE135" s="171">
        <v>1</v>
      </c>
      <c r="AF135" s="147">
        <f t="shared" si="55"/>
        <v>0</v>
      </c>
      <c r="AG135" s="147">
        <f t="shared" si="56"/>
        <v>0</v>
      </c>
      <c r="AH135" s="147">
        <f t="shared" si="57"/>
        <v>0</v>
      </c>
      <c r="AI135" s="147">
        <f t="shared" si="58"/>
        <v>0</v>
      </c>
      <c r="AJ135" s="148">
        <f t="shared" si="59"/>
        <v>0</v>
      </c>
      <c r="AK135" s="149">
        <f t="shared" si="42"/>
        <v>0</v>
      </c>
      <c r="AL135" s="149">
        <f t="shared" si="43"/>
        <v>0</v>
      </c>
      <c r="AM135" s="149">
        <f t="shared" si="44"/>
        <v>0</v>
      </c>
      <c r="AN135" s="149">
        <f t="shared" si="45"/>
        <v>0</v>
      </c>
      <c r="AO135" s="150">
        <f t="shared" si="60"/>
        <v>0</v>
      </c>
      <c r="AQ135" s="151">
        <f t="shared" si="61"/>
        <v>0</v>
      </c>
    </row>
    <row r="136" spans="1:43" ht="15" customHeight="1">
      <c r="A136" s="82" t="e">
        <f t="shared" si="46"/>
        <v>#REF!</v>
      </c>
      <c r="B136" s="134">
        <v>102</v>
      </c>
      <c r="C136" s="135" t="s">
        <v>942</v>
      </c>
      <c r="D136" s="136" t="s">
        <v>274</v>
      </c>
      <c r="E136" s="137" t="s">
        <v>759</v>
      </c>
      <c r="F136" s="138" t="s">
        <v>762</v>
      </c>
      <c r="G136" s="139" t="s">
        <v>1006</v>
      </c>
      <c r="H136" s="140" t="str">
        <f t="shared" si="47"/>
        <v>Niet van toepassing</v>
      </c>
      <c r="I136" s="138" t="s">
        <v>35</v>
      </c>
      <c r="J136" s="138" t="s">
        <v>1172</v>
      </c>
      <c r="K136" s="141" t="str">
        <f t="shared" si="48"/>
        <v>NVT</v>
      </c>
      <c r="L136" s="141" t="str">
        <f t="shared" si="49"/>
        <v>NVT</v>
      </c>
      <c r="M136" s="141" t="str">
        <f t="shared" si="50"/>
        <v>NVT</v>
      </c>
      <c r="N136" s="141" t="str">
        <f t="shared" si="51"/>
        <v>NVT</v>
      </c>
      <c r="O136" s="141" t="str">
        <f t="shared" si="52"/>
        <v>NVT</v>
      </c>
      <c r="P136" s="141" t="str">
        <f t="shared" si="53"/>
        <v>NVT</v>
      </c>
      <c r="Q136" s="141" t="str">
        <f t="shared" si="54"/>
        <v>NVT</v>
      </c>
      <c r="R136" s="63" t="s">
        <v>1221</v>
      </c>
      <c r="S136" s="142">
        <f t="shared" si="41"/>
        <v>0</v>
      </c>
      <c r="T136" s="143">
        <v>572</v>
      </c>
      <c r="U136" s="144"/>
      <c r="V136" s="144"/>
      <c r="W136" s="144">
        <v>616</v>
      </c>
      <c r="X136" s="144"/>
      <c r="Y136" s="144"/>
      <c r="Z136" s="145"/>
      <c r="AA136" s="145">
        <v>572</v>
      </c>
      <c r="AB136" s="145"/>
      <c r="AC136" s="145"/>
      <c r="AD136" s="146"/>
      <c r="AE136" s="171">
        <v>1</v>
      </c>
      <c r="AF136" s="147">
        <f t="shared" si="55"/>
        <v>0</v>
      </c>
      <c r="AG136" s="147">
        <f t="shared" si="56"/>
        <v>0</v>
      </c>
      <c r="AH136" s="147">
        <f t="shared" si="57"/>
        <v>0</v>
      </c>
      <c r="AI136" s="147">
        <f t="shared" si="58"/>
        <v>0</v>
      </c>
      <c r="AJ136" s="148">
        <f t="shared" si="59"/>
        <v>0</v>
      </c>
      <c r="AK136" s="149">
        <f t="shared" si="42"/>
        <v>0</v>
      </c>
      <c r="AL136" s="149">
        <f t="shared" si="43"/>
        <v>0</v>
      </c>
      <c r="AM136" s="149">
        <f t="shared" si="44"/>
        <v>0</v>
      </c>
      <c r="AN136" s="149">
        <f t="shared" si="45"/>
        <v>0</v>
      </c>
      <c r="AO136" s="150">
        <f t="shared" si="60"/>
        <v>0</v>
      </c>
      <c r="AQ136" s="151">
        <f t="shared" si="61"/>
        <v>0</v>
      </c>
    </row>
    <row r="137" spans="1:43" ht="15" customHeight="1">
      <c r="A137" s="82" t="e">
        <f t="shared" si="46"/>
        <v>#REF!</v>
      </c>
      <c r="B137" s="134">
        <v>102</v>
      </c>
      <c r="C137" s="135" t="s">
        <v>942</v>
      </c>
      <c r="D137" s="136" t="s">
        <v>274</v>
      </c>
      <c r="E137" s="137" t="s">
        <v>759</v>
      </c>
      <c r="F137" s="138" t="s">
        <v>762</v>
      </c>
      <c r="G137" s="139" t="s">
        <v>1007</v>
      </c>
      <c r="H137" s="140" t="str">
        <f t="shared" si="47"/>
        <v>Niet van toepassing</v>
      </c>
      <c r="I137" s="138" t="s">
        <v>35</v>
      </c>
      <c r="J137" s="138" t="s">
        <v>1172</v>
      </c>
      <c r="K137" s="141" t="str">
        <f t="shared" si="48"/>
        <v>NVT</v>
      </c>
      <c r="L137" s="141" t="str">
        <f t="shared" si="49"/>
        <v>NVT</v>
      </c>
      <c r="M137" s="141" t="str">
        <f t="shared" si="50"/>
        <v>NVT</v>
      </c>
      <c r="N137" s="141" t="str">
        <f t="shared" si="51"/>
        <v>NVT</v>
      </c>
      <c r="O137" s="141" t="str">
        <f t="shared" si="52"/>
        <v>NVT</v>
      </c>
      <c r="P137" s="141" t="str">
        <f t="shared" si="53"/>
        <v>NVT</v>
      </c>
      <c r="Q137" s="141" t="str">
        <f t="shared" si="54"/>
        <v>NVT</v>
      </c>
      <c r="R137" s="63" t="s">
        <v>1221</v>
      </c>
      <c r="S137" s="142">
        <f t="shared" si="41"/>
        <v>0</v>
      </c>
      <c r="T137" s="143">
        <v>288</v>
      </c>
      <c r="U137" s="144"/>
      <c r="V137" s="144"/>
      <c r="W137" s="144">
        <v>610</v>
      </c>
      <c r="X137" s="144"/>
      <c r="Y137" s="144"/>
      <c r="Z137" s="145"/>
      <c r="AA137" s="145">
        <v>288</v>
      </c>
      <c r="AB137" s="145"/>
      <c r="AC137" s="145"/>
      <c r="AD137" s="146"/>
      <c r="AE137" s="171">
        <v>1</v>
      </c>
      <c r="AF137" s="147">
        <f t="shared" si="55"/>
        <v>0</v>
      </c>
      <c r="AG137" s="147">
        <f t="shared" si="56"/>
        <v>0</v>
      </c>
      <c r="AH137" s="147">
        <f t="shared" si="57"/>
        <v>0</v>
      </c>
      <c r="AI137" s="147">
        <f t="shared" si="58"/>
        <v>0</v>
      </c>
      <c r="AJ137" s="148">
        <f t="shared" si="59"/>
        <v>0</v>
      </c>
      <c r="AK137" s="149">
        <f t="shared" si="42"/>
        <v>0</v>
      </c>
      <c r="AL137" s="149">
        <f t="shared" si="43"/>
        <v>0</v>
      </c>
      <c r="AM137" s="149">
        <f t="shared" si="44"/>
        <v>0</v>
      </c>
      <c r="AN137" s="149">
        <f t="shared" si="45"/>
        <v>0</v>
      </c>
      <c r="AO137" s="150">
        <f t="shared" si="60"/>
        <v>0</v>
      </c>
      <c r="AQ137" s="151">
        <f t="shared" si="61"/>
        <v>0</v>
      </c>
    </row>
    <row r="138" spans="1:43" ht="15" customHeight="1">
      <c r="A138" s="82" t="e">
        <f t="shared" si="46"/>
        <v>#REF!</v>
      </c>
      <c r="B138" s="134">
        <v>102</v>
      </c>
      <c r="C138" s="135" t="s">
        <v>942</v>
      </c>
      <c r="D138" s="136" t="s">
        <v>274</v>
      </c>
      <c r="E138" s="137" t="s">
        <v>759</v>
      </c>
      <c r="F138" s="138" t="s">
        <v>765</v>
      </c>
      <c r="G138" s="139" t="s">
        <v>800</v>
      </c>
      <c r="H138" s="140" t="str">
        <f t="shared" si="47"/>
        <v>Niet van toepassing</v>
      </c>
      <c r="I138" s="138"/>
      <c r="J138" s="138" t="s">
        <v>1172</v>
      </c>
      <c r="K138" s="141" t="str">
        <f t="shared" si="48"/>
        <v>NVT</v>
      </c>
      <c r="L138" s="141" t="str">
        <f t="shared" si="49"/>
        <v>NVT</v>
      </c>
      <c r="M138" s="141" t="str">
        <f t="shared" si="50"/>
        <v>NVT</v>
      </c>
      <c r="N138" s="141" t="str">
        <f t="shared" si="51"/>
        <v>NVT</v>
      </c>
      <c r="O138" s="141" t="str">
        <f t="shared" si="52"/>
        <v>NVT</v>
      </c>
      <c r="P138" s="141" t="str">
        <f t="shared" si="53"/>
        <v>NVT</v>
      </c>
      <c r="Q138" s="141" t="str">
        <f t="shared" si="54"/>
        <v>NVT</v>
      </c>
      <c r="R138" s="63" t="s">
        <v>1221</v>
      </c>
      <c r="S138" s="142">
        <f t="shared" si="41"/>
        <v>0</v>
      </c>
      <c r="T138" s="143">
        <v>37</v>
      </c>
      <c r="U138" s="144"/>
      <c r="V138" s="144"/>
      <c r="W138" s="144">
        <v>49</v>
      </c>
      <c r="X138" s="144"/>
      <c r="Y138" s="144"/>
      <c r="Z138" s="145"/>
      <c r="AA138" s="145">
        <v>37</v>
      </c>
      <c r="AB138" s="145"/>
      <c r="AC138" s="145"/>
      <c r="AD138" s="146"/>
      <c r="AE138" s="171">
        <v>1</v>
      </c>
      <c r="AF138" s="147">
        <f t="shared" si="55"/>
        <v>0</v>
      </c>
      <c r="AG138" s="147">
        <f t="shared" si="56"/>
        <v>0</v>
      </c>
      <c r="AH138" s="147">
        <f t="shared" si="57"/>
        <v>0</v>
      </c>
      <c r="AI138" s="147">
        <f t="shared" si="58"/>
        <v>0</v>
      </c>
      <c r="AJ138" s="148">
        <f t="shared" si="59"/>
        <v>0</v>
      </c>
      <c r="AK138" s="149">
        <f t="shared" si="42"/>
        <v>0</v>
      </c>
      <c r="AL138" s="149">
        <f t="shared" si="43"/>
        <v>0</v>
      </c>
      <c r="AM138" s="149">
        <f t="shared" si="44"/>
        <v>0</v>
      </c>
      <c r="AN138" s="149">
        <f t="shared" si="45"/>
        <v>0</v>
      </c>
      <c r="AO138" s="150">
        <f t="shared" si="60"/>
        <v>0</v>
      </c>
      <c r="AQ138" s="151">
        <f t="shared" si="61"/>
        <v>0</v>
      </c>
    </row>
    <row r="139" spans="1:43" ht="15" customHeight="1">
      <c r="A139" s="82" t="e">
        <f>1+#REF!</f>
        <v>#REF!</v>
      </c>
      <c r="B139" s="134">
        <v>102</v>
      </c>
      <c r="C139" s="135" t="s">
        <v>942</v>
      </c>
      <c r="D139" s="136" t="s">
        <v>274</v>
      </c>
      <c r="E139" s="137" t="s">
        <v>759</v>
      </c>
      <c r="F139" s="138" t="s">
        <v>765</v>
      </c>
      <c r="G139" s="139" t="s">
        <v>1009</v>
      </c>
      <c r="H139" s="140" t="str">
        <f t="shared" si="47"/>
        <v>Niet van toepassing</v>
      </c>
      <c r="I139" s="138" t="s">
        <v>35</v>
      </c>
      <c r="J139" s="138" t="s">
        <v>1172</v>
      </c>
      <c r="K139" s="141" t="str">
        <f t="shared" si="48"/>
        <v>NVT</v>
      </c>
      <c r="L139" s="141" t="str">
        <f t="shared" si="49"/>
        <v>NVT</v>
      </c>
      <c r="M139" s="141" t="str">
        <f t="shared" si="50"/>
        <v>NVT</v>
      </c>
      <c r="N139" s="141" t="str">
        <f t="shared" si="51"/>
        <v>NVT</v>
      </c>
      <c r="O139" s="141" t="str">
        <f t="shared" si="52"/>
        <v>NVT</v>
      </c>
      <c r="P139" s="141" t="str">
        <f t="shared" si="53"/>
        <v>NVT</v>
      </c>
      <c r="Q139" s="141" t="str">
        <f t="shared" si="54"/>
        <v>NVT</v>
      </c>
      <c r="R139" s="63" t="s">
        <v>1221</v>
      </c>
      <c r="S139" s="142">
        <f t="shared" si="41"/>
        <v>0</v>
      </c>
      <c r="T139" s="143">
        <v>561</v>
      </c>
      <c r="U139" s="144"/>
      <c r="V139" s="144"/>
      <c r="W139" s="144">
        <v>605</v>
      </c>
      <c r="X139" s="144"/>
      <c r="Y139" s="144"/>
      <c r="Z139" s="145"/>
      <c r="AA139" s="145">
        <v>561</v>
      </c>
      <c r="AB139" s="145"/>
      <c r="AC139" s="145"/>
      <c r="AD139" s="146"/>
      <c r="AE139" s="171">
        <v>1</v>
      </c>
      <c r="AF139" s="147">
        <f t="shared" si="55"/>
        <v>0</v>
      </c>
      <c r="AG139" s="147">
        <f t="shared" si="56"/>
        <v>0</v>
      </c>
      <c r="AH139" s="147">
        <f t="shared" si="57"/>
        <v>0</v>
      </c>
      <c r="AI139" s="147">
        <f t="shared" si="58"/>
        <v>0</v>
      </c>
      <c r="AJ139" s="148">
        <f t="shared" si="59"/>
        <v>0</v>
      </c>
      <c r="AK139" s="149">
        <f t="shared" ref="AK139:AK189" si="62">IF($R139="",0,VLOOKUP($R139,Kengetal,5,FALSE))</f>
        <v>0</v>
      </c>
      <c r="AL139" s="149">
        <f t="shared" ref="AL139:AL189" si="63">IF($R139="",0,VLOOKUP($R139,Kengetal,6,FALSE))</f>
        <v>0</v>
      </c>
      <c r="AM139" s="149">
        <f t="shared" ref="AM139:AM189" si="64">IF($R139="",0,VLOOKUP($R139,Kengetal,7,FALSE))</f>
        <v>0</v>
      </c>
      <c r="AN139" s="149">
        <f t="shared" ref="AN139:AN189" si="65">IF($R139="",0,VLOOKUP($R139,Kengetal,8,FALSE))</f>
        <v>0</v>
      </c>
      <c r="AO139" s="150">
        <f t="shared" si="60"/>
        <v>0</v>
      </c>
      <c r="AQ139" s="151">
        <f t="shared" si="61"/>
        <v>0</v>
      </c>
    </row>
    <row r="140" spans="1:43" ht="15" customHeight="1">
      <c r="A140" s="82" t="e">
        <f t="shared" si="46"/>
        <v>#REF!</v>
      </c>
      <c r="B140" s="134">
        <v>102</v>
      </c>
      <c r="C140" s="135" t="s">
        <v>942</v>
      </c>
      <c r="D140" s="136" t="s">
        <v>274</v>
      </c>
      <c r="E140" s="137" t="s">
        <v>759</v>
      </c>
      <c r="F140" s="138" t="s">
        <v>1010</v>
      </c>
      <c r="G140" s="139" t="s">
        <v>929</v>
      </c>
      <c r="H140" s="140" t="str">
        <f t="shared" si="47"/>
        <v>Niet van toepassing</v>
      </c>
      <c r="I140" s="138" t="s">
        <v>35</v>
      </c>
      <c r="J140" s="138" t="s">
        <v>1172</v>
      </c>
      <c r="K140" s="141" t="str">
        <f t="shared" si="48"/>
        <v>NVT</v>
      </c>
      <c r="L140" s="141" t="str">
        <f t="shared" si="49"/>
        <v>NVT</v>
      </c>
      <c r="M140" s="141" t="str">
        <f t="shared" si="50"/>
        <v>NVT</v>
      </c>
      <c r="N140" s="141" t="str">
        <f t="shared" si="51"/>
        <v>NVT</v>
      </c>
      <c r="O140" s="141" t="str">
        <f t="shared" si="52"/>
        <v>NVT</v>
      </c>
      <c r="P140" s="141" t="str">
        <f t="shared" si="53"/>
        <v>NVT</v>
      </c>
      <c r="Q140" s="141" t="str">
        <f t="shared" si="54"/>
        <v>NVT</v>
      </c>
      <c r="R140" s="63" t="s">
        <v>1221</v>
      </c>
      <c r="S140" s="142">
        <f t="shared" ref="S140:S203" si="66">VLOOKUP(R140,Kengetal,2,FALSE)</f>
        <v>0</v>
      </c>
      <c r="T140" s="143">
        <v>18</v>
      </c>
      <c r="U140" s="144"/>
      <c r="V140" s="144"/>
      <c r="W140" s="144">
        <v>37</v>
      </c>
      <c r="X140" s="144"/>
      <c r="Y140" s="144"/>
      <c r="Z140" s="145"/>
      <c r="AA140" s="145">
        <v>18</v>
      </c>
      <c r="AB140" s="145"/>
      <c r="AC140" s="145"/>
      <c r="AD140" s="146"/>
      <c r="AE140" s="171">
        <v>1</v>
      </c>
      <c r="AF140" s="147">
        <f t="shared" si="55"/>
        <v>0</v>
      </c>
      <c r="AG140" s="147">
        <f t="shared" si="56"/>
        <v>0</v>
      </c>
      <c r="AH140" s="147">
        <f t="shared" si="57"/>
        <v>0</v>
      </c>
      <c r="AI140" s="147">
        <f t="shared" si="58"/>
        <v>0</v>
      </c>
      <c r="AJ140" s="148">
        <f t="shared" si="59"/>
        <v>0</v>
      </c>
      <c r="AK140" s="149">
        <f t="shared" si="62"/>
        <v>0</v>
      </c>
      <c r="AL140" s="149">
        <f t="shared" si="63"/>
        <v>0</v>
      </c>
      <c r="AM140" s="149">
        <f t="shared" si="64"/>
        <v>0</v>
      </c>
      <c r="AN140" s="149">
        <f t="shared" si="65"/>
        <v>0</v>
      </c>
      <c r="AO140" s="150">
        <f t="shared" si="60"/>
        <v>0</v>
      </c>
      <c r="AQ140" s="151">
        <f t="shared" si="61"/>
        <v>0</v>
      </c>
    </row>
    <row r="141" spans="1:43" ht="15" customHeight="1">
      <c r="A141" s="82" t="e">
        <f t="shared" si="46"/>
        <v>#REF!</v>
      </c>
      <c r="B141" s="134">
        <v>102</v>
      </c>
      <c r="C141" s="135" t="s">
        <v>942</v>
      </c>
      <c r="D141" s="136" t="s">
        <v>274</v>
      </c>
      <c r="E141" s="137" t="s">
        <v>759</v>
      </c>
      <c r="F141" s="138" t="s">
        <v>932</v>
      </c>
      <c r="G141" s="139" t="s">
        <v>1011</v>
      </c>
      <c r="H141" s="140" t="str">
        <f t="shared" si="47"/>
        <v>Niet van toepassing</v>
      </c>
      <c r="I141" s="138" t="s">
        <v>35</v>
      </c>
      <c r="J141" s="138" t="s">
        <v>1172</v>
      </c>
      <c r="K141" s="141" t="str">
        <f t="shared" si="48"/>
        <v>NVT</v>
      </c>
      <c r="L141" s="141" t="str">
        <f t="shared" si="49"/>
        <v>NVT</v>
      </c>
      <c r="M141" s="141" t="str">
        <f t="shared" si="50"/>
        <v>NVT</v>
      </c>
      <c r="N141" s="141" t="str">
        <f t="shared" si="51"/>
        <v>NVT</v>
      </c>
      <c r="O141" s="141" t="str">
        <f t="shared" si="52"/>
        <v>NVT</v>
      </c>
      <c r="P141" s="141" t="str">
        <f t="shared" si="53"/>
        <v>NVT</v>
      </c>
      <c r="Q141" s="141" t="str">
        <f t="shared" si="54"/>
        <v>NVT</v>
      </c>
      <c r="R141" s="63" t="s">
        <v>1221</v>
      </c>
      <c r="S141" s="142">
        <f t="shared" si="66"/>
        <v>0</v>
      </c>
      <c r="T141" s="143">
        <v>29</v>
      </c>
      <c r="U141" s="144"/>
      <c r="V141" s="144"/>
      <c r="W141" s="144">
        <v>48</v>
      </c>
      <c r="X141" s="144"/>
      <c r="Y141" s="144"/>
      <c r="Z141" s="145"/>
      <c r="AA141" s="145">
        <v>29</v>
      </c>
      <c r="AB141" s="145"/>
      <c r="AC141" s="145"/>
      <c r="AD141" s="146"/>
      <c r="AE141" s="171">
        <v>1</v>
      </c>
      <c r="AF141" s="147">
        <f t="shared" si="55"/>
        <v>0</v>
      </c>
      <c r="AG141" s="147">
        <f t="shared" si="56"/>
        <v>0</v>
      </c>
      <c r="AH141" s="147">
        <f t="shared" si="57"/>
        <v>0</v>
      </c>
      <c r="AI141" s="147">
        <f t="shared" si="58"/>
        <v>0</v>
      </c>
      <c r="AJ141" s="148">
        <f t="shared" si="59"/>
        <v>0</v>
      </c>
      <c r="AK141" s="149">
        <f t="shared" si="62"/>
        <v>0</v>
      </c>
      <c r="AL141" s="149">
        <f t="shared" si="63"/>
        <v>0</v>
      </c>
      <c r="AM141" s="149">
        <f t="shared" si="64"/>
        <v>0</v>
      </c>
      <c r="AN141" s="149">
        <f t="shared" si="65"/>
        <v>0</v>
      </c>
      <c r="AO141" s="150">
        <f t="shared" si="60"/>
        <v>0</v>
      </c>
      <c r="AQ141" s="151">
        <f t="shared" si="61"/>
        <v>0</v>
      </c>
    </row>
    <row r="142" spans="1:43" ht="15" customHeight="1">
      <c r="A142" s="82" t="e">
        <f t="shared" si="46"/>
        <v>#REF!</v>
      </c>
      <c r="B142" s="134">
        <v>102</v>
      </c>
      <c r="C142" s="135" t="s">
        <v>942</v>
      </c>
      <c r="D142" s="136" t="s">
        <v>274</v>
      </c>
      <c r="E142" s="137" t="s">
        <v>759</v>
      </c>
      <c r="F142" s="138" t="s">
        <v>1012</v>
      </c>
      <c r="G142" s="139" t="s">
        <v>1013</v>
      </c>
      <c r="H142" s="140" t="str">
        <f t="shared" si="47"/>
        <v>Niet van toepassing</v>
      </c>
      <c r="I142" s="138" t="s">
        <v>35</v>
      </c>
      <c r="J142" s="138" t="s">
        <v>1172</v>
      </c>
      <c r="K142" s="141" t="str">
        <f t="shared" si="48"/>
        <v>NVT</v>
      </c>
      <c r="L142" s="141" t="str">
        <f t="shared" si="49"/>
        <v>NVT</v>
      </c>
      <c r="M142" s="141" t="str">
        <f t="shared" si="50"/>
        <v>NVT</v>
      </c>
      <c r="N142" s="141" t="str">
        <f t="shared" si="51"/>
        <v>NVT</v>
      </c>
      <c r="O142" s="141" t="str">
        <f t="shared" si="52"/>
        <v>NVT</v>
      </c>
      <c r="P142" s="141" t="str">
        <f t="shared" si="53"/>
        <v>NVT</v>
      </c>
      <c r="Q142" s="141" t="str">
        <f t="shared" si="54"/>
        <v>NVT</v>
      </c>
      <c r="R142" s="63" t="s">
        <v>1221</v>
      </c>
      <c r="S142" s="142">
        <f t="shared" si="66"/>
        <v>0</v>
      </c>
      <c r="T142" s="143">
        <v>34</v>
      </c>
      <c r="U142" s="144"/>
      <c r="V142" s="144"/>
      <c r="W142" s="144">
        <v>38</v>
      </c>
      <c r="X142" s="144"/>
      <c r="Y142" s="144"/>
      <c r="Z142" s="145"/>
      <c r="AA142" s="145">
        <v>34</v>
      </c>
      <c r="AB142" s="145"/>
      <c r="AC142" s="145"/>
      <c r="AD142" s="146"/>
      <c r="AE142" s="171">
        <v>1</v>
      </c>
      <c r="AF142" s="147">
        <f t="shared" si="55"/>
        <v>0</v>
      </c>
      <c r="AG142" s="147">
        <f t="shared" si="56"/>
        <v>0</v>
      </c>
      <c r="AH142" s="147">
        <f t="shared" si="57"/>
        <v>0</v>
      </c>
      <c r="AI142" s="147">
        <f t="shared" si="58"/>
        <v>0</v>
      </c>
      <c r="AJ142" s="148">
        <f t="shared" si="59"/>
        <v>0</v>
      </c>
      <c r="AK142" s="149">
        <f t="shared" si="62"/>
        <v>0</v>
      </c>
      <c r="AL142" s="149">
        <f t="shared" si="63"/>
        <v>0</v>
      </c>
      <c r="AM142" s="149">
        <f t="shared" si="64"/>
        <v>0</v>
      </c>
      <c r="AN142" s="149">
        <f t="shared" si="65"/>
        <v>0</v>
      </c>
      <c r="AO142" s="150">
        <f t="shared" si="60"/>
        <v>0</v>
      </c>
      <c r="AQ142" s="151">
        <f t="shared" si="61"/>
        <v>0</v>
      </c>
    </row>
    <row r="143" spans="1:43" ht="15" customHeight="1">
      <c r="A143" s="82" t="e">
        <f t="shared" si="46"/>
        <v>#REF!</v>
      </c>
      <c r="B143" s="134">
        <v>102</v>
      </c>
      <c r="C143" s="135" t="s">
        <v>942</v>
      </c>
      <c r="D143" s="136" t="s">
        <v>274</v>
      </c>
      <c r="E143" s="137" t="s">
        <v>759</v>
      </c>
      <c r="F143" s="138" t="s">
        <v>1014</v>
      </c>
      <c r="G143" s="139" t="s">
        <v>1015</v>
      </c>
      <c r="H143" s="140" t="str">
        <f t="shared" si="47"/>
        <v>Niet van toepassing</v>
      </c>
      <c r="I143" s="138" t="s">
        <v>35</v>
      </c>
      <c r="J143" s="138" t="s">
        <v>1172</v>
      </c>
      <c r="K143" s="141" t="str">
        <f t="shared" si="48"/>
        <v>NVT</v>
      </c>
      <c r="L143" s="141" t="str">
        <f t="shared" si="49"/>
        <v>NVT</v>
      </c>
      <c r="M143" s="141" t="str">
        <f t="shared" si="50"/>
        <v>NVT</v>
      </c>
      <c r="N143" s="141" t="str">
        <f t="shared" si="51"/>
        <v>NVT</v>
      </c>
      <c r="O143" s="141" t="str">
        <f t="shared" si="52"/>
        <v>NVT</v>
      </c>
      <c r="P143" s="141" t="str">
        <f t="shared" si="53"/>
        <v>NVT</v>
      </c>
      <c r="Q143" s="141" t="str">
        <f t="shared" si="54"/>
        <v>NVT</v>
      </c>
      <c r="R143" s="63" t="s">
        <v>1221</v>
      </c>
      <c r="S143" s="142">
        <f t="shared" si="66"/>
        <v>0</v>
      </c>
      <c r="T143" s="143">
        <v>36</v>
      </c>
      <c r="U143" s="144"/>
      <c r="V143" s="144"/>
      <c r="W143" s="144">
        <v>38</v>
      </c>
      <c r="X143" s="144"/>
      <c r="Y143" s="144"/>
      <c r="Z143" s="145"/>
      <c r="AA143" s="145">
        <v>36</v>
      </c>
      <c r="AB143" s="145"/>
      <c r="AC143" s="145"/>
      <c r="AD143" s="146"/>
      <c r="AE143" s="171">
        <v>1</v>
      </c>
      <c r="AF143" s="147">
        <f t="shared" si="55"/>
        <v>0</v>
      </c>
      <c r="AG143" s="147">
        <f t="shared" si="56"/>
        <v>0</v>
      </c>
      <c r="AH143" s="147">
        <f t="shared" si="57"/>
        <v>0</v>
      </c>
      <c r="AI143" s="147">
        <f t="shared" si="58"/>
        <v>0</v>
      </c>
      <c r="AJ143" s="148">
        <f t="shared" si="59"/>
        <v>0</v>
      </c>
      <c r="AK143" s="149">
        <f t="shared" si="62"/>
        <v>0</v>
      </c>
      <c r="AL143" s="149">
        <f t="shared" si="63"/>
        <v>0</v>
      </c>
      <c r="AM143" s="149">
        <f t="shared" si="64"/>
        <v>0</v>
      </c>
      <c r="AN143" s="149">
        <f t="shared" si="65"/>
        <v>0</v>
      </c>
      <c r="AO143" s="150">
        <f t="shared" si="60"/>
        <v>0</v>
      </c>
      <c r="AQ143" s="151">
        <f t="shared" si="61"/>
        <v>0</v>
      </c>
    </row>
    <row r="144" spans="1:43" ht="15" customHeight="1">
      <c r="A144" s="82" t="e">
        <f t="shared" si="46"/>
        <v>#REF!</v>
      </c>
      <c r="B144" s="134">
        <v>102</v>
      </c>
      <c r="C144" s="135" t="s">
        <v>942</v>
      </c>
      <c r="D144" s="136" t="s">
        <v>274</v>
      </c>
      <c r="E144" s="137" t="s">
        <v>759</v>
      </c>
      <c r="F144" s="138" t="s">
        <v>1016</v>
      </c>
      <c r="G144" s="139" t="s">
        <v>1017</v>
      </c>
      <c r="H144" s="140" t="str">
        <f t="shared" si="47"/>
        <v>Niet van toepassing</v>
      </c>
      <c r="I144" s="138"/>
      <c r="J144" s="138" t="s">
        <v>1172</v>
      </c>
      <c r="K144" s="141" t="str">
        <f t="shared" si="48"/>
        <v>NVT</v>
      </c>
      <c r="L144" s="141" t="str">
        <f t="shared" si="49"/>
        <v>NVT</v>
      </c>
      <c r="M144" s="141" t="str">
        <f t="shared" si="50"/>
        <v>NVT</v>
      </c>
      <c r="N144" s="141" t="str">
        <f t="shared" si="51"/>
        <v>NVT</v>
      </c>
      <c r="O144" s="141" t="str">
        <f t="shared" si="52"/>
        <v>NVT</v>
      </c>
      <c r="P144" s="141" t="str">
        <f t="shared" si="53"/>
        <v>NVT</v>
      </c>
      <c r="Q144" s="141" t="str">
        <f t="shared" si="54"/>
        <v>NVT</v>
      </c>
      <c r="R144" s="63" t="s">
        <v>1221</v>
      </c>
      <c r="S144" s="142">
        <f t="shared" si="66"/>
        <v>0</v>
      </c>
      <c r="T144" s="143">
        <v>49</v>
      </c>
      <c r="U144" s="144"/>
      <c r="V144" s="144"/>
      <c r="W144" s="144">
        <v>56</v>
      </c>
      <c r="X144" s="144"/>
      <c r="Y144" s="144"/>
      <c r="Z144" s="145"/>
      <c r="AA144" s="145">
        <v>49</v>
      </c>
      <c r="AB144" s="145"/>
      <c r="AC144" s="145"/>
      <c r="AD144" s="146"/>
      <c r="AE144" s="171">
        <v>1</v>
      </c>
      <c r="AF144" s="147">
        <f t="shared" si="55"/>
        <v>0</v>
      </c>
      <c r="AG144" s="147">
        <f t="shared" si="56"/>
        <v>0</v>
      </c>
      <c r="AH144" s="147">
        <f t="shared" si="57"/>
        <v>0</v>
      </c>
      <c r="AI144" s="147">
        <f t="shared" si="58"/>
        <v>0</v>
      </c>
      <c r="AJ144" s="148">
        <f t="shared" si="59"/>
        <v>0</v>
      </c>
      <c r="AK144" s="149">
        <f t="shared" si="62"/>
        <v>0</v>
      </c>
      <c r="AL144" s="149">
        <f t="shared" si="63"/>
        <v>0</v>
      </c>
      <c r="AM144" s="149">
        <f t="shared" si="64"/>
        <v>0</v>
      </c>
      <c r="AN144" s="149">
        <f t="shared" si="65"/>
        <v>0</v>
      </c>
      <c r="AO144" s="150">
        <f t="shared" si="60"/>
        <v>0</v>
      </c>
      <c r="AQ144" s="151">
        <f t="shared" si="61"/>
        <v>0</v>
      </c>
    </row>
    <row r="145" spans="1:43" ht="15" customHeight="1">
      <c r="A145" s="82" t="e">
        <f t="shared" si="46"/>
        <v>#REF!</v>
      </c>
      <c r="B145" s="134">
        <v>102</v>
      </c>
      <c r="C145" s="135" t="s">
        <v>942</v>
      </c>
      <c r="D145" s="136" t="s">
        <v>274</v>
      </c>
      <c r="E145" s="137" t="s">
        <v>759</v>
      </c>
      <c r="F145" s="138" t="s">
        <v>736</v>
      </c>
      <c r="G145" s="139" t="s">
        <v>934</v>
      </c>
      <c r="H145" s="140" t="str">
        <f t="shared" si="47"/>
        <v>Niet van toepassing</v>
      </c>
      <c r="I145" s="138" t="s">
        <v>195</v>
      </c>
      <c r="J145" s="138" t="s">
        <v>1172</v>
      </c>
      <c r="K145" s="141" t="str">
        <f t="shared" si="48"/>
        <v>NVT</v>
      </c>
      <c r="L145" s="141" t="str">
        <f t="shared" si="49"/>
        <v>NVT</v>
      </c>
      <c r="M145" s="141" t="str">
        <f t="shared" si="50"/>
        <v>NVT</v>
      </c>
      <c r="N145" s="141" t="str">
        <f t="shared" si="51"/>
        <v>NVT</v>
      </c>
      <c r="O145" s="141" t="str">
        <f t="shared" si="52"/>
        <v>NVT</v>
      </c>
      <c r="P145" s="141" t="str">
        <f t="shared" si="53"/>
        <v>NVT</v>
      </c>
      <c r="Q145" s="141" t="str">
        <f t="shared" si="54"/>
        <v>NVT</v>
      </c>
      <c r="R145" s="63" t="s">
        <v>1221</v>
      </c>
      <c r="S145" s="142">
        <f t="shared" si="66"/>
        <v>0</v>
      </c>
      <c r="T145" s="143">
        <v>29.900000000000002</v>
      </c>
      <c r="U145" s="144"/>
      <c r="V145" s="144"/>
      <c r="W145" s="144"/>
      <c r="X145" s="144"/>
      <c r="Y145" s="144">
        <v>75</v>
      </c>
      <c r="Z145" s="145"/>
      <c r="AA145" s="145">
        <v>23</v>
      </c>
      <c r="AB145" s="145"/>
      <c r="AC145" s="145"/>
      <c r="AD145" s="146"/>
      <c r="AE145" s="171">
        <v>1</v>
      </c>
      <c r="AF145" s="147">
        <f t="shared" si="55"/>
        <v>0</v>
      </c>
      <c r="AG145" s="147">
        <f t="shared" si="56"/>
        <v>0</v>
      </c>
      <c r="AH145" s="147">
        <f t="shared" si="57"/>
        <v>0</v>
      </c>
      <c r="AI145" s="147">
        <f t="shared" si="58"/>
        <v>0</v>
      </c>
      <c r="AJ145" s="148">
        <f t="shared" si="59"/>
        <v>0</v>
      </c>
      <c r="AK145" s="149">
        <f t="shared" si="62"/>
        <v>0</v>
      </c>
      <c r="AL145" s="149">
        <f t="shared" si="63"/>
        <v>0</v>
      </c>
      <c r="AM145" s="149">
        <f t="shared" si="64"/>
        <v>0</v>
      </c>
      <c r="AN145" s="149">
        <f t="shared" si="65"/>
        <v>0</v>
      </c>
      <c r="AO145" s="150">
        <f t="shared" si="60"/>
        <v>0</v>
      </c>
      <c r="AQ145" s="151">
        <f t="shared" si="61"/>
        <v>0</v>
      </c>
    </row>
    <row r="146" spans="1:43" ht="15" customHeight="1">
      <c r="A146" s="82" t="e">
        <f t="shared" si="46"/>
        <v>#REF!</v>
      </c>
      <c r="B146" s="134">
        <v>102</v>
      </c>
      <c r="C146" s="135" t="s">
        <v>942</v>
      </c>
      <c r="D146" s="136" t="s">
        <v>274</v>
      </c>
      <c r="E146" s="137" t="s">
        <v>759</v>
      </c>
      <c r="F146" s="138" t="s">
        <v>775</v>
      </c>
      <c r="G146" s="139" t="s">
        <v>935</v>
      </c>
      <c r="H146" s="140" t="str">
        <f t="shared" si="47"/>
        <v>Niet van toepassing</v>
      </c>
      <c r="I146" s="138" t="s">
        <v>35</v>
      </c>
      <c r="J146" s="138" t="s">
        <v>1172</v>
      </c>
      <c r="K146" s="141" t="str">
        <f t="shared" si="48"/>
        <v>NVT</v>
      </c>
      <c r="L146" s="141" t="str">
        <f t="shared" si="49"/>
        <v>NVT</v>
      </c>
      <c r="M146" s="141" t="str">
        <f t="shared" si="50"/>
        <v>NVT</v>
      </c>
      <c r="N146" s="141" t="str">
        <f t="shared" si="51"/>
        <v>NVT</v>
      </c>
      <c r="O146" s="141" t="str">
        <f t="shared" si="52"/>
        <v>NVT</v>
      </c>
      <c r="P146" s="141" t="str">
        <f t="shared" si="53"/>
        <v>NVT</v>
      </c>
      <c r="Q146" s="141" t="str">
        <f t="shared" si="54"/>
        <v>NVT</v>
      </c>
      <c r="R146" s="63" t="s">
        <v>1221</v>
      </c>
      <c r="S146" s="142">
        <f t="shared" si="66"/>
        <v>0</v>
      </c>
      <c r="T146" s="143">
        <v>28</v>
      </c>
      <c r="U146" s="144"/>
      <c r="V146" s="144"/>
      <c r="W146" s="144">
        <v>42</v>
      </c>
      <c r="X146" s="144"/>
      <c r="Y146" s="144"/>
      <c r="Z146" s="145"/>
      <c r="AA146" s="145">
        <v>28</v>
      </c>
      <c r="AB146" s="145"/>
      <c r="AC146" s="145"/>
      <c r="AD146" s="146"/>
      <c r="AE146" s="171">
        <v>1</v>
      </c>
      <c r="AF146" s="147">
        <f t="shared" si="55"/>
        <v>0</v>
      </c>
      <c r="AG146" s="147">
        <f t="shared" si="56"/>
        <v>0</v>
      </c>
      <c r="AH146" s="147">
        <f t="shared" si="57"/>
        <v>0</v>
      </c>
      <c r="AI146" s="147">
        <f t="shared" si="58"/>
        <v>0</v>
      </c>
      <c r="AJ146" s="148">
        <f t="shared" si="59"/>
        <v>0</v>
      </c>
      <c r="AK146" s="149">
        <f t="shared" si="62"/>
        <v>0</v>
      </c>
      <c r="AL146" s="149">
        <f t="shared" si="63"/>
        <v>0</v>
      </c>
      <c r="AM146" s="149">
        <f t="shared" si="64"/>
        <v>0</v>
      </c>
      <c r="AN146" s="149">
        <f t="shared" si="65"/>
        <v>0</v>
      </c>
      <c r="AO146" s="150">
        <f t="shared" si="60"/>
        <v>0</v>
      </c>
      <c r="AQ146" s="151">
        <f t="shared" si="61"/>
        <v>0</v>
      </c>
    </row>
    <row r="147" spans="1:43" ht="15" customHeight="1">
      <c r="A147" s="82" t="e">
        <f t="shared" si="46"/>
        <v>#REF!</v>
      </c>
      <c r="B147" s="134">
        <v>102</v>
      </c>
      <c r="C147" s="135" t="s">
        <v>942</v>
      </c>
      <c r="D147" s="136" t="s">
        <v>274</v>
      </c>
      <c r="E147" s="137" t="s">
        <v>759</v>
      </c>
      <c r="F147" s="138" t="s">
        <v>736</v>
      </c>
      <c r="G147" s="139" t="s">
        <v>801</v>
      </c>
      <c r="H147" s="140" t="str">
        <f t="shared" si="47"/>
        <v>Niet van toepassing</v>
      </c>
      <c r="I147" s="138" t="s">
        <v>195</v>
      </c>
      <c r="J147" s="138" t="s">
        <v>1172</v>
      </c>
      <c r="K147" s="141" t="str">
        <f t="shared" si="48"/>
        <v>NVT</v>
      </c>
      <c r="L147" s="141" t="str">
        <f t="shared" si="49"/>
        <v>NVT</v>
      </c>
      <c r="M147" s="141" t="str">
        <f t="shared" si="50"/>
        <v>NVT</v>
      </c>
      <c r="N147" s="141" t="str">
        <f t="shared" si="51"/>
        <v>NVT</v>
      </c>
      <c r="O147" s="141" t="str">
        <f t="shared" si="52"/>
        <v>NVT</v>
      </c>
      <c r="P147" s="141" t="str">
        <f t="shared" si="53"/>
        <v>NVT</v>
      </c>
      <c r="Q147" s="141" t="str">
        <f t="shared" si="54"/>
        <v>NVT</v>
      </c>
      <c r="R147" s="63" t="s">
        <v>1221</v>
      </c>
      <c r="S147" s="142">
        <f t="shared" si="66"/>
        <v>0</v>
      </c>
      <c r="T147" s="143">
        <v>19.5</v>
      </c>
      <c r="U147" s="144"/>
      <c r="V147" s="144"/>
      <c r="W147" s="144"/>
      <c r="X147" s="144"/>
      <c r="Y147" s="144">
        <v>52</v>
      </c>
      <c r="Z147" s="145"/>
      <c r="AA147" s="145">
        <v>15</v>
      </c>
      <c r="AB147" s="145"/>
      <c r="AC147" s="145"/>
      <c r="AD147" s="146"/>
      <c r="AE147" s="171">
        <v>1</v>
      </c>
      <c r="AF147" s="147">
        <f t="shared" si="55"/>
        <v>0</v>
      </c>
      <c r="AG147" s="147">
        <f t="shared" si="56"/>
        <v>0</v>
      </c>
      <c r="AH147" s="147">
        <f t="shared" si="57"/>
        <v>0</v>
      </c>
      <c r="AI147" s="147">
        <f t="shared" si="58"/>
        <v>0</v>
      </c>
      <c r="AJ147" s="148">
        <f t="shared" si="59"/>
        <v>0</v>
      </c>
      <c r="AK147" s="149">
        <f t="shared" si="62"/>
        <v>0</v>
      </c>
      <c r="AL147" s="149">
        <f t="shared" si="63"/>
        <v>0</v>
      </c>
      <c r="AM147" s="149">
        <f t="shared" si="64"/>
        <v>0</v>
      </c>
      <c r="AN147" s="149">
        <f t="shared" si="65"/>
        <v>0</v>
      </c>
      <c r="AO147" s="150">
        <f t="shared" si="60"/>
        <v>0</v>
      </c>
      <c r="AQ147" s="151">
        <f t="shared" si="61"/>
        <v>0</v>
      </c>
    </row>
    <row r="148" spans="1:43" ht="15" customHeight="1">
      <c r="A148" s="82" t="e">
        <f t="shared" si="46"/>
        <v>#REF!</v>
      </c>
      <c r="B148" s="134">
        <v>102</v>
      </c>
      <c r="C148" s="135" t="s">
        <v>942</v>
      </c>
      <c r="D148" s="136" t="s">
        <v>274</v>
      </c>
      <c r="E148" s="137" t="s">
        <v>759</v>
      </c>
      <c r="F148" s="138" t="s">
        <v>1018</v>
      </c>
      <c r="G148" s="139" t="s">
        <v>1019</v>
      </c>
      <c r="H148" s="140" t="str">
        <f t="shared" si="47"/>
        <v>Niet van toepassing</v>
      </c>
      <c r="I148" s="138" t="s">
        <v>195</v>
      </c>
      <c r="J148" s="138" t="s">
        <v>1172</v>
      </c>
      <c r="K148" s="141" t="str">
        <f t="shared" si="48"/>
        <v>NVT</v>
      </c>
      <c r="L148" s="141" t="str">
        <f t="shared" si="49"/>
        <v>NVT</v>
      </c>
      <c r="M148" s="141" t="str">
        <f t="shared" si="50"/>
        <v>NVT</v>
      </c>
      <c r="N148" s="141" t="str">
        <f t="shared" si="51"/>
        <v>NVT</v>
      </c>
      <c r="O148" s="141" t="str">
        <f t="shared" si="52"/>
        <v>NVT</v>
      </c>
      <c r="P148" s="141" t="str">
        <f t="shared" si="53"/>
        <v>NVT</v>
      </c>
      <c r="Q148" s="141" t="str">
        <f t="shared" si="54"/>
        <v>NVT</v>
      </c>
      <c r="R148" s="63" t="s">
        <v>1221</v>
      </c>
      <c r="S148" s="142">
        <f t="shared" si="66"/>
        <v>0</v>
      </c>
      <c r="T148" s="143">
        <v>5.2</v>
      </c>
      <c r="U148" s="144"/>
      <c r="V148" s="144"/>
      <c r="W148" s="144"/>
      <c r="X148" s="144"/>
      <c r="Y148" s="144">
        <v>18</v>
      </c>
      <c r="Z148" s="145"/>
      <c r="AA148" s="145">
        <v>4</v>
      </c>
      <c r="AB148" s="145"/>
      <c r="AC148" s="145"/>
      <c r="AD148" s="146"/>
      <c r="AE148" s="171">
        <v>1</v>
      </c>
      <c r="AF148" s="147">
        <f t="shared" si="55"/>
        <v>0</v>
      </c>
      <c r="AG148" s="147">
        <f t="shared" si="56"/>
        <v>0</v>
      </c>
      <c r="AH148" s="147">
        <f t="shared" si="57"/>
        <v>0</v>
      </c>
      <c r="AI148" s="147">
        <f t="shared" si="58"/>
        <v>0</v>
      </c>
      <c r="AJ148" s="148">
        <f t="shared" si="59"/>
        <v>0</v>
      </c>
      <c r="AK148" s="149">
        <f t="shared" si="62"/>
        <v>0</v>
      </c>
      <c r="AL148" s="149">
        <f t="shared" si="63"/>
        <v>0</v>
      </c>
      <c r="AM148" s="149">
        <f t="shared" si="64"/>
        <v>0</v>
      </c>
      <c r="AN148" s="149">
        <f t="shared" si="65"/>
        <v>0</v>
      </c>
      <c r="AO148" s="150">
        <f t="shared" si="60"/>
        <v>0</v>
      </c>
      <c r="AQ148" s="151">
        <f t="shared" si="61"/>
        <v>0</v>
      </c>
    </row>
    <row r="149" spans="1:43" ht="15" customHeight="1">
      <c r="A149" s="82" t="e">
        <f t="shared" si="46"/>
        <v>#REF!</v>
      </c>
      <c r="B149" s="134">
        <v>102</v>
      </c>
      <c r="C149" s="135" t="s">
        <v>942</v>
      </c>
      <c r="D149" s="136" t="s">
        <v>274</v>
      </c>
      <c r="E149" s="137" t="s">
        <v>759</v>
      </c>
      <c r="F149" s="138" t="s">
        <v>775</v>
      </c>
      <c r="G149" s="139" t="s">
        <v>802</v>
      </c>
      <c r="H149" s="140" t="str">
        <f t="shared" si="47"/>
        <v>Niet van toepassing</v>
      </c>
      <c r="I149" s="138" t="s">
        <v>35</v>
      </c>
      <c r="J149" s="138" t="s">
        <v>1172</v>
      </c>
      <c r="K149" s="141" t="str">
        <f t="shared" si="48"/>
        <v>NVT</v>
      </c>
      <c r="L149" s="141" t="str">
        <f t="shared" si="49"/>
        <v>NVT</v>
      </c>
      <c r="M149" s="141" t="str">
        <f t="shared" si="50"/>
        <v>NVT</v>
      </c>
      <c r="N149" s="141" t="str">
        <f t="shared" si="51"/>
        <v>NVT</v>
      </c>
      <c r="O149" s="141" t="str">
        <f t="shared" si="52"/>
        <v>NVT</v>
      </c>
      <c r="P149" s="141" t="str">
        <f t="shared" si="53"/>
        <v>NVT</v>
      </c>
      <c r="Q149" s="141" t="str">
        <f t="shared" si="54"/>
        <v>NVT</v>
      </c>
      <c r="R149" s="63" t="s">
        <v>1221</v>
      </c>
      <c r="S149" s="142">
        <f t="shared" si="66"/>
        <v>0</v>
      </c>
      <c r="T149" s="143">
        <v>33</v>
      </c>
      <c r="U149" s="144"/>
      <c r="V149" s="144"/>
      <c r="W149" s="144">
        <v>56</v>
      </c>
      <c r="X149" s="144"/>
      <c r="Y149" s="144"/>
      <c r="Z149" s="145"/>
      <c r="AA149" s="145">
        <v>33</v>
      </c>
      <c r="AB149" s="145"/>
      <c r="AC149" s="145"/>
      <c r="AD149" s="146"/>
      <c r="AE149" s="171">
        <v>1</v>
      </c>
      <c r="AF149" s="147">
        <f t="shared" si="55"/>
        <v>0</v>
      </c>
      <c r="AG149" s="147">
        <f t="shared" si="56"/>
        <v>0</v>
      </c>
      <c r="AH149" s="147">
        <f t="shared" si="57"/>
        <v>0</v>
      </c>
      <c r="AI149" s="147">
        <f t="shared" si="58"/>
        <v>0</v>
      </c>
      <c r="AJ149" s="148">
        <f t="shared" si="59"/>
        <v>0</v>
      </c>
      <c r="AK149" s="149">
        <f t="shared" si="62"/>
        <v>0</v>
      </c>
      <c r="AL149" s="149">
        <f t="shared" si="63"/>
        <v>0</v>
      </c>
      <c r="AM149" s="149">
        <f t="shared" si="64"/>
        <v>0</v>
      </c>
      <c r="AN149" s="149">
        <f t="shared" si="65"/>
        <v>0</v>
      </c>
      <c r="AO149" s="150">
        <f t="shared" si="60"/>
        <v>0</v>
      </c>
      <c r="AQ149" s="151">
        <f t="shared" si="61"/>
        <v>0</v>
      </c>
    </row>
    <row r="150" spans="1:43" ht="15" customHeight="1">
      <c r="A150" s="82" t="e">
        <f t="shared" si="46"/>
        <v>#REF!</v>
      </c>
      <c r="B150" s="134">
        <v>102</v>
      </c>
      <c r="C150" s="135" t="s">
        <v>942</v>
      </c>
      <c r="D150" s="136" t="s">
        <v>274</v>
      </c>
      <c r="E150" s="137" t="s">
        <v>759</v>
      </c>
      <c r="F150" s="138" t="s">
        <v>263</v>
      </c>
      <c r="G150" s="139" t="s">
        <v>938</v>
      </c>
      <c r="H150" s="140" t="str">
        <f t="shared" si="47"/>
        <v>Niet van toepassing</v>
      </c>
      <c r="I150" s="138" t="s">
        <v>195</v>
      </c>
      <c r="J150" s="138" t="s">
        <v>1172</v>
      </c>
      <c r="K150" s="141" t="str">
        <f t="shared" si="48"/>
        <v>NVT</v>
      </c>
      <c r="L150" s="141" t="str">
        <f t="shared" si="49"/>
        <v>NVT</v>
      </c>
      <c r="M150" s="141" t="str">
        <f t="shared" si="50"/>
        <v>NVT</v>
      </c>
      <c r="N150" s="141" t="str">
        <f t="shared" si="51"/>
        <v>NVT</v>
      </c>
      <c r="O150" s="141" t="str">
        <f t="shared" si="52"/>
        <v>NVT</v>
      </c>
      <c r="P150" s="141" t="str">
        <f t="shared" si="53"/>
        <v>NVT</v>
      </c>
      <c r="Q150" s="141" t="str">
        <f t="shared" si="54"/>
        <v>NVT</v>
      </c>
      <c r="R150" s="63" t="s">
        <v>1221</v>
      </c>
      <c r="S150" s="142">
        <f t="shared" si="66"/>
        <v>0</v>
      </c>
      <c r="T150" s="143">
        <v>0</v>
      </c>
      <c r="U150" s="144"/>
      <c r="V150" s="144"/>
      <c r="W150" s="144"/>
      <c r="X150" s="144"/>
      <c r="Y150" s="144"/>
      <c r="Z150" s="145"/>
      <c r="AA150" s="145"/>
      <c r="AB150" s="145"/>
      <c r="AC150" s="145"/>
      <c r="AD150" s="146" t="s">
        <v>1035</v>
      </c>
      <c r="AE150" s="171">
        <v>1</v>
      </c>
      <c r="AF150" s="147">
        <f t="shared" si="55"/>
        <v>0</v>
      </c>
      <c r="AG150" s="147">
        <f t="shared" si="56"/>
        <v>0</v>
      </c>
      <c r="AH150" s="147">
        <f t="shared" si="57"/>
        <v>0</v>
      </c>
      <c r="AI150" s="147">
        <f t="shared" si="58"/>
        <v>0</v>
      </c>
      <c r="AJ150" s="148">
        <f t="shared" si="59"/>
        <v>0</v>
      </c>
      <c r="AK150" s="149">
        <f t="shared" si="62"/>
        <v>0</v>
      </c>
      <c r="AL150" s="149">
        <f t="shared" si="63"/>
        <v>0</v>
      </c>
      <c r="AM150" s="149">
        <f t="shared" si="64"/>
        <v>0</v>
      </c>
      <c r="AN150" s="149">
        <f t="shared" si="65"/>
        <v>0</v>
      </c>
      <c r="AO150" s="150">
        <f t="shared" si="60"/>
        <v>0</v>
      </c>
      <c r="AQ150" s="151">
        <f t="shared" si="61"/>
        <v>0</v>
      </c>
    </row>
    <row r="151" spans="1:43" ht="15" customHeight="1">
      <c r="A151" s="82" t="e">
        <f t="shared" si="46"/>
        <v>#REF!</v>
      </c>
      <c r="B151" s="134">
        <v>102</v>
      </c>
      <c r="C151" s="135" t="s">
        <v>942</v>
      </c>
      <c r="D151" s="136" t="s">
        <v>274</v>
      </c>
      <c r="E151" s="137" t="s">
        <v>759</v>
      </c>
      <c r="F151" s="138" t="s">
        <v>263</v>
      </c>
      <c r="G151" s="139" t="s">
        <v>1020</v>
      </c>
      <c r="H151" s="140" t="str">
        <f t="shared" si="47"/>
        <v>Niet van toepassing</v>
      </c>
      <c r="I151" s="138" t="s">
        <v>195</v>
      </c>
      <c r="J151" s="138" t="s">
        <v>1172</v>
      </c>
      <c r="K151" s="141" t="str">
        <f t="shared" si="48"/>
        <v>NVT</v>
      </c>
      <c r="L151" s="141" t="str">
        <f t="shared" si="49"/>
        <v>NVT</v>
      </c>
      <c r="M151" s="141" t="str">
        <f t="shared" si="50"/>
        <v>NVT</v>
      </c>
      <c r="N151" s="141" t="str">
        <f t="shared" si="51"/>
        <v>NVT</v>
      </c>
      <c r="O151" s="141" t="str">
        <f t="shared" si="52"/>
        <v>NVT</v>
      </c>
      <c r="P151" s="141" t="str">
        <f t="shared" si="53"/>
        <v>NVT</v>
      </c>
      <c r="Q151" s="141" t="str">
        <f t="shared" si="54"/>
        <v>NVT</v>
      </c>
      <c r="R151" s="63" t="s">
        <v>1221</v>
      </c>
      <c r="S151" s="142">
        <f t="shared" si="66"/>
        <v>0</v>
      </c>
      <c r="T151" s="143">
        <v>0</v>
      </c>
      <c r="U151" s="144"/>
      <c r="V151" s="144"/>
      <c r="W151" s="144"/>
      <c r="X151" s="144"/>
      <c r="Y151" s="144"/>
      <c r="Z151" s="145"/>
      <c r="AA151" s="145"/>
      <c r="AB151" s="145"/>
      <c r="AC151" s="145"/>
      <c r="AD151" s="146" t="s">
        <v>1036</v>
      </c>
      <c r="AE151" s="171">
        <v>1</v>
      </c>
      <c r="AF151" s="147">
        <f t="shared" si="55"/>
        <v>0</v>
      </c>
      <c r="AG151" s="147">
        <f t="shared" si="56"/>
        <v>0</v>
      </c>
      <c r="AH151" s="147">
        <f t="shared" si="57"/>
        <v>0</v>
      </c>
      <c r="AI151" s="147">
        <f t="shared" si="58"/>
        <v>0</v>
      </c>
      <c r="AJ151" s="148">
        <f t="shared" si="59"/>
        <v>0</v>
      </c>
      <c r="AK151" s="149">
        <f t="shared" si="62"/>
        <v>0</v>
      </c>
      <c r="AL151" s="149">
        <f t="shared" si="63"/>
        <v>0</v>
      </c>
      <c r="AM151" s="149">
        <f t="shared" si="64"/>
        <v>0</v>
      </c>
      <c r="AN151" s="149">
        <f t="shared" si="65"/>
        <v>0</v>
      </c>
      <c r="AO151" s="150">
        <f t="shared" si="60"/>
        <v>0</v>
      </c>
      <c r="AQ151" s="151">
        <f t="shared" si="61"/>
        <v>0</v>
      </c>
    </row>
    <row r="152" spans="1:43" ht="15" customHeight="1">
      <c r="A152" s="82" t="e">
        <f t="shared" si="46"/>
        <v>#REF!</v>
      </c>
      <c r="B152" s="134">
        <v>102</v>
      </c>
      <c r="C152" s="135" t="s">
        <v>942</v>
      </c>
      <c r="D152" s="136" t="s">
        <v>274</v>
      </c>
      <c r="E152" s="137" t="s">
        <v>759</v>
      </c>
      <c r="F152" s="138" t="s">
        <v>1021</v>
      </c>
      <c r="G152" s="139" t="s">
        <v>264</v>
      </c>
      <c r="H152" s="140" t="str">
        <f t="shared" si="47"/>
        <v>Niet van toepassing</v>
      </c>
      <c r="I152" s="138"/>
      <c r="J152" s="138" t="s">
        <v>1172</v>
      </c>
      <c r="K152" s="141" t="str">
        <f t="shared" si="48"/>
        <v>NVT</v>
      </c>
      <c r="L152" s="141" t="str">
        <f t="shared" si="49"/>
        <v>NVT</v>
      </c>
      <c r="M152" s="141" t="str">
        <f t="shared" si="50"/>
        <v>NVT</v>
      </c>
      <c r="N152" s="141" t="str">
        <f t="shared" si="51"/>
        <v>NVT</v>
      </c>
      <c r="O152" s="141" t="str">
        <f t="shared" si="52"/>
        <v>NVT</v>
      </c>
      <c r="P152" s="141" t="str">
        <f t="shared" si="53"/>
        <v>NVT</v>
      </c>
      <c r="Q152" s="141" t="str">
        <f t="shared" si="54"/>
        <v>NVT</v>
      </c>
      <c r="R152" s="63" t="s">
        <v>1221</v>
      </c>
      <c r="S152" s="142">
        <f t="shared" si="66"/>
        <v>0</v>
      </c>
      <c r="T152" s="143">
        <v>19</v>
      </c>
      <c r="U152" s="144"/>
      <c r="V152" s="144"/>
      <c r="W152" s="144">
        <v>36</v>
      </c>
      <c r="X152" s="144"/>
      <c r="Y152" s="144"/>
      <c r="Z152" s="145"/>
      <c r="AA152" s="145">
        <v>19</v>
      </c>
      <c r="AB152" s="145"/>
      <c r="AC152" s="145"/>
      <c r="AD152" s="146"/>
      <c r="AE152" s="171">
        <v>1</v>
      </c>
      <c r="AF152" s="147">
        <f t="shared" si="55"/>
        <v>0</v>
      </c>
      <c r="AG152" s="147">
        <f t="shared" si="56"/>
        <v>0</v>
      </c>
      <c r="AH152" s="147">
        <f t="shared" si="57"/>
        <v>0</v>
      </c>
      <c r="AI152" s="147">
        <f t="shared" si="58"/>
        <v>0</v>
      </c>
      <c r="AJ152" s="148">
        <f t="shared" si="59"/>
        <v>0</v>
      </c>
      <c r="AK152" s="149">
        <f t="shared" si="62"/>
        <v>0</v>
      </c>
      <c r="AL152" s="149">
        <f t="shared" si="63"/>
        <v>0</v>
      </c>
      <c r="AM152" s="149">
        <f t="shared" si="64"/>
        <v>0</v>
      </c>
      <c r="AN152" s="149">
        <f t="shared" si="65"/>
        <v>0</v>
      </c>
      <c r="AO152" s="150">
        <f t="shared" si="60"/>
        <v>0</v>
      </c>
      <c r="AQ152" s="151">
        <f t="shared" si="61"/>
        <v>0</v>
      </c>
    </row>
    <row r="153" spans="1:43" ht="15" customHeight="1">
      <c r="A153" s="82" t="e">
        <f t="shared" si="46"/>
        <v>#REF!</v>
      </c>
      <c r="B153" s="134">
        <v>103</v>
      </c>
      <c r="C153" s="135" t="s">
        <v>835</v>
      </c>
      <c r="D153" s="136" t="s">
        <v>274</v>
      </c>
      <c r="E153" s="137" t="s">
        <v>834</v>
      </c>
      <c r="F153" s="138" t="s">
        <v>836</v>
      </c>
      <c r="G153" s="139" t="s">
        <v>837</v>
      </c>
      <c r="H153" s="140" t="str">
        <f t="shared" si="47"/>
        <v>Roltrappen(inclusief aangrenzende bouwdelen)</v>
      </c>
      <c r="I153" s="138" t="s">
        <v>269</v>
      </c>
      <c r="J153" s="138" t="s">
        <v>1171</v>
      </c>
      <c r="K153" s="141" t="str">
        <f t="shared" si="48"/>
        <v>Omde dag Vol/Nal.</v>
      </c>
      <c r="L153" s="141" t="str">
        <f t="shared" si="49"/>
        <v>Omde dag Nal./Vol</v>
      </c>
      <c r="M153" s="141" t="str">
        <f t="shared" si="50"/>
        <v>Omde dag Vol/Nal.</v>
      </c>
      <c r="N153" s="141" t="str">
        <f t="shared" si="51"/>
        <v>Omde dag Nal./Vol</v>
      </c>
      <c r="O153" s="141" t="str">
        <f t="shared" si="52"/>
        <v>Omde dag Vol/Nal.</v>
      </c>
      <c r="P153" s="141" t="str">
        <f t="shared" si="53"/>
        <v>Omde dag Nal./Vol</v>
      </c>
      <c r="Q153" s="141" t="str">
        <f t="shared" si="54"/>
        <v>Omde dag Vol/Nal.</v>
      </c>
      <c r="R153" s="63" t="s">
        <v>1481</v>
      </c>
      <c r="S153" s="142">
        <f t="shared" si="66"/>
        <v>365</v>
      </c>
      <c r="T153" s="143"/>
      <c r="U153" s="144">
        <f>(8.5*4)+(6.5*3)+27.5+27.5+8+(8.5*4)+(6.5*7)+(4*2.1)+(8*3.35)+(5*3.35)+(2.1*8)</f>
        <v>264.75</v>
      </c>
      <c r="V153" s="144"/>
      <c r="W153" s="144"/>
      <c r="X153" s="144">
        <f>4*0.3</f>
        <v>1.2</v>
      </c>
      <c r="Y153" s="144"/>
      <c r="Z153" s="145"/>
      <c r="AA153" s="145"/>
      <c r="AB153" s="145">
        <v>101</v>
      </c>
      <c r="AC153" s="145"/>
      <c r="AD153" s="146"/>
      <c r="AE153" s="171">
        <v>1</v>
      </c>
      <c r="AF153" s="147">
        <f t="shared" si="55"/>
        <v>0</v>
      </c>
      <c r="AG153" s="147">
        <f t="shared" si="56"/>
        <v>0</v>
      </c>
      <c r="AH153" s="147">
        <f t="shared" si="57"/>
        <v>0</v>
      </c>
      <c r="AI153" s="147">
        <f t="shared" si="58"/>
        <v>0</v>
      </c>
      <c r="AJ153" s="148" t="str">
        <f t="shared" si="59"/>
        <v>ja</v>
      </c>
      <c r="AK153" s="149">
        <f t="shared" si="62"/>
        <v>0</v>
      </c>
      <c r="AL153" s="149">
        <f t="shared" si="63"/>
        <v>0</v>
      </c>
      <c r="AM153" s="149">
        <f t="shared" si="64"/>
        <v>0</v>
      </c>
      <c r="AN153" s="149">
        <f t="shared" si="65"/>
        <v>0</v>
      </c>
      <c r="AO153" s="150" t="str">
        <f t="shared" si="60"/>
        <v>V</v>
      </c>
      <c r="AQ153" s="151">
        <f t="shared" si="61"/>
        <v>0</v>
      </c>
    </row>
    <row r="154" spans="1:43" ht="15" customHeight="1">
      <c r="A154" s="82" t="e">
        <f t="shared" si="46"/>
        <v>#REF!</v>
      </c>
      <c r="B154" s="134">
        <v>103</v>
      </c>
      <c r="C154" s="135" t="s">
        <v>835</v>
      </c>
      <c r="D154" s="136" t="s">
        <v>274</v>
      </c>
      <c r="E154" s="137" t="s">
        <v>834</v>
      </c>
      <c r="F154" s="138" t="s">
        <v>838</v>
      </c>
      <c r="G154" s="139" t="s">
        <v>839</v>
      </c>
      <c r="H154" s="140" t="str">
        <f t="shared" si="47"/>
        <v>Trappen</v>
      </c>
      <c r="I154" s="138"/>
      <c r="J154" s="138" t="s">
        <v>1171</v>
      </c>
      <c r="K154" s="141" t="str">
        <f t="shared" si="48"/>
        <v>Omde dag Vol/Nal.</v>
      </c>
      <c r="L154" s="141" t="str">
        <f t="shared" si="49"/>
        <v>Omde dag Nal./Vol</v>
      </c>
      <c r="M154" s="141" t="str">
        <f t="shared" si="50"/>
        <v>Omde dag Vol/Nal.</v>
      </c>
      <c r="N154" s="141" t="str">
        <f t="shared" si="51"/>
        <v>Omde dag Nal./Vol</v>
      </c>
      <c r="O154" s="141" t="str">
        <f t="shared" si="52"/>
        <v>Omde dag Vol/Nal.</v>
      </c>
      <c r="P154" s="141" t="str">
        <f t="shared" si="53"/>
        <v>Omde dag Nal./Vol</v>
      </c>
      <c r="Q154" s="141" t="str">
        <f t="shared" si="54"/>
        <v>Omde dag Vol/Nal.</v>
      </c>
      <c r="R154" s="63" t="s">
        <v>1477</v>
      </c>
      <c r="S154" s="142">
        <f t="shared" si="66"/>
        <v>365</v>
      </c>
      <c r="T154" s="143">
        <v>0</v>
      </c>
      <c r="U154" s="144"/>
      <c r="V154" s="144"/>
      <c r="W154" s="144"/>
      <c r="X154" s="144"/>
      <c r="Y154" s="144"/>
      <c r="Z154" s="145"/>
      <c r="AA154" s="145"/>
      <c r="AB154" s="145"/>
      <c r="AC154" s="145"/>
      <c r="AD154" s="146"/>
      <c r="AE154" s="171">
        <v>1</v>
      </c>
      <c r="AF154" s="147">
        <f t="shared" si="55"/>
        <v>0</v>
      </c>
      <c r="AG154" s="147">
        <f t="shared" si="56"/>
        <v>0</v>
      </c>
      <c r="AH154" s="147">
        <f t="shared" si="57"/>
        <v>0</v>
      </c>
      <c r="AI154" s="147">
        <f t="shared" si="58"/>
        <v>0</v>
      </c>
      <c r="AJ154" s="148" t="str">
        <f t="shared" si="59"/>
        <v>ja</v>
      </c>
      <c r="AK154" s="149">
        <f t="shared" si="62"/>
        <v>0</v>
      </c>
      <c r="AL154" s="149">
        <f t="shared" si="63"/>
        <v>0</v>
      </c>
      <c r="AM154" s="149">
        <f t="shared" si="64"/>
        <v>0</v>
      </c>
      <c r="AN154" s="149">
        <f t="shared" si="65"/>
        <v>0</v>
      </c>
      <c r="AO154" s="150" t="str">
        <f t="shared" si="60"/>
        <v>V</v>
      </c>
      <c r="AQ154" s="151">
        <f t="shared" si="61"/>
        <v>0</v>
      </c>
    </row>
    <row r="155" spans="1:43" ht="15" customHeight="1">
      <c r="A155" s="82" t="e">
        <f t="shared" si="46"/>
        <v>#REF!</v>
      </c>
      <c r="B155" s="134">
        <v>103</v>
      </c>
      <c r="C155" s="135" t="s">
        <v>835</v>
      </c>
      <c r="D155" s="136" t="s">
        <v>274</v>
      </c>
      <c r="E155" s="137" t="s">
        <v>834</v>
      </c>
      <c r="F155" s="138" t="s">
        <v>840</v>
      </c>
      <c r="G155" s="139" t="s">
        <v>557</v>
      </c>
      <c r="H155" s="140" t="str">
        <f t="shared" si="47"/>
        <v>Liften</v>
      </c>
      <c r="I155" s="138" t="s">
        <v>457</v>
      </c>
      <c r="J155" s="138" t="s">
        <v>1171</v>
      </c>
      <c r="K155" s="141" t="str">
        <f t="shared" si="48"/>
        <v>Omde dag Vol/Nal.</v>
      </c>
      <c r="L155" s="141" t="str">
        <f t="shared" si="49"/>
        <v>Omde dag Nal./Vol</v>
      </c>
      <c r="M155" s="141" t="str">
        <f t="shared" si="50"/>
        <v>Omde dag Vol/Nal.</v>
      </c>
      <c r="N155" s="141" t="str">
        <f t="shared" si="51"/>
        <v>Omde dag Nal./Vol</v>
      </c>
      <c r="O155" s="141" t="str">
        <f t="shared" si="52"/>
        <v>Omde dag Vol/Nal.</v>
      </c>
      <c r="P155" s="141" t="str">
        <f t="shared" si="53"/>
        <v>Omde dag Nal./Vol</v>
      </c>
      <c r="Q155" s="141" t="str">
        <f t="shared" si="54"/>
        <v>Omde dag Vol/Nal.</v>
      </c>
      <c r="R155" s="63" t="s">
        <v>1475</v>
      </c>
      <c r="S155" s="142">
        <f t="shared" si="66"/>
        <v>365</v>
      </c>
      <c r="T155" s="143">
        <v>0</v>
      </c>
      <c r="U155" s="144"/>
      <c r="V155" s="144"/>
      <c r="W155" s="144"/>
      <c r="X155" s="144"/>
      <c r="Y155" s="144"/>
      <c r="Z155" s="145"/>
      <c r="AA155" s="145"/>
      <c r="AB155" s="145"/>
      <c r="AC155" s="145"/>
      <c r="AD155" s="146"/>
      <c r="AE155" s="171">
        <v>1</v>
      </c>
      <c r="AF155" s="147">
        <f t="shared" si="55"/>
        <v>0</v>
      </c>
      <c r="AG155" s="147">
        <f t="shared" si="56"/>
        <v>0</v>
      </c>
      <c r="AH155" s="147">
        <f t="shared" si="57"/>
        <v>0</v>
      </c>
      <c r="AI155" s="147">
        <f t="shared" si="58"/>
        <v>0</v>
      </c>
      <c r="AJ155" s="148" t="str">
        <f t="shared" si="59"/>
        <v>ja</v>
      </c>
      <c r="AK155" s="149">
        <f t="shared" si="62"/>
        <v>0</v>
      </c>
      <c r="AL155" s="149">
        <f t="shared" si="63"/>
        <v>0</v>
      </c>
      <c r="AM155" s="149">
        <f t="shared" si="64"/>
        <v>0</v>
      </c>
      <c r="AN155" s="149">
        <f t="shared" si="65"/>
        <v>0</v>
      </c>
      <c r="AO155" s="150" t="str">
        <f t="shared" si="60"/>
        <v>V</v>
      </c>
      <c r="AQ155" s="151">
        <f t="shared" si="61"/>
        <v>0</v>
      </c>
    </row>
    <row r="156" spans="1:43" ht="15" customHeight="1">
      <c r="A156" s="82" t="e">
        <f t="shared" ref="A156:A207" si="67">1+A155</f>
        <v>#REF!</v>
      </c>
      <c r="B156" s="134">
        <v>103</v>
      </c>
      <c r="C156" s="135" t="s">
        <v>835</v>
      </c>
      <c r="D156" s="136" t="s">
        <v>274</v>
      </c>
      <c r="E156" s="137" t="s">
        <v>834</v>
      </c>
      <c r="F156" s="138" t="s">
        <v>841</v>
      </c>
      <c r="G156" s="139" t="s">
        <v>842</v>
      </c>
      <c r="H156" s="140" t="str">
        <f t="shared" si="47"/>
        <v>Niet van toepassing</v>
      </c>
      <c r="I156" s="138" t="s">
        <v>195</v>
      </c>
      <c r="J156" s="138" t="s">
        <v>1172</v>
      </c>
      <c r="K156" s="141" t="str">
        <f t="shared" si="48"/>
        <v>NVT</v>
      </c>
      <c r="L156" s="141" t="str">
        <f t="shared" si="49"/>
        <v>NVT</v>
      </c>
      <c r="M156" s="141" t="str">
        <f t="shared" si="50"/>
        <v>NVT</v>
      </c>
      <c r="N156" s="141" t="str">
        <f t="shared" si="51"/>
        <v>NVT</v>
      </c>
      <c r="O156" s="141" t="str">
        <f t="shared" si="52"/>
        <v>NVT</v>
      </c>
      <c r="P156" s="141" t="str">
        <f t="shared" si="53"/>
        <v>NVT</v>
      </c>
      <c r="Q156" s="141" t="str">
        <f t="shared" si="54"/>
        <v>NVT</v>
      </c>
      <c r="R156" s="63" t="s">
        <v>1221</v>
      </c>
      <c r="S156" s="142">
        <f t="shared" si="66"/>
        <v>0</v>
      </c>
      <c r="T156" s="143">
        <v>0</v>
      </c>
      <c r="U156" s="144"/>
      <c r="V156" s="144"/>
      <c r="W156" s="144"/>
      <c r="X156" s="144"/>
      <c r="Y156" s="144"/>
      <c r="Z156" s="145"/>
      <c r="AA156" s="145"/>
      <c r="AB156" s="145"/>
      <c r="AC156" s="145"/>
      <c r="AD156" s="146" t="s">
        <v>1258</v>
      </c>
      <c r="AE156" s="171">
        <v>1</v>
      </c>
      <c r="AF156" s="147">
        <f t="shared" si="55"/>
        <v>0</v>
      </c>
      <c r="AG156" s="147">
        <f t="shared" si="56"/>
        <v>0</v>
      </c>
      <c r="AH156" s="147">
        <f t="shared" si="57"/>
        <v>0</v>
      </c>
      <c r="AI156" s="147">
        <f t="shared" si="58"/>
        <v>0</v>
      </c>
      <c r="AJ156" s="148">
        <f t="shared" si="59"/>
        <v>0</v>
      </c>
      <c r="AK156" s="149">
        <f t="shared" si="62"/>
        <v>0</v>
      </c>
      <c r="AL156" s="149">
        <f t="shared" si="63"/>
        <v>0</v>
      </c>
      <c r="AM156" s="149">
        <f t="shared" si="64"/>
        <v>0</v>
      </c>
      <c r="AN156" s="149">
        <f t="shared" si="65"/>
        <v>0</v>
      </c>
      <c r="AO156" s="150">
        <f t="shared" si="60"/>
        <v>0</v>
      </c>
      <c r="AQ156" s="151">
        <f t="shared" si="61"/>
        <v>0</v>
      </c>
    </row>
    <row r="157" spans="1:43" ht="15" customHeight="1">
      <c r="A157" s="82" t="e">
        <f t="shared" si="67"/>
        <v>#REF!</v>
      </c>
      <c r="B157" s="134">
        <v>103</v>
      </c>
      <c r="C157" s="135" t="s">
        <v>835</v>
      </c>
      <c r="D157" s="136" t="s">
        <v>274</v>
      </c>
      <c r="E157" s="137" t="s">
        <v>834</v>
      </c>
      <c r="F157" s="138" t="s">
        <v>841</v>
      </c>
      <c r="G157" s="139" t="s">
        <v>843</v>
      </c>
      <c r="H157" s="140" t="str">
        <f t="shared" si="47"/>
        <v>Niet van toepassing</v>
      </c>
      <c r="I157" s="138" t="s">
        <v>195</v>
      </c>
      <c r="J157" s="138" t="s">
        <v>1172</v>
      </c>
      <c r="K157" s="141" t="str">
        <f t="shared" si="48"/>
        <v>NVT</v>
      </c>
      <c r="L157" s="141" t="str">
        <f t="shared" si="49"/>
        <v>NVT</v>
      </c>
      <c r="M157" s="141" t="str">
        <f t="shared" si="50"/>
        <v>NVT</v>
      </c>
      <c r="N157" s="141" t="str">
        <f t="shared" si="51"/>
        <v>NVT</v>
      </c>
      <c r="O157" s="141" t="str">
        <f t="shared" si="52"/>
        <v>NVT</v>
      </c>
      <c r="P157" s="141" t="str">
        <f t="shared" si="53"/>
        <v>NVT</v>
      </c>
      <c r="Q157" s="141" t="str">
        <f t="shared" si="54"/>
        <v>NVT</v>
      </c>
      <c r="R157" s="63" t="s">
        <v>1221</v>
      </c>
      <c r="S157" s="142">
        <f t="shared" si="66"/>
        <v>0</v>
      </c>
      <c r="T157" s="143">
        <v>0</v>
      </c>
      <c r="U157" s="144"/>
      <c r="V157" s="144"/>
      <c r="W157" s="144"/>
      <c r="X157" s="144"/>
      <c r="Y157" s="144"/>
      <c r="Z157" s="145"/>
      <c r="AA157" s="145"/>
      <c r="AB157" s="145"/>
      <c r="AC157" s="145"/>
      <c r="AD157" s="146" t="s">
        <v>1258</v>
      </c>
      <c r="AE157" s="171">
        <v>1</v>
      </c>
      <c r="AF157" s="147">
        <f t="shared" si="55"/>
        <v>0</v>
      </c>
      <c r="AG157" s="147">
        <f t="shared" si="56"/>
        <v>0</v>
      </c>
      <c r="AH157" s="147">
        <f t="shared" si="57"/>
        <v>0</v>
      </c>
      <c r="AI157" s="147">
        <f t="shared" si="58"/>
        <v>0</v>
      </c>
      <c r="AJ157" s="148">
        <f t="shared" si="59"/>
        <v>0</v>
      </c>
      <c r="AK157" s="149">
        <f t="shared" si="62"/>
        <v>0</v>
      </c>
      <c r="AL157" s="149">
        <f t="shared" si="63"/>
        <v>0</v>
      </c>
      <c r="AM157" s="149">
        <f t="shared" si="64"/>
        <v>0</v>
      </c>
      <c r="AN157" s="149">
        <f t="shared" si="65"/>
        <v>0</v>
      </c>
      <c r="AO157" s="150">
        <f t="shared" si="60"/>
        <v>0</v>
      </c>
      <c r="AQ157" s="151">
        <f t="shared" si="61"/>
        <v>0</v>
      </c>
    </row>
    <row r="158" spans="1:43" ht="15" customHeight="1">
      <c r="A158" s="82" t="e">
        <f t="shared" si="67"/>
        <v>#REF!</v>
      </c>
      <c r="B158" s="134">
        <v>103</v>
      </c>
      <c r="C158" s="135" t="s">
        <v>835</v>
      </c>
      <c r="D158" s="136" t="s">
        <v>274</v>
      </c>
      <c r="E158" s="137" t="s">
        <v>499</v>
      </c>
      <c r="F158" s="138" t="s">
        <v>841</v>
      </c>
      <c r="G158" s="139" t="s">
        <v>844</v>
      </c>
      <c r="H158" s="140" t="str">
        <f t="shared" si="47"/>
        <v>Niet van toepassing</v>
      </c>
      <c r="I158" s="138"/>
      <c r="J158" s="138" t="s">
        <v>1172</v>
      </c>
      <c r="K158" s="141" t="str">
        <f t="shared" si="48"/>
        <v>NVT</v>
      </c>
      <c r="L158" s="141" t="str">
        <f t="shared" si="49"/>
        <v>NVT</v>
      </c>
      <c r="M158" s="141" t="str">
        <f t="shared" si="50"/>
        <v>NVT</v>
      </c>
      <c r="N158" s="141" t="str">
        <f t="shared" si="51"/>
        <v>NVT</v>
      </c>
      <c r="O158" s="141" t="str">
        <f t="shared" si="52"/>
        <v>NVT</v>
      </c>
      <c r="P158" s="141" t="str">
        <f t="shared" si="53"/>
        <v>NVT</v>
      </c>
      <c r="Q158" s="141" t="str">
        <f t="shared" si="54"/>
        <v>NVT</v>
      </c>
      <c r="R158" s="63" t="s">
        <v>1221</v>
      </c>
      <c r="S158" s="142">
        <f t="shared" si="66"/>
        <v>0</v>
      </c>
      <c r="T158" s="143">
        <v>0</v>
      </c>
      <c r="U158" s="144"/>
      <c r="V158" s="144"/>
      <c r="W158" s="144"/>
      <c r="X158" s="144"/>
      <c r="Y158" s="144"/>
      <c r="Z158" s="145"/>
      <c r="AA158" s="145"/>
      <c r="AB158" s="145"/>
      <c r="AC158" s="145"/>
      <c r="AD158" s="146" t="s">
        <v>1258</v>
      </c>
      <c r="AE158" s="171">
        <v>1</v>
      </c>
      <c r="AF158" s="147">
        <f t="shared" si="55"/>
        <v>0</v>
      </c>
      <c r="AG158" s="147">
        <f t="shared" si="56"/>
        <v>0</v>
      </c>
      <c r="AH158" s="147">
        <f t="shared" si="57"/>
        <v>0</v>
      </c>
      <c r="AI158" s="147">
        <f t="shared" si="58"/>
        <v>0</v>
      </c>
      <c r="AJ158" s="148">
        <f t="shared" si="59"/>
        <v>0</v>
      </c>
      <c r="AK158" s="149">
        <f t="shared" si="62"/>
        <v>0</v>
      </c>
      <c r="AL158" s="149">
        <f t="shared" si="63"/>
        <v>0</v>
      </c>
      <c r="AM158" s="149">
        <f t="shared" si="64"/>
        <v>0</v>
      </c>
      <c r="AN158" s="149">
        <f t="shared" si="65"/>
        <v>0</v>
      </c>
      <c r="AO158" s="150">
        <f t="shared" si="60"/>
        <v>0</v>
      </c>
      <c r="AQ158" s="151">
        <f t="shared" si="61"/>
        <v>0</v>
      </c>
    </row>
    <row r="159" spans="1:43" ht="15" customHeight="1">
      <c r="A159" s="82" t="e">
        <f t="shared" si="67"/>
        <v>#REF!</v>
      </c>
      <c r="B159" s="134">
        <v>103</v>
      </c>
      <c r="C159" s="135" t="s">
        <v>835</v>
      </c>
      <c r="D159" s="136" t="s">
        <v>274</v>
      </c>
      <c r="E159" s="137" t="s">
        <v>499</v>
      </c>
      <c r="F159" s="138" t="s">
        <v>841</v>
      </c>
      <c r="G159" s="139" t="s">
        <v>845</v>
      </c>
      <c r="H159" s="140" t="str">
        <f t="shared" si="47"/>
        <v>Niet van toepassing</v>
      </c>
      <c r="I159" s="138"/>
      <c r="J159" s="138" t="s">
        <v>1172</v>
      </c>
      <c r="K159" s="141" t="str">
        <f t="shared" si="48"/>
        <v>NVT</v>
      </c>
      <c r="L159" s="141" t="str">
        <f t="shared" si="49"/>
        <v>NVT</v>
      </c>
      <c r="M159" s="141" t="str">
        <f t="shared" si="50"/>
        <v>NVT</v>
      </c>
      <c r="N159" s="141" t="str">
        <f t="shared" si="51"/>
        <v>NVT</v>
      </c>
      <c r="O159" s="141" t="str">
        <f t="shared" si="52"/>
        <v>NVT</v>
      </c>
      <c r="P159" s="141" t="str">
        <f t="shared" si="53"/>
        <v>NVT</v>
      </c>
      <c r="Q159" s="141" t="str">
        <f t="shared" si="54"/>
        <v>NVT</v>
      </c>
      <c r="R159" s="63" t="s">
        <v>1221</v>
      </c>
      <c r="S159" s="142">
        <f t="shared" si="66"/>
        <v>0</v>
      </c>
      <c r="T159" s="143">
        <v>0</v>
      </c>
      <c r="U159" s="144"/>
      <c r="V159" s="144"/>
      <c r="W159" s="144"/>
      <c r="X159" s="144"/>
      <c r="Y159" s="144"/>
      <c r="Z159" s="145"/>
      <c r="AA159" s="145"/>
      <c r="AB159" s="145"/>
      <c r="AC159" s="145"/>
      <c r="AD159" s="146" t="s">
        <v>1258</v>
      </c>
      <c r="AE159" s="171">
        <v>1</v>
      </c>
      <c r="AF159" s="147">
        <f t="shared" si="55"/>
        <v>0</v>
      </c>
      <c r="AG159" s="147">
        <f t="shared" si="56"/>
        <v>0</v>
      </c>
      <c r="AH159" s="147">
        <f t="shared" si="57"/>
        <v>0</v>
      </c>
      <c r="AI159" s="147">
        <f t="shared" si="58"/>
        <v>0</v>
      </c>
      <c r="AJ159" s="148">
        <f t="shared" si="59"/>
        <v>0</v>
      </c>
      <c r="AK159" s="149">
        <f t="shared" si="62"/>
        <v>0</v>
      </c>
      <c r="AL159" s="149">
        <f t="shared" si="63"/>
        <v>0</v>
      </c>
      <c r="AM159" s="149">
        <f t="shared" si="64"/>
        <v>0</v>
      </c>
      <c r="AN159" s="149">
        <f t="shared" si="65"/>
        <v>0</v>
      </c>
      <c r="AO159" s="150">
        <f t="shared" si="60"/>
        <v>0</v>
      </c>
      <c r="AQ159" s="151">
        <f t="shared" si="61"/>
        <v>0</v>
      </c>
    </row>
    <row r="160" spans="1:43" ht="15" customHeight="1">
      <c r="A160" s="82" t="e">
        <f t="shared" si="67"/>
        <v>#REF!</v>
      </c>
      <c r="B160" s="134">
        <v>103</v>
      </c>
      <c r="C160" s="135" t="s">
        <v>835</v>
      </c>
      <c r="D160" s="136" t="s">
        <v>274</v>
      </c>
      <c r="E160" s="137" t="s">
        <v>530</v>
      </c>
      <c r="F160" s="138" t="s">
        <v>836</v>
      </c>
      <c r="G160" s="139" t="s">
        <v>532</v>
      </c>
      <c r="H160" s="140" t="str">
        <f t="shared" si="47"/>
        <v>Roltrappen(inclusief aangrenzende bouwdelen)</v>
      </c>
      <c r="I160" s="138" t="s">
        <v>920</v>
      </c>
      <c r="J160" s="138" t="s">
        <v>1171</v>
      </c>
      <c r="K160" s="141" t="str">
        <f t="shared" si="48"/>
        <v>Omde dag Vol/Nal.</v>
      </c>
      <c r="L160" s="141" t="str">
        <f t="shared" si="49"/>
        <v>Omde dag Nal./Vol</v>
      </c>
      <c r="M160" s="141" t="str">
        <f t="shared" si="50"/>
        <v>Omde dag Vol/Nal.</v>
      </c>
      <c r="N160" s="141" t="str">
        <f t="shared" si="51"/>
        <v>Omde dag Nal./Vol</v>
      </c>
      <c r="O160" s="141" t="str">
        <f t="shared" si="52"/>
        <v>Omde dag Vol/Nal.</v>
      </c>
      <c r="P160" s="141" t="str">
        <f t="shared" si="53"/>
        <v>Omde dag Nal./Vol</v>
      </c>
      <c r="Q160" s="141" t="str">
        <f t="shared" si="54"/>
        <v>Omde dag Vol/Nal.</v>
      </c>
      <c r="R160" s="63" t="s">
        <v>1481</v>
      </c>
      <c r="S160" s="142">
        <f t="shared" si="66"/>
        <v>365</v>
      </c>
      <c r="T160" s="143">
        <v>27</v>
      </c>
      <c r="U160" s="144"/>
      <c r="V160" s="144"/>
      <c r="W160" s="144"/>
      <c r="X160" s="144"/>
      <c r="Y160" s="144"/>
      <c r="Z160" s="145"/>
      <c r="AA160" s="145"/>
      <c r="AB160" s="145"/>
      <c r="AC160" s="145"/>
      <c r="AD160" s="146" t="s">
        <v>883</v>
      </c>
      <c r="AE160" s="171">
        <v>1</v>
      </c>
      <c r="AF160" s="147">
        <f t="shared" si="55"/>
        <v>0</v>
      </c>
      <c r="AG160" s="147">
        <f t="shared" si="56"/>
        <v>0</v>
      </c>
      <c r="AH160" s="147">
        <f t="shared" si="57"/>
        <v>0</v>
      </c>
      <c r="AI160" s="147">
        <f t="shared" si="58"/>
        <v>0</v>
      </c>
      <c r="AJ160" s="148" t="str">
        <f t="shared" si="59"/>
        <v>ja</v>
      </c>
      <c r="AK160" s="149">
        <f t="shared" si="62"/>
        <v>0</v>
      </c>
      <c r="AL160" s="149">
        <f t="shared" si="63"/>
        <v>0</v>
      </c>
      <c r="AM160" s="149">
        <f t="shared" si="64"/>
        <v>0</v>
      </c>
      <c r="AN160" s="149">
        <f t="shared" si="65"/>
        <v>0</v>
      </c>
      <c r="AO160" s="150" t="str">
        <f t="shared" si="60"/>
        <v>V</v>
      </c>
      <c r="AQ160" s="151">
        <f t="shared" si="61"/>
        <v>9855</v>
      </c>
    </row>
    <row r="161" spans="1:43" ht="15" customHeight="1">
      <c r="A161" s="82" t="e">
        <f t="shared" si="67"/>
        <v>#REF!</v>
      </c>
      <c r="B161" s="134">
        <v>103</v>
      </c>
      <c r="C161" s="135" t="s">
        <v>835</v>
      </c>
      <c r="D161" s="136" t="s">
        <v>274</v>
      </c>
      <c r="E161" s="137" t="s">
        <v>530</v>
      </c>
      <c r="F161" s="138" t="s">
        <v>838</v>
      </c>
      <c r="G161" s="139" t="s">
        <v>535</v>
      </c>
      <c r="H161" s="140" t="str">
        <f t="shared" si="47"/>
        <v>Trappen</v>
      </c>
      <c r="I161" s="138" t="s">
        <v>269</v>
      </c>
      <c r="J161" s="138" t="s">
        <v>1171</v>
      </c>
      <c r="K161" s="141" t="str">
        <f t="shared" si="48"/>
        <v>Omde dag Vol/Nal.</v>
      </c>
      <c r="L161" s="141" t="str">
        <f t="shared" si="49"/>
        <v>Omde dag Nal./Vol</v>
      </c>
      <c r="M161" s="141" t="str">
        <f t="shared" si="50"/>
        <v>Omde dag Vol/Nal.</v>
      </c>
      <c r="N161" s="141" t="str">
        <f t="shared" si="51"/>
        <v>Omde dag Nal./Vol</v>
      </c>
      <c r="O161" s="141" t="str">
        <f t="shared" si="52"/>
        <v>Omde dag Vol/Nal.</v>
      </c>
      <c r="P161" s="141" t="str">
        <f t="shared" si="53"/>
        <v>Omde dag Nal./Vol</v>
      </c>
      <c r="Q161" s="141" t="str">
        <f t="shared" si="54"/>
        <v>Omde dag Vol/Nal.</v>
      </c>
      <c r="R161" s="63" t="s">
        <v>1477</v>
      </c>
      <c r="S161" s="142">
        <f t="shared" si="66"/>
        <v>365</v>
      </c>
      <c r="T161" s="143">
        <v>0</v>
      </c>
      <c r="U161" s="144"/>
      <c r="V161" s="144"/>
      <c r="W161" s="144"/>
      <c r="X161" s="144"/>
      <c r="Y161" s="144"/>
      <c r="Z161" s="145"/>
      <c r="AA161" s="145"/>
      <c r="AB161" s="145"/>
      <c r="AC161" s="145"/>
      <c r="AD161" s="146" t="s">
        <v>884</v>
      </c>
      <c r="AE161" s="171">
        <v>1</v>
      </c>
      <c r="AF161" s="147">
        <f t="shared" si="55"/>
        <v>0</v>
      </c>
      <c r="AG161" s="147">
        <f t="shared" si="56"/>
        <v>0</v>
      </c>
      <c r="AH161" s="147">
        <f t="shared" si="57"/>
        <v>0</v>
      </c>
      <c r="AI161" s="147">
        <f t="shared" si="58"/>
        <v>0</v>
      </c>
      <c r="AJ161" s="148" t="str">
        <f t="shared" si="59"/>
        <v>ja</v>
      </c>
      <c r="AK161" s="149">
        <f t="shared" si="62"/>
        <v>0</v>
      </c>
      <c r="AL161" s="149">
        <f t="shared" si="63"/>
        <v>0</v>
      </c>
      <c r="AM161" s="149">
        <f t="shared" si="64"/>
        <v>0</v>
      </c>
      <c r="AN161" s="149">
        <f t="shared" si="65"/>
        <v>0</v>
      </c>
      <c r="AO161" s="150" t="str">
        <f t="shared" si="60"/>
        <v>V</v>
      </c>
      <c r="AQ161" s="151">
        <f t="shared" si="61"/>
        <v>0</v>
      </c>
    </row>
    <row r="162" spans="1:43" ht="15" customHeight="1">
      <c r="A162" s="82" t="e">
        <f t="shared" si="67"/>
        <v>#REF!</v>
      </c>
      <c r="B162" s="134">
        <v>103</v>
      </c>
      <c r="C162" s="135" t="s">
        <v>835</v>
      </c>
      <c r="D162" s="136" t="s">
        <v>274</v>
      </c>
      <c r="E162" s="137" t="s">
        <v>530</v>
      </c>
      <c r="F162" s="138" t="s">
        <v>536</v>
      </c>
      <c r="G162" s="139" t="s">
        <v>534</v>
      </c>
      <c r="H162" s="140" t="str">
        <f t="shared" si="47"/>
        <v>Hallen</v>
      </c>
      <c r="I162" s="138" t="s">
        <v>195</v>
      </c>
      <c r="J162" s="138" t="s">
        <v>1171</v>
      </c>
      <c r="K162" s="141" t="str">
        <f t="shared" si="48"/>
        <v>Omde dag Vol/Nal.</v>
      </c>
      <c r="L162" s="141" t="str">
        <f t="shared" si="49"/>
        <v>Omde dag Nal./Vol</v>
      </c>
      <c r="M162" s="141" t="str">
        <f t="shared" si="50"/>
        <v>Omde dag Vol/Nal.</v>
      </c>
      <c r="N162" s="141" t="str">
        <f t="shared" si="51"/>
        <v>Omde dag Nal./Vol</v>
      </c>
      <c r="O162" s="141" t="str">
        <f t="shared" si="52"/>
        <v>Omde dag Vol/Nal.</v>
      </c>
      <c r="P162" s="141" t="str">
        <f t="shared" si="53"/>
        <v>Omde dag Nal./Vol</v>
      </c>
      <c r="Q162" s="141" t="str">
        <f t="shared" si="54"/>
        <v>Omde dag Vol/Nal.</v>
      </c>
      <c r="R162" s="63" t="s">
        <v>1479</v>
      </c>
      <c r="S162" s="142">
        <f t="shared" si="66"/>
        <v>365</v>
      </c>
      <c r="T162" s="143">
        <v>754</v>
      </c>
      <c r="U162" s="144">
        <f>((2.8+1.6+2.7+5.7+1.9+4.8+3.7+1+2.5+4+11.3+6.5+1.9+18.5+1.1+6.8+3.3+3.3+7.3+1+7.3+1.8+1.9+4.8+1.5+28+0.6+3.1+1.9+5.5+4.5+6)*3)-Y162</f>
        <v>368.79999999999995</v>
      </c>
      <c r="V162" s="144"/>
      <c r="W162" s="144"/>
      <c r="X162" s="144">
        <f>10+(1.25*3.1)</f>
        <v>13.875</v>
      </c>
      <c r="Y162" s="144">
        <f>60+8+15+24</f>
        <v>107</v>
      </c>
      <c r="Z162" s="145"/>
      <c r="AA162" s="145"/>
      <c r="AB162" s="145">
        <v>580</v>
      </c>
      <c r="AC162" s="145"/>
      <c r="AD162" s="146" t="s">
        <v>679</v>
      </c>
      <c r="AE162" s="171">
        <v>1</v>
      </c>
      <c r="AF162" s="147">
        <f t="shared" si="55"/>
        <v>0</v>
      </c>
      <c r="AG162" s="147">
        <f t="shared" si="56"/>
        <v>0</v>
      </c>
      <c r="AH162" s="147">
        <f t="shared" si="57"/>
        <v>0</v>
      </c>
      <c r="AI162" s="147">
        <f t="shared" si="58"/>
        <v>0</v>
      </c>
      <c r="AJ162" s="148" t="str">
        <f t="shared" si="59"/>
        <v>ja</v>
      </c>
      <c r="AK162" s="149">
        <f t="shared" si="62"/>
        <v>0</v>
      </c>
      <c r="AL162" s="149">
        <f t="shared" si="63"/>
        <v>0</v>
      </c>
      <c r="AM162" s="149">
        <f t="shared" si="64"/>
        <v>0</v>
      </c>
      <c r="AN162" s="149">
        <f t="shared" si="65"/>
        <v>0</v>
      </c>
      <c r="AO162" s="150" t="str">
        <f t="shared" si="60"/>
        <v>V</v>
      </c>
      <c r="AQ162" s="151">
        <f t="shared" si="61"/>
        <v>275210</v>
      </c>
    </row>
    <row r="163" spans="1:43" ht="15" customHeight="1">
      <c r="A163" s="82" t="e">
        <f t="shared" si="67"/>
        <v>#REF!</v>
      </c>
      <c r="B163" s="134">
        <v>103</v>
      </c>
      <c r="C163" s="135" t="s">
        <v>835</v>
      </c>
      <c r="D163" s="136" t="s">
        <v>274</v>
      </c>
      <c r="E163" s="137" t="s">
        <v>530</v>
      </c>
      <c r="F163" s="138" t="s">
        <v>846</v>
      </c>
      <c r="G163" s="139" t="s">
        <v>538</v>
      </c>
      <c r="H163" s="140" t="str">
        <f t="shared" si="47"/>
        <v>Roltrappen(inclusief aangrenzende bouwdelen)</v>
      </c>
      <c r="I163" s="138" t="s">
        <v>269</v>
      </c>
      <c r="J163" s="138" t="s">
        <v>1171</v>
      </c>
      <c r="K163" s="141" t="str">
        <f t="shared" si="48"/>
        <v>Omde dag Vol/Nal.</v>
      </c>
      <c r="L163" s="141" t="str">
        <f t="shared" si="49"/>
        <v>Omde dag Nal./Vol</v>
      </c>
      <c r="M163" s="141" t="str">
        <f t="shared" si="50"/>
        <v>Omde dag Vol/Nal.</v>
      </c>
      <c r="N163" s="141" t="str">
        <f t="shared" si="51"/>
        <v>Omde dag Nal./Vol</v>
      </c>
      <c r="O163" s="141" t="str">
        <f t="shared" si="52"/>
        <v>Omde dag Vol/Nal.</v>
      </c>
      <c r="P163" s="141" t="str">
        <f t="shared" si="53"/>
        <v>Omde dag Nal./Vol</v>
      </c>
      <c r="Q163" s="141" t="str">
        <f t="shared" si="54"/>
        <v>Omde dag Vol/Nal.</v>
      </c>
      <c r="R163" s="63" t="s">
        <v>1481</v>
      </c>
      <c r="S163" s="142">
        <f t="shared" si="66"/>
        <v>365</v>
      </c>
      <c r="T163" s="143">
        <v>25</v>
      </c>
      <c r="U163" s="144"/>
      <c r="V163" s="144"/>
      <c r="W163" s="144"/>
      <c r="X163" s="144"/>
      <c r="Y163" s="144"/>
      <c r="Z163" s="145"/>
      <c r="AA163" s="145"/>
      <c r="AB163" s="145"/>
      <c r="AC163" s="145"/>
      <c r="AD163" s="146"/>
      <c r="AE163" s="171">
        <v>1</v>
      </c>
      <c r="AF163" s="147">
        <f t="shared" si="55"/>
        <v>0</v>
      </c>
      <c r="AG163" s="147">
        <f t="shared" si="56"/>
        <v>0</v>
      </c>
      <c r="AH163" s="147">
        <f t="shared" si="57"/>
        <v>0</v>
      </c>
      <c r="AI163" s="147">
        <f t="shared" si="58"/>
        <v>0</v>
      </c>
      <c r="AJ163" s="148" t="str">
        <f t="shared" si="59"/>
        <v>ja</v>
      </c>
      <c r="AK163" s="149">
        <f t="shared" si="62"/>
        <v>0</v>
      </c>
      <c r="AL163" s="149">
        <f t="shared" si="63"/>
        <v>0</v>
      </c>
      <c r="AM163" s="149">
        <f t="shared" si="64"/>
        <v>0</v>
      </c>
      <c r="AN163" s="149">
        <f t="shared" si="65"/>
        <v>0</v>
      </c>
      <c r="AO163" s="150" t="str">
        <f t="shared" si="60"/>
        <v>V</v>
      </c>
      <c r="AQ163" s="151">
        <f t="shared" si="61"/>
        <v>9125</v>
      </c>
    </row>
    <row r="164" spans="1:43" ht="15" customHeight="1">
      <c r="A164" s="82" t="e">
        <f t="shared" si="67"/>
        <v>#REF!</v>
      </c>
      <c r="B164" s="134">
        <v>103</v>
      </c>
      <c r="C164" s="135" t="s">
        <v>835</v>
      </c>
      <c r="D164" s="136" t="s">
        <v>274</v>
      </c>
      <c r="E164" s="137" t="s">
        <v>530</v>
      </c>
      <c r="F164" s="138" t="s">
        <v>847</v>
      </c>
      <c r="G164" s="139" t="s">
        <v>539</v>
      </c>
      <c r="H164" s="140" t="str">
        <f t="shared" si="47"/>
        <v>Trappen</v>
      </c>
      <c r="I164" s="138" t="s">
        <v>35</v>
      </c>
      <c r="J164" s="138" t="s">
        <v>1171</v>
      </c>
      <c r="K164" s="141" t="str">
        <f t="shared" si="48"/>
        <v>Omde dag Vol/Nal.</v>
      </c>
      <c r="L164" s="141" t="str">
        <f t="shared" si="49"/>
        <v>Omde dag Nal./Vol</v>
      </c>
      <c r="M164" s="141" t="str">
        <f t="shared" si="50"/>
        <v>Omde dag Vol/Nal.</v>
      </c>
      <c r="N164" s="141" t="str">
        <f t="shared" si="51"/>
        <v>Omde dag Nal./Vol</v>
      </c>
      <c r="O164" s="141" t="str">
        <f t="shared" si="52"/>
        <v>Omde dag Vol/Nal.</v>
      </c>
      <c r="P164" s="141" t="str">
        <f t="shared" si="53"/>
        <v>Omde dag Nal./Vol</v>
      </c>
      <c r="Q164" s="141" t="str">
        <f t="shared" si="54"/>
        <v>Omde dag Vol/Nal.</v>
      </c>
      <c r="R164" s="63" t="s">
        <v>1477</v>
      </c>
      <c r="S164" s="142">
        <f t="shared" si="66"/>
        <v>365</v>
      </c>
      <c r="T164" s="143">
        <f>((2.5*12.3))*1.3</f>
        <v>39.975000000000001</v>
      </c>
      <c r="U164" s="144">
        <v>5</v>
      </c>
      <c r="V164" s="144"/>
      <c r="W164" s="144"/>
      <c r="X164" s="144"/>
      <c r="Y164" s="144">
        <v>37</v>
      </c>
      <c r="Z164" s="145"/>
      <c r="AA164" s="145"/>
      <c r="AB164" s="145">
        <v>25</v>
      </c>
      <c r="AC164" s="145"/>
      <c r="AD164" s="146"/>
      <c r="AE164" s="171">
        <v>1</v>
      </c>
      <c r="AF164" s="147">
        <f t="shared" si="55"/>
        <v>0</v>
      </c>
      <c r="AG164" s="147">
        <f t="shared" si="56"/>
        <v>0</v>
      </c>
      <c r="AH164" s="147">
        <f t="shared" si="57"/>
        <v>0</v>
      </c>
      <c r="AI164" s="147">
        <f t="shared" si="58"/>
        <v>0</v>
      </c>
      <c r="AJ164" s="148" t="str">
        <f t="shared" si="59"/>
        <v>ja</v>
      </c>
      <c r="AK164" s="149">
        <f t="shared" si="62"/>
        <v>0</v>
      </c>
      <c r="AL164" s="149">
        <f t="shared" si="63"/>
        <v>0</v>
      </c>
      <c r="AM164" s="149">
        <f t="shared" si="64"/>
        <v>0</v>
      </c>
      <c r="AN164" s="149">
        <f t="shared" si="65"/>
        <v>0</v>
      </c>
      <c r="AO164" s="150" t="str">
        <f t="shared" si="60"/>
        <v>V</v>
      </c>
      <c r="AQ164" s="151">
        <f t="shared" si="61"/>
        <v>14590.875</v>
      </c>
    </row>
    <row r="165" spans="1:43" ht="15" customHeight="1">
      <c r="A165" s="82" t="e">
        <f t="shared" si="67"/>
        <v>#REF!</v>
      </c>
      <c r="B165" s="134">
        <v>103</v>
      </c>
      <c r="C165" s="135" t="s">
        <v>835</v>
      </c>
      <c r="D165" s="136" t="s">
        <v>274</v>
      </c>
      <c r="E165" s="137" t="s">
        <v>530</v>
      </c>
      <c r="F165" s="138" t="s">
        <v>546</v>
      </c>
      <c r="G165" s="139" t="s">
        <v>540</v>
      </c>
      <c r="H165" s="140" t="str">
        <f t="shared" ref="H165:H216" si="68">VLOOKUP(R165,Kengetal,3,FALSE)</f>
        <v>Roltrappen(inclusief aangrenzende bouwdelen)</v>
      </c>
      <c r="I165" s="138" t="s">
        <v>269</v>
      </c>
      <c r="J165" s="138" t="s">
        <v>1171</v>
      </c>
      <c r="K165" s="141" t="str">
        <f t="shared" ref="K165:K216" si="69">IF($R165="",0,VLOOKUP($R165,Kengetal,14,FALSE))</f>
        <v>Omde dag Vol/Nal.</v>
      </c>
      <c r="L165" s="141" t="str">
        <f t="shared" ref="L165:L216" si="70">IF($R165="",0,VLOOKUP($R165,Kengetal,15,FALSE))</f>
        <v>Omde dag Nal./Vol</v>
      </c>
      <c r="M165" s="141" t="str">
        <f t="shared" ref="M165:M216" si="71">IF($R165="",0,VLOOKUP($R165,Kengetal,16,FALSE))</f>
        <v>Omde dag Vol/Nal.</v>
      </c>
      <c r="N165" s="141" t="str">
        <f t="shared" ref="N165:N216" si="72">IF($R165="",0,VLOOKUP($R165,Kengetal,17,FALSE))</f>
        <v>Omde dag Nal./Vol</v>
      </c>
      <c r="O165" s="141" t="str">
        <f t="shared" ref="O165:O216" si="73">IF($R165="",0,VLOOKUP($R165,Kengetal,18,FALSE))</f>
        <v>Omde dag Vol/Nal.</v>
      </c>
      <c r="P165" s="141" t="str">
        <f t="shared" ref="P165:P216" si="74">IF($R165="",0,VLOOKUP($R165,Kengetal,19,FALSE))</f>
        <v>Omde dag Nal./Vol</v>
      </c>
      <c r="Q165" s="141" t="str">
        <f t="shared" ref="Q165:Q216" si="75">IF($R165="",0,VLOOKUP($R165,Kengetal,20,FALSE))</f>
        <v>Omde dag Vol/Nal.</v>
      </c>
      <c r="R165" s="63" t="s">
        <v>1481</v>
      </c>
      <c r="S165" s="142">
        <f t="shared" si="66"/>
        <v>365</v>
      </c>
      <c r="T165" s="143">
        <v>22</v>
      </c>
      <c r="U165" s="144"/>
      <c r="V165" s="144"/>
      <c r="W165" s="144"/>
      <c r="X165" s="144"/>
      <c r="Y165" s="144"/>
      <c r="Z165" s="145"/>
      <c r="AA165" s="145"/>
      <c r="AB165" s="145"/>
      <c r="AC165" s="145"/>
      <c r="AD165" s="146"/>
      <c r="AE165" s="171">
        <v>1</v>
      </c>
      <c r="AF165" s="147">
        <f t="shared" ref="AF165:AF216" si="76">T165*AK165*AE165</f>
        <v>0</v>
      </c>
      <c r="AG165" s="147">
        <f t="shared" ref="AG165:AG216" si="77">T165*AL165*AE165</f>
        <v>0</v>
      </c>
      <c r="AH165" s="147">
        <f t="shared" ref="AH165:AH216" si="78">T165*AM165*AE165</f>
        <v>0</v>
      </c>
      <c r="AI165" s="147">
        <f t="shared" ref="AI165:AI216" si="79">T165*AN165*AE165</f>
        <v>0</v>
      </c>
      <c r="AJ165" s="148" t="str">
        <f t="shared" ref="AJ165:AJ216" si="80">IF($R165="",0,VLOOKUP($R165,Kengetal,12,FALSE))</f>
        <v>ja</v>
      </c>
      <c r="AK165" s="149">
        <f t="shared" si="62"/>
        <v>0</v>
      </c>
      <c r="AL165" s="149">
        <f t="shared" si="63"/>
        <v>0</v>
      </c>
      <c r="AM165" s="149">
        <f t="shared" si="64"/>
        <v>0</v>
      </c>
      <c r="AN165" s="149">
        <f t="shared" si="65"/>
        <v>0</v>
      </c>
      <c r="AO165" s="150" t="str">
        <f t="shared" ref="AO165:AO216" si="81">IF($R165="",0,VLOOKUP($R165,Kengetal,13,FALSE))</f>
        <v>V</v>
      </c>
      <c r="AQ165" s="151">
        <f t="shared" ref="AQ165:AQ216" si="82">T165*S165</f>
        <v>8030</v>
      </c>
    </row>
    <row r="166" spans="1:43" ht="15" customHeight="1">
      <c r="A166" s="82" t="e">
        <f t="shared" si="67"/>
        <v>#REF!</v>
      </c>
      <c r="B166" s="134">
        <v>103</v>
      </c>
      <c r="C166" s="135" t="s">
        <v>835</v>
      </c>
      <c r="D166" s="136" t="s">
        <v>274</v>
      </c>
      <c r="E166" s="137" t="s">
        <v>530</v>
      </c>
      <c r="F166" s="138" t="s">
        <v>548</v>
      </c>
      <c r="G166" s="139" t="s">
        <v>542</v>
      </c>
      <c r="H166" s="140" t="str">
        <f t="shared" si="68"/>
        <v>Trappen</v>
      </c>
      <c r="I166" s="138" t="s">
        <v>35</v>
      </c>
      <c r="J166" s="138" t="s">
        <v>1171</v>
      </c>
      <c r="K166" s="141" t="str">
        <f t="shared" si="69"/>
        <v>Omde dag Vol/Nal.</v>
      </c>
      <c r="L166" s="141" t="str">
        <f t="shared" si="70"/>
        <v>Omde dag Nal./Vol</v>
      </c>
      <c r="M166" s="141" t="str">
        <f t="shared" si="71"/>
        <v>Omde dag Vol/Nal.</v>
      </c>
      <c r="N166" s="141" t="str">
        <f t="shared" si="72"/>
        <v>Omde dag Nal./Vol</v>
      </c>
      <c r="O166" s="141" t="str">
        <f t="shared" si="73"/>
        <v>Omde dag Vol/Nal.</v>
      </c>
      <c r="P166" s="141" t="str">
        <f t="shared" si="74"/>
        <v>Omde dag Nal./Vol</v>
      </c>
      <c r="Q166" s="141" t="str">
        <f t="shared" si="75"/>
        <v>Omde dag Vol/Nal.</v>
      </c>
      <c r="R166" s="63" t="s">
        <v>1477</v>
      </c>
      <c r="S166" s="142">
        <f t="shared" si="66"/>
        <v>365</v>
      </c>
      <c r="T166" s="143">
        <f>((2.9+4.8)*2.8)*1.3</f>
        <v>28.027999999999995</v>
      </c>
      <c r="U166" s="144"/>
      <c r="V166" s="144"/>
      <c r="W166" s="144"/>
      <c r="X166" s="144"/>
      <c r="Y166" s="144"/>
      <c r="Z166" s="145"/>
      <c r="AA166" s="145"/>
      <c r="AB166" s="145"/>
      <c r="AC166" s="145"/>
      <c r="AD166" s="146"/>
      <c r="AE166" s="171">
        <v>1</v>
      </c>
      <c r="AF166" s="147">
        <f t="shared" si="76"/>
        <v>0</v>
      </c>
      <c r="AG166" s="147">
        <f t="shared" si="77"/>
        <v>0</v>
      </c>
      <c r="AH166" s="147">
        <f t="shared" si="78"/>
        <v>0</v>
      </c>
      <c r="AI166" s="147">
        <f t="shared" si="79"/>
        <v>0</v>
      </c>
      <c r="AJ166" s="148" t="str">
        <f t="shared" si="80"/>
        <v>ja</v>
      </c>
      <c r="AK166" s="149">
        <f t="shared" si="62"/>
        <v>0</v>
      </c>
      <c r="AL166" s="149">
        <f t="shared" si="63"/>
        <v>0</v>
      </c>
      <c r="AM166" s="149">
        <f t="shared" si="64"/>
        <v>0</v>
      </c>
      <c r="AN166" s="149">
        <f t="shared" si="65"/>
        <v>0</v>
      </c>
      <c r="AO166" s="150" t="str">
        <f t="shared" si="81"/>
        <v>V</v>
      </c>
      <c r="AQ166" s="151">
        <f t="shared" si="82"/>
        <v>10230.219999999998</v>
      </c>
    </row>
    <row r="167" spans="1:43" ht="15" customHeight="1">
      <c r="A167" s="82" t="e">
        <f t="shared" si="67"/>
        <v>#REF!</v>
      </c>
      <c r="B167" s="134">
        <v>103</v>
      </c>
      <c r="C167" s="135" t="s">
        <v>835</v>
      </c>
      <c r="D167" s="136" t="s">
        <v>274</v>
      </c>
      <c r="E167" s="137" t="s">
        <v>530</v>
      </c>
      <c r="F167" s="138" t="s">
        <v>546</v>
      </c>
      <c r="G167" s="139" t="s">
        <v>544</v>
      </c>
      <c r="H167" s="140" t="str">
        <f t="shared" si="68"/>
        <v>Roltrappen(inclusief aangrenzende bouwdelen)</v>
      </c>
      <c r="I167" s="138" t="s">
        <v>269</v>
      </c>
      <c r="J167" s="138" t="s">
        <v>1171</v>
      </c>
      <c r="K167" s="141" t="str">
        <f t="shared" si="69"/>
        <v>Omde dag Vol/Nal.</v>
      </c>
      <c r="L167" s="141" t="str">
        <f t="shared" si="70"/>
        <v>Omde dag Nal./Vol</v>
      </c>
      <c r="M167" s="141" t="str">
        <f t="shared" si="71"/>
        <v>Omde dag Vol/Nal.</v>
      </c>
      <c r="N167" s="141" t="str">
        <f t="shared" si="72"/>
        <v>Omde dag Nal./Vol</v>
      </c>
      <c r="O167" s="141" t="str">
        <f t="shared" si="73"/>
        <v>Omde dag Vol/Nal.</v>
      </c>
      <c r="P167" s="141" t="str">
        <f t="shared" si="74"/>
        <v>Omde dag Nal./Vol</v>
      </c>
      <c r="Q167" s="141" t="str">
        <f t="shared" si="75"/>
        <v>Omde dag Vol/Nal.</v>
      </c>
      <c r="R167" s="63" t="s">
        <v>1481</v>
      </c>
      <c r="S167" s="142">
        <f t="shared" si="66"/>
        <v>365</v>
      </c>
      <c r="T167" s="143">
        <v>34</v>
      </c>
      <c r="U167" s="144"/>
      <c r="V167" s="144"/>
      <c r="W167" s="144"/>
      <c r="X167" s="144"/>
      <c r="Y167" s="144"/>
      <c r="Z167" s="145"/>
      <c r="AA167" s="145"/>
      <c r="AB167" s="145"/>
      <c r="AC167" s="145"/>
      <c r="AD167" s="146"/>
      <c r="AE167" s="171">
        <v>1</v>
      </c>
      <c r="AF167" s="147">
        <f t="shared" si="76"/>
        <v>0</v>
      </c>
      <c r="AG167" s="147">
        <f t="shared" si="77"/>
        <v>0</v>
      </c>
      <c r="AH167" s="147">
        <f t="shared" si="78"/>
        <v>0</v>
      </c>
      <c r="AI167" s="147">
        <f t="shared" si="79"/>
        <v>0</v>
      </c>
      <c r="AJ167" s="148" t="str">
        <f t="shared" si="80"/>
        <v>ja</v>
      </c>
      <c r="AK167" s="149">
        <f t="shared" si="62"/>
        <v>0</v>
      </c>
      <c r="AL167" s="149">
        <f t="shared" si="63"/>
        <v>0</v>
      </c>
      <c r="AM167" s="149">
        <f t="shared" si="64"/>
        <v>0</v>
      </c>
      <c r="AN167" s="149">
        <f t="shared" si="65"/>
        <v>0</v>
      </c>
      <c r="AO167" s="150" t="str">
        <f t="shared" si="81"/>
        <v>V</v>
      </c>
      <c r="AQ167" s="151">
        <f t="shared" si="82"/>
        <v>12410</v>
      </c>
    </row>
    <row r="168" spans="1:43" ht="15" customHeight="1">
      <c r="A168" s="82" t="e">
        <f t="shared" si="67"/>
        <v>#REF!</v>
      </c>
      <c r="B168" s="134">
        <v>103</v>
      </c>
      <c r="C168" s="135" t="s">
        <v>835</v>
      </c>
      <c r="D168" s="136" t="s">
        <v>274</v>
      </c>
      <c r="E168" s="137" t="s">
        <v>530</v>
      </c>
      <c r="F168" s="138" t="s">
        <v>546</v>
      </c>
      <c r="G168" s="139" t="s">
        <v>545</v>
      </c>
      <c r="H168" s="140" t="str">
        <f t="shared" si="68"/>
        <v>Roltrappen(inclusief aangrenzende bouwdelen)</v>
      </c>
      <c r="I168" s="138" t="s">
        <v>269</v>
      </c>
      <c r="J168" s="138" t="s">
        <v>1171</v>
      </c>
      <c r="K168" s="141" t="str">
        <f t="shared" si="69"/>
        <v>Omde dag Vol/Nal.</v>
      </c>
      <c r="L168" s="141" t="str">
        <f t="shared" si="70"/>
        <v>Omde dag Nal./Vol</v>
      </c>
      <c r="M168" s="141" t="str">
        <f t="shared" si="71"/>
        <v>Omde dag Vol/Nal.</v>
      </c>
      <c r="N168" s="141" t="str">
        <f t="shared" si="72"/>
        <v>Omde dag Nal./Vol</v>
      </c>
      <c r="O168" s="141" t="str">
        <f t="shared" si="73"/>
        <v>Omde dag Vol/Nal.</v>
      </c>
      <c r="P168" s="141" t="str">
        <f t="shared" si="74"/>
        <v>Omde dag Nal./Vol</v>
      </c>
      <c r="Q168" s="141" t="str">
        <f t="shared" si="75"/>
        <v>Omde dag Vol/Nal.</v>
      </c>
      <c r="R168" s="63" t="s">
        <v>1481</v>
      </c>
      <c r="S168" s="142">
        <f t="shared" si="66"/>
        <v>365</v>
      </c>
      <c r="T168" s="143">
        <v>34</v>
      </c>
      <c r="U168" s="144"/>
      <c r="V168" s="144"/>
      <c r="W168" s="144"/>
      <c r="X168" s="144"/>
      <c r="Y168" s="144"/>
      <c r="Z168" s="145"/>
      <c r="AA168" s="145"/>
      <c r="AB168" s="145"/>
      <c r="AC168" s="145"/>
      <c r="AD168" s="146"/>
      <c r="AE168" s="171">
        <v>1</v>
      </c>
      <c r="AF168" s="147">
        <f t="shared" si="76"/>
        <v>0</v>
      </c>
      <c r="AG168" s="147">
        <f t="shared" si="77"/>
        <v>0</v>
      </c>
      <c r="AH168" s="147">
        <f t="shared" si="78"/>
        <v>0</v>
      </c>
      <c r="AI168" s="147">
        <f t="shared" si="79"/>
        <v>0</v>
      </c>
      <c r="AJ168" s="148" t="str">
        <f t="shared" si="80"/>
        <v>ja</v>
      </c>
      <c r="AK168" s="149">
        <f t="shared" si="62"/>
        <v>0</v>
      </c>
      <c r="AL168" s="149">
        <f t="shared" si="63"/>
        <v>0</v>
      </c>
      <c r="AM168" s="149">
        <f t="shared" si="64"/>
        <v>0</v>
      </c>
      <c r="AN168" s="149">
        <f t="shared" si="65"/>
        <v>0</v>
      </c>
      <c r="AO168" s="150" t="str">
        <f t="shared" si="81"/>
        <v>V</v>
      </c>
      <c r="AQ168" s="151">
        <f t="shared" si="82"/>
        <v>12410</v>
      </c>
    </row>
    <row r="169" spans="1:43" ht="15" customHeight="1">
      <c r="A169" s="82" t="e">
        <f t="shared" si="67"/>
        <v>#REF!</v>
      </c>
      <c r="B169" s="134">
        <v>103</v>
      </c>
      <c r="C169" s="135" t="s">
        <v>835</v>
      </c>
      <c r="D169" s="136" t="s">
        <v>274</v>
      </c>
      <c r="E169" s="137" t="s">
        <v>530</v>
      </c>
      <c r="F169" s="138" t="s">
        <v>546</v>
      </c>
      <c r="G169" s="139" t="s">
        <v>547</v>
      </c>
      <c r="H169" s="140" t="str">
        <f t="shared" si="68"/>
        <v>Roltrappen(inclusief aangrenzende bouwdelen)</v>
      </c>
      <c r="I169" s="138" t="s">
        <v>269</v>
      </c>
      <c r="J169" s="138" t="s">
        <v>1171</v>
      </c>
      <c r="K169" s="141" t="str">
        <f t="shared" si="69"/>
        <v>Omde dag Vol/Nal.</v>
      </c>
      <c r="L169" s="141" t="str">
        <f t="shared" si="70"/>
        <v>Omde dag Nal./Vol</v>
      </c>
      <c r="M169" s="141" t="str">
        <f t="shared" si="71"/>
        <v>Omde dag Vol/Nal.</v>
      </c>
      <c r="N169" s="141" t="str">
        <f t="shared" si="72"/>
        <v>Omde dag Nal./Vol</v>
      </c>
      <c r="O169" s="141" t="str">
        <f t="shared" si="73"/>
        <v>Omde dag Vol/Nal.</v>
      </c>
      <c r="P169" s="141" t="str">
        <f t="shared" si="74"/>
        <v>Omde dag Nal./Vol</v>
      </c>
      <c r="Q169" s="141" t="str">
        <f t="shared" si="75"/>
        <v>Omde dag Vol/Nal.</v>
      </c>
      <c r="R169" s="63" t="s">
        <v>1481</v>
      </c>
      <c r="S169" s="142">
        <f t="shared" si="66"/>
        <v>365</v>
      </c>
      <c r="T169" s="143">
        <v>34</v>
      </c>
      <c r="U169" s="144"/>
      <c r="V169" s="144"/>
      <c r="W169" s="144"/>
      <c r="X169" s="144"/>
      <c r="Y169" s="144"/>
      <c r="Z169" s="145"/>
      <c r="AA169" s="145"/>
      <c r="AB169" s="145"/>
      <c r="AC169" s="145"/>
      <c r="AD169" s="146"/>
      <c r="AE169" s="171">
        <v>1</v>
      </c>
      <c r="AF169" s="147">
        <f t="shared" si="76"/>
        <v>0</v>
      </c>
      <c r="AG169" s="147">
        <f t="shared" si="77"/>
        <v>0</v>
      </c>
      <c r="AH169" s="147">
        <f t="shared" si="78"/>
        <v>0</v>
      </c>
      <c r="AI169" s="147">
        <f t="shared" si="79"/>
        <v>0</v>
      </c>
      <c r="AJ169" s="148" t="str">
        <f t="shared" si="80"/>
        <v>ja</v>
      </c>
      <c r="AK169" s="149">
        <f t="shared" si="62"/>
        <v>0</v>
      </c>
      <c r="AL169" s="149">
        <f t="shared" si="63"/>
        <v>0</v>
      </c>
      <c r="AM169" s="149">
        <f t="shared" si="64"/>
        <v>0</v>
      </c>
      <c r="AN169" s="149">
        <f t="shared" si="65"/>
        <v>0</v>
      </c>
      <c r="AO169" s="150" t="str">
        <f t="shared" si="81"/>
        <v>V</v>
      </c>
      <c r="AQ169" s="151">
        <f t="shared" si="82"/>
        <v>12410</v>
      </c>
    </row>
    <row r="170" spans="1:43" ht="15" customHeight="1">
      <c r="A170" s="82" t="e">
        <f t="shared" si="67"/>
        <v>#REF!</v>
      </c>
      <c r="B170" s="134">
        <v>103</v>
      </c>
      <c r="C170" s="135" t="s">
        <v>835</v>
      </c>
      <c r="D170" s="136" t="s">
        <v>274</v>
      </c>
      <c r="E170" s="137" t="s">
        <v>530</v>
      </c>
      <c r="F170" s="138" t="s">
        <v>536</v>
      </c>
      <c r="G170" s="139" t="s">
        <v>549</v>
      </c>
      <c r="H170" s="140" t="str">
        <f t="shared" si="68"/>
        <v>Hallen</v>
      </c>
      <c r="I170" s="138" t="s">
        <v>195</v>
      </c>
      <c r="J170" s="138" t="s">
        <v>1171</v>
      </c>
      <c r="K170" s="141" t="str">
        <f t="shared" si="69"/>
        <v>Omde dag Vol/Nal.</v>
      </c>
      <c r="L170" s="141" t="str">
        <f t="shared" si="70"/>
        <v>Omde dag Nal./Vol</v>
      </c>
      <c r="M170" s="141" t="str">
        <f t="shared" si="71"/>
        <v>Omde dag Vol/Nal.</v>
      </c>
      <c r="N170" s="141" t="str">
        <f t="shared" si="72"/>
        <v>Omde dag Nal./Vol</v>
      </c>
      <c r="O170" s="141" t="str">
        <f t="shared" si="73"/>
        <v>Omde dag Vol/Nal.</v>
      </c>
      <c r="P170" s="141" t="str">
        <f t="shared" si="74"/>
        <v>Omde dag Nal./Vol</v>
      </c>
      <c r="Q170" s="141" t="str">
        <f t="shared" si="75"/>
        <v>Omde dag Vol/Nal.</v>
      </c>
      <c r="R170" s="63" t="s">
        <v>1479</v>
      </c>
      <c r="S170" s="142">
        <f t="shared" si="66"/>
        <v>365</v>
      </c>
      <c r="T170" s="143">
        <f>(140+(5.1*5.4))*1.3</f>
        <v>217.80199999999999</v>
      </c>
      <c r="U170" s="144"/>
      <c r="V170" s="144"/>
      <c r="W170" s="144"/>
      <c r="X170" s="144"/>
      <c r="Y170" s="144">
        <f>(12.2+3.3+4.8+1.36+3.5+6+3.4+4.2+6.35+5.4+5.4)*2.7</f>
        <v>150.95700000000002</v>
      </c>
      <c r="Z170" s="145"/>
      <c r="AA170" s="145"/>
      <c r="AB170" s="145">
        <v>140</v>
      </c>
      <c r="AC170" s="145"/>
      <c r="AD170" s="146"/>
      <c r="AE170" s="171">
        <v>1</v>
      </c>
      <c r="AF170" s="147">
        <f t="shared" si="76"/>
        <v>0</v>
      </c>
      <c r="AG170" s="147">
        <f t="shared" si="77"/>
        <v>0</v>
      </c>
      <c r="AH170" s="147">
        <f t="shared" si="78"/>
        <v>0</v>
      </c>
      <c r="AI170" s="147">
        <f t="shared" si="79"/>
        <v>0</v>
      </c>
      <c r="AJ170" s="148" t="str">
        <f t="shared" si="80"/>
        <v>ja</v>
      </c>
      <c r="AK170" s="149">
        <f t="shared" si="62"/>
        <v>0</v>
      </c>
      <c r="AL170" s="149">
        <f t="shared" si="63"/>
        <v>0</v>
      </c>
      <c r="AM170" s="149">
        <f t="shared" si="64"/>
        <v>0</v>
      </c>
      <c r="AN170" s="149">
        <f t="shared" si="65"/>
        <v>0</v>
      </c>
      <c r="AO170" s="150" t="str">
        <f t="shared" si="81"/>
        <v>V</v>
      </c>
      <c r="AQ170" s="151">
        <f t="shared" si="82"/>
        <v>79497.73</v>
      </c>
    </row>
    <row r="171" spans="1:43" ht="15" customHeight="1">
      <c r="A171" s="82" t="e">
        <f t="shared" si="67"/>
        <v>#REF!</v>
      </c>
      <c r="B171" s="134">
        <v>103</v>
      </c>
      <c r="C171" s="135" t="s">
        <v>835</v>
      </c>
      <c r="D171" s="136" t="s">
        <v>274</v>
      </c>
      <c r="E171" s="137" t="s">
        <v>530</v>
      </c>
      <c r="F171" s="138" t="s">
        <v>848</v>
      </c>
      <c r="G171" s="139" t="s">
        <v>551</v>
      </c>
      <c r="H171" s="140" t="str">
        <f t="shared" si="68"/>
        <v>Trappen</v>
      </c>
      <c r="I171" s="138"/>
      <c r="J171" s="138" t="s">
        <v>1171</v>
      </c>
      <c r="K171" s="141" t="str">
        <f t="shared" si="69"/>
        <v>Omde dag Vol/Nal.</v>
      </c>
      <c r="L171" s="141" t="str">
        <f t="shared" si="70"/>
        <v>Omde dag Nal./Vol</v>
      </c>
      <c r="M171" s="141" t="str">
        <f t="shared" si="71"/>
        <v>Omde dag Vol/Nal.</v>
      </c>
      <c r="N171" s="141" t="str">
        <f t="shared" si="72"/>
        <v>Omde dag Nal./Vol</v>
      </c>
      <c r="O171" s="141" t="str">
        <f t="shared" si="73"/>
        <v>Omde dag Vol/Nal.</v>
      </c>
      <c r="P171" s="141" t="str">
        <f t="shared" si="74"/>
        <v>Omde dag Nal./Vol</v>
      </c>
      <c r="Q171" s="141" t="str">
        <f t="shared" si="75"/>
        <v>Omde dag Vol/Nal.</v>
      </c>
      <c r="R171" s="63" t="s">
        <v>1477</v>
      </c>
      <c r="S171" s="142">
        <f t="shared" si="66"/>
        <v>365</v>
      </c>
      <c r="T171" s="143">
        <v>12</v>
      </c>
      <c r="U171" s="144"/>
      <c r="V171" s="144"/>
      <c r="W171" s="144"/>
      <c r="X171" s="144"/>
      <c r="Y171" s="144"/>
      <c r="Z171" s="145"/>
      <c r="AA171" s="145"/>
      <c r="AB171" s="145"/>
      <c r="AC171" s="145"/>
      <c r="AD171" s="146" t="s">
        <v>1230</v>
      </c>
      <c r="AE171" s="171">
        <v>1</v>
      </c>
      <c r="AF171" s="147">
        <f t="shared" si="76"/>
        <v>0</v>
      </c>
      <c r="AG171" s="147">
        <f t="shared" si="77"/>
        <v>0</v>
      </c>
      <c r="AH171" s="147">
        <f t="shared" si="78"/>
        <v>0</v>
      </c>
      <c r="AI171" s="147">
        <f t="shared" si="79"/>
        <v>0</v>
      </c>
      <c r="AJ171" s="148" t="str">
        <f t="shared" si="80"/>
        <v>ja</v>
      </c>
      <c r="AK171" s="149">
        <f t="shared" si="62"/>
        <v>0</v>
      </c>
      <c r="AL171" s="149">
        <f t="shared" si="63"/>
        <v>0</v>
      </c>
      <c r="AM171" s="149">
        <f t="shared" si="64"/>
        <v>0</v>
      </c>
      <c r="AN171" s="149">
        <f t="shared" si="65"/>
        <v>0</v>
      </c>
      <c r="AO171" s="150" t="str">
        <f t="shared" si="81"/>
        <v>V</v>
      </c>
      <c r="AQ171" s="151">
        <f t="shared" si="82"/>
        <v>4380</v>
      </c>
    </row>
    <row r="172" spans="1:43" ht="15" customHeight="1">
      <c r="A172" s="82" t="e">
        <f t="shared" si="67"/>
        <v>#REF!</v>
      </c>
      <c r="B172" s="134">
        <v>103</v>
      </c>
      <c r="C172" s="135" t="s">
        <v>835</v>
      </c>
      <c r="D172" s="136" t="s">
        <v>274</v>
      </c>
      <c r="E172" s="137" t="s">
        <v>530</v>
      </c>
      <c r="F172" s="138" t="s">
        <v>849</v>
      </c>
      <c r="G172" s="139" t="s">
        <v>850</v>
      </c>
      <c r="H172" s="140" t="str">
        <f t="shared" si="68"/>
        <v>Trappen</v>
      </c>
      <c r="I172" s="138"/>
      <c r="J172" s="138" t="s">
        <v>1171</v>
      </c>
      <c r="K172" s="141" t="str">
        <f t="shared" si="69"/>
        <v>Omde dag Vol/Nal.</v>
      </c>
      <c r="L172" s="141" t="str">
        <f t="shared" si="70"/>
        <v>Omde dag Nal./Vol</v>
      </c>
      <c r="M172" s="141" t="str">
        <f t="shared" si="71"/>
        <v>Omde dag Vol/Nal.</v>
      </c>
      <c r="N172" s="141" t="str">
        <f t="shared" si="72"/>
        <v>Omde dag Nal./Vol</v>
      </c>
      <c r="O172" s="141" t="str">
        <f t="shared" si="73"/>
        <v>Omde dag Vol/Nal.</v>
      </c>
      <c r="P172" s="141" t="str">
        <f t="shared" si="74"/>
        <v>Omde dag Nal./Vol</v>
      </c>
      <c r="Q172" s="141" t="str">
        <f t="shared" si="75"/>
        <v>Omde dag Vol/Nal.</v>
      </c>
      <c r="R172" s="63" t="s">
        <v>1477</v>
      </c>
      <c r="S172" s="142">
        <f t="shared" si="66"/>
        <v>365</v>
      </c>
      <c r="T172" s="143">
        <v>16</v>
      </c>
      <c r="U172" s="144"/>
      <c r="V172" s="144">
        <v>27</v>
      </c>
      <c r="W172" s="144"/>
      <c r="X172" s="144"/>
      <c r="Y172" s="144"/>
      <c r="Z172" s="145"/>
      <c r="AA172" s="145"/>
      <c r="AB172" s="145"/>
      <c r="AC172" s="145"/>
      <c r="AD172" s="146" t="s">
        <v>1231</v>
      </c>
      <c r="AE172" s="171">
        <v>1</v>
      </c>
      <c r="AF172" s="147">
        <f t="shared" si="76"/>
        <v>0</v>
      </c>
      <c r="AG172" s="147">
        <f t="shared" si="77"/>
        <v>0</v>
      </c>
      <c r="AH172" s="147">
        <f t="shared" si="78"/>
        <v>0</v>
      </c>
      <c r="AI172" s="147">
        <f t="shared" si="79"/>
        <v>0</v>
      </c>
      <c r="AJ172" s="148" t="str">
        <f t="shared" si="80"/>
        <v>ja</v>
      </c>
      <c r="AK172" s="149">
        <f t="shared" si="62"/>
        <v>0</v>
      </c>
      <c r="AL172" s="149">
        <f t="shared" si="63"/>
        <v>0</v>
      </c>
      <c r="AM172" s="149">
        <f t="shared" si="64"/>
        <v>0</v>
      </c>
      <c r="AN172" s="149">
        <f t="shared" si="65"/>
        <v>0</v>
      </c>
      <c r="AO172" s="150" t="str">
        <f t="shared" si="81"/>
        <v>V</v>
      </c>
      <c r="AQ172" s="151">
        <f t="shared" si="82"/>
        <v>5840</v>
      </c>
    </row>
    <row r="173" spans="1:43" ht="15" customHeight="1">
      <c r="A173" s="82" t="e">
        <f t="shared" si="67"/>
        <v>#REF!</v>
      </c>
      <c r="B173" s="134">
        <v>103</v>
      </c>
      <c r="C173" s="135" t="s">
        <v>835</v>
      </c>
      <c r="D173" s="136" t="s">
        <v>274</v>
      </c>
      <c r="E173" s="137" t="s">
        <v>530</v>
      </c>
      <c r="F173" s="138" t="s">
        <v>840</v>
      </c>
      <c r="G173" s="139" t="s">
        <v>557</v>
      </c>
      <c r="H173" s="140" t="str">
        <f t="shared" si="68"/>
        <v>Liften</v>
      </c>
      <c r="I173" s="138" t="s">
        <v>457</v>
      </c>
      <c r="J173" s="138" t="s">
        <v>1171</v>
      </c>
      <c r="K173" s="141" t="str">
        <f t="shared" si="69"/>
        <v>Omde dag Vol/Nal.</v>
      </c>
      <c r="L173" s="141" t="str">
        <f t="shared" si="70"/>
        <v>Omde dag Nal./Vol</v>
      </c>
      <c r="M173" s="141" t="str">
        <f t="shared" si="71"/>
        <v>Omde dag Vol/Nal.</v>
      </c>
      <c r="N173" s="141" t="str">
        <f t="shared" si="72"/>
        <v>Omde dag Nal./Vol</v>
      </c>
      <c r="O173" s="141" t="str">
        <f t="shared" si="73"/>
        <v>Omde dag Vol/Nal.</v>
      </c>
      <c r="P173" s="141" t="str">
        <f t="shared" si="74"/>
        <v>Omde dag Nal./Vol</v>
      </c>
      <c r="Q173" s="141" t="str">
        <f t="shared" si="75"/>
        <v>Omde dag Vol/Nal.</v>
      </c>
      <c r="R173" s="63" t="s">
        <v>1475</v>
      </c>
      <c r="S173" s="142">
        <f t="shared" si="66"/>
        <v>365</v>
      </c>
      <c r="T173" s="143">
        <v>7.8000000000000007</v>
      </c>
      <c r="U173" s="144"/>
      <c r="V173" s="144"/>
      <c r="W173" s="144"/>
      <c r="X173" s="144"/>
      <c r="Y173" s="144"/>
      <c r="Z173" s="145"/>
      <c r="AA173" s="145"/>
      <c r="AB173" s="145"/>
      <c r="AC173" s="145"/>
      <c r="AD173" s="146"/>
      <c r="AE173" s="171">
        <v>1</v>
      </c>
      <c r="AF173" s="147">
        <f t="shared" si="76"/>
        <v>0</v>
      </c>
      <c r="AG173" s="147">
        <f t="shared" si="77"/>
        <v>0</v>
      </c>
      <c r="AH173" s="147">
        <f t="shared" si="78"/>
        <v>0</v>
      </c>
      <c r="AI173" s="147">
        <f t="shared" si="79"/>
        <v>0</v>
      </c>
      <c r="AJ173" s="148" t="str">
        <f t="shared" si="80"/>
        <v>ja</v>
      </c>
      <c r="AK173" s="149">
        <f t="shared" si="62"/>
        <v>0</v>
      </c>
      <c r="AL173" s="149">
        <f t="shared" si="63"/>
        <v>0</v>
      </c>
      <c r="AM173" s="149">
        <f t="shared" si="64"/>
        <v>0</v>
      </c>
      <c r="AN173" s="149">
        <f t="shared" si="65"/>
        <v>0</v>
      </c>
      <c r="AO173" s="150" t="str">
        <f t="shared" si="81"/>
        <v>V</v>
      </c>
      <c r="AQ173" s="151">
        <f t="shared" si="82"/>
        <v>2847.0000000000005</v>
      </c>
    </row>
    <row r="174" spans="1:43" ht="15" customHeight="1">
      <c r="A174" s="82" t="e">
        <f t="shared" si="67"/>
        <v>#REF!</v>
      </c>
      <c r="B174" s="134">
        <v>103</v>
      </c>
      <c r="C174" s="135" t="s">
        <v>835</v>
      </c>
      <c r="D174" s="136" t="s">
        <v>274</v>
      </c>
      <c r="E174" s="137" t="s">
        <v>530</v>
      </c>
      <c r="F174" s="138" t="s">
        <v>851</v>
      </c>
      <c r="G174" s="139" t="s">
        <v>454</v>
      </c>
      <c r="H174" s="140" t="str">
        <f t="shared" si="68"/>
        <v>Liften</v>
      </c>
      <c r="I174" s="138" t="s">
        <v>457</v>
      </c>
      <c r="J174" s="138" t="s">
        <v>1171</v>
      </c>
      <c r="K174" s="141" t="str">
        <f t="shared" si="69"/>
        <v>Omde dag Vol/Nal.</v>
      </c>
      <c r="L174" s="141" t="str">
        <f t="shared" si="70"/>
        <v>Omde dag Nal./Vol</v>
      </c>
      <c r="M174" s="141" t="str">
        <f t="shared" si="71"/>
        <v>Omde dag Vol/Nal.</v>
      </c>
      <c r="N174" s="141" t="str">
        <f t="shared" si="72"/>
        <v>Omde dag Nal./Vol</v>
      </c>
      <c r="O174" s="141" t="str">
        <f t="shared" si="73"/>
        <v>Omde dag Vol/Nal.</v>
      </c>
      <c r="P174" s="141" t="str">
        <f t="shared" si="74"/>
        <v>Omde dag Nal./Vol</v>
      </c>
      <c r="Q174" s="141" t="str">
        <f t="shared" si="75"/>
        <v>Omde dag Vol/Nal.</v>
      </c>
      <c r="R174" s="63" t="s">
        <v>1475</v>
      </c>
      <c r="S174" s="142">
        <f t="shared" si="66"/>
        <v>365</v>
      </c>
      <c r="T174" s="143">
        <v>7.8000000000000007</v>
      </c>
      <c r="U174" s="144"/>
      <c r="V174" s="144"/>
      <c r="W174" s="144"/>
      <c r="X174" s="144"/>
      <c r="Y174" s="144"/>
      <c r="Z174" s="145"/>
      <c r="AA174" s="145"/>
      <c r="AB174" s="145"/>
      <c r="AC174" s="145"/>
      <c r="AD174" s="146"/>
      <c r="AE174" s="171">
        <v>1</v>
      </c>
      <c r="AF174" s="147">
        <f t="shared" si="76"/>
        <v>0</v>
      </c>
      <c r="AG174" s="147">
        <f t="shared" si="77"/>
        <v>0</v>
      </c>
      <c r="AH174" s="147">
        <f t="shared" si="78"/>
        <v>0</v>
      </c>
      <c r="AI174" s="147">
        <f t="shared" si="79"/>
        <v>0</v>
      </c>
      <c r="AJ174" s="148" t="str">
        <f t="shared" si="80"/>
        <v>ja</v>
      </c>
      <c r="AK174" s="149">
        <f t="shared" si="62"/>
        <v>0</v>
      </c>
      <c r="AL174" s="149">
        <f t="shared" si="63"/>
        <v>0</v>
      </c>
      <c r="AM174" s="149">
        <f t="shared" si="64"/>
        <v>0</v>
      </c>
      <c r="AN174" s="149">
        <f t="shared" si="65"/>
        <v>0</v>
      </c>
      <c r="AO174" s="150" t="str">
        <f t="shared" si="81"/>
        <v>V</v>
      </c>
      <c r="AQ174" s="151">
        <f t="shared" si="82"/>
        <v>2847.0000000000005</v>
      </c>
    </row>
    <row r="175" spans="1:43" ht="15" customHeight="1">
      <c r="A175" s="82" t="e">
        <f>1+#REF!</f>
        <v>#REF!</v>
      </c>
      <c r="B175" s="134">
        <v>103</v>
      </c>
      <c r="C175" s="135" t="s">
        <v>835</v>
      </c>
      <c r="D175" s="136" t="s">
        <v>274</v>
      </c>
      <c r="E175" s="137" t="s">
        <v>530</v>
      </c>
      <c r="F175" s="138" t="s">
        <v>580</v>
      </c>
      <c r="G175" s="139" t="s">
        <v>581</v>
      </c>
      <c r="H175" s="140" t="str">
        <f t="shared" si="68"/>
        <v>Niet van toepassing</v>
      </c>
      <c r="I175" s="138" t="s">
        <v>195</v>
      </c>
      <c r="J175" s="138" t="s">
        <v>1172</v>
      </c>
      <c r="K175" s="141" t="str">
        <f t="shared" si="69"/>
        <v>NVT</v>
      </c>
      <c r="L175" s="141" t="str">
        <f t="shared" si="70"/>
        <v>NVT</v>
      </c>
      <c r="M175" s="141" t="str">
        <f t="shared" si="71"/>
        <v>NVT</v>
      </c>
      <c r="N175" s="141" t="str">
        <f t="shared" si="72"/>
        <v>NVT</v>
      </c>
      <c r="O175" s="141" t="str">
        <f t="shared" si="73"/>
        <v>NVT</v>
      </c>
      <c r="P175" s="141" t="str">
        <f t="shared" si="74"/>
        <v>NVT</v>
      </c>
      <c r="Q175" s="141" t="str">
        <f t="shared" si="75"/>
        <v>NVT</v>
      </c>
      <c r="R175" s="63" t="s">
        <v>1221</v>
      </c>
      <c r="S175" s="142">
        <f t="shared" si="66"/>
        <v>0</v>
      </c>
      <c r="T175" s="143">
        <v>45.5</v>
      </c>
      <c r="U175" s="144"/>
      <c r="V175" s="144"/>
      <c r="W175" s="144"/>
      <c r="X175" s="144"/>
      <c r="Y175" s="144">
        <v>90</v>
      </c>
      <c r="Z175" s="145"/>
      <c r="AA175" s="145"/>
      <c r="AB175" s="145">
        <v>35</v>
      </c>
      <c r="AC175" s="145"/>
      <c r="AD175" s="146"/>
      <c r="AE175" s="171">
        <v>1</v>
      </c>
      <c r="AF175" s="147">
        <f t="shared" si="76"/>
        <v>0</v>
      </c>
      <c r="AG175" s="147">
        <f t="shared" si="77"/>
        <v>0</v>
      </c>
      <c r="AH175" s="147">
        <f t="shared" si="78"/>
        <v>0</v>
      </c>
      <c r="AI175" s="147">
        <f t="shared" si="79"/>
        <v>0</v>
      </c>
      <c r="AJ175" s="148">
        <f t="shared" si="80"/>
        <v>0</v>
      </c>
      <c r="AK175" s="149">
        <f t="shared" si="62"/>
        <v>0</v>
      </c>
      <c r="AL175" s="149">
        <f t="shared" si="63"/>
        <v>0</v>
      </c>
      <c r="AM175" s="149">
        <f t="shared" si="64"/>
        <v>0</v>
      </c>
      <c r="AN175" s="149">
        <f t="shared" si="65"/>
        <v>0</v>
      </c>
      <c r="AO175" s="150">
        <f t="shared" si="81"/>
        <v>0</v>
      </c>
      <c r="AQ175" s="151">
        <f t="shared" si="82"/>
        <v>0</v>
      </c>
    </row>
    <row r="176" spans="1:43" ht="15" customHeight="1">
      <c r="A176" s="82" t="e">
        <f t="shared" si="67"/>
        <v>#REF!</v>
      </c>
      <c r="B176" s="134">
        <v>103</v>
      </c>
      <c r="C176" s="135" t="s">
        <v>835</v>
      </c>
      <c r="D176" s="136" t="s">
        <v>274</v>
      </c>
      <c r="E176" s="137" t="s">
        <v>530</v>
      </c>
      <c r="F176" s="138" t="s">
        <v>271</v>
      </c>
      <c r="G176" s="139" t="s">
        <v>583</v>
      </c>
      <c r="H176" s="140" t="str">
        <f t="shared" si="68"/>
        <v>Niet van toepassing</v>
      </c>
      <c r="I176" s="138"/>
      <c r="J176" s="138" t="s">
        <v>1172</v>
      </c>
      <c r="K176" s="141" t="str">
        <f t="shared" si="69"/>
        <v>NVT</v>
      </c>
      <c r="L176" s="141" t="str">
        <f t="shared" si="70"/>
        <v>NVT</v>
      </c>
      <c r="M176" s="141" t="str">
        <f t="shared" si="71"/>
        <v>NVT</v>
      </c>
      <c r="N176" s="141" t="str">
        <f t="shared" si="72"/>
        <v>NVT</v>
      </c>
      <c r="O176" s="141" t="str">
        <f t="shared" si="73"/>
        <v>NVT</v>
      </c>
      <c r="P176" s="141" t="str">
        <f t="shared" si="74"/>
        <v>NVT</v>
      </c>
      <c r="Q176" s="141" t="str">
        <f t="shared" si="75"/>
        <v>NVT</v>
      </c>
      <c r="R176" s="63" t="s">
        <v>1221</v>
      </c>
      <c r="S176" s="142">
        <f t="shared" si="66"/>
        <v>0</v>
      </c>
      <c r="T176" s="143">
        <v>0</v>
      </c>
      <c r="U176" s="144"/>
      <c r="V176" s="144"/>
      <c r="W176" s="144"/>
      <c r="X176" s="144"/>
      <c r="Y176" s="144"/>
      <c r="Z176" s="145"/>
      <c r="AA176" s="145"/>
      <c r="AB176" s="145"/>
      <c r="AC176" s="145"/>
      <c r="AD176" s="146" t="s">
        <v>1258</v>
      </c>
      <c r="AE176" s="171">
        <v>1</v>
      </c>
      <c r="AF176" s="147">
        <f t="shared" si="76"/>
        <v>0</v>
      </c>
      <c r="AG176" s="147">
        <f t="shared" si="77"/>
        <v>0</v>
      </c>
      <c r="AH176" s="147">
        <f t="shared" si="78"/>
        <v>0</v>
      </c>
      <c r="AI176" s="147">
        <f t="shared" si="79"/>
        <v>0</v>
      </c>
      <c r="AJ176" s="148">
        <f t="shared" si="80"/>
        <v>0</v>
      </c>
      <c r="AK176" s="149">
        <f t="shared" si="62"/>
        <v>0</v>
      </c>
      <c r="AL176" s="149">
        <f t="shared" si="63"/>
        <v>0</v>
      </c>
      <c r="AM176" s="149">
        <f t="shared" si="64"/>
        <v>0</v>
      </c>
      <c r="AN176" s="149">
        <f t="shared" si="65"/>
        <v>0</v>
      </c>
      <c r="AO176" s="150">
        <f t="shared" si="81"/>
        <v>0</v>
      </c>
      <c r="AQ176" s="151">
        <f t="shared" si="82"/>
        <v>0</v>
      </c>
    </row>
    <row r="177" spans="1:43" ht="15" customHeight="1">
      <c r="A177" s="82" t="e">
        <f t="shared" si="67"/>
        <v>#REF!</v>
      </c>
      <c r="B177" s="134">
        <v>103</v>
      </c>
      <c r="C177" s="135" t="s">
        <v>835</v>
      </c>
      <c r="D177" s="136" t="s">
        <v>274</v>
      </c>
      <c r="E177" s="137" t="s">
        <v>530</v>
      </c>
      <c r="F177" s="138" t="s">
        <v>597</v>
      </c>
      <c r="G177" s="139" t="s">
        <v>852</v>
      </c>
      <c r="H177" s="140" t="str">
        <f t="shared" si="68"/>
        <v>Niet van toepassing</v>
      </c>
      <c r="I177" s="138" t="s">
        <v>82</v>
      </c>
      <c r="J177" s="138" t="s">
        <v>1172</v>
      </c>
      <c r="K177" s="141" t="str">
        <f t="shared" si="69"/>
        <v>NVT</v>
      </c>
      <c r="L177" s="141" t="str">
        <f t="shared" si="70"/>
        <v>NVT</v>
      </c>
      <c r="M177" s="141" t="str">
        <f t="shared" si="71"/>
        <v>NVT</v>
      </c>
      <c r="N177" s="141" t="str">
        <f t="shared" si="72"/>
        <v>NVT</v>
      </c>
      <c r="O177" s="141" t="str">
        <f t="shared" si="73"/>
        <v>NVT</v>
      </c>
      <c r="P177" s="141" t="str">
        <f t="shared" si="74"/>
        <v>NVT</v>
      </c>
      <c r="Q177" s="141" t="str">
        <f t="shared" si="75"/>
        <v>NVT</v>
      </c>
      <c r="R177" s="63" t="s">
        <v>1221</v>
      </c>
      <c r="S177" s="142">
        <f t="shared" si="66"/>
        <v>0</v>
      </c>
      <c r="T177" s="143">
        <v>13</v>
      </c>
      <c r="U177" s="144"/>
      <c r="V177" s="144"/>
      <c r="W177" s="144"/>
      <c r="X177" s="144"/>
      <c r="Y177" s="144">
        <v>36</v>
      </c>
      <c r="Z177" s="145"/>
      <c r="AA177" s="145"/>
      <c r="AB177" s="145">
        <v>10</v>
      </c>
      <c r="AC177" s="145"/>
      <c r="AD177" s="146" t="s">
        <v>679</v>
      </c>
      <c r="AE177" s="171">
        <v>1</v>
      </c>
      <c r="AF177" s="147">
        <f t="shared" si="76"/>
        <v>0</v>
      </c>
      <c r="AG177" s="147">
        <f t="shared" si="77"/>
        <v>0</v>
      </c>
      <c r="AH177" s="147">
        <f t="shared" si="78"/>
        <v>0</v>
      </c>
      <c r="AI177" s="147">
        <f t="shared" si="79"/>
        <v>0</v>
      </c>
      <c r="AJ177" s="148">
        <f t="shared" si="80"/>
        <v>0</v>
      </c>
      <c r="AK177" s="149">
        <f t="shared" si="62"/>
        <v>0</v>
      </c>
      <c r="AL177" s="149">
        <f t="shared" si="63"/>
        <v>0</v>
      </c>
      <c r="AM177" s="149">
        <f t="shared" si="64"/>
        <v>0</v>
      </c>
      <c r="AN177" s="149">
        <f t="shared" si="65"/>
        <v>0</v>
      </c>
      <c r="AO177" s="150">
        <f t="shared" si="81"/>
        <v>0</v>
      </c>
      <c r="AQ177" s="151">
        <f t="shared" si="82"/>
        <v>0</v>
      </c>
    </row>
    <row r="178" spans="1:43" ht="15" customHeight="1">
      <c r="A178" s="82" t="e">
        <f t="shared" si="67"/>
        <v>#REF!</v>
      </c>
      <c r="B178" s="134">
        <v>103</v>
      </c>
      <c r="C178" s="135" t="s">
        <v>835</v>
      </c>
      <c r="D178" s="136" t="s">
        <v>274</v>
      </c>
      <c r="E178" s="137" t="s">
        <v>530</v>
      </c>
      <c r="F178" s="138" t="s">
        <v>76</v>
      </c>
      <c r="G178" s="139" t="s">
        <v>599</v>
      </c>
      <c r="H178" s="140" t="str">
        <f t="shared" si="68"/>
        <v>Niet van toepassing</v>
      </c>
      <c r="I178" s="138" t="s">
        <v>195</v>
      </c>
      <c r="J178" s="138" t="s">
        <v>1172</v>
      </c>
      <c r="K178" s="141" t="str">
        <f t="shared" si="69"/>
        <v>NVT</v>
      </c>
      <c r="L178" s="141" t="str">
        <f t="shared" si="70"/>
        <v>NVT</v>
      </c>
      <c r="M178" s="141" t="str">
        <f t="shared" si="71"/>
        <v>NVT</v>
      </c>
      <c r="N178" s="141" t="str">
        <f t="shared" si="72"/>
        <v>NVT</v>
      </c>
      <c r="O178" s="141" t="str">
        <f t="shared" si="73"/>
        <v>NVT</v>
      </c>
      <c r="P178" s="141" t="str">
        <f t="shared" si="74"/>
        <v>NVT</v>
      </c>
      <c r="Q178" s="141" t="str">
        <f t="shared" si="75"/>
        <v>NVT</v>
      </c>
      <c r="R178" s="63" t="s">
        <v>1221</v>
      </c>
      <c r="S178" s="142">
        <f t="shared" si="66"/>
        <v>0</v>
      </c>
      <c r="T178" s="143">
        <f>((4.3*2.5)+(3.5*2))*1.3</f>
        <v>23.074999999999999</v>
      </c>
      <c r="U178" s="144">
        <v>1</v>
      </c>
      <c r="V178" s="144"/>
      <c r="W178" s="144"/>
      <c r="X178" s="144"/>
      <c r="Y178" s="144">
        <f>(4.3+2.5+1.75+2+3.5+4.8)*4.2</f>
        <v>79.170000000000016</v>
      </c>
      <c r="Z178" s="145"/>
      <c r="AA178" s="145"/>
      <c r="AB178" s="145">
        <f>T178</f>
        <v>23.074999999999999</v>
      </c>
      <c r="AC178" s="145"/>
      <c r="AD178" s="146"/>
      <c r="AE178" s="171">
        <v>1</v>
      </c>
      <c r="AF178" s="147">
        <f t="shared" si="76"/>
        <v>0</v>
      </c>
      <c r="AG178" s="147">
        <f t="shared" si="77"/>
        <v>0</v>
      </c>
      <c r="AH178" s="147">
        <f t="shared" si="78"/>
        <v>0</v>
      </c>
      <c r="AI178" s="147">
        <f t="shared" si="79"/>
        <v>0</v>
      </c>
      <c r="AJ178" s="148">
        <f t="shared" si="80"/>
        <v>0</v>
      </c>
      <c r="AK178" s="149">
        <f t="shared" si="62"/>
        <v>0</v>
      </c>
      <c r="AL178" s="149">
        <f t="shared" si="63"/>
        <v>0</v>
      </c>
      <c r="AM178" s="149">
        <f t="shared" si="64"/>
        <v>0</v>
      </c>
      <c r="AN178" s="149">
        <f t="shared" si="65"/>
        <v>0</v>
      </c>
      <c r="AO178" s="150">
        <f t="shared" si="81"/>
        <v>0</v>
      </c>
      <c r="AQ178" s="151">
        <f t="shared" si="82"/>
        <v>0</v>
      </c>
    </row>
    <row r="179" spans="1:43" ht="15" customHeight="1">
      <c r="A179" s="82" t="e">
        <f t="shared" si="67"/>
        <v>#REF!</v>
      </c>
      <c r="B179" s="134">
        <v>103</v>
      </c>
      <c r="C179" s="135" t="s">
        <v>835</v>
      </c>
      <c r="D179" s="136" t="s">
        <v>274</v>
      </c>
      <c r="E179" s="137" t="s">
        <v>530</v>
      </c>
      <c r="F179" s="138" t="s">
        <v>76</v>
      </c>
      <c r="G179" s="139" t="s">
        <v>601</v>
      </c>
      <c r="H179" s="140" t="str">
        <f t="shared" si="68"/>
        <v>Niet van toepassing</v>
      </c>
      <c r="I179" s="138" t="s">
        <v>195</v>
      </c>
      <c r="J179" s="138" t="s">
        <v>1172</v>
      </c>
      <c r="K179" s="141" t="str">
        <f t="shared" si="69"/>
        <v>NVT</v>
      </c>
      <c r="L179" s="141" t="str">
        <f t="shared" si="70"/>
        <v>NVT</v>
      </c>
      <c r="M179" s="141" t="str">
        <f t="shared" si="71"/>
        <v>NVT</v>
      </c>
      <c r="N179" s="141" t="str">
        <f t="shared" si="72"/>
        <v>NVT</v>
      </c>
      <c r="O179" s="141" t="str">
        <f t="shared" si="73"/>
        <v>NVT</v>
      </c>
      <c r="P179" s="141" t="str">
        <f t="shared" si="74"/>
        <v>NVT</v>
      </c>
      <c r="Q179" s="141" t="str">
        <f t="shared" si="75"/>
        <v>NVT</v>
      </c>
      <c r="R179" s="63" t="s">
        <v>1221</v>
      </c>
      <c r="S179" s="142">
        <f t="shared" si="66"/>
        <v>0</v>
      </c>
      <c r="T179" s="143">
        <f>(2*3.5)*1.3</f>
        <v>9.1</v>
      </c>
      <c r="U179" s="144"/>
      <c r="V179" s="144"/>
      <c r="W179" s="144"/>
      <c r="X179" s="144"/>
      <c r="Y179" s="144">
        <f>(3.5+2+3.5+2)*3.6</f>
        <v>39.6</v>
      </c>
      <c r="Z179" s="145"/>
      <c r="AA179" s="145"/>
      <c r="AB179" s="145">
        <f>T179</f>
        <v>9.1</v>
      </c>
      <c r="AC179" s="145"/>
      <c r="AD179" s="146"/>
      <c r="AE179" s="171">
        <v>1</v>
      </c>
      <c r="AF179" s="147">
        <f t="shared" si="76"/>
        <v>0</v>
      </c>
      <c r="AG179" s="147">
        <f t="shared" si="77"/>
        <v>0</v>
      </c>
      <c r="AH179" s="147">
        <f t="shared" si="78"/>
        <v>0</v>
      </c>
      <c r="AI179" s="147">
        <f t="shared" si="79"/>
        <v>0</v>
      </c>
      <c r="AJ179" s="148">
        <f t="shared" si="80"/>
        <v>0</v>
      </c>
      <c r="AK179" s="149">
        <f t="shared" si="62"/>
        <v>0</v>
      </c>
      <c r="AL179" s="149">
        <f t="shared" si="63"/>
        <v>0</v>
      </c>
      <c r="AM179" s="149">
        <f t="shared" si="64"/>
        <v>0</v>
      </c>
      <c r="AN179" s="149">
        <f t="shared" si="65"/>
        <v>0</v>
      </c>
      <c r="AO179" s="150">
        <f t="shared" si="81"/>
        <v>0</v>
      </c>
      <c r="AQ179" s="151">
        <f t="shared" si="82"/>
        <v>0</v>
      </c>
    </row>
    <row r="180" spans="1:43" ht="15" customHeight="1">
      <c r="A180" s="82" t="e">
        <f t="shared" si="67"/>
        <v>#REF!</v>
      </c>
      <c r="B180" s="134">
        <v>103</v>
      </c>
      <c r="C180" s="135" t="s">
        <v>835</v>
      </c>
      <c r="D180" s="136" t="s">
        <v>274</v>
      </c>
      <c r="E180" s="137" t="s">
        <v>530</v>
      </c>
      <c r="F180" s="138" t="s">
        <v>74</v>
      </c>
      <c r="G180" s="139" t="s">
        <v>603</v>
      </c>
      <c r="H180" s="140" t="str">
        <f t="shared" si="68"/>
        <v>Berging/opslag/magazijn</v>
      </c>
      <c r="I180" s="138" t="s">
        <v>195</v>
      </c>
      <c r="J180" s="138" t="s">
        <v>1266</v>
      </c>
      <c r="K180" s="141" t="str">
        <f t="shared" si="69"/>
        <v>Zie Freq</v>
      </c>
      <c r="L180" s="141" t="str">
        <f t="shared" si="70"/>
        <v>Zie Freq</v>
      </c>
      <c r="M180" s="141" t="str">
        <f t="shared" si="71"/>
        <v>Zie Freq</v>
      </c>
      <c r="N180" s="141" t="str">
        <f t="shared" si="72"/>
        <v>Zie Freq</v>
      </c>
      <c r="O180" s="141" t="str">
        <f t="shared" si="73"/>
        <v>Zie Freq</v>
      </c>
      <c r="P180" s="141" t="str">
        <f t="shared" si="74"/>
        <v>NVT</v>
      </c>
      <c r="Q180" s="141" t="str">
        <f t="shared" si="75"/>
        <v>NVT</v>
      </c>
      <c r="R180" s="63" t="s">
        <v>1269</v>
      </c>
      <c r="S180" s="142">
        <f t="shared" si="66"/>
        <v>3</v>
      </c>
      <c r="T180" s="143">
        <f>(4*3.9)*1.3</f>
        <v>20.28</v>
      </c>
      <c r="U180" s="144"/>
      <c r="V180" s="144"/>
      <c r="W180" s="144">
        <f>(4+3.9+4+3.9)*3.1</f>
        <v>48.980000000000004</v>
      </c>
      <c r="X180" s="144"/>
      <c r="Y180" s="144"/>
      <c r="Z180" s="145"/>
      <c r="AA180" s="145"/>
      <c r="AB180" s="145">
        <f>T180</f>
        <v>20.28</v>
      </c>
      <c r="AC180" s="145"/>
      <c r="AD180" s="146" t="s">
        <v>679</v>
      </c>
      <c r="AE180" s="171">
        <v>1</v>
      </c>
      <c r="AF180" s="147">
        <f t="shared" si="76"/>
        <v>0</v>
      </c>
      <c r="AG180" s="147">
        <f t="shared" si="77"/>
        <v>0</v>
      </c>
      <c r="AH180" s="147">
        <f t="shared" si="78"/>
        <v>0</v>
      </c>
      <c r="AI180" s="147">
        <f t="shared" si="79"/>
        <v>0</v>
      </c>
      <c r="AJ180" s="148" t="str">
        <f t="shared" si="80"/>
        <v>nee</v>
      </c>
      <c r="AK180" s="149">
        <f t="shared" si="62"/>
        <v>0</v>
      </c>
      <c r="AL180" s="149">
        <f t="shared" si="63"/>
        <v>0</v>
      </c>
      <c r="AM180" s="149">
        <f t="shared" si="64"/>
        <v>0</v>
      </c>
      <c r="AN180" s="149">
        <f t="shared" si="65"/>
        <v>0</v>
      </c>
      <c r="AO180" s="150" t="str">
        <f t="shared" si="81"/>
        <v>V</v>
      </c>
      <c r="AQ180" s="151">
        <f t="shared" si="82"/>
        <v>60.84</v>
      </c>
    </row>
    <row r="181" spans="1:43" ht="15" customHeight="1">
      <c r="A181" s="82" t="e">
        <f t="shared" si="67"/>
        <v>#REF!</v>
      </c>
      <c r="B181" s="134">
        <v>103</v>
      </c>
      <c r="C181" s="135" t="s">
        <v>835</v>
      </c>
      <c r="D181" s="136" t="s">
        <v>274</v>
      </c>
      <c r="E181" s="137" t="s">
        <v>530</v>
      </c>
      <c r="F181" s="138" t="s">
        <v>604</v>
      </c>
      <c r="G181" s="139" t="s">
        <v>605</v>
      </c>
      <c r="H181" s="140" t="str">
        <f t="shared" si="68"/>
        <v>Sanitair</v>
      </c>
      <c r="I181" s="138"/>
      <c r="J181" s="138" t="s">
        <v>1171</v>
      </c>
      <c r="K181" s="141" t="str">
        <f t="shared" si="69"/>
        <v>Omde dag Vol/Nal.</v>
      </c>
      <c r="L181" s="141" t="str">
        <f t="shared" si="70"/>
        <v>Omde dag Nal./Vol</v>
      </c>
      <c r="M181" s="141" t="str">
        <f t="shared" si="71"/>
        <v>Omde dag Vol/Nal.</v>
      </c>
      <c r="N181" s="141" t="str">
        <f t="shared" si="72"/>
        <v>Omde dag Nal./Vol</v>
      </c>
      <c r="O181" s="141" t="str">
        <f t="shared" si="73"/>
        <v>Omde dag Vol/Nal.</v>
      </c>
      <c r="P181" s="141" t="str">
        <f t="shared" si="74"/>
        <v>Omde dag Nal./Vol</v>
      </c>
      <c r="Q181" s="141" t="str">
        <f t="shared" si="75"/>
        <v>Omde dag Vol/Nal.</v>
      </c>
      <c r="R181" s="63" t="s">
        <v>1211</v>
      </c>
      <c r="S181" s="142">
        <f t="shared" si="66"/>
        <v>365</v>
      </c>
      <c r="T181" s="143">
        <v>0</v>
      </c>
      <c r="U181" s="144"/>
      <c r="V181" s="144"/>
      <c r="W181" s="144"/>
      <c r="X181" s="144"/>
      <c r="Y181" s="144"/>
      <c r="Z181" s="145"/>
      <c r="AA181" s="145"/>
      <c r="AB181" s="145"/>
      <c r="AC181" s="145"/>
      <c r="AD181" s="146" t="s">
        <v>1258</v>
      </c>
      <c r="AE181" s="171">
        <v>1</v>
      </c>
      <c r="AF181" s="147">
        <f t="shared" si="76"/>
        <v>0</v>
      </c>
      <c r="AG181" s="147">
        <f t="shared" si="77"/>
        <v>0</v>
      </c>
      <c r="AH181" s="147">
        <f t="shared" si="78"/>
        <v>0</v>
      </c>
      <c r="AI181" s="147">
        <f t="shared" si="79"/>
        <v>0</v>
      </c>
      <c r="AJ181" s="148" t="str">
        <f t="shared" si="80"/>
        <v>ja</v>
      </c>
      <c r="AK181" s="149">
        <f t="shared" si="62"/>
        <v>0</v>
      </c>
      <c r="AL181" s="149">
        <f t="shared" si="63"/>
        <v>0</v>
      </c>
      <c r="AM181" s="149">
        <f t="shared" si="64"/>
        <v>0</v>
      </c>
      <c r="AN181" s="149">
        <f t="shared" si="65"/>
        <v>0</v>
      </c>
      <c r="AO181" s="150" t="str">
        <f t="shared" si="81"/>
        <v>S</v>
      </c>
      <c r="AQ181" s="151">
        <f t="shared" si="82"/>
        <v>0</v>
      </c>
    </row>
    <row r="182" spans="1:43" ht="15" customHeight="1">
      <c r="A182" s="82" t="e">
        <f t="shared" si="67"/>
        <v>#REF!</v>
      </c>
      <c r="B182" s="134">
        <v>103</v>
      </c>
      <c r="C182" s="135" t="s">
        <v>835</v>
      </c>
      <c r="D182" s="136" t="s">
        <v>274</v>
      </c>
      <c r="E182" s="137" t="s">
        <v>530</v>
      </c>
      <c r="F182" s="138" t="s">
        <v>604</v>
      </c>
      <c r="G182" s="139" t="s">
        <v>606</v>
      </c>
      <c r="H182" s="140" t="str">
        <f t="shared" si="68"/>
        <v>Sanitair</v>
      </c>
      <c r="I182" s="138"/>
      <c r="J182" s="138" t="s">
        <v>1171</v>
      </c>
      <c r="K182" s="141" t="str">
        <f t="shared" si="69"/>
        <v>Omde dag Vol/Nal.</v>
      </c>
      <c r="L182" s="141" t="str">
        <f t="shared" si="70"/>
        <v>Omde dag Nal./Vol</v>
      </c>
      <c r="M182" s="141" t="str">
        <f t="shared" si="71"/>
        <v>Omde dag Vol/Nal.</v>
      </c>
      <c r="N182" s="141" t="str">
        <f t="shared" si="72"/>
        <v>Omde dag Nal./Vol</v>
      </c>
      <c r="O182" s="141" t="str">
        <f t="shared" si="73"/>
        <v>Omde dag Vol/Nal.</v>
      </c>
      <c r="P182" s="141" t="str">
        <f t="shared" si="74"/>
        <v>Omde dag Nal./Vol</v>
      </c>
      <c r="Q182" s="141" t="str">
        <f t="shared" si="75"/>
        <v>Omde dag Vol/Nal.</v>
      </c>
      <c r="R182" s="63" t="s">
        <v>1211</v>
      </c>
      <c r="S182" s="142">
        <f t="shared" si="66"/>
        <v>365</v>
      </c>
      <c r="T182" s="143">
        <v>0</v>
      </c>
      <c r="U182" s="144"/>
      <c r="V182" s="144"/>
      <c r="W182" s="144"/>
      <c r="X182" s="144"/>
      <c r="Y182" s="144"/>
      <c r="Z182" s="145"/>
      <c r="AA182" s="145"/>
      <c r="AB182" s="145"/>
      <c r="AC182" s="145"/>
      <c r="AD182" s="146" t="s">
        <v>1258</v>
      </c>
      <c r="AE182" s="171">
        <v>1</v>
      </c>
      <c r="AF182" s="147">
        <f t="shared" si="76"/>
        <v>0</v>
      </c>
      <c r="AG182" s="147">
        <f t="shared" si="77"/>
        <v>0</v>
      </c>
      <c r="AH182" s="147">
        <f t="shared" si="78"/>
        <v>0</v>
      </c>
      <c r="AI182" s="147">
        <f t="shared" si="79"/>
        <v>0</v>
      </c>
      <c r="AJ182" s="148" t="str">
        <f t="shared" si="80"/>
        <v>ja</v>
      </c>
      <c r="AK182" s="149">
        <f t="shared" si="62"/>
        <v>0</v>
      </c>
      <c r="AL182" s="149">
        <f t="shared" si="63"/>
        <v>0</v>
      </c>
      <c r="AM182" s="149">
        <f t="shared" si="64"/>
        <v>0</v>
      </c>
      <c r="AN182" s="149">
        <f t="shared" si="65"/>
        <v>0</v>
      </c>
      <c r="AO182" s="150" t="str">
        <f t="shared" si="81"/>
        <v>S</v>
      </c>
      <c r="AQ182" s="151">
        <f t="shared" si="82"/>
        <v>0</v>
      </c>
    </row>
    <row r="183" spans="1:43" ht="15" customHeight="1">
      <c r="A183" s="82" t="e">
        <f t="shared" si="67"/>
        <v>#REF!</v>
      </c>
      <c r="B183" s="134">
        <v>103</v>
      </c>
      <c r="C183" s="135" t="s">
        <v>835</v>
      </c>
      <c r="D183" s="136" t="s">
        <v>274</v>
      </c>
      <c r="E183" s="137" t="s">
        <v>530</v>
      </c>
      <c r="F183" s="138" t="s">
        <v>604</v>
      </c>
      <c r="G183" s="139" t="s">
        <v>607</v>
      </c>
      <c r="H183" s="140" t="str">
        <f t="shared" si="68"/>
        <v>Sanitair</v>
      </c>
      <c r="I183" s="138"/>
      <c r="J183" s="138" t="s">
        <v>1171</v>
      </c>
      <c r="K183" s="141" t="str">
        <f t="shared" si="69"/>
        <v>Omde dag Vol/Nal.</v>
      </c>
      <c r="L183" s="141" t="str">
        <f t="shared" si="70"/>
        <v>Omde dag Nal./Vol</v>
      </c>
      <c r="M183" s="141" t="str">
        <f t="shared" si="71"/>
        <v>Omde dag Vol/Nal.</v>
      </c>
      <c r="N183" s="141" t="str">
        <f t="shared" si="72"/>
        <v>Omde dag Nal./Vol</v>
      </c>
      <c r="O183" s="141" t="str">
        <f t="shared" si="73"/>
        <v>Omde dag Vol/Nal.</v>
      </c>
      <c r="P183" s="141" t="str">
        <f t="shared" si="74"/>
        <v>Omde dag Nal./Vol</v>
      </c>
      <c r="Q183" s="141" t="str">
        <f t="shared" si="75"/>
        <v>Omde dag Vol/Nal.</v>
      </c>
      <c r="R183" s="63" t="s">
        <v>1211</v>
      </c>
      <c r="S183" s="142">
        <f t="shared" si="66"/>
        <v>365</v>
      </c>
      <c r="T183" s="143">
        <v>0</v>
      </c>
      <c r="U183" s="144"/>
      <c r="V183" s="144"/>
      <c r="W183" s="144"/>
      <c r="X183" s="144"/>
      <c r="Y183" s="144"/>
      <c r="Z183" s="145"/>
      <c r="AA183" s="145"/>
      <c r="AB183" s="145"/>
      <c r="AC183" s="145"/>
      <c r="AD183" s="146" t="s">
        <v>1258</v>
      </c>
      <c r="AE183" s="171">
        <v>1</v>
      </c>
      <c r="AF183" s="147">
        <f t="shared" si="76"/>
        <v>0</v>
      </c>
      <c r="AG183" s="147">
        <f t="shared" si="77"/>
        <v>0</v>
      </c>
      <c r="AH183" s="147">
        <f t="shared" si="78"/>
        <v>0</v>
      </c>
      <c r="AI183" s="147">
        <f t="shared" si="79"/>
        <v>0</v>
      </c>
      <c r="AJ183" s="148" t="str">
        <f t="shared" si="80"/>
        <v>ja</v>
      </c>
      <c r="AK183" s="149">
        <f t="shared" si="62"/>
        <v>0</v>
      </c>
      <c r="AL183" s="149">
        <f t="shared" si="63"/>
        <v>0</v>
      </c>
      <c r="AM183" s="149">
        <f t="shared" si="64"/>
        <v>0</v>
      </c>
      <c r="AN183" s="149">
        <f t="shared" si="65"/>
        <v>0</v>
      </c>
      <c r="AO183" s="150" t="str">
        <f t="shared" si="81"/>
        <v>S</v>
      </c>
      <c r="AQ183" s="151">
        <f t="shared" si="82"/>
        <v>0</v>
      </c>
    </row>
    <row r="184" spans="1:43" ht="15" customHeight="1">
      <c r="A184" s="82" t="e">
        <f t="shared" si="67"/>
        <v>#REF!</v>
      </c>
      <c r="B184" s="134">
        <v>103</v>
      </c>
      <c r="C184" s="135" t="s">
        <v>835</v>
      </c>
      <c r="D184" s="136" t="s">
        <v>274</v>
      </c>
      <c r="E184" s="137" t="s">
        <v>530</v>
      </c>
      <c r="F184" s="138" t="s">
        <v>604</v>
      </c>
      <c r="G184" s="139" t="s">
        <v>608</v>
      </c>
      <c r="H184" s="140" t="str">
        <f t="shared" si="68"/>
        <v>Sanitair</v>
      </c>
      <c r="I184" s="138"/>
      <c r="J184" s="138" t="s">
        <v>1171</v>
      </c>
      <c r="K184" s="141" t="str">
        <f t="shared" si="69"/>
        <v>Omde dag Vol/Nal.</v>
      </c>
      <c r="L184" s="141" t="str">
        <f t="shared" si="70"/>
        <v>Omde dag Nal./Vol</v>
      </c>
      <c r="M184" s="141" t="str">
        <f t="shared" si="71"/>
        <v>Omde dag Vol/Nal.</v>
      </c>
      <c r="N184" s="141" t="str">
        <f t="shared" si="72"/>
        <v>Omde dag Nal./Vol</v>
      </c>
      <c r="O184" s="141" t="str">
        <f t="shared" si="73"/>
        <v>Omde dag Vol/Nal.</v>
      </c>
      <c r="P184" s="141" t="str">
        <f t="shared" si="74"/>
        <v>Omde dag Nal./Vol</v>
      </c>
      <c r="Q184" s="141" t="str">
        <f t="shared" si="75"/>
        <v>Omde dag Vol/Nal.</v>
      </c>
      <c r="R184" s="63" t="s">
        <v>1211</v>
      </c>
      <c r="S184" s="142">
        <f t="shared" si="66"/>
        <v>365</v>
      </c>
      <c r="T184" s="143">
        <v>0</v>
      </c>
      <c r="U184" s="144"/>
      <c r="V184" s="144"/>
      <c r="W184" s="144"/>
      <c r="X184" s="144"/>
      <c r="Y184" s="144"/>
      <c r="Z184" s="145"/>
      <c r="AA184" s="145"/>
      <c r="AB184" s="145"/>
      <c r="AC184" s="145"/>
      <c r="AD184" s="146" t="s">
        <v>1258</v>
      </c>
      <c r="AE184" s="171">
        <v>1</v>
      </c>
      <c r="AF184" s="147">
        <f t="shared" si="76"/>
        <v>0</v>
      </c>
      <c r="AG184" s="147">
        <f t="shared" si="77"/>
        <v>0</v>
      </c>
      <c r="AH184" s="147">
        <f t="shared" si="78"/>
        <v>0</v>
      </c>
      <c r="AI184" s="147">
        <f t="shared" si="79"/>
        <v>0</v>
      </c>
      <c r="AJ184" s="148" t="str">
        <f t="shared" si="80"/>
        <v>ja</v>
      </c>
      <c r="AK184" s="149">
        <f t="shared" si="62"/>
        <v>0</v>
      </c>
      <c r="AL184" s="149">
        <f t="shared" si="63"/>
        <v>0</v>
      </c>
      <c r="AM184" s="149">
        <f t="shared" si="64"/>
        <v>0</v>
      </c>
      <c r="AN184" s="149">
        <f t="shared" si="65"/>
        <v>0</v>
      </c>
      <c r="AO184" s="150" t="str">
        <f t="shared" si="81"/>
        <v>S</v>
      </c>
      <c r="AQ184" s="151">
        <f t="shared" si="82"/>
        <v>0</v>
      </c>
    </row>
    <row r="185" spans="1:43" ht="15" customHeight="1">
      <c r="A185" s="82" t="e">
        <f t="shared" si="67"/>
        <v>#REF!</v>
      </c>
      <c r="B185" s="134">
        <v>103</v>
      </c>
      <c r="C185" s="135" t="s">
        <v>835</v>
      </c>
      <c r="D185" s="136" t="s">
        <v>274</v>
      </c>
      <c r="E185" s="137" t="s">
        <v>530</v>
      </c>
      <c r="F185" s="138" t="s">
        <v>604</v>
      </c>
      <c r="G185" s="139" t="s">
        <v>609</v>
      </c>
      <c r="H185" s="140" t="str">
        <f t="shared" si="68"/>
        <v>Sanitair</v>
      </c>
      <c r="I185" s="138"/>
      <c r="J185" s="138" t="s">
        <v>1171</v>
      </c>
      <c r="K185" s="141" t="str">
        <f t="shared" si="69"/>
        <v>Omde dag Vol/Nal.</v>
      </c>
      <c r="L185" s="141" t="str">
        <f t="shared" si="70"/>
        <v>Omde dag Nal./Vol</v>
      </c>
      <c r="M185" s="141" t="str">
        <f t="shared" si="71"/>
        <v>Omde dag Vol/Nal.</v>
      </c>
      <c r="N185" s="141" t="str">
        <f t="shared" si="72"/>
        <v>Omde dag Nal./Vol</v>
      </c>
      <c r="O185" s="141" t="str">
        <f t="shared" si="73"/>
        <v>Omde dag Vol/Nal.</v>
      </c>
      <c r="P185" s="141" t="str">
        <f t="shared" si="74"/>
        <v>Omde dag Nal./Vol</v>
      </c>
      <c r="Q185" s="141" t="str">
        <f t="shared" si="75"/>
        <v>Omde dag Vol/Nal.</v>
      </c>
      <c r="R185" s="63" t="s">
        <v>1211</v>
      </c>
      <c r="S185" s="142">
        <f t="shared" si="66"/>
        <v>365</v>
      </c>
      <c r="T185" s="143">
        <v>0</v>
      </c>
      <c r="U185" s="144"/>
      <c r="V185" s="144"/>
      <c r="W185" s="144"/>
      <c r="X185" s="144"/>
      <c r="Y185" s="144"/>
      <c r="Z185" s="145"/>
      <c r="AA185" s="145"/>
      <c r="AB185" s="145"/>
      <c r="AC185" s="145"/>
      <c r="AD185" s="146" t="s">
        <v>1258</v>
      </c>
      <c r="AE185" s="171">
        <v>1</v>
      </c>
      <c r="AF185" s="147">
        <f t="shared" si="76"/>
        <v>0</v>
      </c>
      <c r="AG185" s="147">
        <f t="shared" si="77"/>
        <v>0</v>
      </c>
      <c r="AH185" s="147">
        <f t="shared" si="78"/>
        <v>0</v>
      </c>
      <c r="AI185" s="147">
        <f t="shared" si="79"/>
        <v>0</v>
      </c>
      <c r="AJ185" s="148" t="str">
        <f t="shared" si="80"/>
        <v>ja</v>
      </c>
      <c r="AK185" s="149">
        <f t="shared" si="62"/>
        <v>0</v>
      </c>
      <c r="AL185" s="149">
        <f t="shared" si="63"/>
        <v>0</v>
      </c>
      <c r="AM185" s="149">
        <f t="shared" si="64"/>
        <v>0</v>
      </c>
      <c r="AN185" s="149">
        <f t="shared" si="65"/>
        <v>0</v>
      </c>
      <c r="AO185" s="150" t="str">
        <f t="shared" si="81"/>
        <v>S</v>
      </c>
      <c r="AQ185" s="151">
        <f t="shared" si="82"/>
        <v>0</v>
      </c>
    </row>
    <row r="186" spans="1:43" ht="15" customHeight="1">
      <c r="A186" s="82" t="e">
        <f t="shared" si="67"/>
        <v>#REF!</v>
      </c>
      <c r="B186" s="134">
        <v>103</v>
      </c>
      <c r="C186" s="135" t="s">
        <v>835</v>
      </c>
      <c r="D186" s="136" t="s">
        <v>274</v>
      </c>
      <c r="E186" s="137" t="s">
        <v>530</v>
      </c>
      <c r="F186" s="138" t="s">
        <v>604</v>
      </c>
      <c r="G186" s="139" t="s">
        <v>610</v>
      </c>
      <c r="H186" s="140" t="str">
        <f t="shared" si="68"/>
        <v>Sanitair</v>
      </c>
      <c r="I186" s="138"/>
      <c r="J186" s="138" t="s">
        <v>1171</v>
      </c>
      <c r="K186" s="141" t="str">
        <f t="shared" si="69"/>
        <v>Omde dag Vol/Nal.</v>
      </c>
      <c r="L186" s="141" t="str">
        <f t="shared" si="70"/>
        <v>Omde dag Nal./Vol</v>
      </c>
      <c r="M186" s="141" t="str">
        <f t="shared" si="71"/>
        <v>Omde dag Vol/Nal.</v>
      </c>
      <c r="N186" s="141" t="str">
        <f t="shared" si="72"/>
        <v>Omde dag Nal./Vol</v>
      </c>
      <c r="O186" s="141" t="str">
        <f t="shared" si="73"/>
        <v>Omde dag Vol/Nal.</v>
      </c>
      <c r="P186" s="141" t="str">
        <f t="shared" si="74"/>
        <v>Omde dag Nal./Vol</v>
      </c>
      <c r="Q186" s="141" t="str">
        <f t="shared" si="75"/>
        <v>Omde dag Vol/Nal.</v>
      </c>
      <c r="R186" s="63" t="s">
        <v>1211</v>
      </c>
      <c r="S186" s="142">
        <f t="shared" si="66"/>
        <v>365</v>
      </c>
      <c r="T186" s="143">
        <v>0</v>
      </c>
      <c r="U186" s="144"/>
      <c r="V186" s="144"/>
      <c r="W186" s="144"/>
      <c r="X186" s="144"/>
      <c r="Y186" s="144"/>
      <c r="Z186" s="145"/>
      <c r="AA186" s="145"/>
      <c r="AB186" s="145"/>
      <c r="AC186" s="145"/>
      <c r="AD186" s="146" t="s">
        <v>1258</v>
      </c>
      <c r="AE186" s="171">
        <v>1</v>
      </c>
      <c r="AF186" s="147">
        <f t="shared" si="76"/>
        <v>0</v>
      </c>
      <c r="AG186" s="147">
        <f t="shared" si="77"/>
        <v>0</v>
      </c>
      <c r="AH186" s="147">
        <f t="shared" si="78"/>
        <v>0</v>
      </c>
      <c r="AI186" s="147">
        <f t="shared" si="79"/>
        <v>0</v>
      </c>
      <c r="AJ186" s="148" t="str">
        <f t="shared" si="80"/>
        <v>ja</v>
      </c>
      <c r="AK186" s="149">
        <f t="shared" si="62"/>
        <v>0</v>
      </c>
      <c r="AL186" s="149">
        <f t="shared" si="63"/>
        <v>0</v>
      </c>
      <c r="AM186" s="149">
        <f t="shared" si="64"/>
        <v>0</v>
      </c>
      <c r="AN186" s="149">
        <f t="shared" si="65"/>
        <v>0</v>
      </c>
      <c r="AO186" s="150" t="str">
        <f t="shared" si="81"/>
        <v>S</v>
      </c>
      <c r="AQ186" s="151">
        <f t="shared" si="82"/>
        <v>0</v>
      </c>
    </row>
    <row r="187" spans="1:43" ht="15" customHeight="1">
      <c r="A187" s="82" t="e">
        <f t="shared" si="67"/>
        <v>#REF!</v>
      </c>
      <c r="B187" s="134">
        <v>103</v>
      </c>
      <c r="C187" s="135" t="s">
        <v>835</v>
      </c>
      <c r="D187" s="136" t="s">
        <v>274</v>
      </c>
      <c r="E187" s="137" t="s">
        <v>530</v>
      </c>
      <c r="F187" s="138" t="s">
        <v>604</v>
      </c>
      <c r="G187" s="139" t="s">
        <v>611</v>
      </c>
      <c r="H187" s="140" t="str">
        <f t="shared" si="68"/>
        <v>Sanitair</v>
      </c>
      <c r="I187" s="138"/>
      <c r="J187" s="138" t="s">
        <v>1171</v>
      </c>
      <c r="K187" s="141" t="str">
        <f t="shared" si="69"/>
        <v>Omde dag Vol/Nal.</v>
      </c>
      <c r="L187" s="141" t="str">
        <f t="shared" si="70"/>
        <v>Omde dag Nal./Vol</v>
      </c>
      <c r="M187" s="141" t="str">
        <f t="shared" si="71"/>
        <v>Omde dag Vol/Nal.</v>
      </c>
      <c r="N187" s="141" t="str">
        <f t="shared" si="72"/>
        <v>Omde dag Nal./Vol</v>
      </c>
      <c r="O187" s="141" t="str">
        <f t="shared" si="73"/>
        <v>Omde dag Vol/Nal.</v>
      </c>
      <c r="P187" s="141" t="str">
        <f t="shared" si="74"/>
        <v>Omde dag Nal./Vol</v>
      </c>
      <c r="Q187" s="141" t="str">
        <f t="shared" si="75"/>
        <v>Omde dag Vol/Nal.</v>
      </c>
      <c r="R187" s="63" t="s">
        <v>1211</v>
      </c>
      <c r="S187" s="142">
        <f t="shared" si="66"/>
        <v>365</v>
      </c>
      <c r="T187" s="143">
        <v>0</v>
      </c>
      <c r="U187" s="144"/>
      <c r="V187" s="144"/>
      <c r="W187" s="144"/>
      <c r="X187" s="144"/>
      <c r="Y187" s="144"/>
      <c r="Z187" s="145"/>
      <c r="AA187" s="145"/>
      <c r="AB187" s="145"/>
      <c r="AC187" s="145"/>
      <c r="AD187" s="146" t="s">
        <v>1258</v>
      </c>
      <c r="AE187" s="171">
        <v>1</v>
      </c>
      <c r="AF187" s="147">
        <f t="shared" si="76"/>
        <v>0</v>
      </c>
      <c r="AG187" s="147">
        <f t="shared" si="77"/>
        <v>0</v>
      </c>
      <c r="AH187" s="147">
        <f t="shared" si="78"/>
        <v>0</v>
      </c>
      <c r="AI187" s="147">
        <f t="shared" si="79"/>
        <v>0</v>
      </c>
      <c r="AJ187" s="148" t="str">
        <f t="shared" si="80"/>
        <v>ja</v>
      </c>
      <c r="AK187" s="149">
        <f t="shared" si="62"/>
        <v>0</v>
      </c>
      <c r="AL187" s="149">
        <f t="shared" si="63"/>
        <v>0</v>
      </c>
      <c r="AM187" s="149">
        <f t="shared" si="64"/>
        <v>0</v>
      </c>
      <c r="AN187" s="149">
        <f t="shared" si="65"/>
        <v>0</v>
      </c>
      <c r="AO187" s="150" t="str">
        <f t="shared" si="81"/>
        <v>S</v>
      </c>
      <c r="AQ187" s="151">
        <f t="shared" si="82"/>
        <v>0</v>
      </c>
    </row>
    <row r="188" spans="1:43" ht="15" customHeight="1">
      <c r="A188" s="82" t="e">
        <f t="shared" si="67"/>
        <v>#REF!</v>
      </c>
      <c r="B188" s="134">
        <v>103</v>
      </c>
      <c r="C188" s="135" t="s">
        <v>835</v>
      </c>
      <c r="D188" s="136" t="s">
        <v>274</v>
      </c>
      <c r="E188" s="137" t="s">
        <v>530</v>
      </c>
      <c r="F188" s="138" t="s">
        <v>604</v>
      </c>
      <c r="G188" s="139" t="s">
        <v>612</v>
      </c>
      <c r="H188" s="140" t="str">
        <f t="shared" si="68"/>
        <v>Sanitair</v>
      </c>
      <c r="I188" s="138"/>
      <c r="J188" s="138" t="s">
        <v>1171</v>
      </c>
      <c r="K188" s="141" t="str">
        <f t="shared" si="69"/>
        <v>Omde dag Vol/Nal.</v>
      </c>
      <c r="L188" s="141" t="str">
        <f t="shared" si="70"/>
        <v>Omde dag Nal./Vol</v>
      </c>
      <c r="M188" s="141" t="str">
        <f t="shared" si="71"/>
        <v>Omde dag Vol/Nal.</v>
      </c>
      <c r="N188" s="141" t="str">
        <f t="shared" si="72"/>
        <v>Omde dag Nal./Vol</v>
      </c>
      <c r="O188" s="141" t="str">
        <f t="shared" si="73"/>
        <v>Omde dag Vol/Nal.</v>
      </c>
      <c r="P188" s="141" t="str">
        <f t="shared" si="74"/>
        <v>Omde dag Nal./Vol</v>
      </c>
      <c r="Q188" s="141" t="str">
        <f t="shared" si="75"/>
        <v>Omde dag Vol/Nal.</v>
      </c>
      <c r="R188" s="63" t="s">
        <v>1211</v>
      </c>
      <c r="S188" s="142">
        <f t="shared" si="66"/>
        <v>365</v>
      </c>
      <c r="T188" s="143">
        <v>0</v>
      </c>
      <c r="U188" s="144"/>
      <c r="V188" s="144"/>
      <c r="W188" s="144"/>
      <c r="X188" s="144"/>
      <c r="Y188" s="144"/>
      <c r="Z188" s="145"/>
      <c r="AA188" s="145"/>
      <c r="AB188" s="145"/>
      <c r="AC188" s="145"/>
      <c r="AD188" s="146" t="s">
        <v>1258</v>
      </c>
      <c r="AE188" s="171">
        <v>1</v>
      </c>
      <c r="AF188" s="147">
        <f t="shared" si="76"/>
        <v>0</v>
      </c>
      <c r="AG188" s="147">
        <f t="shared" si="77"/>
        <v>0</v>
      </c>
      <c r="AH188" s="147">
        <f t="shared" si="78"/>
        <v>0</v>
      </c>
      <c r="AI188" s="147">
        <f t="shared" si="79"/>
        <v>0</v>
      </c>
      <c r="AJ188" s="148" t="str">
        <f t="shared" si="80"/>
        <v>ja</v>
      </c>
      <c r="AK188" s="149">
        <f t="shared" si="62"/>
        <v>0</v>
      </c>
      <c r="AL188" s="149">
        <f t="shared" si="63"/>
        <v>0</v>
      </c>
      <c r="AM188" s="149">
        <f t="shared" si="64"/>
        <v>0</v>
      </c>
      <c r="AN188" s="149">
        <f t="shared" si="65"/>
        <v>0</v>
      </c>
      <c r="AO188" s="150" t="str">
        <f t="shared" si="81"/>
        <v>S</v>
      </c>
      <c r="AQ188" s="151">
        <f t="shared" si="82"/>
        <v>0</v>
      </c>
    </row>
    <row r="189" spans="1:43" ht="15" customHeight="1">
      <c r="A189" s="82" t="e">
        <f t="shared" si="67"/>
        <v>#REF!</v>
      </c>
      <c r="B189" s="134">
        <v>103</v>
      </c>
      <c r="C189" s="135" t="s">
        <v>835</v>
      </c>
      <c r="D189" s="136" t="s">
        <v>274</v>
      </c>
      <c r="E189" s="137" t="s">
        <v>530</v>
      </c>
      <c r="F189" s="138" t="s">
        <v>604</v>
      </c>
      <c r="G189" s="139" t="s">
        <v>614</v>
      </c>
      <c r="H189" s="140" t="str">
        <f t="shared" si="68"/>
        <v>Sanitair</v>
      </c>
      <c r="I189" s="138"/>
      <c r="J189" s="138" t="s">
        <v>1171</v>
      </c>
      <c r="K189" s="141" t="str">
        <f t="shared" si="69"/>
        <v>Omde dag Vol/Nal.</v>
      </c>
      <c r="L189" s="141" t="str">
        <f t="shared" si="70"/>
        <v>Omde dag Nal./Vol</v>
      </c>
      <c r="M189" s="141" t="str">
        <f t="shared" si="71"/>
        <v>Omde dag Vol/Nal.</v>
      </c>
      <c r="N189" s="141" t="str">
        <f t="shared" si="72"/>
        <v>Omde dag Nal./Vol</v>
      </c>
      <c r="O189" s="141" t="str">
        <f t="shared" si="73"/>
        <v>Omde dag Vol/Nal.</v>
      </c>
      <c r="P189" s="141" t="str">
        <f t="shared" si="74"/>
        <v>Omde dag Nal./Vol</v>
      </c>
      <c r="Q189" s="141" t="str">
        <f t="shared" si="75"/>
        <v>Omde dag Vol/Nal.</v>
      </c>
      <c r="R189" s="63" t="s">
        <v>1211</v>
      </c>
      <c r="S189" s="142">
        <f t="shared" si="66"/>
        <v>365</v>
      </c>
      <c r="T189" s="143">
        <v>0</v>
      </c>
      <c r="U189" s="144"/>
      <c r="V189" s="144"/>
      <c r="W189" s="144"/>
      <c r="X189" s="144"/>
      <c r="Y189" s="144"/>
      <c r="Z189" s="145"/>
      <c r="AA189" s="145"/>
      <c r="AB189" s="145"/>
      <c r="AC189" s="145"/>
      <c r="AD189" s="146" t="s">
        <v>1258</v>
      </c>
      <c r="AE189" s="171">
        <v>1</v>
      </c>
      <c r="AF189" s="147">
        <f t="shared" si="76"/>
        <v>0</v>
      </c>
      <c r="AG189" s="147">
        <f t="shared" si="77"/>
        <v>0</v>
      </c>
      <c r="AH189" s="147">
        <f t="shared" si="78"/>
        <v>0</v>
      </c>
      <c r="AI189" s="147">
        <f t="shared" si="79"/>
        <v>0</v>
      </c>
      <c r="AJ189" s="148" t="str">
        <f t="shared" si="80"/>
        <v>ja</v>
      </c>
      <c r="AK189" s="149">
        <f t="shared" si="62"/>
        <v>0</v>
      </c>
      <c r="AL189" s="149">
        <f t="shared" si="63"/>
        <v>0</v>
      </c>
      <c r="AM189" s="149">
        <f t="shared" si="64"/>
        <v>0</v>
      </c>
      <c r="AN189" s="149">
        <f t="shared" si="65"/>
        <v>0</v>
      </c>
      <c r="AO189" s="150" t="str">
        <f t="shared" si="81"/>
        <v>S</v>
      </c>
      <c r="AQ189" s="151">
        <f t="shared" si="82"/>
        <v>0</v>
      </c>
    </row>
    <row r="190" spans="1:43" ht="15" customHeight="1">
      <c r="A190" s="82" t="e">
        <f t="shared" si="67"/>
        <v>#REF!</v>
      </c>
      <c r="B190" s="134">
        <v>103</v>
      </c>
      <c r="C190" s="135" t="s">
        <v>835</v>
      </c>
      <c r="D190" s="136" t="s">
        <v>274</v>
      </c>
      <c r="E190" s="137" t="s">
        <v>530</v>
      </c>
      <c r="F190" s="138" t="s">
        <v>604</v>
      </c>
      <c r="G190" s="139" t="s">
        <v>616</v>
      </c>
      <c r="H190" s="140" t="str">
        <f t="shared" si="68"/>
        <v>Sanitair</v>
      </c>
      <c r="I190" s="138"/>
      <c r="J190" s="138" t="s">
        <v>1171</v>
      </c>
      <c r="K190" s="141" t="str">
        <f t="shared" si="69"/>
        <v>Omde dag Vol/Nal.</v>
      </c>
      <c r="L190" s="141" t="str">
        <f t="shared" si="70"/>
        <v>Omde dag Nal./Vol</v>
      </c>
      <c r="M190" s="141" t="str">
        <f t="shared" si="71"/>
        <v>Omde dag Vol/Nal.</v>
      </c>
      <c r="N190" s="141" t="str">
        <f t="shared" si="72"/>
        <v>Omde dag Nal./Vol</v>
      </c>
      <c r="O190" s="141" t="str">
        <f t="shared" si="73"/>
        <v>Omde dag Vol/Nal.</v>
      </c>
      <c r="P190" s="141" t="str">
        <f t="shared" si="74"/>
        <v>Omde dag Nal./Vol</v>
      </c>
      <c r="Q190" s="141" t="str">
        <f t="shared" si="75"/>
        <v>Omde dag Vol/Nal.</v>
      </c>
      <c r="R190" s="63" t="s">
        <v>1211</v>
      </c>
      <c r="S190" s="142">
        <f t="shared" si="66"/>
        <v>365</v>
      </c>
      <c r="T190" s="143">
        <v>0</v>
      </c>
      <c r="U190" s="144"/>
      <c r="V190" s="144"/>
      <c r="W190" s="144"/>
      <c r="X190" s="144"/>
      <c r="Y190" s="144"/>
      <c r="Z190" s="145"/>
      <c r="AA190" s="145"/>
      <c r="AB190" s="145"/>
      <c r="AC190" s="145"/>
      <c r="AD190" s="146" t="s">
        <v>1258</v>
      </c>
      <c r="AE190" s="171">
        <v>1</v>
      </c>
      <c r="AF190" s="147">
        <f t="shared" si="76"/>
        <v>0</v>
      </c>
      <c r="AG190" s="147">
        <f t="shared" si="77"/>
        <v>0</v>
      </c>
      <c r="AH190" s="147">
        <f t="shared" si="78"/>
        <v>0</v>
      </c>
      <c r="AI190" s="147">
        <f t="shared" si="79"/>
        <v>0</v>
      </c>
      <c r="AJ190" s="148" t="str">
        <f t="shared" si="80"/>
        <v>ja</v>
      </c>
      <c r="AK190" s="149">
        <f t="shared" ref="AK190:AK246" si="83">IF($R190="",0,VLOOKUP($R190,Kengetal,5,FALSE))</f>
        <v>0</v>
      </c>
      <c r="AL190" s="149">
        <f t="shared" ref="AL190:AL246" si="84">IF($R190="",0,VLOOKUP($R190,Kengetal,6,FALSE))</f>
        <v>0</v>
      </c>
      <c r="AM190" s="149">
        <f t="shared" ref="AM190:AM246" si="85">IF($R190="",0,VLOOKUP($R190,Kengetal,7,FALSE))</f>
        <v>0</v>
      </c>
      <c r="AN190" s="149">
        <f t="shared" ref="AN190:AN246" si="86">IF($R190="",0,VLOOKUP($R190,Kengetal,8,FALSE))</f>
        <v>0</v>
      </c>
      <c r="AO190" s="150" t="str">
        <f t="shared" si="81"/>
        <v>S</v>
      </c>
      <c r="AQ190" s="151">
        <f t="shared" si="82"/>
        <v>0</v>
      </c>
    </row>
    <row r="191" spans="1:43" ht="15" customHeight="1">
      <c r="A191" s="82" t="e">
        <f t="shared" si="67"/>
        <v>#REF!</v>
      </c>
      <c r="B191" s="134">
        <v>103</v>
      </c>
      <c r="C191" s="135" t="s">
        <v>835</v>
      </c>
      <c r="D191" s="136" t="s">
        <v>274</v>
      </c>
      <c r="E191" s="137" t="s">
        <v>530</v>
      </c>
      <c r="F191" s="138" t="s">
        <v>604</v>
      </c>
      <c r="G191" s="139" t="s">
        <v>618</v>
      </c>
      <c r="H191" s="140" t="str">
        <f t="shared" si="68"/>
        <v>Sanitair</v>
      </c>
      <c r="I191" s="138" t="s">
        <v>491</v>
      </c>
      <c r="J191" s="138" t="s">
        <v>1171</v>
      </c>
      <c r="K191" s="141" t="str">
        <f t="shared" si="69"/>
        <v>Omde dag Vol/Nal.</v>
      </c>
      <c r="L191" s="141" t="str">
        <f t="shared" si="70"/>
        <v>Omde dag Nal./Vol</v>
      </c>
      <c r="M191" s="141" t="str">
        <f t="shared" si="71"/>
        <v>Omde dag Vol/Nal.</v>
      </c>
      <c r="N191" s="141" t="str">
        <f t="shared" si="72"/>
        <v>Omde dag Nal./Vol</v>
      </c>
      <c r="O191" s="141" t="str">
        <f t="shared" si="73"/>
        <v>Omde dag Vol/Nal.</v>
      </c>
      <c r="P191" s="141" t="str">
        <f t="shared" si="74"/>
        <v>Omde dag Nal./Vol</v>
      </c>
      <c r="Q191" s="141" t="str">
        <f t="shared" si="75"/>
        <v>Omde dag Vol/Nal.</v>
      </c>
      <c r="R191" s="63" t="s">
        <v>1211</v>
      </c>
      <c r="S191" s="142">
        <f t="shared" si="66"/>
        <v>365</v>
      </c>
      <c r="T191" s="143">
        <v>6</v>
      </c>
      <c r="U191" s="144">
        <v>1.5</v>
      </c>
      <c r="V191" s="144"/>
      <c r="W191" s="144"/>
      <c r="X191" s="144"/>
      <c r="Y191" s="144">
        <v>24</v>
      </c>
      <c r="Z191" s="145"/>
      <c r="AA191" s="145"/>
      <c r="AB191" s="145"/>
      <c r="AC191" s="145">
        <v>6</v>
      </c>
      <c r="AD191" s="146" t="s">
        <v>1259</v>
      </c>
      <c r="AE191" s="171">
        <v>1</v>
      </c>
      <c r="AF191" s="147">
        <f t="shared" si="76"/>
        <v>0</v>
      </c>
      <c r="AG191" s="147">
        <f t="shared" si="77"/>
        <v>0</v>
      </c>
      <c r="AH191" s="147">
        <f t="shared" si="78"/>
        <v>0</v>
      </c>
      <c r="AI191" s="147">
        <f t="shared" si="79"/>
        <v>0</v>
      </c>
      <c r="AJ191" s="148" t="str">
        <f t="shared" si="80"/>
        <v>ja</v>
      </c>
      <c r="AK191" s="149">
        <f t="shared" si="83"/>
        <v>0</v>
      </c>
      <c r="AL191" s="149">
        <f t="shared" si="84"/>
        <v>0</v>
      </c>
      <c r="AM191" s="149">
        <f t="shared" si="85"/>
        <v>0</v>
      </c>
      <c r="AN191" s="149">
        <f t="shared" si="86"/>
        <v>0</v>
      </c>
      <c r="AO191" s="150" t="str">
        <f t="shared" si="81"/>
        <v>S</v>
      </c>
      <c r="AQ191" s="151">
        <f t="shared" si="82"/>
        <v>2190</v>
      </c>
    </row>
    <row r="192" spans="1:43" ht="15" customHeight="1">
      <c r="A192" s="82" t="e">
        <f t="shared" si="67"/>
        <v>#REF!</v>
      </c>
      <c r="B192" s="134">
        <v>103</v>
      </c>
      <c r="C192" s="135" t="s">
        <v>835</v>
      </c>
      <c r="D192" s="136" t="s">
        <v>274</v>
      </c>
      <c r="E192" s="137" t="s">
        <v>530</v>
      </c>
      <c r="F192" s="138" t="s">
        <v>604</v>
      </c>
      <c r="G192" s="139" t="s">
        <v>854</v>
      </c>
      <c r="H192" s="140" t="str">
        <f t="shared" si="68"/>
        <v>Sanitair</v>
      </c>
      <c r="I192" s="138" t="s">
        <v>35</v>
      </c>
      <c r="J192" s="138" t="s">
        <v>1171</v>
      </c>
      <c r="K192" s="141" t="str">
        <f t="shared" si="69"/>
        <v>Omde dag Vol/Nal.</v>
      </c>
      <c r="L192" s="141" t="str">
        <f t="shared" si="70"/>
        <v>Omde dag Nal./Vol</v>
      </c>
      <c r="M192" s="141" t="str">
        <f t="shared" si="71"/>
        <v>Omde dag Vol/Nal.</v>
      </c>
      <c r="N192" s="141" t="str">
        <f t="shared" si="72"/>
        <v>Omde dag Nal./Vol</v>
      </c>
      <c r="O192" s="141" t="str">
        <f t="shared" si="73"/>
        <v>Omde dag Vol/Nal.</v>
      </c>
      <c r="P192" s="141" t="str">
        <f t="shared" si="74"/>
        <v>Omde dag Nal./Vol</v>
      </c>
      <c r="Q192" s="141" t="str">
        <f t="shared" si="75"/>
        <v>Omde dag Vol/Nal.</v>
      </c>
      <c r="R192" s="63" t="s">
        <v>1211</v>
      </c>
      <c r="S192" s="142">
        <f t="shared" si="66"/>
        <v>365</v>
      </c>
      <c r="T192" s="143">
        <v>2</v>
      </c>
      <c r="U192" s="144"/>
      <c r="V192" s="144"/>
      <c r="W192" s="144">
        <v>12</v>
      </c>
      <c r="X192" s="144"/>
      <c r="Y192" s="144"/>
      <c r="Z192" s="145"/>
      <c r="AA192" s="145"/>
      <c r="AB192" s="145"/>
      <c r="AC192" s="145"/>
      <c r="AD192" s="146" t="s">
        <v>1259</v>
      </c>
      <c r="AE192" s="171">
        <v>1</v>
      </c>
      <c r="AF192" s="147">
        <f t="shared" si="76"/>
        <v>0</v>
      </c>
      <c r="AG192" s="147">
        <f t="shared" si="77"/>
        <v>0</v>
      </c>
      <c r="AH192" s="147">
        <f t="shared" si="78"/>
        <v>0</v>
      </c>
      <c r="AI192" s="147">
        <f t="shared" si="79"/>
        <v>0</v>
      </c>
      <c r="AJ192" s="148" t="str">
        <f t="shared" si="80"/>
        <v>ja</v>
      </c>
      <c r="AK192" s="149">
        <f t="shared" si="83"/>
        <v>0</v>
      </c>
      <c r="AL192" s="149">
        <f t="shared" si="84"/>
        <v>0</v>
      </c>
      <c r="AM192" s="149">
        <f t="shared" si="85"/>
        <v>0</v>
      </c>
      <c r="AN192" s="149">
        <f t="shared" si="86"/>
        <v>0</v>
      </c>
      <c r="AO192" s="150" t="str">
        <f t="shared" si="81"/>
        <v>S</v>
      </c>
      <c r="AQ192" s="151">
        <f t="shared" si="82"/>
        <v>730</v>
      </c>
    </row>
    <row r="193" spans="1:43" ht="15" customHeight="1">
      <c r="A193" s="82" t="e">
        <f t="shared" si="67"/>
        <v>#REF!</v>
      </c>
      <c r="B193" s="134">
        <v>103</v>
      </c>
      <c r="C193" s="135" t="s">
        <v>835</v>
      </c>
      <c r="D193" s="136" t="s">
        <v>274</v>
      </c>
      <c r="E193" s="137" t="s">
        <v>530</v>
      </c>
      <c r="F193" s="138" t="s">
        <v>604</v>
      </c>
      <c r="G193" s="139" t="s">
        <v>855</v>
      </c>
      <c r="H193" s="140" t="str">
        <f t="shared" si="68"/>
        <v>Sanitair</v>
      </c>
      <c r="I193" s="138" t="s">
        <v>195</v>
      </c>
      <c r="J193" s="138" t="s">
        <v>1171</v>
      </c>
      <c r="K193" s="141" t="str">
        <f t="shared" si="69"/>
        <v>Omde dag Vol/Nal.</v>
      </c>
      <c r="L193" s="141" t="str">
        <f t="shared" si="70"/>
        <v>Omde dag Nal./Vol</v>
      </c>
      <c r="M193" s="141" t="str">
        <f t="shared" si="71"/>
        <v>Omde dag Vol/Nal.</v>
      </c>
      <c r="N193" s="141" t="str">
        <f t="shared" si="72"/>
        <v>Omde dag Nal./Vol</v>
      </c>
      <c r="O193" s="141" t="str">
        <f t="shared" si="73"/>
        <v>Omde dag Vol/Nal.</v>
      </c>
      <c r="P193" s="141" t="str">
        <f t="shared" si="74"/>
        <v>Omde dag Nal./Vol</v>
      </c>
      <c r="Q193" s="141" t="str">
        <f t="shared" si="75"/>
        <v>Omde dag Vol/Nal.</v>
      </c>
      <c r="R193" s="63" t="s">
        <v>1211</v>
      </c>
      <c r="S193" s="142">
        <f t="shared" si="66"/>
        <v>365</v>
      </c>
      <c r="T193" s="143">
        <v>1</v>
      </c>
      <c r="U193" s="144">
        <v>10</v>
      </c>
      <c r="V193" s="144"/>
      <c r="W193" s="144"/>
      <c r="X193" s="144"/>
      <c r="Y193" s="144"/>
      <c r="Z193" s="145"/>
      <c r="AA193" s="145"/>
      <c r="AB193" s="145"/>
      <c r="AC193" s="145">
        <v>1</v>
      </c>
      <c r="AD193" s="146" t="s">
        <v>1259</v>
      </c>
      <c r="AE193" s="171">
        <v>1</v>
      </c>
      <c r="AF193" s="147">
        <f t="shared" si="76"/>
        <v>0</v>
      </c>
      <c r="AG193" s="147">
        <f t="shared" si="77"/>
        <v>0</v>
      </c>
      <c r="AH193" s="147">
        <f t="shared" si="78"/>
        <v>0</v>
      </c>
      <c r="AI193" s="147">
        <f t="shared" si="79"/>
        <v>0</v>
      </c>
      <c r="AJ193" s="148" t="str">
        <f t="shared" si="80"/>
        <v>ja</v>
      </c>
      <c r="AK193" s="149">
        <f t="shared" si="83"/>
        <v>0</v>
      </c>
      <c r="AL193" s="149">
        <f t="shared" si="84"/>
        <v>0</v>
      </c>
      <c r="AM193" s="149">
        <f t="shared" si="85"/>
        <v>0</v>
      </c>
      <c r="AN193" s="149">
        <f t="shared" si="86"/>
        <v>0</v>
      </c>
      <c r="AO193" s="150" t="str">
        <f t="shared" si="81"/>
        <v>S</v>
      </c>
      <c r="AQ193" s="151">
        <f t="shared" si="82"/>
        <v>365</v>
      </c>
    </row>
    <row r="194" spans="1:43" ht="15" customHeight="1">
      <c r="A194" s="82" t="e">
        <f t="shared" si="67"/>
        <v>#REF!</v>
      </c>
      <c r="B194" s="134">
        <v>103</v>
      </c>
      <c r="C194" s="135" t="s">
        <v>835</v>
      </c>
      <c r="D194" s="136" t="s">
        <v>274</v>
      </c>
      <c r="E194" s="137" t="s">
        <v>530</v>
      </c>
      <c r="F194" s="138" t="s">
        <v>604</v>
      </c>
      <c r="G194" s="139" t="s">
        <v>856</v>
      </c>
      <c r="H194" s="140" t="str">
        <f t="shared" si="68"/>
        <v>Sanitair</v>
      </c>
      <c r="I194" s="138" t="s">
        <v>195</v>
      </c>
      <c r="J194" s="138" t="s">
        <v>1171</v>
      </c>
      <c r="K194" s="141" t="str">
        <f t="shared" si="69"/>
        <v>Omde dag Vol/Nal.</v>
      </c>
      <c r="L194" s="141" t="str">
        <f t="shared" si="70"/>
        <v>Omde dag Nal./Vol</v>
      </c>
      <c r="M194" s="141" t="str">
        <f t="shared" si="71"/>
        <v>Omde dag Vol/Nal.</v>
      </c>
      <c r="N194" s="141" t="str">
        <f t="shared" si="72"/>
        <v>Omde dag Nal./Vol</v>
      </c>
      <c r="O194" s="141" t="str">
        <f t="shared" si="73"/>
        <v>Omde dag Vol/Nal.</v>
      </c>
      <c r="P194" s="141" t="str">
        <f t="shared" si="74"/>
        <v>Omde dag Nal./Vol</v>
      </c>
      <c r="Q194" s="141" t="str">
        <f t="shared" si="75"/>
        <v>Omde dag Vol/Nal.</v>
      </c>
      <c r="R194" s="63" t="s">
        <v>1211</v>
      </c>
      <c r="S194" s="142">
        <f t="shared" si="66"/>
        <v>365</v>
      </c>
      <c r="T194" s="143">
        <v>1</v>
      </c>
      <c r="U194" s="144">
        <v>10</v>
      </c>
      <c r="V194" s="144"/>
      <c r="W194" s="144"/>
      <c r="X194" s="144"/>
      <c r="Y194" s="144"/>
      <c r="Z194" s="145"/>
      <c r="AA194" s="145"/>
      <c r="AB194" s="145"/>
      <c r="AC194" s="145">
        <v>1</v>
      </c>
      <c r="AD194" s="146" t="s">
        <v>1259</v>
      </c>
      <c r="AE194" s="171">
        <v>1</v>
      </c>
      <c r="AF194" s="147">
        <f t="shared" si="76"/>
        <v>0</v>
      </c>
      <c r="AG194" s="147">
        <f t="shared" si="77"/>
        <v>0</v>
      </c>
      <c r="AH194" s="147">
        <f t="shared" si="78"/>
        <v>0</v>
      </c>
      <c r="AI194" s="147">
        <f t="shared" si="79"/>
        <v>0</v>
      </c>
      <c r="AJ194" s="148" t="str">
        <f t="shared" si="80"/>
        <v>ja</v>
      </c>
      <c r="AK194" s="149">
        <f t="shared" si="83"/>
        <v>0</v>
      </c>
      <c r="AL194" s="149">
        <f t="shared" si="84"/>
        <v>0</v>
      </c>
      <c r="AM194" s="149">
        <f t="shared" si="85"/>
        <v>0</v>
      </c>
      <c r="AN194" s="149">
        <f t="shared" si="86"/>
        <v>0</v>
      </c>
      <c r="AO194" s="150" t="str">
        <f t="shared" si="81"/>
        <v>S</v>
      </c>
      <c r="AQ194" s="151">
        <f t="shared" si="82"/>
        <v>365</v>
      </c>
    </row>
    <row r="195" spans="1:43" ht="15" customHeight="1">
      <c r="A195" s="82" t="e">
        <f t="shared" si="67"/>
        <v>#REF!</v>
      </c>
      <c r="B195" s="134">
        <v>103</v>
      </c>
      <c r="C195" s="135" t="s">
        <v>835</v>
      </c>
      <c r="D195" s="136" t="s">
        <v>274</v>
      </c>
      <c r="E195" s="137" t="s">
        <v>530</v>
      </c>
      <c r="F195" s="138" t="s">
        <v>604</v>
      </c>
      <c r="G195" s="139" t="s">
        <v>857</v>
      </c>
      <c r="H195" s="140" t="str">
        <f t="shared" si="68"/>
        <v>Sanitair</v>
      </c>
      <c r="I195" s="138"/>
      <c r="J195" s="138" t="s">
        <v>1171</v>
      </c>
      <c r="K195" s="141" t="str">
        <f t="shared" si="69"/>
        <v>Omde dag Vol/Nal.</v>
      </c>
      <c r="L195" s="141" t="str">
        <f t="shared" si="70"/>
        <v>Omde dag Nal./Vol</v>
      </c>
      <c r="M195" s="141" t="str">
        <f t="shared" si="71"/>
        <v>Omde dag Vol/Nal.</v>
      </c>
      <c r="N195" s="141" t="str">
        <f t="shared" si="72"/>
        <v>Omde dag Nal./Vol</v>
      </c>
      <c r="O195" s="141" t="str">
        <f t="shared" si="73"/>
        <v>Omde dag Vol/Nal.</v>
      </c>
      <c r="P195" s="141" t="str">
        <f t="shared" si="74"/>
        <v>Omde dag Nal./Vol</v>
      </c>
      <c r="Q195" s="141" t="str">
        <f t="shared" si="75"/>
        <v>Omde dag Vol/Nal.</v>
      </c>
      <c r="R195" s="63" t="s">
        <v>1211</v>
      </c>
      <c r="S195" s="142">
        <f t="shared" si="66"/>
        <v>365</v>
      </c>
      <c r="T195" s="143">
        <v>0</v>
      </c>
      <c r="U195" s="144"/>
      <c r="V195" s="144"/>
      <c r="W195" s="144"/>
      <c r="X195" s="144"/>
      <c r="Y195" s="144"/>
      <c r="Z195" s="145"/>
      <c r="AA195" s="145"/>
      <c r="AB195" s="145"/>
      <c r="AC195" s="145"/>
      <c r="AD195" s="146" t="s">
        <v>1258</v>
      </c>
      <c r="AE195" s="171">
        <v>1</v>
      </c>
      <c r="AF195" s="147">
        <f t="shared" si="76"/>
        <v>0</v>
      </c>
      <c r="AG195" s="147">
        <f t="shared" si="77"/>
        <v>0</v>
      </c>
      <c r="AH195" s="147">
        <f t="shared" si="78"/>
        <v>0</v>
      </c>
      <c r="AI195" s="147">
        <f t="shared" si="79"/>
        <v>0</v>
      </c>
      <c r="AJ195" s="148" t="str">
        <f t="shared" si="80"/>
        <v>ja</v>
      </c>
      <c r="AK195" s="149">
        <f t="shared" si="83"/>
        <v>0</v>
      </c>
      <c r="AL195" s="149">
        <f t="shared" si="84"/>
        <v>0</v>
      </c>
      <c r="AM195" s="149">
        <f t="shared" si="85"/>
        <v>0</v>
      </c>
      <c r="AN195" s="149">
        <f t="shared" si="86"/>
        <v>0</v>
      </c>
      <c r="AO195" s="150" t="str">
        <f t="shared" si="81"/>
        <v>S</v>
      </c>
      <c r="AQ195" s="151">
        <f t="shared" si="82"/>
        <v>0</v>
      </c>
    </row>
    <row r="196" spans="1:43" ht="15" customHeight="1">
      <c r="A196" s="82" t="e">
        <f t="shared" si="67"/>
        <v>#REF!</v>
      </c>
      <c r="B196" s="134">
        <v>103</v>
      </c>
      <c r="C196" s="135" t="s">
        <v>835</v>
      </c>
      <c r="D196" s="136" t="s">
        <v>274</v>
      </c>
      <c r="E196" s="137" t="s">
        <v>530</v>
      </c>
      <c r="F196" s="138" t="s">
        <v>604</v>
      </c>
      <c r="G196" s="139" t="s">
        <v>858</v>
      </c>
      <c r="H196" s="140" t="str">
        <f t="shared" si="68"/>
        <v>Sanitair</v>
      </c>
      <c r="I196" s="138" t="s">
        <v>195</v>
      </c>
      <c r="J196" s="138" t="s">
        <v>1171</v>
      </c>
      <c r="K196" s="141" t="str">
        <f t="shared" si="69"/>
        <v>Omde dag Vol/Nal.</v>
      </c>
      <c r="L196" s="141" t="str">
        <f t="shared" si="70"/>
        <v>Omde dag Nal./Vol</v>
      </c>
      <c r="M196" s="141" t="str">
        <f t="shared" si="71"/>
        <v>Omde dag Vol/Nal.</v>
      </c>
      <c r="N196" s="141" t="str">
        <f t="shared" si="72"/>
        <v>Omde dag Nal./Vol</v>
      </c>
      <c r="O196" s="141" t="str">
        <f t="shared" si="73"/>
        <v>Omde dag Vol/Nal.</v>
      </c>
      <c r="P196" s="141" t="str">
        <f t="shared" si="74"/>
        <v>Omde dag Nal./Vol</v>
      </c>
      <c r="Q196" s="141" t="str">
        <f t="shared" si="75"/>
        <v>Omde dag Vol/Nal.</v>
      </c>
      <c r="R196" s="63" t="s">
        <v>1211</v>
      </c>
      <c r="S196" s="142">
        <f t="shared" si="66"/>
        <v>365</v>
      </c>
      <c r="T196" s="143">
        <f>(1.4*1.2)*1.3</f>
        <v>2.1840000000000002</v>
      </c>
      <c r="U196" s="144">
        <f>(1.2+1.4+1.2+1.4)*2.15</f>
        <v>11.179999999999998</v>
      </c>
      <c r="V196" s="144"/>
      <c r="W196" s="144"/>
      <c r="X196" s="144"/>
      <c r="Y196" s="144"/>
      <c r="Z196" s="145"/>
      <c r="AA196" s="145"/>
      <c r="AB196" s="145"/>
      <c r="AC196" s="145">
        <f>T196</f>
        <v>2.1840000000000002</v>
      </c>
      <c r="AD196" s="146" t="s">
        <v>683</v>
      </c>
      <c r="AE196" s="171">
        <v>1</v>
      </c>
      <c r="AF196" s="147">
        <f t="shared" si="76"/>
        <v>0</v>
      </c>
      <c r="AG196" s="147">
        <f t="shared" si="77"/>
        <v>0</v>
      </c>
      <c r="AH196" s="147">
        <f t="shared" si="78"/>
        <v>0</v>
      </c>
      <c r="AI196" s="147">
        <f t="shared" si="79"/>
        <v>0</v>
      </c>
      <c r="AJ196" s="148" t="str">
        <f t="shared" si="80"/>
        <v>ja</v>
      </c>
      <c r="AK196" s="149">
        <f t="shared" si="83"/>
        <v>0</v>
      </c>
      <c r="AL196" s="149">
        <f t="shared" si="84"/>
        <v>0</v>
      </c>
      <c r="AM196" s="149">
        <f t="shared" si="85"/>
        <v>0</v>
      </c>
      <c r="AN196" s="149">
        <f t="shared" si="86"/>
        <v>0</v>
      </c>
      <c r="AO196" s="150" t="str">
        <f t="shared" si="81"/>
        <v>S</v>
      </c>
      <c r="AQ196" s="151">
        <f t="shared" si="82"/>
        <v>797.16000000000008</v>
      </c>
    </row>
    <row r="197" spans="1:43" ht="15" customHeight="1">
      <c r="A197" s="82" t="e">
        <f t="shared" si="67"/>
        <v>#REF!</v>
      </c>
      <c r="B197" s="134">
        <v>103</v>
      </c>
      <c r="C197" s="135" t="s">
        <v>835</v>
      </c>
      <c r="D197" s="136" t="s">
        <v>274</v>
      </c>
      <c r="E197" s="137" t="s">
        <v>530</v>
      </c>
      <c r="F197" s="138" t="s">
        <v>604</v>
      </c>
      <c r="G197" s="139" t="s">
        <v>859</v>
      </c>
      <c r="H197" s="140" t="str">
        <f t="shared" si="68"/>
        <v>Sanitair</v>
      </c>
      <c r="I197" s="138" t="s">
        <v>195</v>
      </c>
      <c r="J197" s="138" t="s">
        <v>1171</v>
      </c>
      <c r="K197" s="141" t="str">
        <f t="shared" si="69"/>
        <v>Omde dag Vol/Nal.</v>
      </c>
      <c r="L197" s="141" t="str">
        <f t="shared" si="70"/>
        <v>Omde dag Nal./Vol</v>
      </c>
      <c r="M197" s="141" t="str">
        <f t="shared" si="71"/>
        <v>Omde dag Vol/Nal.</v>
      </c>
      <c r="N197" s="141" t="str">
        <f t="shared" si="72"/>
        <v>Omde dag Nal./Vol</v>
      </c>
      <c r="O197" s="141" t="str">
        <f t="shared" si="73"/>
        <v>Omde dag Vol/Nal.</v>
      </c>
      <c r="P197" s="141" t="str">
        <f t="shared" si="74"/>
        <v>Omde dag Nal./Vol</v>
      </c>
      <c r="Q197" s="141" t="str">
        <f t="shared" si="75"/>
        <v>Omde dag Vol/Nal.</v>
      </c>
      <c r="R197" s="63" t="s">
        <v>1211</v>
      </c>
      <c r="S197" s="142">
        <f t="shared" si="66"/>
        <v>365</v>
      </c>
      <c r="T197" s="143">
        <f>(1.2*1.2)*1.3</f>
        <v>1.8719999999999999</v>
      </c>
      <c r="U197" s="144">
        <f>(1.2+1.2+1.2+1.2)*2.15</f>
        <v>10.319999999999999</v>
      </c>
      <c r="V197" s="144"/>
      <c r="W197" s="144"/>
      <c r="X197" s="144"/>
      <c r="Y197" s="144"/>
      <c r="Z197" s="145"/>
      <c r="AA197" s="145"/>
      <c r="AB197" s="145"/>
      <c r="AC197" s="145">
        <f>T197</f>
        <v>1.8719999999999999</v>
      </c>
      <c r="AD197" s="146" t="s">
        <v>683</v>
      </c>
      <c r="AE197" s="171">
        <v>1</v>
      </c>
      <c r="AF197" s="147">
        <f t="shared" si="76"/>
        <v>0</v>
      </c>
      <c r="AG197" s="147">
        <f t="shared" si="77"/>
        <v>0</v>
      </c>
      <c r="AH197" s="147">
        <f t="shared" si="78"/>
        <v>0</v>
      </c>
      <c r="AI197" s="147">
        <f t="shared" si="79"/>
        <v>0</v>
      </c>
      <c r="AJ197" s="148" t="str">
        <f t="shared" si="80"/>
        <v>ja</v>
      </c>
      <c r="AK197" s="149">
        <f t="shared" si="83"/>
        <v>0</v>
      </c>
      <c r="AL197" s="149">
        <f t="shared" si="84"/>
        <v>0</v>
      </c>
      <c r="AM197" s="149">
        <f t="shared" si="85"/>
        <v>0</v>
      </c>
      <c r="AN197" s="149">
        <f t="shared" si="86"/>
        <v>0</v>
      </c>
      <c r="AO197" s="150" t="str">
        <f t="shared" si="81"/>
        <v>S</v>
      </c>
      <c r="AQ197" s="151">
        <f t="shared" si="82"/>
        <v>683.28</v>
      </c>
    </row>
    <row r="198" spans="1:43" ht="15" customHeight="1">
      <c r="A198" s="82" t="e">
        <f t="shared" si="67"/>
        <v>#REF!</v>
      </c>
      <c r="B198" s="134">
        <v>103</v>
      </c>
      <c r="C198" s="135" t="s">
        <v>835</v>
      </c>
      <c r="D198" s="136" t="s">
        <v>274</v>
      </c>
      <c r="E198" s="137" t="s">
        <v>530</v>
      </c>
      <c r="F198" s="138" t="s">
        <v>604</v>
      </c>
      <c r="G198" s="139" t="s">
        <v>860</v>
      </c>
      <c r="H198" s="140" t="str">
        <f t="shared" si="68"/>
        <v>Sanitair</v>
      </c>
      <c r="I198" s="138" t="s">
        <v>195</v>
      </c>
      <c r="J198" s="138" t="s">
        <v>1171</v>
      </c>
      <c r="K198" s="141" t="str">
        <f t="shared" si="69"/>
        <v>Omde dag Vol/Nal.</v>
      </c>
      <c r="L198" s="141" t="str">
        <f t="shared" si="70"/>
        <v>Omde dag Nal./Vol</v>
      </c>
      <c r="M198" s="141" t="str">
        <f t="shared" si="71"/>
        <v>Omde dag Vol/Nal.</v>
      </c>
      <c r="N198" s="141" t="str">
        <f t="shared" si="72"/>
        <v>Omde dag Nal./Vol</v>
      </c>
      <c r="O198" s="141" t="str">
        <f t="shared" si="73"/>
        <v>Omde dag Vol/Nal.</v>
      </c>
      <c r="P198" s="141" t="str">
        <f t="shared" si="74"/>
        <v>Omde dag Nal./Vol</v>
      </c>
      <c r="Q198" s="141" t="str">
        <f t="shared" si="75"/>
        <v>Omde dag Vol/Nal.</v>
      </c>
      <c r="R198" s="63" t="s">
        <v>1211</v>
      </c>
      <c r="S198" s="142">
        <f t="shared" si="66"/>
        <v>365</v>
      </c>
      <c r="T198" s="143">
        <f>(1.4*1.2)*1.3</f>
        <v>2.1840000000000002</v>
      </c>
      <c r="U198" s="144">
        <f>(1.2+1.4+1.2+1.4)*2.15</f>
        <v>11.179999999999998</v>
      </c>
      <c r="V198" s="144"/>
      <c r="W198" s="144"/>
      <c r="X198" s="144"/>
      <c r="Y198" s="144"/>
      <c r="Z198" s="145"/>
      <c r="AA198" s="145"/>
      <c r="AB198" s="145"/>
      <c r="AC198" s="145">
        <f>T198</f>
        <v>2.1840000000000002</v>
      </c>
      <c r="AD198" s="146" t="s">
        <v>683</v>
      </c>
      <c r="AE198" s="171">
        <v>1</v>
      </c>
      <c r="AF198" s="147">
        <f t="shared" si="76"/>
        <v>0</v>
      </c>
      <c r="AG198" s="147">
        <f t="shared" si="77"/>
        <v>0</v>
      </c>
      <c r="AH198" s="147">
        <f t="shared" si="78"/>
        <v>0</v>
      </c>
      <c r="AI198" s="147">
        <f t="shared" si="79"/>
        <v>0</v>
      </c>
      <c r="AJ198" s="148" t="str">
        <f t="shared" si="80"/>
        <v>ja</v>
      </c>
      <c r="AK198" s="149">
        <f t="shared" si="83"/>
        <v>0</v>
      </c>
      <c r="AL198" s="149">
        <f t="shared" si="84"/>
        <v>0</v>
      </c>
      <c r="AM198" s="149">
        <f t="shared" si="85"/>
        <v>0</v>
      </c>
      <c r="AN198" s="149">
        <f t="shared" si="86"/>
        <v>0</v>
      </c>
      <c r="AO198" s="150" t="str">
        <f t="shared" si="81"/>
        <v>S</v>
      </c>
      <c r="AQ198" s="151">
        <f t="shared" si="82"/>
        <v>797.16000000000008</v>
      </c>
    </row>
    <row r="199" spans="1:43" ht="15" customHeight="1">
      <c r="A199" s="82" t="e">
        <f t="shared" si="67"/>
        <v>#REF!</v>
      </c>
      <c r="B199" s="134">
        <v>103</v>
      </c>
      <c r="C199" s="135" t="s">
        <v>835</v>
      </c>
      <c r="D199" s="136" t="s">
        <v>274</v>
      </c>
      <c r="E199" s="137" t="s">
        <v>530</v>
      </c>
      <c r="F199" s="138" t="s">
        <v>604</v>
      </c>
      <c r="G199" s="139" t="s">
        <v>861</v>
      </c>
      <c r="H199" s="140" t="str">
        <f t="shared" si="68"/>
        <v>Sanitair</v>
      </c>
      <c r="I199" s="138" t="s">
        <v>195</v>
      </c>
      <c r="J199" s="138" t="s">
        <v>1171</v>
      </c>
      <c r="K199" s="141" t="str">
        <f t="shared" si="69"/>
        <v>Omde dag Vol/Nal.</v>
      </c>
      <c r="L199" s="141" t="str">
        <f t="shared" si="70"/>
        <v>Omde dag Nal./Vol</v>
      </c>
      <c r="M199" s="141" t="str">
        <f t="shared" si="71"/>
        <v>Omde dag Vol/Nal.</v>
      </c>
      <c r="N199" s="141" t="str">
        <f t="shared" si="72"/>
        <v>Omde dag Nal./Vol</v>
      </c>
      <c r="O199" s="141" t="str">
        <f t="shared" si="73"/>
        <v>Omde dag Vol/Nal.</v>
      </c>
      <c r="P199" s="141" t="str">
        <f t="shared" si="74"/>
        <v>Omde dag Nal./Vol</v>
      </c>
      <c r="Q199" s="141" t="str">
        <f t="shared" si="75"/>
        <v>Omde dag Vol/Nal.</v>
      </c>
      <c r="R199" s="63" t="s">
        <v>1211</v>
      </c>
      <c r="S199" s="142">
        <f t="shared" si="66"/>
        <v>365</v>
      </c>
      <c r="T199" s="143">
        <f>(1.2*1.2)*1.3</f>
        <v>1.8719999999999999</v>
      </c>
      <c r="U199" s="144">
        <f>(1.2+1.2+1.2+1.2)*2.15</f>
        <v>10.319999999999999</v>
      </c>
      <c r="V199" s="144"/>
      <c r="W199" s="144"/>
      <c r="X199" s="144"/>
      <c r="Y199" s="144"/>
      <c r="Z199" s="145"/>
      <c r="AA199" s="145"/>
      <c r="AB199" s="145"/>
      <c r="AC199" s="145">
        <f>T199</f>
        <v>1.8719999999999999</v>
      </c>
      <c r="AD199" s="146" t="s">
        <v>683</v>
      </c>
      <c r="AE199" s="171">
        <v>1</v>
      </c>
      <c r="AF199" s="147">
        <f t="shared" si="76"/>
        <v>0</v>
      </c>
      <c r="AG199" s="147">
        <f t="shared" si="77"/>
        <v>0</v>
      </c>
      <c r="AH199" s="147">
        <f t="shared" si="78"/>
        <v>0</v>
      </c>
      <c r="AI199" s="147">
        <f t="shared" si="79"/>
        <v>0</v>
      </c>
      <c r="AJ199" s="148" t="str">
        <f t="shared" si="80"/>
        <v>ja</v>
      </c>
      <c r="AK199" s="149">
        <f t="shared" si="83"/>
        <v>0</v>
      </c>
      <c r="AL199" s="149">
        <f t="shared" si="84"/>
        <v>0</v>
      </c>
      <c r="AM199" s="149">
        <f t="shared" si="85"/>
        <v>0</v>
      </c>
      <c r="AN199" s="149">
        <f t="shared" si="86"/>
        <v>0</v>
      </c>
      <c r="AO199" s="150" t="str">
        <f t="shared" si="81"/>
        <v>S</v>
      </c>
      <c r="AQ199" s="151">
        <f t="shared" si="82"/>
        <v>683.28</v>
      </c>
    </row>
    <row r="200" spans="1:43" ht="15" customHeight="1">
      <c r="A200" s="82" t="e">
        <f t="shared" si="67"/>
        <v>#REF!</v>
      </c>
      <c r="B200" s="134">
        <v>103</v>
      </c>
      <c r="C200" s="135" t="s">
        <v>835</v>
      </c>
      <c r="D200" s="136" t="s">
        <v>274</v>
      </c>
      <c r="E200" s="137" t="s">
        <v>530</v>
      </c>
      <c r="F200" s="138" t="s">
        <v>604</v>
      </c>
      <c r="G200" s="139" t="s">
        <v>862</v>
      </c>
      <c r="H200" s="140" t="str">
        <f t="shared" si="68"/>
        <v>Sanitair</v>
      </c>
      <c r="I200" s="138" t="s">
        <v>82</v>
      </c>
      <c r="J200" s="138" t="s">
        <v>1171</v>
      </c>
      <c r="K200" s="141" t="str">
        <f t="shared" si="69"/>
        <v>Omde dag Vol/Nal.</v>
      </c>
      <c r="L200" s="141" t="str">
        <f t="shared" si="70"/>
        <v>Omde dag Nal./Vol</v>
      </c>
      <c r="M200" s="141" t="str">
        <f t="shared" si="71"/>
        <v>Omde dag Vol/Nal.</v>
      </c>
      <c r="N200" s="141" t="str">
        <f t="shared" si="72"/>
        <v>Omde dag Nal./Vol</v>
      </c>
      <c r="O200" s="141" t="str">
        <f t="shared" si="73"/>
        <v>Omde dag Vol/Nal.</v>
      </c>
      <c r="P200" s="141" t="str">
        <f t="shared" si="74"/>
        <v>Omde dag Nal./Vol</v>
      </c>
      <c r="Q200" s="141" t="str">
        <f t="shared" si="75"/>
        <v>Omde dag Vol/Nal.</v>
      </c>
      <c r="R200" s="63" t="s">
        <v>1211</v>
      </c>
      <c r="S200" s="142">
        <f t="shared" si="66"/>
        <v>365</v>
      </c>
      <c r="T200" s="143">
        <f>(1.7*0.95)*1.3</f>
        <v>2.0994999999999999</v>
      </c>
      <c r="U200" s="144">
        <f>(0.95+1.6+0.95+1.6)*2.3</f>
        <v>11.729999999999999</v>
      </c>
      <c r="V200" s="144"/>
      <c r="W200" s="144"/>
      <c r="X200" s="144"/>
      <c r="Y200" s="144"/>
      <c r="Z200" s="145"/>
      <c r="AA200" s="145"/>
      <c r="AB200" s="145"/>
      <c r="AC200" s="145">
        <v>1.6</v>
      </c>
      <c r="AD200" s="146" t="s">
        <v>683</v>
      </c>
      <c r="AE200" s="171">
        <v>1</v>
      </c>
      <c r="AF200" s="147">
        <f t="shared" si="76"/>
        <v>0</v>
      </c>
      <c r="AG200" s="147">
        <f t="shared" si="77"/>
        <v>0</v>
      </c>
      <c r="AH200" s="147">
        <f t="shared" si="78"/>
        <v>0</v>
      </c>
      <c r="AI200" s="147">
        <f t="shared" si="79"/>
        <v>0</v>
      </c>
      <c r="AJ200" s="148" t="str">
        <f t="shared" si="80"/>
        <v>ja</v>
      </c>
      <c r="AK200" s="149">
        <f t="shared" si="83"/>
        <v>0</v>
      </c>
      <c r="AL200" s="149">
        <f t="shared" si="84"/>
        <v>0</v>
      </c>
      <c r="AM200" s="149">
        <f t="shared" si="85"/>
        <v>0</v>
      </c>
      <c r="AN200" s="149">
        <f t="shared" si="86"/>
        <v>0</v>
      </c>
      <c r="AO200" s="150" t="str">
        <f t="shared" si="81"/>
        <v>S</v>
      </c>
      <c r="AQ200" s="151">
        <f t="shared" si="82"/>
        <v>766.3175</v>
      </c>
    </row>
    <row r="201" spans="1:43" ht="15" customHeight="1">
      <c r="A201" s="82" t="e">
        <f t="shared" si="67"/>
        <v>#REF!</v>
      </c>
      <c r="B201" s="134">
        <v>103</v>
      </c>
      <c r="C201" s="135" t="s">
        <v>835</v>
      </c>
      <c r="D201" s="136" t="s">
        <v>274</v>
      </c>
      <c r="E201" s="137" t="s">
        <v>530</v>
      </c>
      <c r="F201" s="138" t="s">
        <v>604</v>
      </c>
      <c r="G201" s="139" t="s">
        <v>863</v>
      </c>
      <c r="H201" s="140" t="str">
        <f t="shared" si="68"/>
        <v>Sanitair</v>
      </c>
      <c r="I201" s="138" t="s">
        <v>82</v>
      </c>
      <c r="J201" s="138" t="s">
        <v>1171</v>
      </c>
      <c r="K201" s="141" t="str">
        <f t="shared" si="69"/>
        <v>Omde dag Vol/Nal.</v>
      </c>
      <c r="L201" s="141" t="str">
        <f t="shared" si="70"/>
        <v>Omde dag Nal./Vol</v>
      </c>
      <c r="M201" s="141" t="str">
        <f t="shared" si="71"/>
        <v>Omde dag Vol/Nal.</v>
      </c>
      <c r="N201" s="141" t="str">
        <f t="shared" si="72"/>
        <v>Omde dag Nal./Vol</v>
      </c>
      <c r="O201" s="141" t="str">
        <f t="shared" si="73"/>
        <v>Omde dag Vol/Nal.</v>
      </c>
      <c r="P201" s="141" t="str">
        <f t="shared" si="74"/>
        <v>Omde dag Nal./Vol</v>
      </c>
      <c r="Q201" s="141" t="str">
        <f t="shared" si="75"/>
        <v>Omde dag Vol/Nal.</v>
      </c>
      <c r="R201" s="63" t="s">
        <v>1211</v>
      </c>
      <c r="S201" s="142">
        <f t="shared" si="66"/>
        <v>365</v>
      </c>
      <c r="T201" s="143">
        <f>(1.2*0.95)*1.3</f>
        <v>1.482</v>
      </c>
      <c r="U201" s="144">
        <f>(1.2+0.95+1.2+0.95)*2.3</f>
        <v>9.8899999999999988</v>
      </c>
      <c r="V201" s="144"/>
      <c r="W201" s="144"/>
      <c r="X201" s="144"/>
      <c r="Y201" s="144"/>
      <c r="Z201" s="145"/>
      <c r="AA201" s="145"/>
      <c r="AB201" s="145"/>
      <c r="AC201" s="145">
        <v>1.1000000000000001</v>
      </c>
      <c r="AD201" s="146" t="s">
        <v>683</v>
      </c>
      <c r="AE201" s="171">
        <v>1</v>
      </c>
      <c r="AF201" s="147">
        <f t="shared" si="76"/>
        <v>0</v>
      </c>
      <c r="AG201" s="147">
        <f t="shared" si="77"/>
        <v>0</v>
      </c>
      <c r="AH201" s="147">
        <f t="shared" si="78"/>
        <v>0</v>
      </c>
      <c r="AI201" s="147">
        <f t="shared" si="79"/>
        <v>0</v>
      </c>
      <c r="AJ201" s="148" t="str">
        <f t="shared" si="80"/>
        <v>ja</v>
      </c>
      <c r="AK201" s="149">
        <f t="shared" si="83"/>
        <v>0</v>
      </c>
      <c r="AL201" s="149">
        <f t="shared" si="84"/>
        <v>0</v>
      </c>
      <c r="AM201" s="149">
        <f t="shared" si="85"/>
        <v>0</v>
      </c>
      <c r="AN201" s="149">
        <f t="shared" si="86"/>
        <v>0</v>
      </c>
      <c r="AO201" s="150" t="str">
        <f t="shared" si="81"/>
        <v>S</v>
      </c>
      <c r="AQ201" s="151">
        <f t="shared" si="82"/>
        <v>540.92999999999995</v>
      </c>
    </row>
    <row r="202" spans="1:43" ht="15" customHeight="1">
      <c r="A202" s="82" t="e">
        <f t="shared" si="67"/>
        <v>#REF!</v>
      </c>
      <c r="B202" s="134">
        <v>103</v>
      </c>
      <c r="C202" s="135" t="s">
        <v>835</v>
      </c>
      <c r="D202" s="136" t="s">
        <v>274</v>
      </c>
      <c r="E202" s="137" t="s">
        <v>530</v>
      </c>
      <c r="F202" s="138" t="s">
        <v>604</v>
      </c>
      <c r="G202" s="139" t="s">
        <v>864</v>
      </c>
      <c r="H202" s="140" t="str">
        <f t="shared" si="68"/>
        <v>Sanitair</v>
      </c>
      <c r="I202" s="138" t="s">
        <v>82</v>
      </c>
      <c r="J202" s="138" t="s">
        <v>1171</v>
      </c>
      <c r="K202" s="141" t="str">
        <f t="shared" si="69"/>
        <v>Omde dag Vol/Nal.</v>
      </c>
      <c r="L202" s="141" t="str">
        <f t="shared" si="70"/>
        <v>Omde dag Nal./Vol</v>
      </c>
      <c r="M202" s="141" t="str">
        <f t="shared" si="71"/>
        <v>Omde dag Vol/Nal.</v>
      </c>
      <c r="N202" s="141" t="str">
        <f t="shared" si="72"/>
        <v>Omde dag Nal./Vol</v>
      </c>
      <c r="O202" s="141" t="str">
        <f t="shared" si="73"/>
        <v>Omde dag Vol/Nal.</v>
      </c>
      <c r="P202" s="141" t="str">
        <f t="shared" si="74"/>
        <v>Omde dag Nal./Vol</v>
      </c>
      <c r="Q202" s="141" t="str">
        <f t="shared" si="75"/>
        <v>Omde dag Vol/Nal.</v>
      </c>
      <c r="R202" s="63" t="s">
        <v>1211</v>
      </c>
      <c r="S202" s="142">
        <f t="shared" si="66"/>
        <v>365</v>
      </c>
      <c r="T202" s="143">
        <f>(1.7*0.95)*1.3</f>
        <v>2.0994999999999999</v>
      </c>
      <c r="U202" s="144">
        <f>(0.95+1.6+0.95+1.6)*2.3</f>
        <v>11.729999999999999</v>
      </c>
      <c r="V202" s="144"/>
      <c r="W202" s="144"/>
      <c r="X202" s="144"/>
      <c r="Y202" s="144"/>
      <c r="Z202" s="145"/>
      <c r="AA202" s="145"/>
      <c r="AB202" s="145"/>
      <c r="AC202" s="145">
        <v>1.6</v>
      </c>
      <c r="AD202" s="146" t="s">
        <v>683</v>
      </c>
      <c r="AE202" s="171">
        <v>1</v>
      </c>
      <c r="AF202" s="147">
        <f t="shared" si="76"/>
        <v>0</v>
      </c>
      <c r="AG202" s="147">
        <f t="shared" si="77"/>
        <v>0</v>
      </c>
      <c r="AH202" s="147">
        <f t="shared" si="78"/>
        <v>0</v>
      </c>
      <c r="AI202" s="147">
        <f t="shared" si="79"/>
        <v>0</v>
      </c>
      <c r="AJ202" s="148" t="str">
        <f t="shared" si="80"/>
        <v>ja</v>
      </c>
      <c r="AK202" s="149">
        <f t="shared" si="83"/>
        <v>0</v>
      </c>
      <c r="AL202" s="149">
        <f t="shared" si="84"/>
        <v>0</v>
      </c>
      <c r="AM202" s="149">
        <f t="shared" si="85"/>
        <v>0</v>
      </c>
      <c r="AN202" s="149">
        <f t="shared" si="86"/>
        <v>0</v>
      </c>
      <c r="AO202" s="150" t="str">
        <f t="shared" si="81"/>
        <v>S</v>
      </c>
      <c r="AQ202" s="151">
        <f t="shared" si="82"/>
        <v>766.3175</v>
      </c>
    </row>
    <row r="203" spans="1:43" ht="15" customHeight="1">
      <c r="A203" s="82" t="e">
        <f t="shared" si="67"/>
        <v>#REF!</v>
      </c>
      <c r="B203" s="134">
        <v>103</v>
      </c>
      <c r="C203" s="135" t="s">
        <v>835</v>
      </c>
      <c r="D203" s="136" t="s">
        <v>274</v>
      </c>
      <c r="E203" s="137" t="s">
        <v>530</v>
      </c>
      <c r="F203" s="138" t="s">
        <v>604</v>
      </c>
      <c r="G203" s="139" t="s">
        <v>865</v>
      </c>
      <c r="H203" s="140" t="str">
        <f t="shared" si="68"/>
        <v>Sanitair</v>
      </c>
      <c r="I203" s="138" t="s">
        <v>82</v>
      </c>
      <c r="J203" s="138" t="s">
        <v>1171</v>
      </c>
      <c r="K203" s="141" t="str">
        <f t="shared" si="69"/>
        <v>Omde dag Vol/Nal.</v>
      </c>
      <c r="L203" s="141" t="str">
        <f t="shared" si="70"/>
        <v>Omde dag Nal./Vol</v>
      </c>
      <c r="M203" s="141" t="str">
        <f t="shared" si="71"/>
        <v>Omde dag Vol/Nal.</v>
      </c>
      <c r="N203" s="141" t="str">
        <f t="shared" si="72"/>
        <v>Omde dag Nal./Vol</v>
      </c>
      <c r="O203" s="141" t="str">
        <f t="shared" si="73"/>
        <v>Omde dag Vol/Nal.</v>
      </c>
      <c r="P203" s="141" t="str">
        <f t="shared" si="74"/>
        <v>Omde dag Nal./Vol</v>
      </c>
      <c r="Q203" s="141" t="str">
        <f t="shared" si="75"/>
        <v>Omde dag Vol/Nal.</v>
      </c>
      <c r="R203" s="63" t="s">
        <v>1211</v>
      </c>
      <c r="S203" s="142">
        <f t="shared" si="66"/>
        <v>365</v>
      </c>
      <c r="T203" s="143">
        <f>(1.2*0.95)*1.3</f>
        <v>1.482</v>
      </c>
      <c r="U203" s="144">
        <f>(1.2+0.95+1.2+0.95)*2.3</f>
        <v>9.8899999999999988</v>
      </c>
      <c r="V203" s="144"/>
      <c r="W203" s="144"/>
      <c r="X203" s="144"/>
      <c r="Y203" s="144"/>
      <c r="Z203" s="145"/>
      <c r="AA203" s="145"/>
      <c r="AB203" s="145"/>
      <c r="AC203" s="145">
        <v>1.1000000000000001</v>
      </c>
      <c r="AD203" s="146" t="s">
        <v>683</v>
      </c>
      <c r="AE203" s="171">
        <v>1</v>
      </c>
      <c r="AF203" s="147">
        <f t="shared" si="76"/>
        <v>0</v>
      </c>
      <c r="AG203" s="147">
        <f t="shared" si="77"/>
        <v>0</v>
      </c>
      <c r="AH203" s="147">
        <f t="shared" si="78"/>
        <v>0</v>
      </c>
      <c r="AI203" s="147">
        <f t="shared" si="79"/>
        <v>0</v>
      </c>
      <c r="AJ203" s="148" t="str">
        <f t="shared" si="80"/>
        <v>ja</v>
      </c>
      <c r="AK203" s="149">
        <f t="shared" si="83"/>
        <v>0</v>
      </c>
      <c r="AL203" s="149">
        <f t="shared" si="84"/>
        <v>0</v>
      </c>
      <c r="AM203" s="149">
        <f t="shared" si="85"/>
        <v>0</v>
      </c>
      <c r="AN203" s="149">
        <f t="shared" si="86"/>
        <v>0</v>
      </c>
      <c r="AO203" s="150" t="str">
        <f t="shared" si="81"/>
        <v>S</v>
      </c>
      <c r="AQ203" s="151">
        <f t="shared" si="82"/>
        <v>540.92999999999995</v>
      </c>
    </row>
    <row r="204" spans="1:43" ht="15" customHeight="1">
      <c r="A204" s="82" t="e">
        <f t="shared" si="67"/>
        <v>#REF!</v>
      </c>
      <c r="B204" s="134">
        <v>103</v>
      </c>
      <c r="C204" s="135" t="s">
        <v>835</v>
      </c>
      <c r="D204" s="136" t="s">
        <v>274</v>
      </c>
      <c r="E204" s="137" t="s">
        <v>530</v>
      </c>
      <c r="F204" s="138" t="s">
        <v>503</v>
      </c>
      <c r="G204" s="139" t="s">
        <v>866</v>
      </c>
      <c r="H204" s="140" t="str">
        <f t="shared" si="68"/>
        <v>Niet van toepassing</v>
      </c>
      <c r="I204" s="138" t="s">
        <v>82</v>
      </c>
      <c r="J204" s="138" t="s">
        <v>1172</v>
      </c>
      <c r="K204" s="141" t="str">
        <f t="shared" si="69"/>
        <v>NVT</v>
      </c>
      <c r="L204" s="141" t="str">
        <f t="shared" si="70"/>
        <v>NVT</v>
      </c>
      <c r="M204" s="141" t="str">
        <f t="shared" si="71"/>
        <v>NVT</v>
      </c>
      <c r="N204" s="141" t="str">
        <f t="shared" si="72"/>
        <v>NVT</v>
      </c>
      <c r="O204" s="141" t="str">
        <f t="shared" si="73"/>
        <v>NVT</v>
      </c>
      <c r="P204" s="141" t="str">
        <f t="shared" si="74"/>
        <v>NVT</v>
      </c>
      <c r="Q204" s="141" t="str">
        <f t="shared" si="75"/>
        <v>NVT</v>
      </c>
      <c r="R204" s="63" t="s">
        <v>1221</v>
      </c>
      <c r="S204" s="142">
        <f t="shared" ref="S204:S267" si="87">VLOOKUP(R204,Kengetal,2,FALSE)</f>
        <v>0</v>
      </c>
      <c r="T204" s="143">
        <f>((5.8*3.9)+(3.5*2.6))*1.3</f>
        <v>41.235999999999997</v>
      </c>
      <c r="U204" s="144"/>
      <c r="V204" s="144"/>
      <c r="W204" s="144">
        <f>(5.8+3.9+2.65+3.5+2.6+7.6)*2.7</f>
        <v>70.334999999999994</v>
      </c>
      <c r="X204" s="144"/>
      <c r="Y204" s="144"/>
      <c r="Z204" s="145"/>
      <c r="AA204" s="145"/>
      <c r="AB204" s="145">
        <f>T204</f>
        <v>41.235999999999997</v>
      </c>
      <c r="AC204" s="145"/>
      <c r="AD204" s="146"/>
      <c r="AE204" s="171">
        <v>1</v>
      </c>
      <c r="AF204" s="147">
        <f t="shared" si="76"/>
        <v>0</v>
      </c>
      <c r="AG204" s="147">
        <f t="shared" si="77"/>
        <v>0</v>
      </c>
      <c r="AH204" s="147">
        <f t="shared" si="78"/>
        <v>0</v>
      </c>
      <c r="AI204" s="147">
        <f t="shared" si="79"/>
        <v>0</v>
      </c>
      <c r="AJ204" s="148">
        <f t="shared" si="80"/>
        <v>0</v>
      </c>
      <c r="AK204" s="149">
        <f t="shared" si="83"/>
        <v>0</v>
      </c>
      <c r="AL204" s="149">
        <f t="shared" si="84"/>
        <v>0</v>
      </c>
      <c r="AM204" s="149">
        <f t="shared" si="85"/>
        <v>0</v>
      </c>
      <c r="AN204" s="149">
        <f t="shared" si="86"/>
        <v>0</v>
      </c>
      <c r="AO204" s="150">
        <f t="shared" si="81"/>
        <v>0</v>
      </c>
      <c r="AQ204" s="151">
        <f t="shared" si="82"/>
        <v>0</v>
      </c>
    </row>
    <row r="205" spans="1:43" ht="15" customHeight="1">
      <c r="A205" s="82" t="e">
        <f t="shared" si="67"/>
        <v>#REF!</v>
      </c>
      <c r="B205" s="134">
        <v>103</v>
      </c>
      <c r="C205" s="135" t="s">
        <v>835</v>
      </c>
      <c r="D205" s="136" t="s">
        <v>274</v>
      </c>
      <c r="E205" s="137" t="s">
        <v>530</v>
      </c>
      <c r="F205" s="138" t="s">
        <v>505</v>
      </c>
      <c r="G205" s="139" t="s">
        <v>867</v>
      </c>
      <c r="H205" s="140" t="str">
        <f t="shared" si="68"/>
        <v>Niet van toepassing</v>
      </c>
      <c r="I205" s="138" t="s">
        <v>18</v>
      </c>
      <c r="J205" s="138" t="s">
        <v>1172</v>
      </c>
      <c r="K205" s="141" t="str">
        <f t="shared" si="69"/>
        <v>NVT</v>
      </c>
      <c r="L205" s="141" t="str">
        <f t="shared" si="70"/>
        <v>NVT</v>
      </c>
      <c r="M205" s="141" t="str">
        <f t="shared" si="71"/>
        <v>NVT</v>
      </c>
      <c r="N205" s="141" t="str">
        <f t="shared" si="72"/>
        <v>NVT</v>
      </c>
      <c r="O205" s="141" t="str">
        <f t="shared" si="73"/>
        <v>NVT</v>
      </c>
      <c r="P205" s="141" t="str">
        <f t="shared" si="74"/>
        <v>NVT</v>
      </c>
      <c r="Q205" s="141" t="str">
        <f t="shared" si="75"/>
        <v>NVT</v>
      </c>
      <c r="R205" s="63" t="s">
        <v>1221</v>
      </c>
      <c r="S205" s="142">
        <f t="shared" si="87"/>
        <v>0</v>
      </c>
      <c r="T205" s="143">
        <v>44</v>
      </c>
      <c r="U205" s="144"/>
      <c r="V205" s="144"/>
      <c r="W205" s="144">
        <v>62</v>
      </c>
      <c r="X205" s="144"/>
      <c r="Y205" s="144"/>
      <c r="Z205" s="145"/>
      <c r="AA205" s="145"/>
      <c r="AB205" s="145"/>
      <c r="AC205" s="145">
        <v>44</v>
      </c>
      <c r="AD205" s="146"/>
      <c r="AE205" s="171">
        <v>1</v>
      </c>
      <c r="AF205" s="147">
        <f t="shared" si="76"/>
        <v>0</v>
      </c>
      <c r="AG205" s="147">
        <f t="shared" si="77"/>
        <v>0</v>
      </c>
      <c r="AH205" s="147">
        <f t="shared" si="78"/>
        <v>0</v>
      </c>
      <c r="AI205" s="147">
        <f t="shared" si="79"/>
        <v>0</v>
      </c>
      <c r="AJ205" s="148">
        <f t="shared" si="80"/>
        <v>0</v>
      </c>
      <c r="AK205" s="149">
        <f t="shared" si="83"/>
        <v>0</v>
      </c>
      <c r="AL205" s="149">
        <f t="shared" si="84"/>
        <v>0</v>
      </c>
      <c r="AM205" s="149">
        <f t="shared" si="85"/>
        <v>0</v>
      </c>
      <c r="AN205" s="149">
        <f t="shared" si="86"/>
        <v>0</v>
      </c>
      <c r="AO205" s="150">
        <f t="shared" si="81"/>
        <v>0</v>
      </c>
      <c r="AQ205" s="151">
        <f t="shared" si="82"/>
        <v>0</v>
      </c>
    </row>
    <row r="206" spans="1:43" ht="15" customHeight="1">
      <c r="A206" s="82" t="e">
        <f t="shared" si="67"/>
        <v>#REF!</v>
      </c>
      <c r="B206" s="134">
        <v>103</v>
      </c>
      <c r="C206" s="135" t="s">
        <v>835</v>
      </c>
      <c r="D206" s="136" t="s">
        <v>274</v>
      </c>
      <c r="E206" s="137" t="s">
        <v>530</v>
      </c>
      <c r="F206" s="138" t="s">
        <v>505</v>
      </c>
      <c r="G206" s="139" t="s">
        <v>868</v>
      </c>
      <c r="H206" s="140" t="str">
        <f t="shared" si="68"/>
        <v>Niet van toepassing</v>
      </c>
      <c r="I206" s="138" t="s">
        <v>1253</v>
      </c>
      <c r="J206" s="138" t="s">
        <v>1172</v>
      </c>
      <c r="K206" s="141" t="str">
        <f t="shared" si="69"/>
        <v>NVT</v>
      </c>
      <c r="L206" s="141" t="str">
        <f t="shared" si="70"/>
        <v>NVT</v>
      </c>
      <c r="M206" s="141" t="str">
        <f t="shared" si="71"/>
        <v>NVT</v>
      </c>
      <c r="N206" s="141" t="str">
        <f t="shared" si="72"/>
        <v>NVT</v>
      </c>
      <c r="O206" s="141" t="str">
        <f t="shared" si="73"/>
        <v>NVT</v>
      </c>
      <c r="P206" s="141" t="str">
        <f t="shared" si="74"/>
        <v>NVT</v>
      </c>
      <c r="Q206" s="141" t="str">
        <f t="shared" si="75"/>
        <v>NVT</v>
      </c>
      <c r="R206" s="63" t="s">
        <v>1221</v>
      </c>
      <c r="S206" s="142">
        <f t="shared" si="87"/>
        <v>0</v>
      </c>
      <c r="T206" s="143">
        <v>24</v>
      </c>
      <c r="U206" s="144"/>
      <c r="V206" s="144"/>
      <c r="W206" s="144">
        <v>38</v>
      </c>
      <c r="X206" s="144"/>
      <c r="Y206" s="144"/>
      <c r="Z206" s="145"/>
      <c r="AA206" s="145">
        <v>24</v>
      </c>
      <c r="AB206" s="145"/>
      <c r="AC206" s="145"/>
      <c r="AD206" s="146"/>
      <c r="AE206" s="171">
        <v>1</v>
      </c>
      <c r="AF206" s="147">
        <f t="shared" si="76"/>
        <v>0</v>
      </c>
      <c r="AG206" s="147">
        <f t="shared" si="77"/>
        <v>0</v>
      </c>
      <c r="AH206" s="147">
        <f t="shared" si="78"/>
        <v>0</v>
      </c>
      <c r="AI206" s="147">
        <f t="shared" si="79"/>
        <v>0</v>
      </c>
      <c r="AJ206" s="148">
        <f t="shared" si="80"/>
        <v>0</v>
      </c>
      <c r="AK206" s="149">
        <f t="shared" si="83"/>
        <v>0</v>
      </c>
      <c r="AL206" s="149">
        <f t="shared" si="84"/>
        <v>0</v>
      </c>
      <c r="AM206" s="149">
        <f t="shared" si="85"/>
        <v>0</v>
      </c>
      <c r="AN206" s="149">
        <f t="shared" si="86"/>
        <v>0</v>
      </c>
      <c r="AO206" s="150">
        <f t="shared" si="81"/>
        <v>0</v>
      </c>
      <c r="AQ206" s="151">
        <f t="shared" si="82"/>
        <v>0</v>
      </c>
    </row>
    <row r="207" spans="1:43" ht="15" customHeight="1">
      <c r="A207" s="82" t="e">
        <f t="shared" si="67"/>
        <v>#REF!</v>
      </c>
      <c r="B207" s="134">
        <v>103</v>
      </c>
      <c r="C207" s="135" t="s">
        <v>835</v>
      </c>
      <c r="D207" s="136" t="s">
        <v>274</v>
      </c>
      <c r="E207" s="137" t="s">
        <v>530</v>
      </c>
      <c r="F207" s="138" t="s">
        <v>263</v>
      </c>
      <c r="G207" s="139" t="s">
        <v>869</v>
      </c>
      <c r="H207" s="140" t="str">
        <f t="shared" si="68"/>
        <v>Niet van toepassing</v>
      </c>
      <c r="I207" s="138"/>
      <c r="J207" s="138" t="s">
        <v>1172</v>
      </c>
      <c r="K207" s="141" t="str">
        <f t="shared" si="69"/>
        <v>NVT</v>
      </c>
      <c r="L207" s="141" t="str">
        <f t="shared" si="70"/>
        <v>NVT</v>
      </c>
      <c r="M207" s="141" t="str">
        <f t="shared" si="71"/>
        <v>NVT</v>
      </c>
      <c r="N207" s="141" t="str">
        <f t="shared" si="72"/>
        <v>NVT</v>
      </c>
      <c r="O207" s="141" t="str">
        <f t="shared" si="73"/>
        <v>NVT</v>
      </c>
      <c r="P207" s="141" t="str">
        <f t="shared" si="74"/>
        <v>NVT</v>
      </c>
      <c r="Q207" s="141" t="str">
        <f t="shared" si="75"/>
        <v>NVT</v>
      </c>
      <c r="R207" s="63" t="s">
        <v>1221</v>
      </c>
      <c r="S207" s="142">
        <f t="shared" si="87"/>
        <v>0</v>
      </c>
      <c r="T207" s="143">
        <v>0</v>
      </c>
      <c r="U207" s="144"/>
      <c r="V207" s="144"/>
      <c r="W207" s="144"/>
      <c r="X207" s="144"/>
      <c r="Y207" s="144"/>
      <c r="Z207" s="145"/>
      <c r="AA207" s="145"/>
      <c r="AB207" s="145"/>
      <c r="AC207" s="145"/>
      <c r="AD207" s="146" t="s">
        <v>885</v>
      </c>
      <c r="AE207" s="171">
        <v>1</v>
      </c>
      <c r="AF207" s="147">
        <f t="shared" si="76"/>
        <v>0</v>
      </c>
      <c r="AG207" s="147">
        <f t="shared" si="77"/>
        <v>0</v>
      </c>
      <c r="AH207" s="147">
        <f t="shared" si="78"/>
        <v>0</v>
      </c>
      <c r="AI207" s="147">
        <f t="shared" si="79"/>
        <v>0</v>
      </c>
      <c r="AJ207" s="148">
        <f t="shared" si="80"/>
        <v>0</v>
      </c>
      <c r="AK207" s="149">
        <f t="shared" si="83"/>
        <v>0</v>
      </c>
      <c r="AL207" s="149">
        <f t="shared" si="84"/>
        <v>0</v>
      </c>
      <c r="AM207" s="149">
        <f t="shared" si="85"/>
        <v>0</v>
      </c>
      <c r="AN207" s="149">
        <f t="shared" si="86"/>
        <v>0</v>
      </c>
      <c r="AO207" s="150">
        <f t="shared" si="81"/>
        <v>0</v>
      </c>
      <c r="AQ207" s="151">
        <f t="shared" si="82"/>
        <v>0</v>
      </c>
    </row>
    <row r="208" spans="1:43" ht="15" customHeight="1">
      <c r="A208" s="82" t="e">
        <f t="shared" ref="A208:A257" si="88">1+A207</f>
        <v>#REF!</v>
      </c>
      <c r="B208" s="134">
        <v>103</v>
      </c>
      <c r="C208" s="135" t="s">
        <v>835</v>
      </c>
      <c r="D208" s="136" t="s">
        <v>274</v>
      </c>
      <c r="E208" s="137" t="s">
        <v>530</v>
      </c>
      <c r="F208" s="138" t="s">
        <v>870</v>
      </c>
      <c r="G208" s="139" t="s">
        <v>871</v>
      </c>
      <c r="H208" s="140" t="str">
        <f t="shared" si="68"/>
        <v>Niet van toepassing</v>
      </c>
      <c r="I208" s="138" t="s">
        <v>82</v>
      </c>
      <c r="J208" s="138" t="s">
        <v>1172</v>
      </c>
      <c r="K208" s="141" t="str">
        <f t="shared" si="69"/>
        <v>NVT</v>
      </c>
      <c r="L208" s="141" t="str">
        <f t="shared" si="70"/>
        <v>NVT</v>
      </c>
      <c r="M208" s="141" t="str">
        <f t="shared" si="71"/>
        <v>NVT</v>
      </c>
      <c r="N208" s="141" t="str">
        <f t="shared" si="72"/>
        <v>NVT</v>
      </c>
      <c r="O208" s="141" t="str">
        <f t="shared" si="73"/>
        <v>NVT</v>
      </c>
      <c r="P208" s="141" t="str">
        <f t="shared" si="74"/>
        <v>NVT</v>
      </c>
      <c r="Q208" s="141" t="str">
        <f t="shared" si="75"/>
        <v>NVT</v>
      </c>
      <c r="R208" s="63" t="s">
        <v>1221</v>
      </c>
      <c r="S208" s="142">
        <f t="shared" si="87"/>
        <v>0</v>
      </c>
      <c r="T208" s="143">
        <v>7.7804999999999991</v>
      </c>
      <c r="U208" s="144"/>
      <c r="V208" s="144"/>
      <c r="W208" s="144"/>
      <c r="X208" s="144"/>
      <c r="Y208" s="144">
        <v>24.24</v>
      </c>
      <c r="Z208" s="145"/>
      <c r="AA208" s="145"/>
      <c r="AB208" s="145"/>
      <c r="AC208" s="145">
        <v>5.9849999999999994</v>
      </c>
      <c r="AD208" s="146" t="s">
        <v>886</v>
      </c>
      <c r="AE208" s="171">
        <v>1</v>
      </c>
      <c r="AF208" s="147">
        <f t="shared" si="76"/>
        <v>0</v>
      </c>
      <c r="AG208" s="147">
        <f t="shared" si="77"/>
        <v>0</v>
      </c>
      <c r="AH208" s="147">
        <f t="shared" si="78"/>
        <v>0</v>
      </c>
      <c r="AI208" s="147">
        <f t="shared" si="79"/>
        <v>0</v>
      </c>
      <c r="AJ208" s="148">
        <f t="shared" si="80"/>
        <v>0</v>
      </c>
      <c r="AK208" s="149">
        <f t="shared" si="83"/>
        <v>0</v>
      </c>
      <c r="AL208" s="149">
        <f t="shared" si="84"/>
        <v>0</v>
      </c>
      <c r="AM208" s="149">
        <f t="shared" si="85"/>
        <v>0</v>
      </c>
      <c r="AN208" s="149">
        <f t="shared" si="86"/>
        <v>0</v>
      </c>
      <c r="AO208" s="150">
        <f t="shared" si="81"/>
        <v>0</v>
      </c>
      <c r="AQ208" s="151">
        <f t="shared" si="82"/>
        <v>0</v>
      </c>
    </row>
    <row r="209" spans="1:43" ht="15" customHeight="1">
      <c r="A209" s="82" t="e">
        <f t="shared" si="88"/>
        <v>#REF!</v>
      </c>
      <c r="B209" s="134">
        <v>103</v>
      </c>
      <c r="C209" s="135" t="s">
        <v>835</v>
      </c>
      <c r="D209" s="136" t="s">
        <v>274</v>
      </c>
      <c r="E209" s="137" t="s">
        <v>530</v>
      </c>
      <c r="F209" s="138" t="s">
        <v>467</v>
      </c>
      <c r="G209" s="139" t="s">
        <v>872</v>
      </c>
      <c r="H209" s="140" t="str">
        <f t="shared" si="68"/>
        <v>Niet van toepassing</v>
      </c>
      <c r="I209" s="138" t="s">
        <v>195</v>
      </c>
      <c r="J209" s="138" t="s">
        <v>1172</v>
      </c>
      <c r="K209" s="141" t="str">
        <f t="shared" si="69"/>
        <v>NVT</v>
      </c>
      <c r="L209" s="141" t="str">
        <f t="shared" si="70"/>
        <v>NVT</v>
      </c>
      <c r="M209" s="141" t="str">
        <f t="shared" si="71"/>
        <v>NVT</v>
      </c>
      <c r="N209" s="141" t="str">
        <f t="shared" si="72"/>
        <v>NVT</v>
      </c>
      <c r="O209" s="141" t="str">
        <f t="shared" si="73"/>
        <v>NVT</v>
      </c>
      <c r="P209" s="141" t="str">
        <f t="shared" si="74"/>
        <v>NVT</v>
      </c>
      <c r="Q209" s="141" t="str">
        <f t="shared" si="75"/>
        <v>NVT</v>
      </c>
      <c r="R209" s="63" t="s">
        <v>1221</v>
      </c>
      <c r="S209" s="142">
        <f t="shared" si="87"/>
        <v>0</v>
      </c>
      <c r="T209" s="143">
        <v>13</v>
      </c>
      <c r="U209" s="144"/>
      <c r="V209" s="144"/>
      <c r="W209" s="144">
        <v>37</v>
      </c>
      <c r="X209" s="144"/>
      <c r="Y209" s="144"/>
      <c r="Z209" s="145"/>
      <c r="AA209" s="145"/>
      <c r="AB209" s="145">
        <v>10</v>
      </c>
      <c r="AC209" s="145"/>
      <c r="AD209" s="146" t="s">
        <v>679</v>
      </c>
      <c r="AE209" s="171">
        <v>1</v>
      </c>
      <c r="AF209" s="147">
        <f t="shared" si="76"/>
        <v>0</v>
      </c>
      <c r="AG209" s="147">
        <f t="shared" si="77"/>
        <v>0</v>
      </c>
      <c r="AH209" s="147">
        <f t="shared" si="78"/>
        <v>0</v>
      </c>
      <c r="AI209" s="147">
        <f t="shared" si="79"/>
        <v>0</v>
      </c>
      <c r="AJ209" s="148">
        <f t="shared" si="80"/>
        <v>0</v>
      </c>
      <c r="AK209" s="149">
        <f t="shared" si="83"/>
        <v>0</v>
      </c>
      <c r="AL209" s="149">
        <f t="shared" si="84"/>
        <v>0</v>
      </c>
      <c r="AM209" s="149">
        <f t="shared" si="85"/>
        <v>0</v>
      </c>
      <c r="AN209" s="149">
        <f t="shared" si="86"/>
        <v>0</v>
      </c>
      <c r="AO209" s="150">
        <f t="shared" si="81"/>
        <v>0</v>
      </c>
      <c r="AQ209" s="151">
        <f t="shared" si="82"/>
        <v>0</v>
      </c>
    </row>
    <row r="210" spans="1:43" ht="15" customHeight="1">
      <c r="A210" s="82" t="e">
        <f t="shared" si="88"/>
        <v>#REF!</v>
      </c>
      <c r="B210" s="134">
        <v>103</v>
      </c>
      <c r="C210" s="135" t="s">
        <v>835</v>
      </c>
      <c r="D210" s="136" t="s">
        <v>274</v>
      </c>
      <c r="E210" s="137" t="s">
        <v>530</v>
      </c>
      <c r="F210" s="138" t="s">
        <v>873</v>
      </c>
      <c r="G210" s="139" t="s">
        <v>874</v>
      </c>
      <c r="H210" s="140" t="str">
        <f t="shared" si="68"/>
        <v>Niet van toepassing</v>
      </c>
      <c r="I210" s="138" t="s">
        <v>270</v>
      </c>
      <c r="J210" s="138" t="s">
        <v>1172</v>
      </c>
      <c r="K210" s="141" t="str">
        <f t="shared" si="69"/>
        <v>NVT</v>
      </c>
      <c r="L210" s="141" t="str">
        <f t="shared" si="70"/>
        <v>NVT</v>
      </c>
      <c r="M210" s="141" t="str">
        <f t="shared" si="71"/>
        <v>NVT</v>
      </c>
      <c r="N210" s="141" t="str">
        <f t="shared" si="72"/>
        <v>NVT</v>
      </c>
      <c r="O210" s="141" t="str">
        <f t="shared" si="73"/>
        <v>NVT</v>
      </c>
      <c r="P210" s="141" t="str">
        <f t="shared" si="74"/>
        <v>NVT</v>
      </c>
      <c r="Q210" s="141" t="str">
        <f t="shared" si="75"/>
        <v>NVT</v>
      </c>
      <c r="R210" s="63" t="s">
        <v>1221</v>
      </c>
      <c r="S210" s="142">
        <f t="shared" si="87"/>
        <v>0</v>
      </c>
      <c r="T210" s="143">
        <v>10.4</v>
      </c>
      <c r="U210" s="144"/>
      <c r="V210" s="144"/>
      <c r="W210" s="144">
        <v>33</v>
      </c>
      <c r="X210" s="144"/>
      <c r="Y210" s="144"/>
      <c r="Z210" s="145"/>
      <c r="AA210" s="145"/>
      <c r="AB210" s="145">
        <v>8</v>
      </c>
      <c r="AC210" s="145"/>
      <c r="AD210" s="146" t="s">
        <v>679</v>
      </c>
      <c r="AE210" s="171">
        <v>1</v>
      </c>
      <c r="AF210" s="147">
        <f t="shared" si="76"/>
        <v>0</v>
      </c>
      <c r="AG210" s="147">
        <f t="shared" si="77"/>
        <v>0</v>
      </c>
      <c r="AH210" s="147">
        <f t="shared" si="78"/>
        <v>0</v>
      </c>
      <c r="AI210" s="147">
        <f t="shared" si="79"/>
        <v>0</v>
      </c>
      <c r="AJ210" s="148">
        <f t="shared" si="80"/>
        <v>0</v>
      </c>
      <c r="AK210" s="149">
        <f t="shared" si="83"/>
        <v>0</v>
      </c>
      <c r="AL210" s="149">
        <f t="shared" si="84"/>
        <v>0</v>
      </c>
      <c r="AM210" s="149">
        <f t="shared" si="85"/>
        <v>0</v>
      </c>
      <c r="AN210" s="149">
        <f t="shared" si="86"/>
        <v>0</v>
      </c>
      <c r="AO210" s="150">
        <f t="shared" si="81"/>
        <v>0</v>
      </c>
      <c r="AQ210" s="151">
        <f t="shared" si="82"/>
        <v>0</v>
      </c>
    </row>
    <row r="211" spans="1:43" ht="15" customHeight="1">
      <c r="A211" s="82" t="e">
        <f t="shared" si="88"/>
        <v>#REF!</v>
      </c>
      <c r="B211" s="134">
        <v>103</v>
      </c>
      <c r="C211" s="135" t="s">
        <v>835</v>
      </c>
      <c r="D211" s="136" t="s">
        <v>274</v>
      </c>
      <c r="E211" s="137" t="s">
        <v>530</v>
      </c>
      <c r="F211" s="138" t="s">
        <v>636</v>
      </c>
      <c r="G211" s="139" t="s">
        <v>875</v>
      </c>
      <c r="H211" s="140" t="str">
        <f t="shared" si="68"/>
        <v>Niet van toepassing</v>
      </c>
      <c r="I211" s="138"/>
      <c r="J211" s="138" t="s">
        <v>1172</v>
      </c>
      <c r="K211" s="141" t="str">
        <f t="shared" si="69"/>
        <v>NVT</v>
      </c>
      <c r="L211" s="141" t="str">
        <f t="shared" si="70"/>
        <v>NVT</v>
      </c>
      <c r="M211" s="141" t="str">
        <f t="shared" si="71"/>
        <v>NVT</v>
      </c>
      <c r="N211" s="141" t="str">
        <f t="shared" si="72"/>
        <v>NVT</v>
      </c>
      <c r="O211" s="141" t="str">
        <f t="shared" si="73"/>
        <v>NVT</v>
      </c>
      <c r="P211" s="141" t="str">
        <f t="shared" si="74"/>
        <v>NVT</v>
      </c>
      <c r="Q211" s="141" t="str">
        <f t="shared" si="75"/>
        <v>NVT</v>
      </c>
      <c r="R211" s="63" t="s">
        <v>1221</v>
      </c>
      <c r="S211" s="142">
        <f t="shared" si="87"/>
        <v>0</v>
      </c>
      <c r="T211" s="143">
        <v>0</v>
      </c>
      <c r="U211" s="144"/>
      <c r="V211" s="144"/>
      <c r="W211" s="144"/>
      <c r="X211" s="144"/>
      <c r="Y211" s="144"/>
      <c r="Z211" s="145"/>
      <c r="AA211" s="145"/>
      <c r="AB211" s="145"/>
      <c r="AC211" s="145"/>
      <c r="AD211" s="146" t="s">
        <v>1258</v>
      </c>
      <c r="AE211" s="171">
        <v>1</v>
      </c>
      <c r="AF211" s="147">
        <f t="shared" si="76"/>
        <v>0</v>
      </c>
      <c r="AG211" s="147">
        <f t="shared" si="77"/>
        <v>0</v>
      </c>
      <c r="AH211" s="147">
        <f t="shared" si="78"/>
        <v>0</v>
      </c>
      <c r="AI211" s="147">
        <f t="shared" si="79"/>
        <v>0</v>
      </c>
      <c r="AJ211" s="148">
        <f t="shared" si="80"/>
        <v>0</v>
      </c>
      <c r="AK211" s="149">
        <f t="shared" si="83"/>
        <v>0</v>
      </c>
      <c r="AL211" s="149">
        <f t="shared" si="84"/>
        <v>0</v>
      </c>
      <c r="AM211" s="149">
        <f t="shared" si="85"/>
        <v>0</v>
      </c>
      <c r="AN211" s="149">
        <f t="shared" si="86"/>
        <v>0</v>
      </c>
      <c r="AO211" s="150">
        <f t="shared" si="81"/>
        <v>0</v>
      </c>
      <c r="AQ211" s="151">
        <f t="shared" si="82"/>
        <v>0</v>
      </c>
    </row>
    <row r="212" spans="1:43" ht="15" customHeight="1">
      <c r="A212" s="82" t="e">
        <f t="shared" si="88"/>
        <v>#REF!</v>
      </c>
      <c r="B212" s="134">
        <v>103</v>
      </c>
      <c r="C212" s="135" t="s">
        <v>835</v>
      </c>
      <c r="D212" s="136" t="s">
        <v>274</v>
      </c>
      <c r="E212" s="137" t="s">
        <v>530</v>
      </c>
      <c r="F212" s="138" t="s">
        <v>876</v>
      </c>
      <c r="G212" s="139" t="s">
        <v>877</v>
      </c>
      <c r="H212" s="140" t="str">
        <f t="shared" si="68"/>
        <v>Niet van toepassing</v>
      </c>
      <c r="I212" s="138"/>
      <c r="J212" s="138" t="s">
        <v>1172</v>
      </c>
      <c r="K212" s="141" t="str">
        <f t="shared" si="69"/>
        <v>NVT</v>
      </c>
      <c r="L212" s="141" t="str">
        <f t="shared" si="70"/>
        <v>NVT</v>
      </c>
      <c r="M212" s="141" t="str">
        <f t="shared" si="71"/>
        <v>NVT</v>
      </c>
      <c r="N212" s="141" t="str">
        <f t="shared" si="72"/>
        <v>NVT</v>
      </c>
      <c r="O212" s="141" t="str">
        <f t="shared" si="73"/>
        <v>NVT</v>
      </c>
      <c r="P212" s="141" t="str">
        <f t="shared" si="74"/>
        <v>NVT</v>
      </c>
      <c r="Q212" s="141" t="str">
        <f t="shared" si="75"/>
        <v>NVT</v>
      </c>
      <c r="R212" s="63" t="s">
        <v>1221</v>
      </c>
      <c r="S212" s="142">
        <f t="shared" si="87"/>
        <v>0</v>
      </c>
      <c r="T212" s="143">
        <v>0</v>
      </c>
      <c r="U212" s="144"/>
      <c r="V212" s="144"/>
      <c r="W212" s="144"/>
      <c r="X212" s="144"/>
      <c r="Y212" s="144"/>
      <c r="Z212" s="145"/>
      <c r="AA212" s="145"/>
      <c r="AB212" s="145"/>
      <c r="AC212" s="145"/>
      <c r="AD212" s="146" t="s">
        <v>1258</v>
      </c>
      <c r="AE212" s="171">
        <v>1</v>
      </c>
      <c r="AF212" s="147">
        <f t="shared" si="76"/>
        <v>0</v>
      </c>
      <c r="AG212" s="147">
        <f t="shared" si="77"/>
        <v>0</v>
      </c>
      <c r="AH212" s="147">
        <f t="shared" si="78"/>
        <v>0</v>
      </c>
      <c r="AI212" s="147">
        <f t="shared" si="79"/>
        <v>0</v>
      </c>
      <c r="AJ212" s="148">
        <f t="shared" si="80"/>
        <v>0</v>
      </c>
      <c r="AK212" s="149">
        <f t="shared" si="83"/>
        <v>0</v>
      </c>
      <c r="AL212" s="149">
        <f t="shared" si="84"/>
        <v>0</v>
      </c>
      <c r="AM212" s="149">
        <f t="shared" si="85"/>
        <v>0</v>
      </c>
      <c r="AN212" s="149">
        <f t="shared" si="86"/>
        <v>0</v>
      </c>
      <c r="AO212" s="150">
        <f t="shared" si="81"/>
        <v>0</v>
      </c>
      <c r="AQ212" s="151">
        <f t="shared" si="82"/>
        <v>0</v>
      </c>
    </row>
    <row r="213" spans="1:43" ht="15" customHeight="1">
      <c r="A213" s="82" t="e">
        <f t="shared" si="88"/>
        <v>#REF!</v>
      </c>
      <c r="B213" s="134">
        <v>103</v>
      </c>
      <c r="C213" s="135" t="s">
        <v>835</v>
      </c>
      <c r="D213" s="136" t="s">
        <v>274</v>
      </c>
      <c r="E213" s="137" t="s">
        <v>530</v>
      </c>
      <c r="F213" s="138" t="s">
        <v>636</v>
      </c>
      <c r="G213" s="139" t="s">
        <v>639</v>
      </c>
      <c r="H213" s="140" t="str">
        <f t="shared" si="68"/>
        <v>Niet van toepassing</v>
      </c>
      <c r="I213" s="138"/>
      <c r="J213" s="138" t="s">
        <v>1172</v>
      </c>
      <c r="K213" s="141" t="str">
        <f t="shared" si="69"/>
        <v>NVT</v>
      </c>
      <c r="L213" s="141" t="str">
        <f t="shared" si="70"/>
        <v>NVT</v>
      </c>
      <c r="M213" s="141" t="str">
        <f t="shared" si="71"/>
        <v>NVT</v>
      </c>
      <c r="N213" s="141" t="str">
        <f t="shared" si="72"/>
        <v>NVT</v>
      </c>
      <c r="O213" s="141" t="str">
        <f t="shared" si="73"/>
        <v>NVT</v>
      </c>
      <c r="P213" s="141" t="str">
        <f t="shared" si="74"/>
        <v>NVT</v>
      </c>
      <c r="Q213" s="141" t="str">
        <f t="shared" si="75"/>
        <v>NVT</v>
      </c>
      <c r="R213" s="63" t="s">
        <v>1221</v>
      </c>
      <c r="S213" s="142">
        <f t="shared" si="87"/>
        <v>0</v>
      </c>
      <c r="T213" s="143">
        <v>0</v>
      </c>
      <c r="U213" s="144"/>
      <c r="V213" s="144"/>
      <c r="W213" s="144"/>
      <c r="X213" s="144"/>
      <c r="Y213" s="144"/>
      <c r="Z213" s="145"/>
      <c r="AA213" s="145"/>
      <c r="AB213" s="145"/>
      <c r="AC213" s="145"/>
      <c r="AD213" s="146" t="s">
        <v>1258</v>
      </c>
      <c r="AE213" s="171">
        <v>1</v>
      </c>
      <c r="AF213" s="147">
        <f t="shared" si="76"/>
        <v>0</v>
      </c>
      <c r="AG213" s="147">
        <f t="shared" si="77"/>
        <v>0</v>
      </c>
      <c r="AH213" s="147">
        <f t="shared" si="78"/>
        <v>0</v>
      </c>
      <c r="AI213" s="147">
        <f t="shared" si="79"/>
        <v>0</v>
      </c>
      <c r="AJ213" s="148">
        <f t="shared" si="80"/>
        <v>0</v>
      </c>
      <c r="AK213" s="149">
        <f t="shared" si="83"/>
        <v>0</v>
      </c>
      <c r="AL213" s="149">
        <f t="shared" si="84"/>
        <v>0</v>
      </c>
      <c r="AM213" s="149">
        <f t="shared" si="85"/>
        <v>0</v>
      </c>
      <c r="AN213" s="149">
        <f t="shared" si="86"/>
        <v>0</v>
      </c>
      <c r="AO213" s="150">
        <f t="shared" si="81"/>
        <v>0</v>
      </c>
      <c r="AQ213" s="151">
        <f t="shared" si="82"/>
        <v>0</v>
      </c>
    </row>
    <row r="214" spans="1:43" ht="15" customHeight="1">
      <c r="A214" s="82" t="e">
        <f t="shared" si="88"/>
        <v>#REF!</v>
      </c>
      <c r="B214" s="134">
        <v>103</v>
      </c>
      <c r="C214" s="135" t="s">
        <v>835</v>
      </c>
      <c r="D214" s="136" t="s">
        <v>274</v>
      </c>
      <c r="E214" s="137" t="s">
        <v>530</v>
      </c>
      <c r="F214" s="138" t="s">
        <v>876</v>
      </c>
      <c r="G214" s="139" t="s">
        <v>641</v>
      </c>
      <c r="H214" s="140" t="str">
        <f t="shared" si="68"/>
        <v>Niet van toepassing</v>
      </c>
      <c r="I214" s="138"/>
      <c r="J214" s="138" t="s">
        <v>1172</v>
      </c>
      <c r="K214" s="141" t="str">
        <f t="shared" si="69"/>
        <v>NVT</v>
      </c>
      <c r="L214" s="141" t="str">
        <f t="shared" si="70"/>
        <v>NVT</v>
      </c>
      <c r="M214" s="141" t="str">
        <f t="shared" si="71"/>
        <v>NVT</v>
      </c>
      <c r="N214" s="141" t="str">
        <f t="shared" si="72"/>
        <v>NVT</v>
      </c>
      <c r="O214" s="141" t="str">
        <f t="shared" si="73"/>
        <v>NVT</v>
      </c>
      <c r="P214" s="141" t="str">
        <f t="shared" si="74"/>
        <v>NVT</v>
      </c>
      <c r="Q214" s="141" t="str">
        <f t="shared" si="75"/>
        <v>NVT</v>
      </c>
      <c r="R214" s="63" t="s">
        <v>1221</v>
      </c>
      <c r="S214" s="142">
        <f t="shared" si="87"/>
        <v>0</v>
      </c>
      <c r="T214" s="143">
        <v>0</v>
      </c>
      <c r="U214" s="144"/>
      <c r="V214" s="144"/>
      <c r="W214" s="144"/>
      <c r="X214" s="144"/>
      <c r="Y214" s="144"/>
      <c r="Z214" s="145"/>
      <c r="AA214" s="145"/>
      <c r="AB214" s="145"/>
      <c r="AC214" s="145"/>
      <c r="AD214" s="146" t="s">
        <v>1258</v>
      </c>
      <c r="AE214" s="171">
        <v>1</v>
      </c>
      <c r="AF214" s="147">
        <f t="shared" si="76"/>
        <v>0</v>
      </c>
      <c r="AG214" s="147">
        <f t="shared" si="77"/>
        <v>0</v>
      </c>
      <c r="AH214" s="147">
        <f t="shared" si="78"/>
        <v>0</v>
      </c>
      <c r="AI214" s="147">
        <f t="shared" si="79"/>
        <v>0</v>
      </c>
      <c r="AJ214" s="148">
        <f t="shared" si="80"/>
        <v>0</v>
      </c>
      <c r="AK214" s="149">
        <f t="shared" si="83"/>
        <v>0</v>
      </c>
      <c r="AL214" s="149">
        <f t="shared" si="84"/>
        <v>0</v>
      </c>
      <c r="AM214" s="149">
        <f t="shared" si="85"/>
        <v>0</v>
      </c>
      <c r="AN214" s="149">
        <f t="shared" si="86"/>
        <v>0</v>
      </c>
      <c r="AO214" s="150">
        <f t="shared" si="81"/>
        <v>0</v>
      </c>
      <c r="AQ214" s="151">
        <f t="shared" si="82"/>
        <v>0</v>
      </c>
    </row>
    <row r="215" spans="1:43" ht="15" customHeight="1">
      <c r="A215" s="82" t="e">
        <f t="shared" si="88"/>
        <v>#REF!</v>
      </c>
      <c r="B215" s="134">
        <v>103</v>
      </c>
      <c r="C215" s="135" t="s">
        <v>835</v>
      </c>
      <c r="D215" s="136" t="s">
        <v>274</v>
      </c>
      <c r="E215" s="137" t="s">
        <v>530</v>
      </c>
      <c r="F215" s="138" t="s">
        <v>636</v>
      </c>
      <c r="G215" s="139" t="s">
        <v>644</v>
      </c>
      <c r="H215" s="140" t="str">
        <f t="shared" si="68"/>
        <v>Niet van toepassing</v>
      </c>
      <c r="I215" s="138"/>
      <c r="J215" s="138" t="s">
        <v>1172</v>
      </c>
      <c r="K215" s="141" t="str">
        <f t="shared" si="69"/>
        <v>NVT</v>
      </c>
      <c r="L215" s="141" t="str">
        <f t="shared" si="70"/>
        <v>NVT</v>
      </c>
      <c r="M215" s="141" t="str">
        <f t="shared" si="71"/>
        <v>NVT</v>
      </c>
      <c r="N215" s="141" t="str">
        <f t="shared" si="72"/>
        <v>NVT</v>
      </c>
      <c r="O215" s="141" t="str">
        <f t="shared" si="73"/>
        <v>NVT</v>
      </c>
      <c r="P215" s="141" t="str">
        <f t="shared" si="74"/>
        <v>NVT</v>
      </c>
      <c r="Q215" s="141" t="str">
        <f t="shared" si="75"/>
        <v>NVT</v>
      </c>
      <c r="R215" s="63" t="s">
        <v>1221</v>
      </c>
      <c r="S215" s="142">
        <f t="shared" si="87"/>
        <v>0</v>
      </c>
      <c r="T215" s="143">
        <v>0</v>
      </c>
      <c r="U215" s="144"/>
      <c r="V215" s="144"/>
      <c r="W215" s="144"/>
      <c r="X215" s="144"/>
      <c r="Y215" s="144"/>
      <c r="Z215" s="145"/>
      <c r="AA215" s="145"/>
      <c r="AB215" s="145"/>
      <c r="AC215" s="145"/>
      <c r="AD215" s="146" t="s">
        <v>1258</v>
      </c>
      <c r="AE215" s="171">
        <v>1</v>
      </c>
      <c r="AF215" s="147">
        <f t="shared" si="76"/>
        <v>0</v>
      </c>
      <c r="AG215" s="147">
        <f t="shared" si="77"/>
        <v>0</v>
      </c>
      <c r="AH215" s="147">
        <f t="shared" si="78"/>
        <v>0</v>
      </c>
      <c r="AI215" s="147">
        <f t="shared" si="79"/>
        <v>0</v>
      </c>
      <c r="AJ215" s="148">
        <f t="shared" si="80"/>
        <v>0</v>
      </c>
      <c r="AK215" s="149">
        <f t="shared" si="83"/>
        <v>0</v>
      </c>
      <c r="AL215" s="149">
        <f t="shared" si="84"/>
        <v>0</v>
      </c>
      <c r="AM215" s="149">
        <f t="shared" si="85"/>
        <v>0</v>
      </c>
      <c r="AN215" s="149">
        <f t="shared" si="86"/>
        <v>0</v>
      </c>
      <c r="AO215" s="150">
        <f t="shared" si="81"/>
        <v>0</v>
      </c>
      <c r="AQ215" s="151">
        <f t="shared" si="82"/>
        <v>0</v>
      </c>
    </row>
    <row r="216" spans="1:43" ht="15" customHeight="1">
      <c r="A216" s="82" t="e">
        <f t="shared" si="88"/>
        <v>#REF!</v>
      </c>
      <c r="B216" s="134">
        <v>103</v>
      </c>
      <c r="C216" s="135" t="s">
        <v>835</v>
      </c>
      <c r="D216" s="136" t="s">
        <v>274</v>
      </c>
      <c r="E216" s="137" t="s">
        <v>530</v>
      </c>
      <c r="F216" s="138" t="s">
        <v>876</v>
      </c>
      <c r="G216" s="139" t="s">
        <v>635</v>
      </c>
      <c r="H216" s="140" t="str">
        <f t="shared" si="68"/>
        <v>Niet van toepassing</v>
      </c>
      <c r="I216" s="138"/>
      <c r="J216" s="138" t="s">
        <v>1172</v>
      </c>
      <c r="K216" s="141" t="str">
        <f t="shared" si="69"/>
        <v>NVT</v>
      </c>
      <c r="L216" s="141" t="str">
        <f t="shared" si="70"/>
        <v>NVT</v>
      </c>
      <c r="M216" s="141" t="str">
        <f t="shared" si="71"/>
        <v>NVT</v>
      </c>
      <c r="N216" s="141" t="str">
        <f t="shared" si="72"/>
        <v>NVT</v>
      </c>
      <c r="O216" s="141" t="str">
        <f t="shared" si="73"/>
        <v>NVT</v>
      </c>
      <c r="P216" s="141" t="str">
        <f t="shared" si="74"/>
        <v>NVT</v>
      </c>
      <c r="Q216" s="141" t="str">
        <f t="shared" si="75"/>
        <v>NVT</v>
      </c>
      <c r="R216" s="63" t="s">
        <v>1221</v>
      </c>
      <c r="S216" s="142">
        <f t="shared" si="87"/>
        <v>0</v>
      </c>
      <c r="T216" s="143">
        <v>0</v>
      </c>
      <c r="U216" s="144"/>
      <c r="V216" s="144"/>
      <c r="W216" s="144"/>
      <c r="X216" s="144"/>
      <c r="Y216" s="144"/>
      <c r="Z216" s="145"/>
      <c r="AA216" s="145"/>
      <c r="AB216" s="145"/>
      <c r="AC216" s="145"/>
      <c r="AD216" s="146" t="s">
        <v>1258</v>
      </c>
      <c r="AE216" s="171">
        <v>1</v>
      </c>
      <c r="AF216" s="147">
        <f t="shared" si="76"/>
        <v>0</v>
      </c>
      <c r="AG216" s="147">
        <f t="shared" si="77"/>
        <v>0</v>
      </c>
      <c r="AH216" s="147">
        <f t="shared" si="78"/>
        <v>0</v>
      </c>
      <c r="AI216" s="147">
        <f t="shared" si="79"/>
        <v>0</v>
      </c>
      <c r="AJ216" s="148">
        <f t="shared" si="80"/>
        <v>0</v>
      </c>
      <c r="AK216" s="149">
        <f t="shared" si="83"/>
        <v>0</v>
      </c>
      <c r="AL216" s="149">
        <f t="shared" si="84"/>
        <v>0</v>
      </c>
      <c r="AM216" s="149">
        <f t="shared" si="85"/>
        <v>0</v>
      </c>
      <c r="AN216" s="149">
        <f t="shared" si="86"/>
        <v>0</v>
      </c>
      <c r="AO216" s="150">
        <f t="shared" si="81"/>
        <v>0</v>
      </c>
      <c r="AQ216" s="151">
        <f t="shared" si="82"/>
        <v>0</v>
      </c>
    </row>
    <row r="217" spans="1:43" ht="15" customHeight="1">
      <c r="A217" s="82" t="e">
        <f t="shared" si="88"/>
        <v>#REF!</v>
      </c>
      <c r="B217" s="134">
        <v>103</v>
      </c>
      <c r="C217" s="135" t="s">
        <v>835</v>
      </c>
      <c r="D217" s="136" t="s">
        <v>274</v>
      </c>
      <c r="E217" s="137" t="s">
        <v>530</v>
      </c>
      <c r="F217" s="138" t="s">
        <v>636</v>
      </c>
      <c r="G217" s="139" t="s">
        <v>638</v>
      </c>
      <c r="H217" s="140" t="str">
        <f t="shared" ref="H217:H266" si="89">VLOOKUP(R217,Kengetal,3,FALSE)</f>
        <v>Niet van toepassing</v>
      </c>
      <c r="I217" s="138" t="s">
        <v>491</v>
      </c>
      <c r="J217" s="138" t="s">
        <v>1172</v>
      </c>
      <c r="K217" s="141" t="str">
        <f t="shared" ref="K217:K266" si="90">IF($R217="",0,VLOOKUP($R217,Kengetal,14,FALSE))</f>
        <v>NVT</v>
      </c>
      <c r="L217" s="141" t="str">
        <f t="shared" ref="L217:L266" si="91">IF($R217="",0,VLOOKUP($R217,Kengetal,15,FALSE))</f>
        <v>NVT</v>
      </c>
      <c r="M217" s="141" t="str">
        <f t="shared" ref="M217:M266" si="92">IF($R217="",0,VLOOKUP($R217,Kengetal,16,FALSE))</f>
        <v>NVT</v>
      </c>
      <c r="N217" s="141" t="str">
        <f t="shared" ref="N217:N266" si="93">IF($R217="",0,VLOOKUP($R217,Kengetal,17,FALSE))</f>
        <v>NVT</v>
      </c>
      <c r="O217" s="141" t="str">
        <f t="shared" ref="O217:O266" si="94">IF($R217="",0,VLOOKUP($R217,Kengetal,18,FALSE))</f>
        <v>NVT</v>
      </c>
      <c r="P217" s="141" t="str">
        <f t="shared" ref="P217:P266" si="95">IF($R217="",0,VLOOKUP($R217,Kengetal,19,FALSE))</f>
        <v>NVT</v>
      </c>
      <c r="Q217" s="141" t="str">
        <f t="shared" ref="Q217:Q266" si="96">IF($R217="",0,VLOOKUP($R217,Kengetal,20,FALSE))</f>
        <v>NVT</v>
      </c>
      <c r="R217" s="63" t="s">
        <v>1221</v>
      </c>
      <c r="S217" s="142">
        <f t="shared" si="87"/>
        <v>0</v>
      </c>
      <c r="T217" s="143">
        <v>85</v>
      </c>
      <c r="U217" s="144"/>
      <c r="V217" s="144"/>
      <c r="W217" s="144">
        <v>35</v>
      </c>
      <c r="X217" s="144"/>
      <c r="Y217" s="144">
        <v>35</v>
      </c>
      <c r="Z217" s="145"/>
      <c r="AA217" s="145"/>
      <c r="AB217" s="145"/>
      <c r="AC217" s="145">
        <v>85</v>
      </c>
      <c r="AD217" s="146" t="s">
        <v>1232</v>
      </c>
      <c r="AE217" s="171">
        <v>1</v>
      </c>
      <c r="AF217" s="147">
        <f t="shared" ref="AF217:AF266" si="97">T217*AK217*AE217</f>
        <v>0</v>
      </c>
      <c r="AG217" s="147">
        <f t="shared" ref="AG217:AG266" si="98">T217*AL217*AE217</f>
        <v>0</v>
      </c>
      <c r="AH217" s="147">
        <f t="shared" ref="AH217:AH266" si="99">T217*AM217*AE217</f>
        <v>0</v>
      </c>
      <c r="AI217" s="147">
        <f t="shared" ref="AI217:AI266" si="100">T217*AN217*AE217</f>
        <v>0</v>
      </c>
      <c r="AJ217" s="148">
        <f t="shared" ref="AJ217:AJ266" si="101">IF($R217="",0,VLOOKUP($R217,Kengetal,12,FALSE))</f>
        <v>0</v>
      </c>
      <c r="AK217" s="149">
        <f t="shared" si="83"/>
        <v>0</v>
      </c>
      <c r="AL217" s="149">
        <f t="shared" si="84"/>
        <v>0</v>
      </c>
      <c r="AM217" s="149">
        <f t="shared" si="85"/>
        <v>0</v>
      </c>
      <c r="AN217" s="149">
        <f t="shared" si="86"/>
        <v>0</v>
      </c>
      <c r="AO217" s="150">
        <f t="shared" ref="AO217:AO266" si="102">IF($R217="",0,VLOOKUP($R217,Kengetal,13,FALSE))</f>
        <v>0</v>
      </c>
      <c r="AQ217" s="151">
        <f t="shared" ref="AQ217:AQ266" si="103">T217*S217</f>
        <v>0</v>
      </c>
    </row>
    <row r="218" spans="1:43" ht="15" customHeight="1">
      <c r="A218" s="82" t="e">
        <f t="shared" si="88"/>
        <v>#REF!</v>
      </c>
      <c r="B218" s="134">
        <v>103</v>
      </c>
      <c r="C218" s="135" t="s">
        <v>835</v>
      </c>
      <c r="D218" s="136" t="s">
        <v>274</v>
      </c>
      <c r="E218" s="137" t="s">
        <v>530</v>
      </c>
      <c r="F218" s="138" t="s">
        <v>636</v>
      </c>
      <c r="G218" s="139" t="s">
        <v>640</v>
      </c>
      <c r="H218" s="140" t="str">
        <f t="shared" si="89"/>
        <v>Niet van toepassing</v>
      </c>
      <c r="I218" s="138"/>
      <c r="J218" s="138" t="s">
        <v>1172</v>
      </c>
      <c r="K218" s="141" t="str">
        <f t="shared" si="90"/>
        <v>NVT</v>
      </c>
      <c r="L218" s="141" t="str">
        <f t="shared" si="91"/>
        <v>NVT</v>
      </c>
      <c r="M218" s="141" t="str">
        <f t="shared" si="92"/>
        <v>NVT</v>
      </c>
      <c r="N218" s="141" t="str">
        <f t="shared" si="93"/>
        <v>NVT</v>
      </c>
      <c r="O218" s="141" t="str">
        <f t="shared" si="94"/>
        <v>NVT</v>
      </c>
      <c r="P218" s="141" t="str">
        <f t="shared" si="95"/>
        <v>NVT</v>
      </c>
      <c r="Q218" s="141" t="str">
        <f t="shared" si="96"/>
        <v>NVT</v>
      </c>
      <c r="R218" s="63" t="s">
        <v>1221</v>
      </c>
      <c r="S218" s="142">
        <f t="shared" si="87"/>
        <v>0</v>
      </c>
      <c r="T218" s="143">
        <v>0</v>
      </c>
      <c r="U218" s="144"/>
      <c r="V218" s="144"/>
      <c r="W218" s="144"/>
      <c r="X218" s="144"/>
      <c r="Y218" s="144"/>
      <c r="Z218" s="145"/>
      <c r="AA218" s="145"/>
      <c r="AB218" s="145"/>
      <c r="AC218" s="145"/>
      <c r="AD218" s="146" t="s">
        <v>1258</v>
      </c>
      <c r="AE218" s="171">
        <v>1</v>
      </c>
      <c r="AF218" s="147">
        <f t="shared" si="97"/>
        <v>0</v>
      </c>
      <c r="AG218" s="147">
        <f t="shared" si="98"/>
        <v>0</v>
      </c>
      <c r="AH218" s="147">
        <f t="shared" si="99"/>
        <v>0</v>
      </c>
      <c r="AI218" s="147">
        <f t="shared" si="100"/>
        <v>0</v>
      </c>
      <c r="AJ218" s="148">
        <f t="shared" si="101"/>
        <v>0</v>
      </c>
      <c r="AK218" s="149">
        <f t="shared" si="83"/>
        <v>0</v>
      </c>
      <c r="AL218" s="149">
        <f t="shared" si="84"/>
        <v>0</v>
      </c>
      <c r="AM218" s="149">
        <f t="shared" si="85"/>
        <v>0</v>
      </c>
      <c r="AN218" s="149">
        <f t="shared" si="86"/>
        <v>0</v>
      </c>
      <c r="AO218" s="150">
        <f t="shared" si="102"/>
        <v>0</v>
      </c>
      <c r="AQ218" s="151">
        <f t="shared" si="103"/>
        <v>0</v>
      </c>
    </row>
    <row r="219" spans="1:43" ht="15" customHeight="1">
      <c r="A219" s="82" t="e">
        <f t="shared" si="88"/>
        <v>#REF!</v>
      </c>
      <c r="B219" s="134">
        <v>103</v>
      </c>
      <c r="C219" s="135" t="s">
        <v>835</v>
      </c>
      <c r="D219" s="136" t="s">
        <v>274</v>
      </c>
      <c r="E219" s="137" t="s">
        <v>530</v>
      </c>
      <c r="F219" s="138" t="s">
        <v>876</v>
      </c>
      <c r="G219" s="139" t="s">
        <v>642</v>
      </c>
      <c r="H219" s="140" t="str">
        <f t="shared" si="89"/>
        <v>Niet van toepassing</v>
      </c>
      <c r="I219" s="138"/>
      <c r="J219" s="138" t="s">
        <v>1172</v>
      </c>
      <c r="K219" s="141" t="str">
        <f t="shared" si="90"/>
        <v>NVT</v>
      </c>
      <c r="L219" s="141" t="str">
        <f t="shared" si="91"/>
        <v>NVT</v>
      </c>
      <c r="M219" s="141" t="str">
        <f t="shared" si="92"/>
        <v>NVT</v>
      </c>
      <c r="N219" s="141" t="str">
        <f t="shared" si="93"/>
        <v>NVT</v>
      </c>
      <c r="O219" s="141" t="str">
        <f t="shared" si="94"/>
        <v>NVT</v>
      </c>
      <c r="P219" s="141" t="str">
        <f t="shared" si="95"/>
        <v>NVT</v>
      </c>
      <c r="Q219" s="141" t="str">
        <f t="shared" si="96"/>
        <v>NVT</v>
      </c>
      <c r="R219" s="63" t="s">
        <v>1221</v>
      </c>
      <c r="S219" s="142">
        <f t="shared" si="87"/>
        <v>0</v>
      </c>
      <c r="T219" s="143">
        <v>0</v>
      </c>
      <c r="U219" s="144"/>
      <c r="V219" s="144"/>
      <c r="W219" s="144"/>
      <c r="X219" s="144"/>
      <c r="Y219" s="144"/>
      <c r="Z219" s="145"/>
      <c r="AA219" s="145"/>
      <c r="AB219" s="145"/>
      <c r="AC219" s="145"/>
      <c r="AD219" s="146" t="s">
        <v>1258</v>
      </c>
      <c r="AE219" s="171">
        <v>1</v>
      </c>
      <c r="AF219" s="147">
        <f t="shared" si="97"/>
        <v>0</v>
      </c>
      <c r="AG219" s="147">
        <f t="shared" si="98"/>
        <v>0</v>
      </c>
      <c r="AH219" s="147">
        <f t="shared" si="99"/>
        <v>0</v>
      </c>
      <c r="AI219" s="147">
        <f t="shared" si="100"/>
        <v>0</v>
      </c>
      <c r="AJ219" s="148">
        <f t="shared" si="101"/>
        <v>0</v>
      </c>
      <c r="AK219" s="149">
        <f t="shared" si="83"/>
        <v>0</v>
      </c>
      <c r="AL219" s="149">
        <f t="shared" si="84"/>
        <v>0</v>
      </c>
      <c r="AM219" s="149">
        <f t="shared" si="85"/>
        <v>0</v>
      </c>
      <c r="AN219" s="149">
        <f t="shared" si="86"/>
        <v>0</v>
      </c>
      <c r="AO219" s="150">
        <f t="shared" si="102"/>
        <v>0</v>
      </c>
      <c r="AQ219" s="151">
        <f t="shared" si="103"/>
        <v>0</v>
      </c>
    </row>
    <row r="220" spans="1:43" ht="15" customHeight="1">
      <c r="A220" s="82" t="e">
        <f t="shared" si="88"/>
        <v>#REF!</v>
      </c>
      <c r="B220" s="134">
        <v>103</v>
      </c>
      <c r="C220" s="135" t="s">
        <v>835</v>
      </c>
      <c r="D220" s="136" t="s">
        <v>274</v>
      </c>
      <c r="E220" s="137" t="s">
        <v>530</v>
      </c>
      <c r="F220" s="138" t="s">
        <v>841</v>
      </c>
      <c r="G220" s="139" t="s">
        <v>613</v>
      </c>
      <c r="H220" s="140" t="str">
        <f t="shared" si="89"/>
        <v>Niet van toepassing</v>
      </c>
      <c r="I220" s="138"/>
      <c r="J220" s="138" t="s">
        <v>1172</v>
      </c>
      <c r="K220" s="141" t="str">
        <f t="shared" si="90"/>
        <v>NVT</v>
      </c>
      <c r="L220" s="141" t="str">
        <f t="shared" si="91"/>
        <v>NVT</v>
      </c>
      <c r="M220" s="141" t="str">
        <f t="shared" si="92"/>
        <v>NVT</v>
      </c>
      <c r="N220" s="141" t="str">
        <f t="shared" si="93"/>
        <v>NVT</v>
      </c>
      <c r="O220" s="141" t="str">
        <f t="shared" si="94"/>
        <v>NVT</v>
      </c>
      <c r="P220" s="141" t="str">
        <f t="shared" si="95"/>
        <v>NVT</v>
      </c>
      <c r="Q220" s="141" t="str">
        <f t="shared" si="96"/>
        <v>NVT</v>
      </c>
      <c r="R220" s="63" t="s">
        <v>1221</v>
      </c>
      <c r="S220" s="142">
        <f t="shared" si="87"/>
        <v>0</v>
      </c>
      <c r="T220" s="143">
        <v>0</v>
      </c>
      <c r="U220" s="144"/>
      <c r="V220" s="144"/>
      <c r="W220" s="144"/>
      <c r="X220" s="144"/>
      <c r="Y220" s="144"/>
      <c r="Z220" s="145"/>
      <c r="AA220" s="145"/>
      <c r="AB220" s="145"/>
      <c r="AC220" s="145"/>
      <c r="AD220" s="146" t="s">
        <v>1258</v>
      </c>
      <c r="AE220" s="171">
        <v>1</v>
      </c>
      <c r="AF220" s="147">
        <f t="shared" si="97"/>
        <v>0</v>
      </c>
      <c r="AG220" s="147">
        <f t="shared" si="98"/>
        <v>0</v>
      </c>
      <c r="AH220" s="147">
        <f t="shared" si="99"/>
        <v>0</v>
      </c>
      <c r="AI220" s="147">
        <f t="shared" si="100"/>
        <v>0</v>
      </c>
      <c r="AJ220" s="148">
        <f t="shared" si="101"/>
        <v>0</v>
      </c>
      <c r="AK220" s="149">
        <f t="shared" si="83"/>
        <v>0</v>
      </c>
      <c r="AL220" s="149">
        <f t="shared" si="84"/>
        <v>0</v>
      </c>
      <c r="AM220" s="149">
        <f t="shared" si="85"/>
        <v>0</v>
      </c>
      <c r="AN220" s="149">
        <f t="shared" si="86"/>
        <v>0</v>
      </c>
      <c r="AO220" s="150">
        <f t="shared" si="102"/>
        <v>0</v>
      </c>
      <c r="AQ220" s="151">
        <f t="shared" si="103"/>
        <v>0</v>
      </c>
    </row>
    <row r="221" spans="1:43" ht="15" customHeight="1">
      <c r="A221" s="82" t="e">
        <f t="shared" si="88"/>
        <v>#REF!</v>
      </c>
      <c r="B221" s="134">
        <v>103</v>
      </c>
      <c r="C221" s="135" t="s">
        <v>835</v>
      </c>
      <c r="D221" s="136" t="s">
        <v>274</v>
      </c>
      <c r="E221" s="137" t="s">
        <v>530</v>
      </c>
      <c r="F221" s="138" t="s">
        <v>841</v>
      </c>
      <c r="G221" s="139" t="s">
        <v>617</v>
      </c>
      <c r="H221" s="140" t="str">
        <f t="shared" si="89"/>
        <v>Niet van toepassing</v>
      </c>
      <c r="I221" s="138"/>
      <c r="J221" s="138" t="s">
        <v>1172</v>
      </c>
      <c r="K221" s="141" t="str">
        <f t="shared" si="90"/>
        <v>NVT</v>
      </c>
      <c r="L221" s="141" t="str">
        <f t="shared" si="91"/>
        <v>NVT</v>
      </c>
      <c r="M221" s="141" t="str">
        <f t="shared" si="92"/>
        <v>NVT</v>
      </c>
      <c r="N221" s="141" t="str">
        <f t="shared" si="93"/>
        <v>NVT</v>
      </c>
      <c r="O221" s="141" t="str">
        <f t="shared" si="94"/>
        <v>NVT</v>
      </c>
      <c r="P221" s="141" t="str">
        <f t="shared" si="95"/>
        <v>NVT</v>
      </c>
      <c r="Q221" s="141" t="str">
        <f t="shared" si="96"/>
        <v>NVT</v>
      </c>
      <c r="R221" s="63" t="s">
        <v>1221</v>
      </c>
      <c r="S221" s="142">
        <f t="shared" si="87"/>
        <v>0</v>
      </c>
      <c r="T221" s="143">
        <v>0</v>
      </c>
      <c r="U221" s="144"/>
      <c r="V221" s="144"/>
      <c r="W221" s="144"/>
      <c r="X221" s="144"/>
      <c r="Y221" s="144"/>
      <c r="Z221" s="145"/>
      <c r="AA221" s="145"/>
      <c r="AB221" s="145"/>
      <c r="AC221" s="145"/>
      <c r="AD221" s="146" t="s">
        <v>1258</v>
      </c>
      <c r="AE221" s="171">
        <v>1</v>
      </c>
      <c r="AF221" s="147">
        <f t="shared" si="97"/>
        <v>0</v>
      </c>
      <c r="AG221" s="147">
        <f t="shared" si="98"/>
        <v>0</v>
      </c>
      <c r="AH221" s="147">
        <f t="shared" si="99"/>
        <v>0</v>
      </c>
      <c r="AI221" s="147">
        <f t="shared" si="100"/>
        <v>0</v>
      </c>
      <c r="AJ221" s="148">
        <f t="shared" si="101"/>
        <v>0</v>
      </c>
      <c r="AK221" s="149">
        <f t="shared" si="83"/>
        <v>0</v>
      </c>
      <c r="AL221" s="149">
        <f t="shared" si="84"/>
        <v>0</v>
      </c>
      <c r="AM221" s="149">
        <f t="shared" si="85"/>
        <v>0</v>
      </c>
      <c r="AN221" s="149">
        <f t="shared" si="86"/>
        <v>0</v>
      </c>
      <c r="AO221" s="150">
        <f t="shared" si="102"/>
        <v>0</v>
      </c>
      <c r="AQ221" s="151">
        <f t="shared" si="103"/>
        <v>0</v>
      </c>
    </row>
    <row r="222" spans="1:43" ht="15" customHeight="1">
      <c r="A222" s="82" t="e">
        <f t="shared" si="88"/>
        <v>#REF!</v>
      </c>
      <c r="B222" s="134">
        <v>103</v>
      </c>
      <c r="C222" s="135" t="s">
        <v>835</v>
      </c>
      <c r="D222" s="136" t="s">
        <v>274</v>
      </c>
      <c r="E222" s="137" t="s">
        <v>530</v>
      </c>
      <c r="F222" s="138" t="s">
        <v>841</v>
      </c>
      <c r="G222" s="139" t="s">
        <v>645</v>
      </c>
      <c r="H222" s="140" t="str">
        <f t="shared" si="89"/>
        <v>Niet van toepassing</v>
      </c>
      <c r="I222" s="138" t="s">
        <v>195</v>
      </c>
      <c r="J222" s="138" t="s">
        <v>1172</v>
      </c>
      <c r="K222" s="141" t="str">
        <f t="shared" si="90"/>
        <v>NVT</v>
      </c>
      <c r="L222" s="141" t="str">
        <f t="shared" si="91"/>
        <v>NVT</v>
      </c>
      <c r="M222" s="141" t="str">
        <f t="shared" si="92"/>
        <v>NVT</v>
      </c>
      <c r="N222" s="141" t="str">
        <f t="shared" si="93"/>
        <v>NVT</v>
      </c>
      <c r="O222" s="141" t="str">
        <f t="shared" si="94"/>
        <v>NVT</v>
      </c>
      <c r="P222" s="141" t="str">
        <f t="shared" si="95"/>
        <v>NVT</v>
      </c>
      <c r="Q222" s="141" t="str">
        <f t="shared" si="96"/>
        <v>NVT</v>
      </c>
      <c r="R222" s="63" t="s">
        <v>1221</v>
      </c>
      <c r="S222" s="142">
        <f t="shared" si="87"/>
        <v>0</v>
      </c>
      <c r="T222" s="143">
        <f>(2.5*5.5)*1.3</f>
        <v>17.875</v>
      </c>
      <c r="U222" s="144"/>
      <c r="V222" s="144"/>
      <c r="W222" s="144">
        <f>12.2+12.2+5.15+(5.15*2.9)</f>
        <v>44.484999999999999</v>
      </c>
      <c r="X222" s="144"/>
      <c r="Y222" s="144"/>
      <c r="Z222" s="145"/>
      <c r="AA222" s="145">
        <f>T222</f>
        <v>17.875</v>
      </c>
      <c r="AB222" s="145"/>
      <c r="AC222" s="145"/>
      <c r="AD222" s="146"/>
      <c r="AE222" s="171">
        <v>1</v>
      </c>
      <c r="AF222" s="147">
        <f t="shared" si="97"/>
        <v>0</v>
      </c>
      <c r="AG222" s="147">
        <f t="shared" si="98"/>
        <v>0</v>
      </c>
      <c r="AH222" s="147">
        <f t="shared" si="99"/>
        <v>0</v>
      </c>
      <c r="AI222" s="147">
        <f t="shared" si="100"/>
        <v>0</v>
      </c>
      <c r="AJ222" s="148">
        <f t="shared" si="101"/>
        <v>0</v>
      </c>
      <c r="AK222" s="149">
        <f t="shared" si="83"/>
        <v>0</v>
      </c>
      <c r="AL222" s="149">
        <f t="shared" si="84"/>
        <v>0</v>
      </c>
      <c r="AM222" s="149">
        <f t="shared" si="85"/>
        <v>0</v>
      </c>
      <c r="AN222" s="149">
        <f t="shared" si="86"/>
        <v>0</v>
      </c>
      <c r="AO222" s="150">
        <f t="shared" si="102"/>
        <v>0</v>
      </c>
      <c r="AQ222" s="151">
        <f t="shared" si="103"/>
        <v>0</v>
      </c>
    </row>
    <row r="223" spans="1:43" ht="15" customHeight="1">
      <c r="A223" s="82" t="e">
        <f t="shared" si="88"/>
        <v>#REF!</v>
      </c>
      <c r="B223" s="134">
        <v>103</v>
      </c>
      <c r="C223" s="135" t="s">
        <v>835</v>
      </c>
      <c r="D223" s="136" t="s">
        <v>274</v>
      </c>
      <c r="E223" s="137" t="s">
        <v>530</v>
      </c>
      <c r="F223" s="138" t="s">
        <v>841</v>
      </c>
      <c r="G223" s="139" t="s">
        <v>878</v>
      </c>
      <c r="H223" s="140" t="str">
        <f t="shared" si="89"/>
        <v>Niet van toepassing</v>
      </c>
      <c r="I223" s="138" t="s">
        <v>195</v>
      </c>
      <c r="J223" s="138" t="s">
        <v>1172</v>
      </c>
      <c r="K223" s="141" t="str">
        <f t="shared" si="90"/>
        <v>NVT</v>
      </c>
      <c r="L223" s="141" t="str">
        <f t="shared" si="91"/>
        <v>NVT</v>
      </c>
      <c r="M223" s="141" t="str">
        <f t="shared" si="92"/>
        <v>NVT</v>
      </c>
      <c r="N223" s="141" t="str">
        <f t="shared" si="93"/>
        <v>NVT</v>
      </c>
      <c r="O223" s="141" t="str">
        <f t="shared" si="94"/>
        <v>NVT</v>
      </c>
      <c r="P223" s="141" t="str">
        <f t="shared" si="95"/>
        <v>NVT</v>
      </c>
      <c r="Q223" s="141" t="str">
        <f t="shared" si="96"/>
        <v>NVT</v>
      </c>
      <c r="R223" s="63" t="s">
        <v>1221</v>
      </c>
      <c r="S223" s="142">
        <f t="shared" si="87"/>
        <v>0</v>
      </c>
      <c r="T223" s="143">
        <f>(1.5*3)*1.3</f>
        <v>5.8500000000000005</v>
      </c>
      <c r="U223" s="144"/>
      <c r="V223" s="144"/>
      <c r="W223" s="144"/>
      <c r="X223" s="144"/>
      <c r="Y223" s="144">
        <f>(1.5+3+1.5+3)*2.9</f>
        <v>26.099999999999998</v>
      </c>
      <c r="Z223" s="145"/>
      <c r="AA223" s="145"/>
      <c r="AB223" s="145">
        <f>T223</f>
        <v>5.8500000000000005</v>
      </c>
      <c r="AC223" s="145"/>
      <c r="AD223" s="146"/>
      <c r="AE223" s="171">
        <v>1</v>
      </c>
      <c r="AF223" s="147">
        <f t="shared" si="97"/>
        <v>0</v>
      </c>
      <c r="AG223" s="147">
        <f t="shared" si="98"/>
        <v>0</v>
      </c>
      <c r="AH223" s="147">
        <f t="shared" si="99"/>
        <v>0</v>
      </c>
      <c r="AI223" s="147">
        <f t="shared" si="100"/>
        <v>0</v>
      </c>
      <c r="AJ223" s="148">
        <f t="shared" si="101"/>
        <v>0</v>
      </c>
      <c r="AK223" s="149">
        <f t="shared" si="83"/>
        <v>0</v>
      </c>
      <c r="AL223" s="149">
        <f t="shared" si="84"/>
        <v>0</v>
      </c>
      <c r="AM223" s="149">
        <f t="shared" si="85"/>
        <v>0</v>
      </c>
      <c r="AN223" s="149">
        <f t="shared" si="86"/>
        <v>0</v>
      </c>
      <c r="AO223" s="150">
        <f t="shared" si="102"/>
        <v>0</v>
      </c>
      <c r="AQ223" s="151">
        <f t="shared" si="103"/>
        <v>0</v>
      </c>
    </row>
    <row r="224" spans="1:43" ht="15" customHeight="1">
      <c r="A224" s="82" t="e">
        <f t="shared" si="88"/>
        <v>#REF!</v>
      </c>
      <c r="B224" s="134">
        <v>103</v>
      </c>
      <c r="C224" s="135" t="s">
        <v>835</v>
      </c>
      <c r="D224" s="136" t="s">
        <v>274</v>
      </c>
      <c r="E224" s="137" t="s">
        <v>530</v>
      </c>
      <c r="F224" s="138" t="s">
        <v>841</v>
      </c>
      <c r="G224" s="139" t="s">
        <v>879</v>
      </c>
      <c r="H224" s="140" t="str">
        <f t="shared" si="89"/>
        <v>Niet van toepassing</v>
      </c>
      <c r="I224" s="138" t="s">
        <v>195</v>
      </c>
      <c r="J224" s="138" t="s">
        <v>1172</v>
      </c>
      <c r="K224" s="141" t="str">
        <f t="shared" si="90"/>
        <v>NVT</v>
      </c>
      <c r="L224" s="141" t="str">
        <f t="shared" si="91"/>
        <v>NVT</v>
      </c>
      <c r="M224" s="141" t="str">
        <f t="shared" si="92"/>
        <v>NVT</v>
      </c>
      <c r="N224" s="141" t="str">
        <f t="shared" si="93"/>
        <v>NVT</v>
      </c>
      <c r="O224" s="141" t="str">
        <f t="shared" si="94"/>
        <v>NVT</v>
      </c>
      <c r="P224" s="141" t="str">
        <f t="shared" si="95"/>
        <v>NVT</v>
      </c>
      <c r="Q224" s="141" t="str">
        <f t="shared" si="96"/>
        <v>NVT</v>
      </c>
      <c r="R224" s="63" t="s">
        <v>1221</v>
      </c>
      <c r="S224" s="142">
        <f t="shared" si="87"/>
        <v>0</v>
      </c>
      <c r="T224" s="143">
        <f>(2.5*1.9)*1.3</f>
        <v>6.1749999999999998</v>
      </c>
      <c r="U224" s="144"/>
      <c r="V224" s="144"/>
      <c r="W224" s="144"/>
      <c r="X224" s="144"/>
      <c r="Y224" s="144">
        <f>(2.5+1.9+2.5+1.9)*2.9</f>
        <v>25.52</v>
      </c>
      <c r="Z224" s="145"/>
      <c r="AA224" s="145"/>
      <c r="AB224" s="145">
        <f>T224</f>
        <v>6.1749999999999998</v>
      </c>
      <c r="AC224" s="145"/>
      <c r="AD224" s="146"/>
      <c r="AE224" s="171">
        <v>1</v>
      </c>
      <c r="AF224" s="147">
        <f t="shared" si="97"/>
        <v>0</v>
      </c>
      <c r="AG224" s="147">
        <f t="shared" si="98"/>
        <v>0</v>
      </c>
      <c r="AH224" s="147">
        <f t="shared" si="99"/>
        <v>0</v>
      </c>
      <c r="AI224" s="147">
        <f t="shared" si="100"/>
        <v>0</v>
      </c>
      <c r="AJ224" s="148">
        <f t="shared" si="101"/>
        <v>0</v>
      </c>
      <c r="AK224" s="149">
        <f t="shared" si="83"/>
        <v>0</v>
      </c>
      <c r="AL224" s="149">
        <f t="shared" si="84"/>
        <v>0</v>
      </c>
      <c r="AM224" s="149">
        <f t="shared" si="85"/>
        <v>0</v>
      </c>
      <c r="AN224" s="149">
        <f t="shared" si="86"/>
        <v>0</v>
      </c>
      <c r="AO224" s="150">
        <f t="shared" si="102"/>
        <v>0</v>
      </c>
      <c r="AQ224" s="151">
        <f t="shared" si="103"/>
        <v>0</v>
      </c>
    </row>
    <row r="225" spans="1:43" ht="15" customHeight="1">
      <c r="A225" s="82" t="e">
        <f>1+#REF!</f>
        <v>#REF!</v>
      </c>
      <c r="B225" s="134">
        <v>103</v>
      </c>
      <c r="C225" s="135" t="s">
        <v>835</v>
      </c>
      <c r="D225" s="136" t="s">
        <v>274</v>
      </c>
      <c r="E225" s="137" t="s">
        <v>530</v>
      </c>
      <c r="F225" s="138" t="s">
        <v>841</v>
      </c>
      <c r="G225" s="139" t="s">
        <v>880</v>
      </c>
      <c r="H225" s="140" t="str">
        <f t="shared" si="89"/>
        <v>Niet van toepassing</v>
      </c>
      <c r="I225" s="138"/>
      <c r="J225" s="138" t="s">
        <v>1172</v>
      </c>
      <c r="K225" s="141" t="str">
        <f t="shared" si="90"/>
        <v>NVT</v>
      </c>
      <c r="L225" s="141" t="str">
        <f t="shared" si="91"/>
        <v>NVT</v>
      </c>
      <c r="M225" s="141" t="str">
        <f t="shared" si="92"/>
        <v>NVT</v>
      </c>
      <c r="N225" s="141" t="str">
        <f t="shared" si="93"/>
        <v>NVT</v>
      </c>
      <c r="O225" s="141" t="str">
        <f t="shared" si="94"/>
        <v>NVT</v>
      </c>
      <c r="P225" s="141" t="str">
        <f t="shared" si="95"/>
        <v>NVT</v>
      </c>
      <c r="Q225" s="141" t="str">
        <f t="shared" si="96"/>
        <v>NVT</v>
      </c>
      <c r="R225" s="63" t="s">
        <v>1221</v>
      </c>
      <c r="S225" s="142">
        <f t="shared" si="87"/>
        <v>0</v>
      </c>
      <c r="T225" s="143">
        <v>0</v>
      </c>
      <c r="U225" s="144"/>
      <c r="V225" s="144"/>
      <c r="W225" s="144"/>
      <c r="X225" s="144"/>
      <c r="Y225" s="144"/>
      <c r="Z225" s="145"/>
      <c r="AA225" s="145"/>
      <c r="AB225" s="145"/>
      <c r="AC225" s="145"/>
      <c r="AD225" s="146" t="s">
        <v>1258</v>
      </c>
      <c r="AE225" s="171">
        <v>1</v>
      </c>
      <c r="AF225" s="147">
        <f t="shared" si="97"/>
        <v>0</v>
      </c>
      <c r="AG225" s="147">
        <f t="shared" si="98"/>
        <v>0</v>
      </c>
      <c r="AH225" s="147">
        <f t="shared" si="99"/>
        <v>0</v>
      </c>
      <c r="AI225" s="147">
        <f t="shared" si="100"/>
        <v>0</v>
      </c>
      <c r="AJ225" s="148">
        <f t="shared" si="101"/>
        <v>0</v>
      </c>
      <c r="AK225" s="149">
        <f t="shared" si="83"/>
        <v>0</v>
      </c>
      <c r="AL225" s="149">
        <f t="shared" si="84"/>
        <v>0</v>
      </c>
      <c r="AM225" s="149">
        <f t="shared" si="85"/>
        <v>0</v>
      </c>
      <c r="AN225" s="149">
        <f t="shared" si="86"/>
        <v>0</v>
      </c>
      <c r="AO225" s="150">
        <f t="shared" si="102"/>
        <v>0</v>
      </c>
      <c r="AQ225" s="151">
        <f t="shared" si="103"/>
        <v>0</v>
      </c>
    </row>
    <row r="226" spans="1:43" ht="15" customHeight="1">
      <c r="A226" s="82" t="e">
        <f t="shared" si="88"/>
        <v>#REF!</v>
      </c>
      <c r="B226" s="134">
        <v>103</v>
      </c>
      <c r="C226" s="135" t="s">
        <v>835</v>
      </c>
      <c r="D226" s="136" t="s">
        <v>274</v>
      </c>
      <c r="E226" s="137" t="s">
        <v>530</v>
      </c>
      <c r="F226" s="138" t="s">
        <v>646</v>
      </c>
      <c r="G226" s="139" t="s">
        <v>637</v>
      </c>
      <c r="H226" s="140" t="str">
        <f t="shared" si="89"/>
        <v>Niet van toepassing</v>
      </c>
      <c r="I226" s="138" t="s">
        <v>82</v>
      </c>
      <c r="J226" s="138" t="s">
        <v>1172</v>
      </c>
      <c r="K226" s="141" t="str">
        <f t="shared" si="90"/>
        <v>NVT</v>
      </c>
      <c r="L226" s="141" t="str">
        <f t="shared" si="91"/>
        <v>NVT</v>
      </c>
      <c r="M226" s="141" t="str">
        <f t="shared" si="92"/>
        <v>NVT</v>
      </c>
      <c r="N226" s="141" t="str">
        <f t="shared" si="93"/>
        <v>NVT</v>
      </c>
      <c r="O226" s="141" t="str">
        <f t="shared" si="94"/>
        <v>NVT</v>
      </c>
      <c r="P226" s="141" t="str">
        <f t="shared" si="95"/>
        <v>NVT</v>
      </c>
      <c r="Q226" s="141" t="str">
        <f t="shared" si="96"/>
        <v>NVT</v>
      </c>
      <c r="R226" s="63" t="s">
        <v>1221</v>
      </c>
      <c r="S226" s="142">
        <f t="shared" si="87"/>
        <v>0</v>
      </c>
      <c r="T226" s="143">
        <f>((4.9*1.7))*1.3</f>
        <v>10.829000000000001</v>
      </c>
      <c r="U226" s="144"/>
      <c r="V226" s="144"/>
      <c r="W226" s="144">
        <f>(4.9+1.7+4.9+1.7)*3.7</f>
        <v>48.839999999999996</v>
      </c>
      <c r="X226" s="144"/>
      <c r="Y226" s="144"/>
      <c r="Z226" s="145"/>
      <c r="AA226" s="145">
        <f>T226</f>
        <v>10.829000000000001</v>
      </c>
      <c r="AB226" s="145"/>
      <c r="AC226" s="145"/>
      <c r="AD226" s="146"/>
      <c r="AE226" s="171">
        <v>1</v>
      </c>
      <c r="AF226" s="147">
        <f t="shared" si="97"/>
        <v>0</v>
      </c>
      <c r="AG226" s="147">
        <f t="shared" si="98"/>
        <v>0</v>
      </c>
      <c r="AH226" s="147">
        <f t="shared" si="99"/>
        <v>0</v>
      </c>
      <c r="AI226" s="147">
        <f t="shared" si="100"/>
        <v>0</v>
      </c>
      <c r="AJ226" s="148">
        <f t="shared" si="101"/>
        <v>0</v>
      </c>
      <c r="AK226" s="149">
        <f t="shared" si="83"/>
        <v>0</v>
      </c>
      <c r="AL226" s="149">
        <f t="shared" si="84"/>
        <v>0</v>
      </c>
      <c r="AM226" s="149">
        <f t="shared" si="85"/>
        <v>0</v>
      </c>
      <c r="AN226" s="149">
        <f t="shared" si="86"/>
        <v>0</v>
      </c>
      <c r="AO226" s="150">
        <f t="shared" si="102"/>
        <v>0</v>
      </c>
      <c r="AQ226" s="151">
        <f t="shared" si="103"/>
        <v>0</v>
      </c>
    </row>
    <row r="227" spans="1:43" ht="15" customHeight="1">
      <c r="A227" s="82" t="e">
        <f t="shared" si="88"/>
        <v>#REF!</v>
      </c>
      <c r="B227" s="134">
        <v>103</v>
      </c>
      <c r="C227" s="135" t="s">
        <v>835</v>
      </c>
      <c r="D227" s="136" t="s">
        <v>274</v>
      </c>
      <c r="E227" s="137" t="s">
        <v>530</v>
      </c>
      <c r="F227" s="138" t="s">
        <v>646</v>
      </c>
      <c r="G227" s="139" t="s">
        <v>881</v>
      </c>
      <c r="H227" s="140" t="str">
        <f t="shared" si="89"/>
        <v>Niet van toepassing</v>
      </c>
      <c r="I227" s="138" t="s">
        <v>35</v>
      </c>
      <c r="J227" s="138" t="s">
        <v>1172</v>
      </c>
      <c r="K227" s="141" t="str">
        <f t="shared" si="90"/>
        <v>NVT</v>
      </c>
      <c r="L227" s="141" t="str">
        <f t="shared" si="91"/>
        <v>NVT</v>
      </c>
      <c r="M227" s="141" t="str">
        <f t="shared" si="92"/>
        <v>NVT</v>
      </c>
      <c r="N227" s="141" t="str">
        <f t="shared" si="93"/>
        <v>NVT</v>
      </c>
      <c r="O227" s="141" t="str">
        <f t="shared" si="94"/>
        <v>NVT</v>
      </c>
      <c r="P227" s="141" t="str">
        <f t="shared" si="95"/>
        <v>NVT</v>
      </c>
      <c r="Q227" s="141" t="str">
        <f t="shared" si="96"/>
        <v>NVT</v>
      </c>
      <c r="R227" s="63" t="s">
        <v>1221</v>
      </c>
      <c r="S227" s="142">
        <f t="shared" si="87"/>
        <v>0</v>
      </c>
      <c r="T227" s="143">
        <v>9.1</v>
      </c>
      <c r="U227" s="144"/>
      <c r="V227" s="144"/>
      <c r="W227" s="144">
        <v>42</v>
      </c>
      <c r="X227" s="144"/>
      <c r="Y227" s="144"/>
      <c r="Z227" s="145"/>
      <c r="AA227" s="145">
        <v>7</v>
      </c>
      <c r="AB227" s="145"/>
      <c r="AC227" s="145"/>
      <c r="AD227" s="146"/>
      <c r="AE227" s="171">
        <v>1</v>
      </c>
      <c r="AF227" s="147">
        <f t="shared" si="97"/>
        <v>0</v>
      </c>
      <c r="AG227" s="147">
        <f t="shared" si="98"/>
        <v>0</v>
      </c>
      <c r="AH227" s="147">
        <f t="shared" si="99"/>
        <v>0</v>
      </c>
      <c r="AI227" s="147">
        <f t="shared" si="100"/>
        <v>0</v>
      </c>
      <c r="AJ227" s="148">
        <f t="shared" si="101"/>
        <v>0</v>
      </c>
      <c r="AK227" s="149">
        <f t="shared" si="83"/>
        <v>0</v>
      </c>
      <c r="AL227" s="149">
        <f t="shared" si="84"/>
        <v>0</v>
      </c>
      <c r="AM227" s="149">
        <f t="shared" si="85"/>
        <v>0</v>
      </c>
      <c r="AN227" s="149">
        <f t="shared" si="86"/>
        <v>0</v>
      </c>
      <c r="AO227" s="150">
        <f t="shared" si="102"/>
        <v>0</v>
      </c>
      <c r="AQ227" s="151">
        <f t="shared" si="103"/>
        <v>0</v>
      </c>
    </row>
    <row r="228" spans="1:43" ht="15" customHeight="1">
      <c r="A228" s="82" t="e">
        <f t="shared" si="88"/>
        <v>#REF!</v>
      </c>
      <c r="B228" s="134">
        <v>103</v>
      </c>
      <c r="C228" s="135" t="s">
        <v>835</v>
      </c>
      <c r="D228" s="136" t="s">
        <v>274</v>
      </c>
      <c r="E228" s="137" t="s">
        <v>530</v>
      </c>
      <c r="F228" s="138" t="s">
        <v>646</v>
      </c>
      <c r="G228" s="139" t="s">
        <v>882</v>
      </c>
      <c r="H228" s="140" t="str">
        <f t="shared" si="89"/>
        <v>Niet van toepassing</v>
      </c>
      <c r="I228" s="138" t="s">
        <v>82</v>
      </c>
      <c r="J228" s="138" t="s">
        <v>1172</v>
      </c>
      <c r="K228" s="141" t="str">
        <f t="shared" si="90"/>
        <v>NVT</v>
      </c>
      <c r="L228" s="141" t="str">
        <f t="shared" si="91"/>
        <v>NVT</v>
      </c>
      <c r="M228" s="141" t="str">
        <f t="shared" si="92"/>
        <v>NVT</v>
      </c>
      <c r="N228" s="141" t="str">
        <f t="shared" si="93"/>
        <v>NVT</v>
      </c>
      <c r="O228" s="141" t="str">
        <f t="shared" si="94"/>
        <v>NVT</v>
      </c>
      <c r="P228" s="141" t="str">
        <f t="shared" si="95"/>
        <v>NVT</v>
      </c>
      <c r="Q228" s="141" t="str">
        <f t="shared" si="96"/>
        <v>NVT</v>
      </c>
      <c r="R228" s="63" t="s">
        <v>1221</v>
      </c>
      <c r="S228" s="142">
        <f t="shared" si="87"/>
        <v>0</v>
      </c>
      <c r="T228" s="143">
        <f>(0.9*3.5)*1.3</f>
        <v>4.0949999999999998</v>
      </c>
      <c r="U228" s="144"/>
      <c r="V228" s="144"/>
      <c r="W228" s="144">
        <f>(1.1+3.5+0.7+3.5)*3.1</f>
        <v>27.280000000000005</v>
      </c>
      <c r="X228" s="144"/>
      <c r="Y228" s="144"/>
      <c r="Z228" s="145"/>
      <c r="AA228" s="145">
        <f>T228</f>
        <v>4.0949999999999998</v>
      </c>
      <c r="AB228" s="145"/>
      <c r="AC228" s="145"/>
      <c r="AD228" s="146"/>
      <c r="AE228" s="171">
        <v>1</v>
      </c>
      <c r="AF228" s="147">
        <f t="shared" si="97"/>
        <v>0</v>
      </c>
      <c r="AG228" s="147">
        <f t="shared" si="98"/>
        <v>0</v>
      </c>
      <c r="AH228" s="147">
        <f t="shared" si="99"/>
        <v>0</v>
      </c>
      <c r="AI228" s="147">
        <f t="shared" si="100"/>
        <v>0</v>
      </c>
      <c r="AJ228" s="148">
        <f t="shared" si="101"/>
        <v>0</v>
      </c>
      <c r="AK228" s="149">
        <f t="shared" si="83"/>
        <v>0</v>
      </c>
      <c r="AL228" s="149">
        <f t="shared" si="84"/>
        <v>0</v>
      </c>
      <c r="AM228" s="149">
        <f t="shared" si="85"/>
        <v>0</v>
      </c>
      <c r="AN228" s="149">
        <f t="shared" si="86"/>
        <v>0</v>
      </c>
      <c r="AO228" s="150">
        <f t="shared" si="102"/>
        <v>0</v>
      </c>
      <c r="AQ228" s="151">
        <f t="shared" si="103"/>
        <v>0</v>
      </c>
    </row>
    <row r="229" spans="1:43" ht="15" customHeight="1">
      <c r="A229" s="82" t="e">
        <f t="shared" si="88"/>
        <v>#REF!</v>
      </c>
      <c r="B229" s="134">
        <v>103</v>
      </c>
      <c r="C229" s="135" t="s">
        <v>835</v>
      </c>
      <c r="D229" s="136" t="s">
        <v>274</v>
      </c>
      <c r="E229" s="137" t="s">
        <v>530</v>
      </c>
      <c r="F229" s="138" t="s">
        <v>646</v>
      </c>
      <c r="G229" s="139" t="s">
        <v>650</v>
      </c>
      <c r="H229" s="140" t="str">
        <f t="shared" si="89"/>
        <v>Niet van toepassing</v>
      </c>
      <c r="I229" s="138" t="s">
        <v>195</v>
      </c>
      <c r="J229" s="138" t="s">
        <v>1172</v>
      </c>
      <c r="K229" s="141" t="str">
        <f t="shared" si="90"/>
        <v>NVT</v>
      </c>
      <c r="L229" s="141" t="str">
        <f t="shared" si="91"/>
        <v>NVT</v>
      </c>
      <c r="M229" s="141" t="str">
        <f t="shared" si="92"/>
        <v>NVT</v>
      </c>
      <c r="N229" s="141" t="str">
        <f t="shared" si="93"/>
        <v>NVT</v>
      </c>
      <c r="O229" s="141" t="str">
        <f t="shared" si="94"/>
        <v>NVT</v>
      </c>
      <c r="P229" s="141" t="str">
        <f t="shared" si="95"/>
        <v>NVT</v>
      </c>
      <c r="Q229" s="141" t="str">
        <f t="shared" si="96"/>
        <v>NVT</v>
      </c>
      <c r="R229" s="63" t="s">
        <v>1221</v>
      </c>
      <c r="S229" s="142">
        <f t="shared" si="87"/>
        <v>0</v>
      </c>
      <c r="T229" s="143">
        <v>18.720000000000002</v>
      </c>
      <c r="U229" s="144">
        <v>3</v>
      </c>
      <c r="V229" s="144"/>
      <c r="W229" s="144"/>
      <c r="X229" s="144"/>
      <c r="Y229" s="144">
        <f>(3+0.6+1.25+2.35+5.1+1.35+1.9)*2.4</f>
        <v>37.319999999999993</v>
      </c>
      <c r="Z229" s="145"/>
      <c r="AA229" s="145"/>
      <c r="AB229" s="145">
        <v>14.4</v>
      </c>
      <c r="AC229" s="145"/>
      <c r="AD229" s="146" t="s">
        <v>688</v>
      </c>
      <c r="AE229" s="171">
        <v>1</v>
      </c>
      <c r="AF229" s="147">
        <f t="shared" si="97"/>
        <v>0</v>
      </c>
      <c r="AG229" s="147">
        <f t="shared" si="98"/>
        <v>0</v>
      </c>
      <c r="AH229" s="147">
        <f t="shared" si="99"/>
        <v>0</v>
      </c>
      <c r="AI229" s="147">
        <f t="shared" si="100"/>
        <v>0</v>
      </c>
      <c r="AJ229" s="148">
        <f t="shared" si="101"/>
        <v>0</v>
      </c>
      <c r="AK229" s="149">
        <f t="shared" si="83"/>
        <v>0</v>
      </c>
      <c r="AL229" s="149">
        <f t="shared" si="84"/>
        <v>0</v>
      </c>
      <c r="AM229" s="149">
        <f t="shared" si="85"/>
        <v>0</v>
      </c>
      <c r="AN229" s="149">
        <f t="shared" si="86"/>
        <v>0</v>
      </c>
      <c r="AO229" s="150">
        <f t="shared" si="102"/>
        <v>0</v>
      </c>
      <c r="AQ229" s="151">
        <f t="shared" si="103"/>
        <v>0</v>
      </c>
    </row>
    <row r="230" spans="1:43" ht="15" customHeight="1">
      <c r="A230" s="82" t="e">
        <f t="shared" si="88"/>
        <v>#REF!</v>
      </c>
      <c r="B230" s="134">
        <v>103</v>
      </c>
      <c r="C230" s="135" t="s">
        <v>835</v>
      </c>
      <c r="D230" s="136" t="s">
        <v>274</v>
      </c>
      <c r="E230" s="137" t="s">
        <v>530</v>
      </c>
      <c r="F230" s="138" t="s">
        <v>646</v>
      </c>
      <c r="G230" s="139" t="s">
        <v>564</v>
      </c>
      <c r="H230" s="140" t="str">
        <f t="shared" si="89"/>
        <v>Niet van toepassing</v>
      </c>
      <c r="I230" s="138" t="s">
        <v>35</v>
      </c>
      <c r="J230" s="138" t="s">
        <v>1172</v>
      </c>
      <c r="K230" s="141" t="str">
        <f t="shared" si="90"/>
        <v>NVT</v>
      </c>
      <c r="L230" s="141" t="str">
        <f t="shared" si="91"/>
        <v>NVT</v>
      </c>
      <c r="M230" s="141" t="str">
        <f t="shared" si="92"/>
        <v>NVT</v>
      </c>
      <c r="N230" s="141" t="str">
        <f t="shared" si="93"/>
        <v>NVT</v>
      </c>
      <c r="O230" s="141" t="str">
        <f t="shared" si="94"/>
        <v>NVT</v>
      </c>
      <c r="P230" s="141" t="str">
        <f t="shared" si="95"/>
        <v>NVT</v>
      </c>
      <c r="Q230" s="141" t="str">
        <f t="shared" si="96"/>
        <v>NVT</v>
      </c>
      <c r="R230" s="63" t="s">
        <v>1221</v>
      </c>
      <c r="S230" s="142">
        <f t="shared" si="87"/>
        <v>0</v>
      </c>
      <c r="T230" s="143">
        <f>(5.3*0.8)*1.3</f>
        <v>5.5120000000000005</v>
      </c>
      <c r="U230" s="144"/>
      <c r="V230" s="144"/>
      <c r="W230" s="144"/>
      <c r="X230" s="144"/>
      <c r="Y230" s="144">
        <f>(5.3+0.8+5.3+0.8)*2.7</f>
        <v>32.94</v>
      </c>
      <c r="Z230" s="145"/>
      <c r="AA230" s="145"/>
      <c r="AB230" s="145">
        <v>4.2</v>
      </c>
      <c r="AC230" s="145"/>
      <c r="AD230" s="146"/>
      <c r="AE230" s="171">
        <v>1</v>
      </c>
      <c r="AF230" s="147">
        <f t="shared" si="97"/>
        <v>0</v>
      </c>
      <c r="AG230" s="147">
        <f t="shared" si="98"/>
        <v>0</v>
      </c>
      <c r="AH230" s="147">
        <f t="shared" si="99"/>
        <v>0</v>
      </c>
      <c r="AI230" s="147">
        <f t="shared" si="100"/>
        <v>0</v>
      </c>
      <c r="AJ230" s="148">
        <f t="shared" si="101"/>
        <v>0</v>
      </c>
      <c r="AK230" s="149">
        <f t="shared" si="83"/>
        <v>0</v>
      </c>
      <c r="AL230" s="149">
        <f t="shared" si="84"/>
        <v>0</v>
      </c>
      <c r="AM230" s="149">
        <f t="shared" si="85"/>
        <v>0</v>
      </c>
      <c r="AN230" s="149">
        <f t="shared" si="86"/>
        <v>0</v>
      </c>
      <c r="AO230" s="150">
        <f t="shared" si="102"/>
        <v>0</v>
      </c>
      <c r="AQ230" s="151">
        <f t="shared" si="103"/>
        <v>0</v>
      </c>
    </row>
    <row r="231" spans="1:43" ht="15" customHeight="1">
      <c r="A231" s="82" t="e">
        <f t="shared" si="88"/>
        <v>#REF!</v>
      </c>
      <c r="B231" s="134">
        <v>103</v>
      </c>
      <c r="C231" s="135" t="s">
        <v>835</v>
      </c>
      <c r="D231" s="136" t="s">
        <v>274</v>
      </c>
      <c r="E231" s="137" t="s">
        <v>530</v>
      </c>
      <c r="F231" s="138" t="s">
        <v>646</v>
      </c>
      <c r="G231" s="139" t="s">
        <v>652</v>
      </c>
      <c r="H231" s="140" t="str">
        <f t="shared" si="89"/>
        <v>Niet van toepassing</v>
      </c>
      <c r="I231" s="138" t="s">
        <v>195</v>
      </c>
      <c r="J231" s="138" t="s">
        <v>1172</v>
      </c>
      <c r="K231" s="141" t="str">
        <f t="shared" si="90"/>
        <v>NVT</v>
      </c>
      <c r="L231" s="141" t="str">
        <f t="shared" si="91"/>
        <v>NVT</v>
      </c>
      <c r="M231" s="141" t="str">
        <f t="shared" si="92"/>
        <v>NVT</v>
      </c>
      <c r="N231" s="141" t="str">
        <f t="shared" si="93"/>
        <v>NVT</v>
      </c>
      <c r="O231" s="141" t="str">
        <f t="shared" si="94"/>
        <v>NVT</v>
      </c>
      <c r="P231" s="141" t="str">
        <f t="shared" si="95"/>
        <v>NVT</v>
      </c>
      <c r="Q231" s="141" t="str">
        <f t="shared" si="96"/>
        <v>NVT</v>
      </c>
      <c r="R231" s="63" t="s">
        <v>1221</v>
      </c>
      <c r="S231" s="142">
        <f t="shared" si="87"/>
        <v>0</v>
      </c>
      <c r="T231" s="143">
        <f>(3.3*1.6)*1.3</f>
        <v>6.8640000000000008</v>
      </c>
      <c r="U231" s="144"/>
      <c r="V231" s="144"/>
      <c r="W231" s="144">
        <f>(1.6+3.3+1.6+3.3)*2.7</f>
        <v>26.460000000000004</v>
      </c>
      <c r="X231" s="144"/>
      <c r="Y231" s="144"/>
      <c r="Z231" s="145"/>
      <c r="AA231" s="145"/>
      <c r="AB231" s="145">
        <v>5.3</v>
      </c>
      <c r="AC231" s="145"/>
      <c r="AD231" s="146" t="s">
        <v>679</v>
      </c>
      <c r="AE231" s="171">
        <v>1</v>
      </c>
      <c r="AF231" s="147">
        <f t="shared" si="97"/>
        <v>0</v>
      </c>
      <c r="AG231" s="147">
        <f t="shared" si="98"/>
        <v>0</v>
      </c>
      <c r="AH231" s="147">
        <f t="shared" si="99"/>
        <v>0</v>
      </c>
      <c r="AI231" s="147">
        <f t="shared" si="100"/>
        <v>0</v>
      </c>
      <c r="AJ231" s="148">
        <f t="shared" si="101"/>
        <v>0</v>
      </c>
      <c r="AK231" s="149">
        <f t="shared" si="83"/>
        <v>0</v>
      </c>
      <c r="AL231" s="149">
        <f t="shared" si="84"/>
        <v>0</v>
      </c>
      <c r="AM231" s="149">
        <f t="shared" si="85"/>
        <v>0</v>
      </c>
      <c r="AN231" s="149">
        <f t="shared" si="86"/>
        <v>0</v>
      </c>
      <c r="AO231" s="150">
        <f t="shared" si="102"/>
        <v>0</v>
      </c>
      <c r="AQ231" s="151">
        <f t="shared" si="103"/>
        <v>0</v>
      </c>
    </row>
    <row r="232" spans="1:43" ht="15" customHeight="1">
      <c r="A232" s="82" t="e">
        <f t="shared" si="88"/>
        <v>#REF!</v>
      </c>
      <c r="B232" s="134">
        <v>103</v>
      </c>
      <c r="C232" s="135" t="s">
        <v>835</v>
      </c>
      <c r="D232" s="136" t="s">
        <v>274</v>
      </c>
      <c r="E232" s="137" t="s">
        <v>530</v>
      </c>
      <c r="F232" s="138" t="s">
        <v>646</v>
      </c>
      <c r="G232" s="139" t="s">
        <v>653</v>
      </c>
      <c r="H232" s="140" t="str">
        <f t="shared" si="89"/>
        <v>Niet van toepassing</v>
      </c>
      <c r="I232" s="138" t="s">
        <v>195</v>
      </c>
      <c r="J232" s="138" t="s">
        <v>1172</v>
      </c>
      <c r="K232" s="141" t="str">
        <f t="shared" si="90"/>
        <v>NVT</v>
      </c>
      <c r="L232" s="141" t="str">
        <f t="shared" si="91"/>
        <v>NVT</v>
      </c>
      <c r="M232" s="141" t="str">
        <f t="shared" si="92"/>
        <v>NVT</v>
      </c>
      <c r="N232" s="141" t="str">
        <f t="shared" si="93"/>
        <v>NVT</v>
      </c>
      <c r="O232" s="141" t="str">
        <f t="shared" si="94"/>
        <v>NVT</v>
      </c>
      <c r="P232" s="141" t="str">
        <f t="shared" si="95"/>
        <v>NVT</v>
      </c>
      <c r="Q232" s="141" t="str">
        <f t="shared" si="96"/>
        <v>NVT</v>
      </c>
      <c r="R232" s="63" t="s">
        <v>1221</v>
      </c>
      <c r="S232" s="142">
        <f t="shared" si="87"/>
        <v>0</v>
      </c>
      <c r="T232" s="143">
        <v>100.10000000000001</v>
      </c>
      <c r="U232" s="144"/>
      <c r="V232" s="144"/>
      <c r="W232" s="144"/>
      <c r="X232" s="144"/>
      <c r="Y232" s="144">
        <v>99</v>
      </c>
      <c r="Z232" s="145"/>
      <c r="AA232" s="145"/>
      <c r="AB232" s="145">
        <v>77</v>
      </c>
      <c r="AC232" s="145"/>
      <c r="AD232" s="146"/>
      <c r="AE232" s="171">
        <v>1</v>
      </c>
      <c r="AF232" s="147">
        <f t="shared" si="97"/>
        <v>0</v>
      </c>
      <c r="AG232" s="147">
        <f t="shared" si="98"/>
        <v>0</v>
      </c>
      <c r="AH232" s="147">
        <f t="shared" si="99"/>
        <v>0</v>
      </c>
      <c r="AI232" s="147">
        <f t="shared" si="100"/>
        <v>0</v>
      </c>
      <c r="AJ232" s="148">
        <f t="shared" si="101"/>
        <v>0</v>
      </c>
      <c r="AK232" s="149">
        <f t="shared" si="83"/>
        <v>0</v>
      </c>
      <c r="AL232" s="149">
        <f t="shared" si="84"/>
        <v>0</v>
      </c>
      <c r="AM232" s="149">
        <f t="shared" si="85"/>
        <v>0</v>
      </c>
      <c r="AN232" s="149">
        <f t="shared" si="86"/>
        <v>0</v>
      </c>
      <c r="AO232" s="150">
        <f t="shared" si="102"/>
        <v>0</v>
      </c>
      <c r="AQ232" s="151">
        <f t="shared" si="103"/>
        <v>0</v>
      </c>
    </row>
    <row r="233" spans="1:43" ht="15" customHeight="1">
      <c r="A233" s="82" t="e">
        <f t="shared" si="88"/>
        <v>#REF!</v>
      </c>
      <c r="B233" s="134">
        <v>103</v>
      </c>
      <c r="C233" s="135" t="s">
        <v>835</v>
      </c>
      <c r="D233" s="136" t="s">
        <v>274</v>
      </c>
      <c r="E233" s="137" t="s">
        <v>499</v>
      </c>
      <c r="F233" s="138" t="s">
        <v>887</v>
      </c>
      <c r="G233" s="139" t="s">
        <v>557</v>
      </c>
      <c r="H233" s="140" t="str">
        <f t="shared" si="89"/>
        <v>Niet van toepassing</v>
      </c>
      <c r="I233" s="138"/>
      <c r="J233" s="138" t="s">
        <v>1172</v>
      </c>
      <c r="K233" s="141" t="str">
        <f t="shared" si="90"/>
        <v>NVT</v>
      </c>
      <c r="L233" s="141" t="str">
        <f t="shared" si="91"/>
        <v>NVT</v>
      </c>
      <c r="M233" s="141" t="str">
        <f t="shared" si="92"/>
        <v>NVT</v>
      </c>
      <c r="N233" s="141" t="str">
        <f t="shared" si="93"/>
        <v>NVT</v>
      </c>
      <c r="O233" s="141" t="str">
        <f t="shared" si="94"/>
        <v>NVT</v>
      </c>
      <c r="P233" s="141" t="str">
        <f t="shared" si="95"/>
        <v>NVT</v>
      </c>
      <c r="Q233" s="141" t="str">
        <f t="shared" si="96"/>
        <v>NVT</v>
      </c>
      <c r="R233" s="63" t="s">
        <v>1221</v>
      </c>
      <c r="S233" s="142">
        <f t="shared" si="87"/>
        <v>0</v>
      </c>
      <c r="T233" s="143">
        <v>0</v>
      </c>
      <c r="U233" s="144"/>
      <c r="V233" s="144"/>
      <c r="W233" s="144"/>
      <c r="X233" s="144"/>
      <c r="Y233" s="144"/>
      <c r="Z233" s="145"/>
      <c r="AA233" s="145"/>
      <c r="AB233" s="145"/>
      <c r="AC233" s="145"/>
      <c r="AD233" s="146"/>
      <c r="AE233" s="171">
        <v>1</v>
      </c>
      <c r="AF233" s="147">
        <f t="shared" si="97"/>
        <v>0</v>
      </c>
      <c r="AG233" s="147">
        <f t="shared" si="98"/>
        <v>0</v>
      </c>
      <c r="AH233" s="147">
        <f t="shared" si="99"/>
        <v>0</v>
      </c>
      <c r="AI233" s="147">
        <f t="shared" si="100"/>
        <v>0</v>
      </c>
      <c r="AJ233" s="148">
        <f t="shared" si="101"/>
        <v>0</v>
      </c>
      <c r="AK233" s="149">
        <f t="shared" si="83"/>
        <v>0</v>
      </c>
      <c r="AL233" s="149">
        <f t="shared" si="84"/>
        <v>0</v>
      </c>
      <c r="AM233" s="149">
        <f t="shared" si="85"/>
        <v>0</v>
      </c>
      <c r="AN233" s="149">
        <f t="shared" si="86"/>
        <v>0</v>
      </c>
      <c r="AO233" s="150">
        <f t="shared" si="102"/>
        <v>0</v>
      </c>
      <c r="AQ233" s="151">
        <f t="shared" si="103"/>
        <v>0</v>
      </c>
    </row>
    <row r="234" spans="1:43" ht="15" customHeight="1">
      <c r="A234" s="82" t="e">
        <f>1+#REF!</f>
        <v>#REF!</v>
      </c>
      <c r="B234" s="134">
        <v>103</v>
      </c>
      <c r="C234" s="135" t="s">
        <v>835</v>
      </c>
      <c r="D234" s="136" t="s">
        <v>274</v>
      </c>
      <c r="E234" s="137" t="s">
        <v>499</v>
      </c>
      <c r="F234" s="138" t="s">
        <v>585</v>
      </c>
      <c r="G234" s="139" t="s">
        <v>888</v>
      </c>
      <c r="H234" s="140" t="str">
        <f t="shared" si="89"/>
        <v>Niet van toepassing</v>
      </c>
      <c r="I234" s="138" t="s">
        <v>82</v>
      </c>
      <c r="J234" s="138" t="s">
        <v>1172</v>
      </c>
      <c r="K234" s="141" t="str">
        <f t="shared" si="90"/>
        <v>NVT</v>
      </c>
      <c r="L234" s="141" t="str">
        <f t="shared" si="91"/>
        <v>NVT</v>
      </c>
      <c r="M234" s="141" t="str">
        <f t="shared" si="92"/>
        <v>NVT</v>
      </c>
      <c r="N234" s="141" t="str">
        <f t="shared" si="93"/>
        <v>NVT</v>
      </c>
      <c r="O234" s="141" t="str">
        <f t="shared" si="94"/>
        <v>NVT</v>
      </c>
      <c r="P234" s="141" t="str">
        <f t="shared" si="95"/>
        <v>NVT</v>
      </c>
      <c r="Q234" s="141" t="str">
        <f t="shared" si="96"/>
        <v>NVT</v>
      </c>
      <c r="R234" s="63" t="s">
        <v>1221</v>
      </c>
      <c r="S234" s="142">
        <f t="shared" si="87"/>
        <v>0</v>
      </c>
      <c r="T234" s="143">
        <v>7.8000000000000007</v>
      </c>
      <c r="U234" s="144"/>
      <c r="V234" s="144"/>
      <c r="W234" s="144">
        <v>22</v>
      </c>
      <c r="X234" s="144"/>
      <c r="Y234" s="144"/>
      <c r="Z234" s="145"/>
      <c r="AA234" s="145">
        <v>6</v>
      </c>
      <c r="AB234" s="145"/>
      <c r="AC234" s="145"/>
      <c r="AD234" s="146"/>
      <c r="AE234" s="171">
        <v>1</v>
      </c>
      <c r="AF234" s="147">
        <f t="shared" si="97"/>
        <v>0</v>
      </c>
      <c r="AG234" s="147">
        <f t="shared" si="98"/>
        <v>0</v>
      </c>
      <c r="AH234" s="147">
        <f t="shared" si="99"/>
        <v>0</v>
      </c>
      <c r="AI234" s="147">
        <f t="shared" si="100"/>
        <v>0</v>
      </c>
      <c r="AJ234" s="148">
        <f t="shared" si="101"/>
        <v>0</v>
      </c>
      <c r="AK234" s="149">
        <f t="shared" si="83"/>
        <v>0</v>
      </c>
      <c r="AL234" s="149">
        <f t="shared" si="84"/>
        <v>0</v>
      </c>
      <c r="AM234" s="149">
        <f t="shared" si="85"/>
        <v>0</v>
      </c>
      <c r="AN234" s="149">
        <f t="shared" si="86"/>
        <v>0</v>
      </c>
      <c r="AO234" s="150">
        <f t="shared" si="102"/>
        <v>0</v>
      </c>
      <c r="AQ234" s="151">
        <f t="shared" si="103"/>
        <v>0</v>
      </c>
    </row>
    <row r="235" spans="1:43" ht="15" customHeight="1">
      <c r="A235" s="82" t="e">
        <f t="shared" si="88"/>
        <v>#REF!</v>
      </c>
      <c r="B235" s="134">
        <v>103</v>
      </c>
      <c r="C235" s="135" t="s">
        <v>835</v>
      </c>
      <c r="D235" s="136" t="s">
        <v>274</v>
      </c>
      <c r="E235" s="137" t="s">
        <v>499</v>
      </c>
      <c r="F235" s="138" t="s">
        <v>587</v>
      </c>
      <c r="G235" s="139" t="s">
        <v>889</v>
      </c>
      <c r="H235" s="140" t="str">
        <f t="shared" si="89"/>
        <v>Niet van toepassing</v>
      </c>
      <c r="I235" s="138" t="s">
        <v>82</v>
      </c>
      <c r="J235" s="138" t="s">
        <v>1172</v>
      </c>
      <c r="K235" s="141" t="str">
        <f t="shared" si="90"/>
        <v>NVT</v>
      </c>
      <c r="L235" s="141" t="str">
        <f t="shared" si="91"/>
        <v>NVT</v>
      </c>
      <c r="M235" s="141" t="str">
        <f t="shared" si="92"/>
        <v>NVT</v>
      </c>
      <c r="N235" s="141" t="str">
        <f t="shared" si="93"/>
        <v>NVT</v>
      </c>
      <c r="O235" s="141" t="str">
        <f t="shared" si="94"/>
        <v>NVT</v>
      </c>
      <c r="P235" s="141" t="str">
        <f t="shared" si="95"/>
        <v>NVT</v>
      </c>
      <c r="Q235" s="141" t="str">
        <f t="shared" si="96"/>
        <v>NVT</v>
      </c>
      <c r="R235" s="63" t="s">
        <v>1221</v>
      </c>
      <c r="S235" s="142">
        <f t="shared" si="87"/>
        <v>0</v>
      </c>
      <c r="T235" s="143">
        <v>3.9000000000000004</v>
      </c>
      <c r="U235" s="144"/>
      <c r="V235" s="144"/>
      <c r="W235" s="144">
        <v>15</v>
      </c>
      <c r="X235" s="144"/>
      <c r="Y235" s="144"/>
      <c r="Z235" s="145"/>
      <c r="AA235" s="145">
        <v>3</v>
      </c>
      <c r="AB235" s="145"/>
      <c r="AC235" s="145"/>
      <c r="AD235" s="146"/>
      <c r="AE235" s="171">
        <v>1</v>
      </c>
      <c r="AF235" s="147">
        <f t="shared" si="97"/>
        <v>0</v>
      </c>
      <c r="AG235" s="147">
        <f t="shared" si="98"/>
        <v>0</v>
      </c>
      <c r="AH235" s="147">
        <f t="shared" si="99"/>
        <v>0</v>
      </c>
      <c r="AI235" s="147">
        <f t="shared" si="100"/>
        <v>0</v>
      </c>
      <c r="AJ235" s="148">
        <f t="shared" si="101"/>
        <v>0</v>
      </c>
      <c r="AK235" s="149">
        <f t="shared" si="83"/>
        <v>0</v>
      </c>
      <c r="AL235" s="149">
        <f t="shared" si="84"/>
        <v>0</v>
      </c>
      <c r="AM235" s="149">
        <f t="shared" si="85"/>
        <v>0</v>
      </c>
      <c r="AN235" s="149">
        <f t="shared" si="86"/>
        <v>0</v>
      </c>
      <c r="AO235" s="150">
        <f t="shared" si="102"/>
        <v>0</v>
      </c>
      <c r="AQ235" s="151">
        <f t="shared" si="103"/>
        <v>0</v>
      </c>
    </row>
    <row r="236" spans="1:43" ht="15" customHeight="1">
      <c r="A236" s="82" t="e">
        <f t="shared" si="88"/>
        <v>#REF!</v>
      </c>
      <c r="B236" s="134">
        <v>103</v>
      </c>
      <c r="C236" s="135" t="s">
        <v>835</v>
      </c>
      <c r="D236" s="136" t="s">
        <v>274</v>
      </c>
      <c r="E236" s="137" t="s">
        <v>499</v>
      </c>
      <c r="F236" s="138" t="s">
        <v>585</v>
      </c>
      <c r="G236" s="139" t="s">
        <v>890</v>
      </c>
      <c r="H236" s="140" t="str">
        <f t="shared" si="89"/>
        <v>Niet van toepassing</v>
      </c>
      <c r="I236" s="138" t="s">
        <v>82</v>
      </c>
      <c r="J236" s="138" t="s">
        <v>1172</v>
      </c>
      <c r="K236" s="141" t="str">
        <f t="shared" si="90"/>
        <v>NVT</v>
      </c>
      <c r="L236" s="141" t="str">
        <f t="shared" si="91"/>
        <v>NVT</v>
      </c>
      <c r="M236" s="141" t="str">
        <f t="shared" si="92"/>
        <v>NVT</v>
      </c>
      <c r="N236" s="141" t="str">
        <f t="shared" si="93"/>
        <v>NVT</v>
      </c>
      <c r="O236" s="141" t="str">
        <f t="shared" si="94"/>
        <v>NVT</v>
      </c>
      <c r="P236" s="141" t="str">
        <f t="shared" si="95"/>
        <v>NVT</v>
      </c>
      <c r="Q236" s="141" t="str">
        <f t="shared" si="96"/>
        <v>NVT</v>
      </c>
      <c r="R236" s="63" t="s">
        <v>1221</v>
      </c>
      <c r="S236" s="142">
        <f t="shared" si="87"/>
        <v>0</v>
      </c>
      <c r="T236" s="143">
        <v>10.4</v>
      </c>
      <c r="U236" s="144"/>
      <c r="V236" s="144"/>
      <c r="W236" s="144">
        <v>25</v>
      </c>
      <c r="X236" s="144"/>
      <c r="Y236" s="144"/>
      <c r="Z236" s="145"/>
      <c r="AA236" s="145">
        <v>8</v>
      </c>
      <c r="AB236" s="145"/>
      <c r="AC236" s="145"/>
      <c r="AD236" s="146"/>
      <c r="AE236" s="171">
        <v>1</v>
      </c>
      <c r="AF236" s="147">
        <f t="shared" si="97"/>
        <v>0</v>
      </c>
      <c r="AG236" s="147">
        <f t="shared" si="98"/>
        <v>0</v>
      </c>
      <c r="AH236" s="147">
        <f t="shared" si="99"/>
        <v>0</v>
      </c>
      <c r="AI236" s="147">
        <f t="shared" si="100"/>
        <v>0</v>
      </c>
      <c r="AJ236" s="148">
        <f t="shared" si="101"/>
        <v>0</v>
      </c>
      <c r="AK236" s="149">
        <f t="shared" si="83"/>
        <v>0</v>
      </c>
      <c r="AL236" s="149">
        <f t="shared" si="84"/>
        <v>0</v>
      </c>
      <c r="AM236" s="149">
        <f t="shared" si="85"/>
        <v>0</v>
      </c>
      <c r="AN236" s="149">
        <f t="shared" si="86"/>
        <v>0</v>
      </c>
      <c r="AO236" s="150">
        <f t="shared" si="102"/>
        <v>0</v>
      </c>
      <c r="AQ236" s="151">
        <f t="shared" si="103"/>
        <v>0</v>
      </c>
    </row>
    <row r="237" spans="1:43" ht="15" customHeight="1">
      <c r="A237" s="82" t="e">
        <f t="shared" si="88"/>
        <v>#REF!</v>
      </c>
      <c r="B237" s="134">
        <v>103</v>
      </c>
      <c r="C237" s="135" t="s">
        <v>835</v>
      </c>
      <c r="D237" s="136" t="s">
        <v>274</v>
      </c>
      <c r="E237" s="137" t="s">
        <v>499</v>
      </c>
      <c r="F237" s="138" t="s">
        <v>587</v>
      </c>
      <c r="G237" s="139" t="s">
        <v>891</v>
      </c>
      <c r="H237" s="140" t="str">
        <f t="shared" si="89"/>
        <v>Niet van toepassing</v>
      </c>
      <c r="I237" s="138" t="s">
        <v>82</v>
      </c>
      <c r="J237" s="138" t="s">
        <v>1172</v>
      </c>
      <c r="K237" s="141" t="str">
        <f t="shared" si="90"/>
        <v>NVT</v>
      </c>
      <c r="L237" s="141" t="str">
        <f t="shared" si="91"/>
        <v>NVT</v>
      </c>
      <c r="M237" s="141" t="str">
        <f t="shared" si="92"/>
        <v>NVT</v>
      </c>
      <c r="N237" s="141" t="str">
        <f t="shared" si="93"/>
        <v>NVT</v>
      </c>
      <c r="O237" s="141" t="str">
        <f t="shared" si="94"/>
        <v>NVT</v>
      </c>
      <c r="P237" s="141" t="str">
        <f t="shared" si="95"/>
        <v>NVT</v>
      </c>
      <c r="Q237" s="141" t="str">
        <f t="shared" si="96"/>
        <v>NVT</v>
      </c>
      <c r="R237" s="63" t="s">
        <v>1221</v>
      </c>
      <c r="S237" s="142">
        <f t="shared" si="87"/>
        <v>0</v>
      </c>
      <c r="T237" s="143">
        <v>5.2</v>
      </c>
      <c r="U237" s="144"/>
      <c r="V237" s="144"/>
      <c r="W237" s="144">
        <v>20</v>
      </c>
      <c r="X237" s="144"/>
      <c r="Y237" s="144"/>
      <c r="Z237" s="145"/>
      <c r="AA237" s="145">
        <v>4</v>
      </c>
      <c r="AB237" s="145"/>
      <c r="AC237" s="145"/>
      <c r="AD237" s="146"/>
      <c r="AE237" s="171">
        <v>1</v>
      </c>
      <c r="AF237" s="147">
        <f t="shared" si="97"/>
        <v>0</v>
      </c>
      <c r="AG237" s="147">
        <f t="shared" si="98"/>
        <v>0</v>
      </c>
      <c r="AH237" s="147">
        <f t="shared" si="99"/>
        <v>0</v>
      </c>
      <c r="AI237" s="147">
        <f t="shared" si="100"/>
        <v>0</v>
      </c>
      <c r="AJ237" s="148">
        <f t="shared" si="101"/>
        <v>0</v>
      </c>
      <c r="AK237" s="149">
        <f t="shared" si="83"/>
        <v>0</v>
      </c>
      <c r="AL237" s="149">
        <f t="shared" si="84"/>
        <v>0</v>
      </c>
      <c r="AM237" s="149">
        <f t="shared" si="85"/>
        <v>0</v>
      </c>
      <c r="AN237" s="149">
        <f t="shared" si="86"/>
        <v>0</v>
      </c>
      <c r="AO237" s="150">
        <f t="shared" si="102"/>
        <v>0</v>
      </c>
      <c r="AQ237" s="151">
        <f t="shared" si="103"/>
        <v>0</v>
      </c>
    </row>
    <row r="238" spans="1:43" ht="15" customHeight="1">
      <c r="A238" s="82" t="e">
        <f t="shared" si="88"/>
        <v>#REF!</v>
      </c>
      <c r="B238" s="134">
        <v>103</v>
      </c>
      <c r="C238" s="135" t="s">
        <v>835</v>
      </c>
      <c r="D238" s="136" t="s">
        <v>274</v>
      </c>
      <c r="E238" s="137" t="s">
        <v>499</v>
      </c>
      <c r="F238" s="138" t="s">
        <v>505</v>
      </c>
      <c r="G238" s="139" t="s">
        <v>892</v>
      </c>
      <c r="H238" s="140" t="str">
        <f t="shared" si="89"/>
        <v>Niet van toepassing</v>
      </c>
      <c r="I238" s="138" t="s">
        <v>35</v>
      </c>
      <c r="J238" s="138" t="s">
        <v>1172</v>
      </c>
      <c r="K238" s="141" t="str">
        <f t="shared" si="90"/>
        <v>NVT</v>
      </c>
      <c r="L238" s="141" t="str">
        <f t="shared" si="91"/>
        <v>NVT</v>
      </c>
      <c r="M238" s="141" t="str">
        <f t="shared" si="92"/>
        <v>NVT</v>
      </c>
      <c r="N238" s="141" t="str">
        <f t="shared" si="93"/>
        <v>NVT</v>
      </c>
      <c r="O238" s="141" t="str">
        <f t="shared" si="94"/>
        <v>NVT</v>
      </c>
      <c r="P238" s="141" t="str">
        <f t="shared" si="95"/>
        <v>NVT</v>
      </c>
      <c r="Q238" s="141" t="str">
        <f t="shared" si="96"/>
        <v>NVT</v>
      </c>
      <c r="R238" s="63" t="s">
        <v>1221</v>
      </c>
      <c r="S238" s="142">
        <f t="shared" si="87"/>
        <v>0</v>
      </c>
      <c r="T238" s="143">
        <v>13</v>
      </c>
      <c r="U238" s="144"/>
      <c r="V238" s="144"/>
      <c r="W238" s="144">
        <v>26</v>
      </c>
      <c r="X238" s="144"/>
      <c r="Y238" s="144"/>
      <c r="Z238" s="145"/>
      <c r="AA238" s="145"/>
      <c r="AB238" s="145">
        <v>10</v>
      </c>
      <c r="AC238" s="145"/>
      <c r="AD238" s="146"/>
      <c r="AE238" s="171">
        <v>1</v>
      </c>
      <c r="AF238" s="147">
        <f t="shared" si="97"/>
        <v>0</v>
      </c>
      <c r="AG238" s="147">
        <f t="shared" si="98"/>
        <v>0</v>
      </c>
      <c r="AH238" s="147">
        <f t="shared" si="99"/>
        <v>0</v>
      </c>
      <c r="AI238" s="147">
        <f t="shared" si="100"/>
        <v>0</v>
      </c>
      <c r="AJ238" s="148">
        <f t="shared" si="101"/>
        <v>0</v>
      </c>
      <c r="AK238" s="149">
        <f t="shared" si="83"/>
        <v>0</v>
      </c>
      <c r="AL238" s="149">
        <f t="shared" si="84"/>
        <v>0</v>
      </c>
      <c r="AM238" s="149">
        <f t="shared" si="85"/>
        <v>0</v>
      </c>
      <c r="AN238" s="149">
        <f t="shared" si="86"/>
        <v>0</v>
      </c>
      <c r="AO238" s="150">
        <f t="shared" si="102"/>
        <v>0</v>
      </c>
      <c r="AQ238" s="151">
        <f t="shared" si="103"/>
        <v>0</v>
      </c>
    </row>
    <row r="239" spans="1:43" ht="15" customHeight="1">
      <c r="A239" s="82" t="e">
        <f t="shared" si="88"/>
        <v>#REF!</v>
      </c>
      <c r="B239" s="134">
        <v>103</v>
      </c>
      <c r="C239" s="135" t="s">
        <v>835</v>
      </c>
      <c r="D239" s="136" t="s">
        <v>274</v>
      </c>
      <c r="E239" s="137" t="s">
        <v>499</v>
      </c>
      <c r="F239" s="138" t="s">
        <v>505</v>
      </c>
      <c r="G239" s="139" t="s">
        <v>893</v>
      </c>
      <c r="H239" s="140" t="str">
        <f t="shared" si="89"/>
        <v>Niet van toepassing</v>
      </c>
      <c r="I239" s="138" t="s">
        <v>35</v>
      </c>
      <c r="J239" s="138" t="s">
        <v>1172</v>
      </c>
      <c r="K239" s="141" t="str">
        <f t="shared" si="90"/>
        <v>NVT</v>
      </c>
      <c r="L239" s="141" t="str">
        <f t="shared" si="91"/>
        <v>NVT</v>
      </c>
      <c r="M239" s="141" t="str">
        <f t="shared" si="92"/>
        <v>NVT</v>
      </c>
      <c r="N239" s="141" t="str">
        <f t="shared" si="93"/>
        <v>NVT</v>
      </c>
      <c r="O239" s="141" t="str">
        <f t="shared" si="94"/>
        <v>NVT</v>
      </c>
      <c r="P239" s="141" t="str">
        <f t="shared" si="95"/>
        <v>NVT</v>
      </c>
      <c r="Q239" s="141" t="str">
        <f t="shared" si="96"/>
        <v>NVT</v>
      </c>
      <c r="R239" s="63" t="s">
        <v>1221</v>
      </c>
      <c r="S239" s="142">
        <f t="shared" si="87"/>
        <v>0</v>
      </c>
      <c r="T239" s="143">
        <f>(4.1*14.5)*1.3</f>
        <v>77.284999999999997</v>
      </c>
      <c r="U239" s="144"/>
      <c r="V239" s="144"/>
      <c r="W239" s="144">
        <f>((14.5+4.1+14.5+4.1)*1.85)+((4.7+2.6+4.15+4.3)*4.6)</f>
        <v>141.26999999999998</v>
      </c>
      <c r="X239" s="144"/>
      <c r="Y239" s="144"/>
      <c r="Z239" s="145"/>
      <c r="AA239" s="145">
        <f>T239-15.7</f>
        <v>61.584999999999994</v>
      </c>
      <c r="AB239" s="145"/>
      <c r="AC239" s="145"/>
      <c r="AD239" s="146"/>
      <c r="AE239" s="171">
        <v>1</v>
      </c>
      <c r="AF239" s="147">
        <f t="shared" si="97"/>
        <v>0</v>
      </c>
      <c r="AG239" s="147">
        <f t="shared" si="98"/>
        <v>0</v>
      </c>
      <c r="AH239" s="147">
        <f t="shared" si="99"/>
        <v>0</v>
      </c>
      <c r="AI239" s="147">
        <f t="shared" si="100"/>
        <v>0</v>
      </c>
      <c r="AJ239" s="148">
        <f t="shared" si="101"/>
        <v>0</v>
      </c>
      <c r="AK239" s="149">
        <f t="shared" si="83"/>
        <v>0</v>
      </c>
      <c r="AL239" s="149">
        <f t="shared" si="84"/>
        <v>0</v>
      </c>
      <c r="AM239" s="149">
        <f t="shared" si="85"/>
        <v>0</v>
      </c>
      <c r="AN239" s="149">
        <f t="shared" si="86"/>
        <v>0</v>
      </c>
      <c r="AO239" s="150">
        <f t="shared" si="102"/>
        <v>0</v>
      </c>
      <c r="AQ239" s="151">
        <f t="shared" si="103"/>
        <v>0</v>
      </c>
    </row>
    <row r="240" spans="1:43" ht="15" customHeight="1">
      <c r="A240" s="82" t="e">
        <f t="shared" si="88"/>
        <v>#REF!</v>
      </c>
      <c r="B240" s="134">
        <v>103</v>
      </c>
      <c r="C240" s="135" t="s">
        <v>835</v>
      </c>
      <c r="D240" s="136" t="s">
        <v>274</v>
      </c>
      <c r="E240" s="137" t="s">
        <v>499</v>
      </c>
      <c r="F240" s="138" t="s">
        <v>503</v>
      </c>
      <c r="G240" s="139" t="s">
        <v>894</v>
      </c>
      <c r="H240" s="140" t="str">
        <f t="shared" si="89"/>
        <v>Niet van toepassing</v>
      </c>
      <c r="I240" s="138" t="s">
        <v>82</v>
      </c>
      <c r="J240" s="138" t="s">
        <v>1172</v>
      </c>
      <c r="K240" s="141" t="str">
        <f t="shared" si="90"/>
        <v>NVT</v>
      </c>
      <c r="L240" s="141" t="str">
        <f t="shared" si="91"/>
        <v>NVT</v>
      </c>
      <c r="M240" s="141" t="str">
        <f t="shared" si="92"/>
        <v>NVT</v>
      </c>
      <c r="N240" s="141" t="str">
        <f t="shared" si="93"/>
        <v>NVT</v>
      </c>
      <c r="O240" s="141" t="str">
        <f t="shared" si="94"/>
        <v>NVT</v>
      </c>
      <c r="P240" s="141" t="str">
        <f t="shared" si="95"/>
        <v>NVT</v>
      </c>
      <c r="Q240" s="141" t="str">
        <f t="shared" si="96"/>
        <v>NVT</v>
      </c>
      <c r="R240" s="63" t="s">
        <v>1221</v>
      </c>
      <c r="S240" s="142">
        <f t="shared" si="87"/>
        <v>0</v>
      </c>
      <c r="T240" s="143">
        <f>(3*7.4)*1.3</f>
        <v>28.860000000000003</v>
      </c>
      <c r="U240" s="144"/>
      <c r="V240" s="144"/>
      <c r="W240" s="144">
        <f>(7.4+3+7.4+3)*1.75</f>
        <v>36.4</v>
      </c>
      <c r="X240" s="144"/>
      <c r="Y240" s="144"/>
      <c r="Z240" s="145"/>
      <c r="AA240" s="145">
        <f>T240</f>
        <v>28.860000000000003</v>
      </c>
      <c r="AB240" s="145"/>
      <c r="AC240" s="145"/>
      <c r="AD240" s="146"/>
      <c r="AE240" s="171">
        <v>1</v>
      </c>
      <c r="AF240" s="147">
        <f t="shared" si="97"/>
        <v>0</v>
      </c>
      <c r="AG240" s="147">
        <f t="shared" si="98"/>
        <v>0</v>
      </c>
      <c r="AH240" s="147">
        <f t="shared" si="99"/>
        <v>0</v>
      </c>
      <c r="AI240" s="147">
        <f t="shared" si="100"/>
        <v>0</v>
      </c>
      <c r="AJ240" s="148">
        <f t="shared" si="101"/>
        <v>0</v>
      </c>
      <c r="AK240" s="149">
        <f t="shared" si="83"/>
        <v>0</v>
      </c>
      <c r="AL240" s="149">
        <f t="shared" si="84"/>
        <v>0</v>
      </c>
      <c r="AM240" s="149">
        <f t="shared" si="85"/>
        <v>0</v>
      </c>
      <c r="AN240" s="149">
        <f t="shared" si="86"/>
        <v>0</v>
      </c>
      <c r="AO240" s="150">
        <f t="shared" si="102"/>
        <v>0</v>
      </c>
      <c r="AQ240" s="151">
        <f t="shared" si="103"/>
        <v>0</v>
      </c>
    </row>
    <row r="241" spans="1:43" ht="15" customHeight="1">
      <c r="A241" s="82" t="e">
        <f t="shared" si="88"/>
        <v>#REF!</v>
      </c>
      <c r="B241" s="134">
        <v>103</v>
      </c>
      <c r="C241" s="135" t="s">
        <v>835</v>
      </c>
      <c r="D241" s="136" t="s">
        <v>274</v>
      </c>
      <c r="E241" s="137" t="s">
        <v>499</v>
      </c>
      <c r="F241" s="138" t="s">
        <v>263</v>
      </c>
      <c r="G241" s="139" t="s">
        <v>895</v>
      </c>
      <c r="H241" s="140" t="str">
        <f t="shared" si="89"/>
        <v>Niet van toepassing</v>
      </c>
      <c r="I241" s="138" t="s">
        <v>195</v>
      </c>
      <c r="J241" s="138" t="s">
        <v>1172</v>
      </c>
      <c r="K241" s="141" t="str">
        <f t="shared" si="90"/>
        <v>NVT</v>
      </c>
      <c r="L241" s="141" t="str">
        <f t="shared" si="91"/>
        <v>NVT</v>
      </c>
      <c r="M241" s="141" t="str">
        <f t="shared" si="92"/>
        <v>NVT</v>
      </c>
      <c r="N241" s="141" t="str">
        <f t="shared" si="93"/>
        <v>NVT</v>
      </c>
      <c r="O241" s="141" t="str">
        <f t="shared" si="94"/>
        <v>NVT</v>
      </c>
      <c r="P241" s="141" t="str">
        <f t="shared" si="95"/>
        <v>NVT</v>
      </c>
      <c r="Q241" s="141" t="str">
        <f t="shared" si="96"/>
        <v>NVT</v>
      </c>
      <c r="R241" s="63" t="s">
        <v>1221</v>
      </c>
      <c r="S241" s="142">
        <f t="shared" si="87"/>
        <v>0</v>
      </c>
      <c r="T241" s="143">
        <v>105.3</v>
      </c>
      <c r="U241" s="144"/>
      <c r="V241" s="144"/>
      <c r="W241" s="144"/>
      <c r="X241" s="144"/>
      <c r="Y241" s="144">
        <f>((6+4.4+6+4)*2.5)+((8.5+4.4+8.5)*2.25)</f>
        <v>99.15</v>
      </c>
      <c r="Z241" s="145"/>
      <c r="AA241" s="145"/>
      <c r="AB241" s="145">
        <v>41</v>
      </c>
      <c r="AC241" s="145"/>
      <c r="AD241" s="146"/>
      <c r="AE241" s="171">
        <v>1</v>
      </c>
      <c r="AF241" s="147">
        <f t="shared" si="97"/>
        <v>0</v>
      </c>
      <c r="AG241" s="147">
        <f t="shared" si="98"/>
        <v>0</v>
      </c>
      <c r="AH241" s="147">
        <f t="shared" si="99"/>
        <v>0</v>
      </c>
      <c r="AI241" s="147">
        <f t="shared" si="100"/>
        <v>0</v>
      </c>
      <c r="AJ241" s="148">
        <f t="shared" si="101"/>
        <v>0</v>
      </c>
      <c r="AK241" s="149">
        <f t="shared" si="83"/>
        <v>0</v>
      </c>
      <c r="AL241" s="149">
        <f t="shared" si="84"/>
        <v>0</v>
      </c>
      <c r="AM241" s="149">
        <f t="shared" si="85"/>
        <v>0</v>
      </c>
      <c r="AN241" s="149">
        <f t="shared" si="86"/>
        <v>0</v>
      </c>
      <c r="AO241" s="150">
        <f t="shared" si="102"/>
        <v>0</v>
      </c>
      <c r="AQ241" s="151">
        <f t="shared" si="103"/>
        <v>0</v>
      </c>
    </row>
    <row r="242" spans="1:43" ht="15" customHeight="1">
      <c r="A242" s="82" t="e">
        <f t="shared" si="88"/>
        <v>#REF!</v>
      </c>
      <c r="B242" s="134">
        <v>103</v>
      </c>
      <c r="C242" s="135" t="s">
        <v>835</v>
      </c>
      <c r="D242" s="136" t="s">
        <v>274</v>
      </c>
      <c r="E242" s="137" t="s">
        <v>499</v>
      </c>
      <c r="F242" s="138" t="s">
        <v>263</v>
      </c>
      <c r="G242" s="139" t="s">
        <v>896</v>
      </c>
      <c r="H242" s="140" t="str">
        <f t="shared" si="89"/>
        <v>Niet van toepassing</v>
      </c>
      <c r="I242" s="138" t="s">
        <v>195</v>
      </c>
      <c r="J242" s="138" t="s">
        <v>1172</v>
      </c>
      <c r="K242" s="141" t="str">
        <f t="shared" si="90"/>
        <v>NVT</v>
      </c>
      <c r="L242" s="141" t="str">
        <f t="shared" si="91"/>
        <v>NVT</v>
      </c>
      <c r="M242" s="141" t="str">
        <f t="shared" si="92"/>
        <v>NVT</v>
      </c>
      <c r="N242" s="141" t="str">
        <f t="shared" si="93"/>
        <v>NVT</v>
      </c>
      <c r="O242" s="141" t="str">
        <f t="shared" si="94"/>
        <v>NVT</v>
      </c>
      <c r="P242" s="141" t="str">
        <f t="shared" si="95"/>
        <v>NVT</v>
      </c>
      <c r="Q242" s="141" t="str">
        <f t="shared" si="96"/>
        <v>NVT</v>
      </c>
      <c r="R242" s="63" t="s">
        <v>1221</v>
      </c>
      <c r="S242" s="142">
        <f t="shared" si="87"/>
        <v>0</v>
      </c>
      <c r="T242" s="143">
        <v>96.2</v>
      </c>
      <c r="U242" s="144"/>
      <c r="V242" s="144"/>
      <c r="W242" s="144"/>
      <c r="X242" s="144"/>
      <c r="Y242" s="144">
        <v>117</v>
      </c>
      <c r="Z242" s="145"/>
      <c r="AA242" s="145"/>
      <c r="AB242" s="145">
        <v>56</v>
      </c>
      <c r="AC242" s="145"/>
      <c r="AD242" s="146"/>
      <c r="AE242" s="171">
        <v>1</v>
      </c>
      <c r="AF242" s="147">
        <f t="shared" si="97"/>
        <v>0</v>
      </c>
      <c r="AG242" s="147">
        <f t="shared" si="98"/>
        <v>0</v>
      </c>
      <c r="AH242" s="147">
        <f t="shared" si="99"/>
        <v>0</v>
      </c>
      <c r="AI242" s="147">
        <f t="shared" si="100"/>
        <v>0</v>
      </c>
      <c r="AJ242" s="148">
        <f t="shared" si="101"/>
        <v>0</v>
      </c>
      <c r="AK242" s="149">
        <f t="shared" si="83"/>
        <v>0</v>
      </c>
      <c r="AL242" s="149">
        <f t="shared" si="84"/>
        <v>0</v>
      </c>
      <c r="AM242" s="149">
        <f t="shared" si="85"/>
        <v>0</v>
      </c>
      <c r="AN242" s="149">
        <f t="shared" si="86"/>
        <v>0</v>
      </c>
      <c r="AO242" s="150">
        <f t="shared" si="102"/>
        <v>0</v>
      </c>
      <c r="AQ242" s="151">
        <f t="shared" si="103"/>
        <v>0</v>
      </c>
    </row>
    <row r="243" spans="1:43" ht="15" customHeight="1">
      <c r="A243" s="82" t="e">
        <f t="shared" si="88"/>
        <v>#REF!</v>
      </c>
      <c r="B243" s="134">
        <v>103</v>
      </c>
      <c r="C243" s="135" t="s">
        <v>835</v>
      </c>
      <c r="D243" s="136" t="s">
        <v>274</v>
      </c>
      <c r="E243" s="137" t="s">
        <v>499</v>
      </c>
      <c r="F243" s="138" t="s">
        <v>263</v>
      </c>
      <c r="G243" s="139" t="s">
        <v>740</v>
      </c>
      <c r="H243" s="140" t="str">
        <f t="shared" si="89"/>
        <v>Niet van toepassing</v>
      </c>
      <c r="I243" s="138" t="s">
        <v>195</v>
      </c>
      <c r="J243" s="138" t="s">
        <v>1172</v>
      </c>
      <c r="K243" s="141" t="str">
        <f t="shared" si="90"/>
        <v>NVT</v>
      </c>
      <c r="L243" s="141" t="str">
        <f t="shared" si="91"/>
        <v>NVT</v>
      </c>
      <c r="M243" s="141" t="str">
        <f t="shared" si="92"/>
        <v>NVT</v>
      </c>
      <c r="N243" s="141" t="str">
        <f t="shared" si="93"/>
        <v>NVT</v>
      </c>
      <c r="O243" s="141" t="str">
        <f t="shared" si="94"/>
        <v>NVT</v>
      </c>
      <c r="P243" s="141" t="str">
        <f t="shared" si="95"/>
        <v>NVT</v>
      </c>
      <c r="Q243" s="141" t="str">
        <f t="shared" si="96"/>
        <v>NVT</v>
      </c>
      <c r="R243" s="63" t="s">
        <v>1221</v>
      </c>
      <c r="S243" s="142">
        <f t="shared" si="87"/>
        <v>0</v>
      </c>
      <c r="T243" s="143">
        <f>(7.4*8.4)*1.3</f>
        <v>80.808000000000007</v>
      </c>
      <c r="U243" s="144"/>
      <c r="V243" s="144"/>
      <c r="W243" s="144"/>
      <c r="X243" s="144"/>
      <c r="Y243" s="144">
        <f>(8.4+7.4+8.4)*2.2</f>
        <v>53.240000000000009</v>
      </c>
      <c r="Z243" s="145"/>
      <c r="AA243" s="145"/>
      <c r="AB243" s="145">
        <f>0.3*Y243</f>
        <v>15.972000000000001</v>
      </c>
      <c r="AC243" s="145"/>
      <c r="AD243" s="146"/>
      <c r="AE243" s="171">
        <v>1</v>
      </c>
      <c r="AF243" s="147">
        <f t="shared" si="97"/>
        <v>0</v>
      </c>
      <c r="AG243" s="147">
        <f t="shared" si="98"/>
        <v>0</v>
      </c>
      <c r="AH243" s="147">
        <f t="shared" si="99"/>
        <v>0</v>
      </c>
      <c r="AI243" s="147">
        <f t="shared" si="100"/>
        <v>0</v>
      </c>
      <c r="AJ243" s="148">
        <f t="shared" si="101"/>
        <v>0</v>
      </c>
      <c r="AK243" s="149">
        <f t="shared" si="83"/>
        <v>0</v>
      </c>
      <c r="AL243" s="149">
        <f t="shared" si="84"/>
        <v>0</v>
      </c>
      <c r="AM243" s="149">
        <f t="shared" si="85"/>
        <v>0</v>
      </c>
      <c r="AN243" s="149">
        <f t="shared" si="86"/>
        <v>0</v>
      </c>
      <c r="AO243" s="150">
        <f t="shared" si="102"/>
        <v>0</v>
      </c>
      <c r="AQ243" s="151">
        <f t="shared" si="103"/>
        <v>0</v>
      </c>
    </row>
    <row r="244" spans="1:43" ht="15" customHeight="1">
      <c r="A244" s="82" t="e">
        <f t="shared" si="88"/>
        <v>#REF!</v>
      </c>
      <c r="B244" s="134">
        <v>103</v>
      </c>
      <c r="C244" s="135" t="s">
        <v>835</v>
      </c>
      <c r="D244" s="136" t="s">
        <v>274</v>
      </c>
      <c r="E244" s="137" t="s">
        <v>499</v>
      </c>
      <c r="F244" s="138" t="s">
        <v>210</v>
      </c>
      <c r="G244" s="139" t="s">
        <v>897</v>
      </c>
      <c r="H244" s="140" t="str">
        <f t="shared" si="89"/>
        <v>Niet van toepassing</v>
      </c>
      <c r="I244" s="138" t="s">
        <v>195</v>
      </c>
      <c r="J244" s="138" t="s">
        <v>1172</v>
      </c>
      <c r="K244" s="141" t="str">
        <f t="shared" si="90"/>
        <v>NVT</v>
      </c>
      <c r="L244" s="141" t="str">
        <f t="shared" si="91"/>
        <v>NVT</v>
      </c>
      <c r="M244" s="141" t="str">
        <f t="shared" si="92"/>
        <v>NVT</v>
      </c>
      <c r="N244" s="141" t="str">
        <f t="shared" si="93"/>
        <v>NVT</v>
      </c>
      <c r="O244" s="141" t="str">
        <f t="shared" si="94"/>
        <v>NVT</v>
      </c>
      <c r="P244" s="141" t="str">
        <f t="shared" si="95"/>
        <v>NVT</v>
      </c>
      <c r="Q244" s="141" t="str">
        <f t="shared" si="96"/>
        <v>NVT</v>
      </c>
      <c r="R244" s="63" t="s">
        <v>1221</v>
      </c>
      <c r="S244" s="142">
        <f t="shared" si="87"/>
        <v>0</v>
      </c>
      <c r="T244" s="143">
        <v>10.4</v>
      </c>
      <c r="U244" s="144"/>
      <c r="V244" s="144"/>
      <c r="W244" s="144"/>
      <c r="X244" s="144"/>
      <c r="Y244" s="144">
        <v>25</v>
      </c>
      <c r="Z244" s="145"/>
      <c r="AA244" s="145"/>
      <c r="AB244" s="145">
        <v>8</v>
      </c>
      <c r="AC244" s="145"/>
      <c r="AD244" s="146"/>
      <c r="AE244" s="171">
        <v>1</v>
      </c>
      <c r="AF244" s="147">
        <f t="shared" si="97"/>
        <v>0</v>
      </c>
      <c r="AG244" s="147">
        <f t="shared" si="98"/>
        <v>0</v>
      </c>
      <c r="AH244" s="147">
        <f t="shared" si="99"/>
        <v>0</v>
      </c>
      <c r="AI244" s="147">
        <f t="shared" si="100"/>
        <v>0</v>
      </c>
      <c r="AJ244" s="148">
        <f t="shared" si="101"/>
        <v>0</v>
      </c>
      <c r="AK244" s="149">
        <f t="shared" si="83"/>
        <v>0</v>
      </c>
      <c r="AL244" s="149">
        <f t="shared" si="84"/>
        <v>0</v>
      </c>
      <c r="AM244" s="149">
        <f t="shared" si="85"/>
        <v>0</v>
      </c>
      <c r="AN244" s="149">
        <f t="shared" si="86"/>
        <v>0</v>
      </c>
      <c r="AO244" s="150">
        <f t="shared" si="102"/>
        <v>0</v>
      </c>
      <c r="AQ244" s="151">
        <f t="shared" si="103"/>
        <v>0</v>
      </c>
    </row>
    <row r="245" spans="1:43" ht="15" customHeight="1">
      <c r="A245" s="82" t="e">
        <f t="shared" si="88"/>
        <v>#REF!</v>
      </c>
      <c r="B245" s="134">
        <v>103</v>
      </c>
      <c r="C245" s="135" t="s">
        <v>835</v>
      </c>
      <c r="D245" s="136" t="s">
        <v>274</v>
      </c>
      <c r="E245" s="137" t="s">
        <v>101</v>
      </c>
      <c r="F245" s="138" t="s">
        <v>546</v>
      </c>
      <c r="G245" s="139" t="s">
        <v>898</v>
      </c>
      <c r="H245" s="140" t="str">
        <f t="shared" si="89"/>
        <v>Roltrappen(inclusief aangrenzende bouwdelen)</v>
      </c>
      <c r="I245" s="138"/>
      <c r="J245" s="138" t="s">
        <v>1171</v>
      </c>
      <c r="K245" s="141" t="str">
        <f t="shared" si="90"/>
        <v>Omde dag Vol/Nal.</v>
      </c>
      <c r="L245" s="141" t="str">
        <f t="shared" si="91"/>
        <v>Omde dag Nal./Vol</v>
      </c>
      <c r="M245" s="141" t="str">
        <f t="shared" si="92"/>
        <v>Omde dag Vol/Nal.</v>
      </c>
      <c r="N245" s="141" t="str">
        <f t="shared" si="93"/>
        <v>Omde dag Nal./Vol</v>
      </c>
      <c r="O245" s="141" t="str">
        <f t="shared" si="94"/>
        <v>Omde dag Vol/Nal.</v>
      </c>
      <c r="P245" s="141" t="str">
        <f t="shared" si="95"/>
        <v>Omde dag Nal./Vol</v>
      </c>
      <c r="Q245" s="141" t="str">
        <f t="shared" si="96"/>
        <v>Omde dag Vol/Nal.</v>
      </c>
      <c r="R245" s="63" t="s">
        <v>1481</v>
      </c>
      <c r="S245" s="142">
        <f t="shared" si="87"/>
        <v>365</v>
      </c>
      <c r="T245" s="143">
        <v>0</v>
      </c>
      <c r="U245" s="144"/>
      <c r="V245" s="144"/>
      <c r="W245" s="144"/>
      <c r="X245" s="144"/>
      <c r="Y245" s="144"/>
      <c r="Z245" s="145"/>
      <c r="AA245" s="145"/>
      <c r="AB245" s="145"/>
      <c r="AC245" s="145"/>
      <c r="AD245" s="146" t="s">
        <v>1233</v>
      </c>
      <c r="AE245" s="171">
        <v>1</v>
      </c>
      <c r="AF245" s="147">
        <f t="shared" si="97"/>
        <v>0</v>
      </c>
      <c r="AG245" s="147">
        <f t="shared" si="98"/>
        <v>0</v>
      </c>
      <c r="AH245" s="147">
        <f t="shared" si="99"/>
        <v>0</v>
      </c>
      <c r="AI245" s="147">
        <f t="shared" si="100"/>
        <v>0</v>
      </c>
      <c r="AJ245" s="148" t="str">
        <f t="shared" si="101"/>
        <v>ja</v>
      </c>
      <c r="AK245" s="149">
        <f t="shared" si="83"/>
        <v>0</v>
      </c>
      <c r="AL245" s="149">
        <f t="shared" si="84"/>
        <v>0</v>
      </c>
      <c r="AM245" s="149">
        <f t="shared" si="85"/>
        <v>0</v>
      </c>
      <c r="AN245" s="149">
        <f t="shared" si="86"/>
        <v>0</v>
      </c>
      <c r="AO245" s="150" t="str">
        <f t="shared" si="102"/>
        <v>V</v>
      </c>
      <c r="AQ245" s="151">
        <f t="shared" si="103"/>
        <v>0</v>
      </c>
    </row>
    <row r="246" spans="1:43" ht="15" customHeight="1">
      <c r="A246" s="82" t="e">
        <f t="shared" si="88"/>
        <v>#REF!</v>
      </c>
      <c r="B246" s="134">
        <v>103</v>
      </c>
      <c r="C246" s="135" t="s">
        <v>835</v>
      </c>
      <c r="D246" s="136" t="s">
        <v>274</v>
      </c>
      <c r="E246" s="137" t="s">
        <v>101</v>
      </c>
      <c r="F246" s="138" t="s">
        <v>548</v>
      </c>
      <c r="G246" s="139" t="s">
        <v>899</v>
      </c>
      <c r="H246" s="140" t="str">
        <f t="shared" si="89"/>
        <v>Trappen</v>
      </c>
      <c r="I246" s="138"/>
      <c r="J246" s="138" t="s">
        <v>1171</v>
      </c>
      <c r="K246" s="141" t="str">
        <f t="shared" si="90"/>
        <v>Omde dag Vol/Nal.</v>
      </c>
      <c r="L246" s="141" t="str">
        <f t="shared" si="91"/>
        <v>Omde dag Nal./Vol</v>
      </c>
      <c r="M246" s="141" t="str">
        <f t="shared" si="92"/>
        <v>Omde dag Vol/Nal.</v>
      </c>
      <c r="N246" s="141" t="str">
        <f t="shared" si="93"/>
        <v>Omde dag Nal./Vol</v>
      </c>
      <c r="O246" s="141" t="str">
        <f t="shared" si="94"/>
        <v>Omde dag Vol/Nal.</v>
      </c>
      <c r="P246" s="141" t="str">
        <f t="shared" si="95"/>
        <v>Omde dag Nal./Vol</v>
      </c>
      <c r="Q246" s="141" t="str">
        <f t="shared" si="96"/>
        <v>Omde dag Vol/Nal.</v>
      </c>
      <c r="R246" s="63" t="s">
        <v>1477</v>
      </c>
      <c r="S246" s="142">
        <f t="shared" si="87"/>
        <v>365</v>
      </c>
      <c r="T246" s="143">
        <v>0</v>
      </c>
      <c r="U246" s="144"/>
      <c r="V246" s="144"/>
      <c r="W246" s="144"/>
      <c r="X246" s="144"/>
      <c r="Y246" s="144"/>
      <c r="Z246" s="145"/>
      <c r="AA246" s="145"/>
      <c r="AB246" s="145"/>
      <c r="AC246" s="145"/>
      <c r="AD246" s="146" t="s">
        <v>1032</v>
      </c>
      <c r="AE246" s="171">
        <v>1</v>
      </c>
      <c r="AF246" s="147">
        <f t="shared" si="97"/>
        <v>0</v>
      </c>
      <c r="AG246" s="147">
        <f t="shared" si="98"/>
        <v>0</v>
      </c>
      <c r="AH246" s="147">
        <f t="shared" si="99"/>
        <v>0</v>
      </c>
      <c r="AI246" s="147">
        <f t="shared" si="100"/>
        <v>0</v>
      </c>
      <c r="AJ246" s="148" t="str">
        <f t="shared" si="101"/>
        <v>ja</v>
      </c>
      <c r="AK246" s="149">
        <f t="shared" si="83"/>
        <v>0</v>
      </c>
      <c r="AL246" s="149">
        <f t="shared" si="84"/>
        <v>0</v>
      </c>
      <c r="AM246" s="149">
        <f t="shared" si="85"/>
        <v>0</v>
      </c>
      <c r="AN246" s="149">
        <f t="shared" si="86"/>
        <v>0</v>
      </c>
      <c r="AO246" s="150" t="str">
        <f t="shared" si="102"/>
        <v>V</v>
      </c>
      <c r="AQ246" s="151">
        <f t="shared" si="103"/>
        <v>0</v>
      </c>
    </row>
    <row r="247" spans="1:43" ht="15" customHeight="1">
      <c r="A247" s="82" t="e">
        <f t="shared" si="88"/>
        <v>#REF!</v>
      </c>
      <c r="B247" s="134">
        <v>103</v>
      </c>
      <c r="C247" s="135" t="s">
        <v>835</v>
      </c>
      <c r="D247" s="136" t="s">
        <v>274</v>
      </c>
      <c r="E247" s="137" t="s">
        <v>101</v>
      </c>
      <c r="F247" s="138" t="s">
        <v>101</v>
      </c>
      <c r="G247" s="139" t="s">
        <v>900</v>
      </c>
      <c r="H247" s="140" t="str">
        <f t="shared" si="89"/>
        <v>Perrons</v>
      </c>
      <c r="I247" s="138" t="s">
        <v>195</v>
      </c>
      <c r="J247" s="138" t="s">
        <v>1171</v>
      </c>
      <c r="K247" s="141" t="str">
        <f t="shared" si="90"/>
        <v>Omde dag Vol/Nal.</v>
      </c>
      <c r="L247" s="141" t="str">
        <f t="shared" si="91"/>
        <v>Omde dag Nal./Vol</v>
      </c>
      <c r="M247" s="141" t="str">
        <f t="shared" si="92"/>
        <v>Omde dag Vol/Nal.</v>
      </c>
      <c r="N247" s="141" t="str">
        <f t="shared" si="93"/>
        <v>Omde dag Nal./Vol</v>
      </c>
      <c r="O247" s="141" t="str">
        <f t="shared" si="94"/>
        <v>Omde dag Vol/Nal.</v>
      </c>
      <c r="P247" s="141" t="str">
        <f t="shared" si="95"/>
        <v>Omde dag Nal./Vol</v>
      </c>
      <c r="Q247" s="141" t="str">
        <f t="shared" si="96"/>
        <v>Omde dag Vol/Nal.</v>
      </c>
      <c r="R247" s="63" t="s">
        <v>1473</v>
      </c>
      <c r="S247" s="142">
        <f t="shared" si="87"/>
        <v>365</v>
      </c>
      <c r="T247" s="143">
        <f>(((18.5+42.8+33.2+47.3+31.5)*8)+(21.5*5.35))*1.3</f>
        <v>1951.8525000000002</v>
      </c>
      <c r="U247" s="144">
        <f>((2.8*3.3)*20)</f>
        <v>184.79999999999995</v>
      </c>
      <c r="V247" s="144"/>
      <c r="W247" s="144"/>
      <c r="X247" s="144">
        <f>12+26</f>
        <v>38</v>
      </c>
      <c r="Y247" s="144">
        <f>((194.8*3.3)*2)+((3.2+2.2+3.2+2.2)*3.3)+24+((21.5*3.25)*2)</f>
        <v>1485.0700000000002</v>
      </c>
      <c r="Z247" s="145"/>
      <c r="AA247" s="145"/>
      <c r="AB247" s="145">
        <f>((18.5+42.8+33.2+47.3+31.5)*14.8)+(21.5*5.35)</f>
        <v>2679.8650000000002</v>
      </c>
      <c r="AC247" s="145"/>
      <c r="AD247" s="146" t="s">
        <v>679</v>
      </c>
      <c r="AE247" s="171">
        <v>1</v>
      </c>
      <c r="AF247" s="147">
        <f t="shared" si="97"/>
        <v>0</v>
      </c>
      <c r="AG247" s="147">
        <f t="shared" si="98"/>
        <v>0</v>
      </c>
      <c r="AH247" s="147">
        <f t="shared" si="99"/>
        <v>0</v>
      </c>
      <c r="AI247" s="147">
        <f t="shared" si="100"/>
        <v>0</v>
      </c>
      <c r="AJ247" s="148" t="str">
        <f t="shared" si="101"/>
        <v>ja</v>
      </c>
      <c r="AK247" s="149">
        <f t="shared" ref="AK247:AK298" si="104">IF($R247="",0,VLOOKUP($R247,Kengetal,5,FALSE))</f>
        <v>0</v>
      </c>
      <c r="AL247" s="149">
        <f t="shared" ref="AL247:AL298" si="105">IF($R247="",0,VLOOKUP($R247,Kengetal,6,FALSE))</f>
        <v>0</v>
      </c>
      <c r="AM247" s="149">
        <f t="shared" ref="AM247:AM298" si="106">IF($R247="",0,VLOOKUP($R247,Kengetal,7,FALSE))</f>
        <v>0</v>
      </c>
      <c r="AN247" s="149">
        <f t="shared" ref="AN247:AN298" si="107">IF($R247="",0,VLOOKUP($R247,Kengetal,8,FALSE))</f>
        <v>0</v>
      </c>
      <c r="AO247" s="150" t="str">
        <f t="shared" si="102"/>
        <v>V</v>
      </c>
      <c r="AQ247" s="151">
        <f t="shared" si="103"/>
        <v>712426.16250000009</v>
      </c>
    </row>
    <row r="248" spans="1:43" ht="15" customHeight="1">
      <c r="A248" s="82" t="e">
        <f t="shared" si="88"/>
        <v>#REF!</v>
      </c>
      <c r="B248" s="134">
        <v>103</v>
      </c>
      <c r="C248" s="135" t="s">
        <v>835</v>
      </c>
      <c r="D248" s="136" t="s">
        <v>274</v>
      </c>
      <c r="E248" s="137" t="s">
        <v>101</v>
      </c>
      <c r="F248" s="138" t="s">
        <v>546</v>
      </c>
      <c r="G248" s="139" t="s">
        <v>901</v>
      </c>
      <c r="H248" s="140" t="str">
        <f t="shared" si="89"/>
        <v>Roltrappen(inclusief aangrenzende bouwdelen)</v>
      </c>
      <c r="I248" s="138"/>
      <c r="J248" s="138" t="s">
        <v>1171</v>
      </c>
      <c r="K248" s="141" t="str">
        <f t="shared" si="90"/>
        <v>Omde dag Vol/Nal.</v>
      </c>
      <c r="L248" s="141" t="str">
        <f t="shared" si="91"/>
        <v>Omde dag Nal./Vol</v>
      </c>
      <c r="M248" s="141" t="str">
        <f t="shared" si="92"/>
        <v>Omde dag Vol/Nal.</v>
      </c>
      <c r="N248" s="141" t="str">
        <f t="shared" si="93"/>
        <v>Omde dag Nal./Vol</v>
      </c>
      <c r="O248" s="141" t="str">
        <f t="shared" si="94"/>
        <v>Omde dag Vol/Nal.</v>
      </c>
      <c r="P248" s="141" t="str">
        <f t="shared" si="95"/>
        <v>Omde dag Nal./Vol</v>
      </c>
      <c r="Q248" s="141" t="str">
        <f t="shared" si="96"/>
        <v>Omde dag Vol/Nal.</v>
      </c>
      <c r="R248" s="63" t="s">
        <v>1481</v>
      </c>
      <c r="S248" s="142">
        <f t="shared" si="87"/>
        <v>365</v>
      </c>
      <c r="T248" s="143">
        <v>0</v>
      </c>
      <c r="U248" s="144"/>
      <c r="V248" s="144"/>
      <c r="W248" s="144"/>
      <c r="X248" s="144"/>
      <c r="Y248" s="144"/>
      <c r="Z248" s="145"/>
      <c r="AA248" s="145"/>
      <c r="AB248" s="145"/>
      <c r="AC248" s="145"/>
      <c r="AD248" s="146" t="s">
        <v>1080</v>
      </c>
      <c r="AE248" s="171">
        <v>1</v>
      </c>
      <c r="AF248" s="147">
        <f t="shared" si="97"/>
        <v>0</v>
      </c>
      <c r="AG248" s="147">
        <f t="shared" si="98"/>
        <v>0</v>
      </c>
      <c r="AH248" s="147">
        <f t="shared" si="99"/>
        <v>0</v>
      </c>
      <c r="AI248" s="147">
        <f t="shared" si="100"/>
        <v>0</v>
      </c>
      <c r="AJ248" s="148" t="str">
        <f t="shared" si="101"/>
        <v>ja</v>
      </c>
      <c r="AK248" s="149">
        <f t="shared" si="104"/>
        <v>0</v>
      </c>
      <c r="AL248" s="149">
        <f t="shared" si="105"/>
        <v>0</v>
      </c>
      <c r="AM248" s="149">
        <f t="shared" si="106"/>
        <v>0</v>
      </c>
      <c r="AN248" s="149">
        <f t="shared" si="107"/>
        <v>0</v>
      </c>
      <c r="AO248" s="150" t="str">
        <f t="shared" si="102"/>
        <v>V</v>
      </c>
      <c r="AQ248" s="151">
        <f t="shared" si="103"/>
        <v>0</v>
      </c>
    </row>
    <row r="249" spans="1:43" ht="15" customHeight="1">
      <c r="A249" s="82" t="e">
        <f t="shared" si="88"/>
        <v>#REF!</v>
      </c>
      <c r="B249" s="134">
        <v>103</v>
      </c>
      <c r="C249" s="135" t="s">
        <v>835</v>
      </c>
      <c r="D249" s="136" t="s">
        <v>274</v>
      </c>
      <c r="E249" s="137" t="s">
        <v>101</v>
      </c>
      <c r="F249" s="138" t="s">
        <v>546</v>
      </c>
      <c r="G249" s="139" t="s">
        <v>902</v>
      </c>
      <c r="H249" s="140" t="str">
        <f t="shared" si="89"/>
        <v>Roltrappen(inclusief aangrenzende bouwdelen)</v>
      </c>
      <c r="I249" s="138"/>
      <c r="J249" s="138" t="s">
        <v>1171</v>
      </c>
      <c r="K249" s="141" t="str">
        <f t="shared" si="90"/>
        <v>Omde dag Vol/Nal.</v>
      </c>
      <c r="L249" s="141" t="str">
        <f t="shared" si="91"/>
        <v>Omde dag Nal./Vol</v>
      </c>
      <c r="M249" s="141" t="str">
        <f t="shared" si="92"/>
        <v>Omde dag Vol/Nal.</v>
      </c>
      <c r="N249" s="141" t="str">
        <f t="shared" si="93"/>
        <v>Omde dag Nal./Vol</v>
      </c>
      <c r="O249" s="141" t="str">
        <f t="shared" si="94"/>
        <v>Omde dag Vol/Nal.</v>
      </c>
      <c r="P249" s="141" t="str">
        <f t="shared" si="95"/>
        <v>Omde dag Nal./Vol</v>
      </c>
      <c r="Q249" s="141" t="str">
        <f t="shared" si="96"/>
        <v>Omde dag Vol/Nal.</v>
      </c>
      <c r="R249" s="63" t="s">
        <v>1481</v>
      </c>
      <c r="S249" s="142">
        <f t="shared" si="87"/>
        <v>365</v>
      </c>
      <c r="T249" s="143">
        <v>0</v>
      </c>
      <c r="U249" s="144"/>
      <c r="V249" s="144"/>
      <c r="W249" s="144"/>
      <c r="X249" s="144"/>
      <c r="Y249" s="144"/>
      <c r="Z249" s="145"/>
      <c r="AA249" s="145"/>
      <c r="AB249" s="145"/>
      <c r="AC249" s="145"/>
      <c r="AD249" s="146" t="s">
        <v>1234</v>
      </c>
      <c r="AE249" s="171">
        <v>1</v>
      </c>
      <c r="AF249" s="147">
        <f t="shared" si="97"/>
        <v>0</v>
      </c>
      <c r="AG249" s="147">
        <f t="shared" si="98"/>
        <v>0</v>
      </c>
      <c r="AH249" s="147">
        <f t="shared" si="99"/>
        <v>0</v>
      </c>
      <c r="AI249" s="147">
        <f t="shared" si="100"/>
        <v>0</v>
      </c>
      <c r="AJ249" s="148" t="str">
        <f t="shared" si="101"/>
        <v>ja</v>
      </c>
      <c r="AK249" s="149">
        <f t="shared" si="104"/>
        <v>0</v>
      </c>
      <c r="AL249" s="149">
        <f t="shared" si="105"/>
        <v>0</v>
      </c>
      <c r="AM249" s="149">
        <f t="shared" si="106"/>
        <v>0</v>
      </c>
      <c r="AN249" s="149">
        <f t="shared" si="107"/>
        <v>0</v>
      </c>
      <c r="AO249" s="150" t="str">
        <f t="shared" si="102"/>
        <v>V</v>
      </c>
      <c r="AQ249" s="151">
        <f t="shared" si="103"/>
        <v>0</v>
      </c>
    </row>
    <row r="250" spans="1:43" ht="15" customHeight="1">
      <c r="A250" s="82" t="e">
        <f t="shared" si="88"/>
        <v>#REF!</v>
      </c>
      <c r="B250" s="134">
        <v>103</v>
      </c>
      <c r="C250" s="135" t="s">
        <v>835</v>
      </c>
      <c r="D250" s="136" t="s">
        <v>274</v>
      </c>
      <c r="E250" s="137" t="s">
        <v>101</v>
      </c>
      <c r="F250" s="138" t="s">
        <v>546</v>
      </c>
      <c r="G250" s="139" t="s">
        <v>903</v>
      </c>
      <c r="H250" s="140" t="str">
        <f t="shared" si="89"/>
        <v>Roltrappen(inclusief aangrenzende bouwdelen)</v>
      </c>
      <c r="I250" s="138"/>
      <c r="J250" s="138" t="s">
        <v>1171</v>
      </c>
      <c r="K250" s="141" t="str">
        <f t="shared" si="90"/>
        <v>Omde dag Vol/Nal.</v>
      </c>
      <c r="L250" s="141" t="str">
        <f t="shared" si="91"/>
        <v>Omde dag Nal./Vol</v>
      </c>
      <c r="M250" s="141" t="str">
        <f t="shared" si="92"/>
        <v>Omde dag Vol/Nal.</v>
      </c>
      <c r="N250" s="141" t="str">
        <f t="shared" si="93"/>
        <v>Omde dag Nal./Vol</v>
      </c>
      <c r="O250" s="141" t="str">
        <f t="shared" si="94"/>
        <v>Omde dag Vol/Nal.</v>
      </c>
      <c r="P250" s="141" t="str">
        <f t="shared" si="95"/>
        <v>Omde dag Nal./Vol</v>
      </c>
      <c r="Q250" s="141" t="str">
        <f t="shared" si="96"/>
        <v>Omde dag Vol/Nal.</v>
      </c>
      <c r="R250" s="63" t="s">
        <v>1481</v>
      </c>
      <c r="S250" s="142">
        <f t="shared" si="87"/>
        <v>365</v>
      </c>
      <c r="T250" s="143">
        <v>0</v>
      </c>
      <c r="U250" s="144"/>
      <c r="V250" s="144"/>
      <c r="W250" s="144"/>
      <c r="X250" s="144"/>
      <c r="Y250" s="144"/>
      <c r="Z250" s="145"/>
      <c r="AA250" s="145"/>
      <c r="AB250" s="145"/>
      <c r="AC250" s="145"/>
      <c r="AD250" s="146" t="s">
        <v>1235</v>
      </c>
      <c r="AE250" s="171">
        <v>1</v>
      </c>
      <c r="AF250" s="147">
        <f t="shared" si="97"/>
        <v>0</v>
      </c>
      <c r="AG250" s="147">
        <f t="shared" si="98"/>
        <v>0</v>
      </c>
      <c r="AH250" s="147">
        <f t="shared" si="99"/>
        <v>0</v>
      </c>
      <c r="AI250" s="147">
        <f t="shared" si="100"/>
        <v>0</v>
      </c>
      <c r="AJ250" s="148" t="str">
        <f t="shared" si="101"/>
        <v>ja</v>
      </c>
      <c r="AK250" s="149">
        <f t="shared" si="104"/>
        <v>0</v>
      </c>
      <c r="AL250" s="149">
        <f t="shared" si="105"/>
        <v>0</v>
      </c>
      <c r="AM250" s="149">
        <f t="shared" si="106"/>
        <v>0</v>
      </c>
      <c r="AN250" s="149">
        <f t="shared" si="107"/>
        <v>0</v>
      </c>
      <c r="AO250" s="150" t="str">
        <f t="shared" si="102"/>
        <v>V</v>
      </c>
      <c r="AQ250" s="151">
        <f t="shared" si="103"/>
        <v>0</v>
      </c>
    </row>
    <row r="251" spans="1:43" ht="15" customHeight="1">
      <c r="A251" s="82" t="e">
        <f t="shared" si="88"/>
        <v>#REF!</v>
      </c>
      <c r="B251" s="134">
        <v>103</v>
      </c>
      <c r="C251" s="135" t="s">
        <v>835</v>
      </c>
      <c r="D251" s="136" t="s">
        <v>274</v>
      </c>
      <c r="E251" s="137" t="s">
        <v>101</v>
      </c>
      <c r="F251" s="138" t="s">
        <v>851</v>
      </c>
      <c r="G251" s="139" t="s">
        <v>454</v>
      </c>
      <c r="H251" s="140" t="str">
        <f t="shared" si="89"/>
        <v>Liften</v>
      </c>
      <c r="I251" s="138"/>
      <c r="J251" s="138" t="s">
        <v>1171</v>
      </c>
      <c r="K251" s="141" t="str">
        <f t="shared" si="90"/>
        <v>Omde dag Vol/Nal.</v>
      </c>
      <c r="L251" s="141" t="str">
        <f t="shared" si="91"/>
        <v>Omde dag Nal./Vol</v>
      </c>
      <c r="M251" s="141" t="str">
        <f t="shared" si="92"/>
        <v>Omde dag Vol/Nal.</v>
      </c>
      <c r="N251" s="141" t="str">
        <f t="shared" si="93"/>
        <v>Omde dag Nal./Vol</v>
      </c>
      <c r="O251" s="141" t="str">
        <f t="shared" si="94"/>
        <v>Omde dag Vol/Nal.</v>
      </c>
      <c r="P251" s="141" t="str">
        <f t="shared" si="95"/>
        <v>Omde dag Nal./Vol</v>
      </c>
      <c r="Q251" s="141" t="str">
        <f t="shared" si="96"/>
        <v>Omde dag Vol/Nal.</v>
      </c>
      <c r="R251" s="63" t="s">
        <v>1475</v>
      </c>
      <c r="S251" s="142">
        <f t="shared" si="87"/>
        <v>365</v>
      </c>
      <c r="T251" s="143">
        <v>0</v>
      </c>
      <c r="U251" s="144"/>
      <c r="V251" s="144"/>
      <c r="W251" s="144"/>
      <c r="X251" s="144"/>
      <c r="Y251" s="144"/>
      <c r="Z251" s="145"/>
      <c r="AA251" s="145"/>
      <c r="AB251" s="145"/>
      <c r="AC251" s="145"/>
      <c r="AD251" s="146"/>
      <c r="AE251" s="171">
        <v>1</v>
      </c>
      <c r="AF251" s="147">
        <f t="shared" si="97"/>
        <v>0</v>
      </c>
      <c r="AG251" s="147">
        <f t="shared" si="98"/>
        <v>0</v>
      </c>
      <c r="AH251" s="147">
        <f t="shared" si="99"/>
        <v>0</v>
      </c>
      <c r="AI251" s="147">
        <f t="shared" si="100"/>
        <v>0</v>
      </c>
      <c r="AJ251" s="148" t="str">
        <f t="shared" si="101"/>
        <v>ja</v>
      </c>
      <c r="AK251" s="149">
        <f t="shared" si="104"/>
        <v>0</v>
      </c>
      <c r="AL251" s="149">
        <f t="shared" si="105"/>
        <v>0</v>
      </c>
      <c r="AM251" s="149">
        <f t="shared" si="106"/>
        <v>0</v>
      </c>
      <c r="AN251" s="149">
        <f t="shared" si="107"/>
        <v>0</v>
      </c>
      <c r="AO251" s="150" t="str">
        <f t="shared" si="102"/>
        <v>V</v>
      </c>
      <c r="AQ251" s="151">
        <f t="shared" si="103"/>
        <v>0</v>
      </c>
    </row>
    <row r="252" spans="1:43" ht="15" customHeight="1">
      <c r="A252" s="82" t="e">
        <f>1+#REF!</f>
        <v>#REF!</v>
      </c>
      <c r="B252" s="134">
        <v>103</v>
      </c>
      <c r="C252" s="135" t="s">
        <v>835</v>
      </c>
      <c r="D252" s="136" t="s">
        <v>274</v>
      </c>
      <c r="E252" s="137" t="s">
        <v>101</v>
      </c>
      <c r="F252" s="138" t="s">
        <v>580</v>
      </c>
      <c r="G252" s="139" t="s">
        <v>904</v>
      </c>
      <c r="H252" s="140" t="str">
        <f t="shared" si="89"/>
        <v>Niet van toepassing</v>
      </c>
      <c r="I252" s="138" t="s">
        <v>270</v>
      </c>
      <c r="J252" s="138" t="s">
        <v>1172</v>
      </c>
      <c r="K252" s="141" t="str">
        <f t="shared" si="90"/>
        <v>NVT</v>
      </c>
      <c r="L252" s="141" t="str">
        <f t="shared" si="91"/>
        <v>NVT</v>
      </c>
      <c r="M252" s="141" t="str">
        <f t="shared" si="92"/>
        <v>NVT</v>
      </c>
      <c r="N252" s="141" t="str">
        <f t="shared" si="93"/>
        <v>NVT</v>
      </c>
      <c r="O252" s="141" t="str">
        <f t="shared" si="94"/>
        <v>NVT</v>
      </c>
      <c r="P252" s="141" t="str">
        <f t="shared" si="95"/>
        <v>NVT</v>
      </c>
      <c r="Q252" s="141" t="str">
        <f t="shared" si="96"/>
        <v>NVT</v>
      </c>
      <c r="R252" s="63" t="s">
        <v>1221</v>
      </c>
      <c r="S252" s="142">
        <f t="shared" si="87"/>
        <v>0</v>
      </c>
      <c r="T252" s="143">
        <f>(4.65*3.6)*1.3</f>
        <v>21.762000000000004</v>
      </c>
      <c r="U252" s="144"/>
      <c r="V252" s="144"/>
      <c r="W252" s="144"/>
      <c r="X252" s="144"/>
      <c r="Y252" s="144">
        <f>(4.65+3.6+4.65+3.6)*3.35</f>
        <v>55.274999999999999</v>
      </c>
      <c r="Z252" s="145"/>
      <c r="AA252" s="145"/>
      <c r="AB252" s="145">
        <f>T252</f>
        <v>21.762000000000004</v>
      </c>
      <c r="AC252" s="145"/>
      <c r="AD252" s="146"/>
      <c r="AE252" s="171">
        <v>1</v>
      </c>
      <c r="AF252" s="147">
        <f t="shared" si="97"/>
        <v>0</v>
      </c>
      <c r="AG252" s="147">
        <f t="shared" si="98"/>
        <v>0</v>
      </c>
      <c r="AH252" s="147">
        <f t="shared" si="99"/>
        <v>0</v>
      </c>
      <c r="AI252" s="147">
        <f t="shared" si="100"/>
        <v>0</v>
      </c>
      <c r="AJ252" s="148">
        <f t="shared" si="101"/>
        <v>0</v>
      </c>
      <c r="AK252" s="149">
        <f t="shared" si="104"/>
        <v>0</v>
      </c>
      <c r="AL252" s="149">
        <f t="shared" si="105"/>
        <v>0</v>
      </c>
      <c r="AM252" s="149">
        <f t="shared" si="106"/>
        <v>0</v>
      </c>
      <c r="AN252" s="149">
        <f t="shared" si="107"/>
        <v>0</v>
      </c>
      <c r="AO252" s="150">
        <f t="shared" si="102"/>
        <v>0</v>
      </c>
      <c r="AQ252" s="151">
        <f t="shared" si="103"/>
        <v>0</v>
      </c>
    </row>
    <row r="253" spans="1:43" ht="15" customHeight="1">
      <c r="A253" s="82" t="e">
        <f t="shared" si="88"/>
        <v>#REF!</v>
      </c>
      <c r="B253" s="134">
        <v>103</v>
      </c>
      <c r="C253" s="135" t="s">
        <v>835</v>
      </c>
      <c r="D253" s="136" t="s">
        <v>274</v>
      </c>
      <c r="E253" s="137" t="s">
        <v>101</v>
      </c>
      <c r="F253" s="138" t="s">
        <v>66</v>
      </c>
      <c r="G253" s="139" t="s">
        <v>905</v>
      </c>
      <c r="H253" s="140" t="str">
        <f t="shared" si="89"/>
        <v>Niet van toepassing</v>
      </c>
      <c r="I253" s="138" t="s">
        <v>270</v>
      </c>
      <c r="J253" s="138" t="s">
        <v>1172</v>
      </c>
      <c r="K253" s="141" t="str">
        <f t="shared" si="90"/>
        <v>NVT</v>
      </c>
      <c r="L253" s="141" t="str">
        <f t="shared" si="91"/>
        <v>NVT</v>
      </c>
      <c r="M253" s="141" t="str">
        <f t="shared" si="92"/>
        <v>NVT</v>
      </c>
      <c r="N253" s="141" t="str">
        <f t="shared" si="93"/>
        <v>NVT</v>
      </c>
      <c r="O253" s="141" t="str">
        <f t="shared" si="94"/>
        <v>NVT</v>
      </c>
      <c r="P253" s="141" t="str">
        <f t="shared" si="95"/>
        <v>NVT</v>
      </c>
      <c r="Q253" s="141" t="str">
        <f t="shared" si="96"/>
        <v>NVT</v>
      </c>
      <c r="R253" s="63" t="s">
        <v>1221</v>
      </c>
      <c r="S253" s="142">
        <f t="shared" si="87"/>
        <v>0</v>
      </c>
      <c r="T253" s="143">
        <f>((2.2*8.5)+(3.5*4))*1.3</f>
        <v>42.510000000000005</v>
      </c>
      <c r="U253" s="144"/>
      <c r="V253" s="144"/>
      <c r="W253" s="144">
        <f>(2.2+8.5+2.8+3.4+5+11.9)*3.35</f>
        <v>113.22999999999999</v>
      </c>
      <c r="X253" s="144"/>
      <c r="Y253" s="144"/>
      <c r="Z253" s="145"/>
      <c r="AA253" s="145"/>
      <c r="AB253" s="145">
        <f>T253</f>
        <v>42.510000000000005</v>
      </c>
      <c r="AC253" s="145"/>
      <c r="AD253" s="146"/>
      <c r="AE253" s="171">
        <v>1</v>
      </c>
      <c r="AF253" s="147">
        <f t="shared" si="97"/>
        <v>0</v>
      </c>
      <c r="AG253" s="147">
        <f t="shared" si="98"/>
        <v>0</v>
      </c>
      <c r="AH253" s="147">
        <f t="shared" si="99"/>
        <v>0</v>
      </c>
      <c r="AI253" s="147">
        <f t="shared" si="100"/>
        <v>0</v>
      </c>
      <c r="AJ253" s="148">
        <f t="shared" si="101"/>
        <v>0</v>
      </c>
      <c r="AK253" s="149">
        <f t="shared" si="104"/>
        <v>0</v>
      </c>
      <c r="AL253" s="149">
        <f t="shared" si="105"/>
        <v>0</v>
      </c>
      <c r="AM253" s="149">
        <f t="shared" si="106"/>
        <v>0</v>
      </c>
      <c r="AN253" s="149">
        <f t="shared" si="107"/>
        <v>0</v>
      </c>
      <c r="AO253" s="150">
        <f t="shared" si="102"/>
        <v>0</v>
      </c>
      <c r="AQ253" s="151">
        <f t="shared" si="103"/>
        <v>0</v>
      </c>
    </row>
    <row r="254" spans="1:43" ht="15" customHeight="1">
      <c r="A254" s="82" t="e">
        <f t="shared" si="88"/>
        <v>#REF!</v>
      </c>
      <c r="B254" s="134">
        <v>103</v>
      </c>
      <c r="C254" s="135" t="s">
        <v>835</v>
      </c>
      <c r="D254" s="136" t="s">
        <v>274</v>
      </c>
      <c r="E254" s="137" t="s">
        <v>101</v>
      </c>
      <c r="F254" s="138" t="s">
        <v>66</v>
      </c>
      <c r="G254" s="139" t="s">
        <v>906</v>
      </c>
      <c r="H254" s="140" t="str">
        <f t="shared" si="89"/>
        <v>Niet van toepassing</v>
      </c>
      <c r="I254" s="138" t="s">
        <v>270</v>
      </c>
      <c r="J254" s="138" t="s">
        <v>1172</v>
      </c>
      <c r="K254" s="141" t="str">
        <f t="shared" si="90"/>
        <v>NVT</v>
      </c>
      <c r="L254" s="141" t="str">
        <f t="shared" si="91"/>
        <v>NVT</v>
      </c>
      <c r="M254" s="141" t="str">
        <f t="shared" si="92"/>
        <v>NVT</v>
      </c>
      <c r="N254" s="141" t="str">
        <f t="shared" si="93"/>
        <v>NVT</v>
      </c>
      <c r="O254" s="141" t="str">
        <f t="shared" si="94"/>
        <v>NVT</v>
      </c>
      <c r="P254" s="141" t="str">
        <f t="shared" si="95"/>
        <v>NVT</v>
      </c>
      <c r="Q254" s="141" t="str">
        <f t="shared" si="96"/>
        <v>NVT</v>
      </c>
      <c r="R254" s="63" t="s">
        <v>1221</v>
      </c>
      <c r="S254" s="142">
        <f t="shared" si="87"/>
        <v>0</v>
      </c>
      <c r="T254" s="143">
        <f>((2.95*4.4)+(1.75*1.9))*1.3</f>
        <v>21.196500000000004</v>
      </c>
      <c r="U254" s="144"/>
      <c r="V254" s="144"/>
      <c r="W254" s="144">
        <f>(2.95+6.15+1.9+1.75+1.15+4.4)*4.2</f>
        <v>76.860000000000028</v>
      </c>
      <c r="X254" s="144"/>
      <c r="Y254" s="144"/>
      <c r="Z254" s="145"/>
      <c r="AA254" s="145">
        <f>T254</f>
        <v>21.196500000000004</v>
      </c>
      <c r="AB254" s="145"/>
      <c r="AC254" s="145"/>
      <c r="AD254" s="146"/>
      <c r="AE254" s="171">
        <v>1</v>
      </c>
      <c r="AF254" s="147">
        <f t="shared" si="97"/>
        <v>0</v>
      </c>
      <c r="AG254" s="147">
        <f t="shared" si="98"/>
        <v>0</v>
      </c>
      <c r="AH254" s="147">
        <f t="shared" si="99"/>
        <v>0</v>
      </c>
      <c r="AI254" s="147">
        <f t="shared" si="100"/>
        <v>0</v>
      </c>
      <c r="AJ254" s="148">
        <f t="shared" si="101"/>
        <v>0</v>
      </c>
      <c r="AK254" s="149">
        <f t="shared" si="104"/>
        <v>0</v>
      </c>
      <c r="AL254" s="149">
        <f t="shared" si="105"/>
        <v>0</v>
      </c>
      <c r="AM254" s="149">
        <f t="shared" si="106"/>
        <v>0</v>
      </c>
      <c r="AN254" s="149">
        <f t="shared" si="107"/>
        <v>0</v>
      </c>
      <c r="AO254" s="150">
        <f t="shared" si="102"/>
        <v>0</v>
      </c>
      <c r="AQ254" s="151">
        <f t="shared" si="103"/>
        <v>0</v>
      </c>
    </row>
    <row r="255" spans="1:43" ht="15" customHeight="1">
      <c r="A255" s="82" t="e">
        <f t="shared" si="88"/>
        <v>#REF!</v>
      </c>
      <c r="B255" s="134">
        <v>103</v>
      </c>
      <c r="C255" s="135" t="s">
        <v>835</v>
      </c>
      <c r="D255" s="136" t="s">
        <v>274</v>
      </c>
      <c r="E255" s="137" t="s">
        <v>101</v>
      </c>
      <c r="F255" s="138" t="s">
        <v>593</v>
      </c>
      <c r="G255" s="139" t="s">
        <v>907</v>
      </c>
      <c r="H255" s="140" t="str">
        <f t="shared" si="89"/>
        <v>Niet van toepassing</v>
      </c>
      <c r="I255" s="138" t="s">
        <v>82</v>
      </c>
      <c r="J255" s="138" t="s">
        <v>1172</v>
      </c>
      <c r="K255" s="141" t="str">
        <f t="shared" si="90"/>
        <v>NVT</v>
      </c>
      <c r="L255" s="141" t="str">
        <f t="shared" si="91"/>
        <v>NVT</v>
      </c>
      <c r="M255" s="141" t="str">
        <f t="shared" si="92"/>
        <v>NVT</v>
      </c>
      <c r="N255" s="141" t="str">
        <f t="shared" si="93"/>
        <v>NVT</v>
      </c>
      <c r="O255" s="141" t="str">
        <f t="shared" si="94"/>
        <v>NVT</v>
      </c>
      <c r="P255" s="141" t="str">
        <f t="shared" si="95"/>
        <v>NVT</v>
      </c>
      <c r="Q255" s="141" t="str">
        <f t="shared" si="96"/>
        <v>NVT</v>
      </c>
      <c r="R255" s="63" t="s">
        <v>1221</v>
      </c>
      <c r="S255" s="142">
        <f t="shared" si="87"/>
        <v>0</v>
      </c>
      <c r="T255" s="143">
        <f>(2.5*3.3)*1.3</f>
        <v>10.725</v>
      </c>
      <c r="U255" s="144"/>
      <c r="V255" s="144"/>
      <c r="W255" s="144">
        <f>(2.5+3.3+2.5+3.3)*3.3</f>
        <v>38.28</v>
      </c>
      <c r="X255" s="144"/>
      <c r="Y255" s="144"/>
      <c r="Z255" s="145"/>
      <c r="AA255" s="145"/>
      <c r="AB255" s="145">
        <f>T255</f>
        <v>10.725</v>
      </c>
      <c r="AC255" s="145"/>
      <c r="AD255" s="146"/>
      <c r="AE255" s="171">
        <v>1</v>
      </c>
      <c r="AF255" s="147">
        <f t="shared" si="97"/>
        <v>0</v>
      </c>
      <c r="AG255" s="147">
        <f t="shared" si="98"/>
        <v>0</v>
      </c>
      <c r="AH255" s="147">
        <f t="shared" si="99"/>
        <v>0</v>
      </c>
      <c r="AI255" s="147">
        <f t="shared" si="100"/>
        <v>0</v>
      </c>
      <c r="AJ255" s="148">
        <f t="shared" si="101"/>
        <v>0</v>
      </c>
      <c r="AK255" s="149">
        <f t="shared" si="104"/>
        <v>0</v>
      </c>
      <c r="AL255" s="149">
        <f t="shared" si="105"/>
        <v>0</v>
      </c>
      <c r="AM255" s="149">
        <f t="shared" si="106"/>
        <v>0</v>
      </c>
      <c r="AN255" s="149">
        <f t="shared" si="107"/>
        <v>0</v>
      </c>
      <c r="AO255" s="150">
        <f t="shared" si="102"/>
        <v>0</v>
      </c>
      <c r="AQ255" s="151">
        <f t="shared" si="103"/>
        <v>0</v>
      </c>
    </row>
    <row r="256" spans="1:43" ht="15" customHeight="1">
      <c r="A256" s="82" t="e">
        <f t="shared" si="88"/>
        <v>#REF!</v>
      </c>
      <c r="B256" s="134">
        <v>103</v>
      </c>
      <c r="C256" s="135" t="s">
        <v>835</v>
      </c>
      <c r="D256" s="136" t="s">
        <v>274</v>
      </c>
      <c r="E256" s="137" t="s">
        <v>101</v>
      </c>
      <c r="F256" s="138" t="s">
        <v>595</v>
      </c>
      <c r="G256" s="139" t="s">
        <v>908</v>
      </c>
      <c r="H256" s="140" t="str">
        <f t="shared" si="89"/>
        <v>Niet van toepassing</v>
      </c>
      <c r="I256" s="138" t="s">
        <v>82</v>
      </c>
      <c r="J256" s="138" t="s">
        <v>1172</v>
      </c>
      <c r="K256" s="141" t="str">
        <f t="shared" si="90"/>
        <v>NVT</v>
      </c>
      <c r="L256" s="141" t="str">
        <f t="shared" si="91"/>
        <v>NVT</v>
      </c>
      <c r="M256" s="141" t="str">
        <f t="shared" si="92"/>
        <v>NVT</v>
      </c>
      <c r="N256" s="141" t="str">
        <f t="shared" si="93"/>
        <v>NVT</v>
      </c>
      <c r="O256" s="141" t="str">
        <f t="shared" si="94"/>
        <v>NVT</v>
      </c>
      <c r="P256" s="141" t="str">
        <f t="shared" si="95"/>
        <v>NVT</v>
      </c>
      <c r="Q256" s="141" t="str">
        <f t="shared" si="96"/>
        <v>NVT</v>
      </c>
      <c r="R256" s="63" t="s">
        <v>1221</v>
      </c>
      <c r="S256" s="142">
        <f t="shared" si="87"/>
        <v>0</v>
      </c>
      <c r="T256" s="143">
        <f>(2.5*3.35)*1.3</f>
        <v>10.887500000000001</v>
      </c>
      <c r="U256" s="144"/>
      <c r="V256" s="144"/>
      <c r="W256" s="144">
        <f>(2.5+3.35+2.5+3.35)*3.3</f>
        <v>38.609999999999992</v>
      </c>
      <c r="X256" s="144"/>
      <c r="Y256" s="144"/>
      <c r="Z256" s="145"/>
      <c r="AA256" s="145"/>
      <c r="AB256" s="145">
        <f>T256</f>
        <v>10.887500000000001</v>
      </c>
      <c r="AC256" s="145"/>
      <c r="AD256" s="146"/>
      <c r="AE256" s="171">
        <v>1</v>
      </c>
      <c r="AF256" s="147">
        <f t="shared" si="97"/>
        <v>0</v>
      </c>
      <c r="AG256" s="147">
        <f t="shared" si="98"/>
        <v>0</v>
      </c>
      <c r="AH256" s="147">
        <f t="shared" si="99"/>
        <v>0</v>
      </c>
      <c r="AI256" s="147">
        <f t="shared" si="100"/>
        <v>0</v>
      </c>
      <c r="AJ256" s="148">
        <f t="shared" si="101"/>
        <v>0</v>
      </c>
      <c r="AK256" s="149">
        <f t="shared" si="104"/>
        <v>0</v>
      </c>
      <c r="AL256" s="149">
        <f t="shared" si="105"/>
        <v>0</v>
      </c>
      <c r="AM256" s="149">
        <f t="shared" si="106"/>
        <v>0</v>
      </c>
      <c r="AN256" s="149">
        <f t="shared" si="107"/>
        <v>0</v>
      </c>
      <c r="AO256" s="150">
        <f t="shared" si="102"/>
        <v>0</v>
      </c>
      <c r="AQ256" s="151">
        <f t="shared" si="103"/>
        <v>0</v>
      </c>
    </row>
    <row r="257" spans="1:43" ht="15" customHeight="1">
      <c r="A257" s="82" t="e">
        <f t="shared" si="88"/>
        <v>#REF!</v>
      </c>
      <c r="B257" s="134">
        <v>103</v>
      </c>
      <c r="C257" s="135" t="s">
        <v>835</v>
      </c>
      <c r="D257" s="136" t="s">
        <v>274</v>
      </c>
      <c r="E257" s="137" t="s">
        <v>101</v>
      </c>
      <c r="F257" s="138" t="s">
        <v>909</v>
      </c>
      <c r="G257" s="139" t="s">
        <v>910</v>
      </c>
      <c r="H257" s="140" t="str">
        <f t="shared" si="89"/>
        <v>Niet van toepassing</v>
      </c>
      <c r="I257" s="138"/>
      <c r="J257" s="138" t="s">
        <v>1172</v>
      </c>
      <c r="K257" s="141" t="str">
        <f t="shared" si="90"/>
        <v>NVT</v>
      </c>
      <c r="L257" s="141" t="str">
        <f t="shared" si="91"/>
        <v>NVT</v>
      </c>
      <c r="M257" s="141" t="str">
        <f t="shared" si="92"/>
        <v>NVT</v>
      </c>
      <c r="N257" s="141" t="str">
        <f t="shared" si="93"/>
        <v>NVT</v>
      </c>
      <c r="O257" s="141" t="str">
        <f t="shared" si="94"/>
        <v>NVT</v>
      </c>
      <c r="P257" s="141" t="str">
        <f t="shared" si="95"/>
        <v>NVT</v>
      </c>
      <c r="Q257" s="141" t="str">
        <f t="shared" si="96"/>
        <v>NVT</v>
      </c>
      <c r="R257" s="63" t="s">
        <v>1221</v>
      </c>
      <c r="S257" s="142">
        <f t="shared" si="87"/>
        <v>0</v>
      </c>
      <c r="T257" s="143">
        <v>0</v>
      </c>
      <c r="U257" s="144"/>
      <c r="V257" s="144"/>
      <c r="W257" s="144"/>
      <c r="X257" s="144"/>
      <c r="Y257" s="144"/>
      <c r="Z257" s="145"/>
      <c r="AA257" s="145"/>
      <c r="AB257" s="145"/>
      <c r="AC257" s="145"/>
      <c r="AD257" s="146" t="s">
        <v>921</v>
      </c>
      <c r="AE257" s="171">
        <v>1</v>
      </c>
      <c r="AF257" s="147">
        <f t="shared" si="97"/>
        <v>0</v>
      </c>
      <c r="AG257" s="147">
        <f t="shared" si="98"/>
        <v>0</v>
      </c>
      <c r="AH257" s="147">
        <f t="shared" si="99"/>
        <v>0</v>
      </c>
      <c r="AI257" s="147">
        <f t="shared" si="100"/>
        <v>0</v>
      </c>
      <c r="AJ257" s="148">
        <f t="shared" si="101"/>
        <v>0</v>
      </c>
      <c r="AK257" s="149">
        <f t="shared" si="104"/>
        <v>0</v>
      </c>
      <c r="AL257" s="149">
        <f t="shared" si="105"/>
        <v>0</v>
      </c>
      <c r="AM257" s="149">
        <f t="shared" si="106"/>
        <v>0</v>
      </c>
      <c r="AN257" s="149">
        <f t="shared" si="107"/>
        <v>0</v>
      </c>
      <c r="AO257" s="150">
        <f t="shared" si="102"/>
        <v>0</v>
      </c>
      <c r="AQ257" s="151">
        <f t="shared" si="103"/>
        <v>0</v>
      </c>
    </row>
    <row r="258" spans="1:43" ht="15" customHeight="1">
      <c r="A258" s="82" t="e">
        <f t="shared" ref="A258:A316" si="108">1+A257</f>
        <v>#REF!</v>
      </c>
      <c r="B258" s="134">
        <v>103</v>
      </c>
      <c r="C258" s="135" t="s">
        <v>835</v>
      </c>
      <c r="D258" s="136" t="s">
        <v>274</v>
      </c>
      <c r="E258" s="137" t="s">
        <v>101</v>
      </c>
      <c r="F258" s="138" t="s">
        <v>597</v>
      </c>
      <c r="G258" s="139" t="s">
        <v>911</v>
      </c>
      <c r="H258" s="140" t="str">
        <f t="shared" si="89"/>
        <v>Niet van toepassing</v>
      </c>
      <c r="I258" s="138" t="s">
        <v>270</v>
      </c>
      <c r="J258" s="138" t="s">
        <v>1172</v>
      </c>
      <c r="K258" s="141" t="str">
        <f t="shared" si="90"/>
        <v>NVT</v>
      </c>
      <c r="L258" s="141" t="str">
        <f t="shared" si="91"/>
        <v>NVT</v>
      </c>
      <c r="M258" s="141" t="str">
        <f t="shared" si="92"/>
        <v>NVT</v>
      </c>
      <c r="N258" s="141" t="str">
        <f t="shared" si="93"/>
        <v>NVT</v>
      </c>
      <c r="O258" s="141" t="str">
        <f t="shared" si="94"/>
        <v>NVT</v>
      </c>
      <c r="P258" s="141" t="str">
        <f t="shared" si="95"/>
        <v>NVT</v>
      </c>
      <c r="Q258" s="141" t="str">
        <f t="shared" si="96"/>
        <v>NVT</v>
      </c>
      <c r="R258" s="63" t="s">
        <v>1221</v>
      </c>
      <c r="S258" s="142">
        <f t="shared" si="87"/>
        <v>0</v>
      </c>
      <c r="T258" s="143">
        <f>(3*3.35)*1.3</f>
        <v>13.065000000000001</v>
      </c>
      <c r="U258" s="144"/>
      <c r="V258" s="144"/>
      <c r="W258" s="144"/>
      <c r="X258" s="144"/>
      <c r="Y258" s="144">
        <f>(3+3.35+3+3.35)*3.35</f>
        <v>42.545000000000002</v>
      </c>
      <c r="Z258" s="145"/>
      <c r="AA258" s="145"/>
      <c r="AB258" s="145">
        <f>T258</f>
        <v>13.065000000000001</v>
      </c>
      <c r="AC258" s="145"/>
      <c r="AD258" s="146"/>
      <c r="AE258" s="171">
        <v>1</v>
      </c>
      <c r="AF258" s="147">
        <f t="shared" si="97"/>
        <v>0</v>
      </c>
      <c r="AG258" s="147">
        <f t="shared" si="98"/>
        <v>0</v>
      </c>
      <c r="AH258" s="147">
        <f t="shared" si="99"/>
        <v>0</v>
      </c>
      <c r="AI258" s="147">
        <f t="shared" si="100"/>
        <v>0</v>
      </c>
      <c r="AJ258" s="148">
        <f t="shared" si="101"/>
        <v>0</v>
      </c>
      <c r="AK258" s="149">
        <f t="shared" si="104"/>
        <v>0</v>
      </c>
      <c r="AL258" s="149">
        <f t="shared" si="105"/>
        <v>0</v>
      </c>
      <c r="AM258" s="149">
        <f t="shared" si="106"/>
        <v>0</v>
      </c>
      <c r="AN258" s="149">
        <f t="shared" si="107"/>
        <v>0</v>
      </c>
      <c r="AO258" s="150">
        <f t="shared" si="102"/>
        <v>0</v>
      </c>
      <c r="AQ258" s="151">
        <f t="shared" si="103"/>
        <v>0</v>
      </c>
    </row>
    <row r="259" spans="1:43" ht="15" customHeight="1">
      <c r="A259" s="82" t="e">
        <f t="shared" si="108"/>
        <v>#REF!</v>
      </c>
      <c r="B259" s="134">
        <v>103</v>
      </c>
      <c r="C259" s="135" t="s">
        <v>835</v>
      </c>
      <c r="D259" s="136" t="s">
        <v>274</v>
      </c>
      <c r="E259" s="137" t="s">
        <v>101</v>
      </c>
      <c r="F259" s="138" t="s">
        <v>736</v>
      </c>
      <c r="G259" s="139" t="s">
        <v>912</v>
      </c>
      <c r="H259" s="140" t="str">
        <f t="shared" si="89"/>
        <v>Niet van toepassing</v>
      </c>
      <c r="I259" s="138"/>
      <c r="J259" s="138" t="s">
        <v>1172</v>
      </c>
      <c r="K259" s="141" t="str">
        <f t="shared" si="90"/>
        <v>NVT</v>
      </c>
      <c r="L259" s="141" t="str">
        <f t="shared" si="91"/>
        <v>NVT</v>
      </c>
      <c r="M259" s="141" t="str">
        <f t="shared" si="92"/>
        <v>NVT</v>
      </c>
      <c r="N259" s="141" t="str">
        <f t="shared" si="93"/>
        <v>NVT</v>
      </c>
      <c r="O259" s="141" t="str">
        <f t="shared" si="94"/>
        <v>NVT</v>
      </c>
      <c r="P259" s="141" t="str">
        <f t="shared" si="95"/>
        <v>NVT</v>
      </c>
      <c r="Q259" s="141" t="str">
        <f t="shared" si="96"/>
        <v>NVT</v>
      </c>
      <c r="R259" s="63" t="s">
        <v>1221</v>
      </c>
      <c r="S259" s="142">
        <f t="shared" si="87"/>
        <v>0</v>
      </c>
      <c r="T259" s="143">
        <v>0</v>
      </c>
      <c r="U259" s="144"/>
      <c r="V259" s="144"/>
      <c r="W259" s="144"/>
      <c r="X259" s="144"/>
      <c r="Y259" s="144"/>
      <c r="Z259" s="145"/>
      <c r="AA259" s="145"/>
      <c r="AB259" s="145"/>
      <c r="AC259" s="145"/>
      <c r="AD259" s="146" t="s">
        <v>922</v>
      </c>
      <c r="AE259" s="171">
        <v>1</v>
      </c>
      <c r="AF259" s="147">
        <f t="shared" si="97"/>
        <v>0</v>
      </c>
      <c r="AG259" s="147">
        <f t="shared" si="98"/>
        <v>0</v>
      </c>
      <c r="AH259" s="147">
        <f t="shared" si="99"/>
        <v>0</v>
      </c>
      <c r="AI259" s="147">
        <f t="shared" si="100"/>
        <v>0</v>
      </c>
      <c r="AJ259" s="148">
        <f t="shared" si="101"/>
        <v>0</v>
      </c>
      <c r="AK259" s="149">
        <f t="shared" si="104"/>
        <v>0</v>
      </c>
      <c r="AL259" s="149">
        <f t="shared" si="105"/>
        <v>0</v>
      </c>
      <c r="AM259" s="149">
        <f t="shared" si="106"/>
        <v>0</v>
      </c>
      <c r="AN259" s="149">
        <f t="shared" si="107"/>
        <v>0</v>
      </c>
      <c r="AO259" s="150">
        <f t="shared" si="102"/>
        <v>0</v>
      </c>
      <c r="AQ259" s="151">
        <f t="shared" si="103"/>
        <v>0</v>
      </c>
    </row>
    <row r="260" spans="1:43" ht="15" customHeight="1">
      <c r="A260" s="82" t="e">
        <f t="shared" si="108"/>
        <v>#REF!</v>
      </c>
      <c r="B260" s="134">
        <v>103</v>
      </c>
      <c r="C260" s="135" t="s">
        <v>835</v>
      </c>
      <c r="D260" s="136" t="s">
        <v>274</v>
      </c>
      <c r="E260" s="137" t="s">
        <v>101</v>
      </c>
      <c r="F260" s="138" t="s">
        <v>619</v>
      </c>
      <c r="G260" s="139" t="s">
        <v>913</v>
      </c>
      <c r="H260" s="140" t="str">
        <f t="shared" si="89"/>
        <v>Niet van toepassing</v>
      </c>
      <c r="I260" s="138" t="s">
        <v>82</v>
      </c>
      <c r="J260" s="138" t="s">
        <v>1172</v>
      </c>
      <c r="K260" s="141" t="str">
        <f t="shared" si="90"/>
        <v>NVT</v>
      </c>
      <c r="L260" s="141" t="str">
        <f t="shared" si="91"/>
        <v>NVT</v>
      </c>
      <c r="M260" s="141" t="str">
        <f t="shared" si="92"/>
        <v>NVT</v>
      </c>
      <c r="N260" s="141" t="str">
        <f t="shared" si="93"/>
        <v>NVT</v>
      </c>
      <c r="O260" s="141" t="str">
        <f t="shared" si="94"/>
        <v>NVT</v>
      </c>
      <c r="P260" s="141" t="str">
        <f t="shared" si="95"/>
        <v>NVT</v>
      </c>
      <c r="Q260" s="141" t="str">
        <f t="shared" si="96"/>
        <v>NVT</v>
      </c>
      <c r="R260" s="63" t="s">
        <v>1221</v>
      </c>
      <c r="S260" s="142">
        <f t="shared" si="87"/>
        <v>0</v>
      </c>
      <c r="T260" s="143">
        <f>(4.75*2.9)*1.3</f>
        <v>17.907500000000002</v>
      </c>
      <c r="U260" s="144"/>
      <c r="V260" s="144"/>
      <c r="W260" s="144">
        <f>(4.75+2.9+4.75+2.9)*2.9</f>
        <v>44.37</v>
      </c>
      <c r="X260" s="144"/>
      <c r="Y260" s="144"/>
      <c r="Z260" s="145"/>
      <c r="AA260" s="145"/>
      <c r="AB260" s="145">
        <f>T260</f>
        <v>17.907500000000002</v>
      </c>
      <c r="AC260" s="145"/>
      <c r="AD260" s="146"/>
      <c r="AE260" s="171">
        <v>1</v>
      </c>
      <c r="AF260" s="147">
        <f t="shared" si="97"/>
        <v>0</v>
      </c>
      <c r="AG260" s="147">
        <f t="shared" si="98"/>
        <v>0</v>
      </c>
      <c r="AH260" s="147">
        <f t="shared" si="99"/>
        <v>0</v>
      </c>
      <c r="AI260" s="147">
        <f t="shared" si="100"/>
        <v>0</v>
      </c>
      <c r="AJ260" s="148">
        <f t="shared" si="101"/>
        <v>0</v>
      </c>
      <c r="AK260" s="149">
        <f t="shared" si="104"/>
        <v>0</v>
      </c>
      <c r="AL260" s="149">
        <f t="shared" si="105"/>
        <v>0</v>
      </c>
      <c r="AM260" s="149">
        <f t="shared" si="106"/>
        <v>0</v>
      </c>
      <c r="AN260" s="149">
        <f t="shared" si="107"/>
        <v>0</v>
      </c>
      <c r="AO260" s="150">
        <f t="shared" si="102"/>
        <v>0</v>
      </c>
      <c r="AQ260" s="151">
        <f t="shared" si="103"/>
        <v>0</v>
      </c>
    </row>
    <row r="261" spans="1:43" ht="15" customHeight="1">
      <c r="A261" s="82" t="e">
        <f t="shared" si="108"/>
        <v>#REF!</v>
      </c>
      <c r="B261" s="134">
        <v>103</v>
      </c>
      <c r="C261" s="135" t="s">
        <v>835</v>
      </c>
      <c r="D261" s="136" t="s">
        <v>274</v>
      </c>
      <c r="E261" s="137" t="s">
        <v>101</v>
      </c>
      <c r="F261" s="138" t="s">
        <v>619</v>
      </c>
      <c r="G261" s="139" t="s">
        <v>914</v>
      </c>
      <c r="H261" s="140" t="str">
        <f t="shared" si="89"/>
        <v>Niet van toepassing</v>
      </c>
      <c r="I261" s="138" t="s">
        <v>270</v>
      </c>
      <c r="J261" s="138" t="s">
        <v>1172</v>
      </c>
      <c r="K261" s="141" t="str">
        <f t="shared" si="90"/>
        <v>NVT</v>
      </c>
      <c r="L261" s="141" t="str">
        <f t="shared" si="91"/>
        <v>NVT</v>
      </c>
      <c r="M261" s="141" t="str">
        <f t="shared" si="92"/>
        <v>NVT</v>
      </c>
      <c r="N261" s="141" t="str">
        <f t="shared" si="93"/>
        <v>NVT</v>
      </c>
      <c r="O261" s="141" t="str">
        <f t="shared" si="94"/>
        <v>NVT</v>
      </c>
      <c r="P261" s="141" t="str">
        <f t="shared" si="95"/>
        <v>NVT</v>
      </c>
      <c r="Q261" s="141" t="str">
        <f t="shared" si="96"/>
        <v>NVT</v>
      </c>
      <c r="R261" s="63" t="s">
        <v>1221</v>
      </c>
      <c r="S261" s="142">
        <f t="shared" si="87"/>
        <v>0</v>
      </c>
      <c r="T261" s="143">
        <f>((2.65*4.45)-(0.55*0.8))*1.3</f>
        <v>14.758250000000002</v>
      </c>
      <c r="U261" s="144"/>
      <c r="V261" s="144"/>
      <c r="W261" s="144"/>
      <c r="X261" s="144"/>
      <c r="Y261" s="144">
        <f>(2.65+4.45+2.65+0.55+0.55+4.45)*4.25</f>
        <v>65.025000000000006</v>
      </c>
      <c r="Z261" s="145"/>
      <c r="AA261" s="145"/>
      <c r="AB261" s="145">
        <f>T261</f>
        <v>14.758250000000002</v>
      </c>
      <c r="AC261" s="145"/>
      <c r="AD261" s="146"/>
      <c r="AE261" s="171">
        <v>1</v>
      </c>
      <c r="AF261" s="147">
        <f t="shared" si="97"/>
        <v>0</v>
      </c>
      <c r="AG261" s="147">
        <f t="shared" si="98"/>
        <v>0</v>
      </c>
      <c r="AH261" s="147">
        <f t="shared" si="99"/>
        <v>0</v>
      </c>
      <c r="AI261" s="147">
        <f t="shared" si="100"/>
        <v>0</v>
      </c>
      <c r="AJ261" s="148">
        <f t="shared" si="101"/>
        <v>0</v>
      </c>
      <c r="AK261" s="149">
        <f t="shared" si="104"/>
        <v>0</v>
      </c>
      <c r="AL261" s="149">
        <f t="shared" si="105"/>
        <v>0</v>
      </c>
      <c r="AM261" s="149">
        <f t="shared" si="106"/>
        <v>0</v>
      </c>
      <c r="AN261" s="149">
        <f t="shared" si="107"/>
        <v>0</v>
      </c>
      <c r="AO261" s="150">
        <f t="shared" si="102"/>
        <v>0</v>
      </c>
      <c r="AQ261" s="151">
        <f t="shared" si="103"/>
        <v>0</v>
      </c>
    </row>
    <row r="262" spans="1:43" ht="15" customHeight="1">
      <c r="A262" s="82" t="e">
        <f t="shared" si="108"/>
        <v>#REF!</v>
      </c>
      <c r="B262" s="134">
        <v>103</v>
      </c>
      <c r="C262" s="135" t="s">
        <v>835</v>
      </c>
      <c r="D262" s="136" t="s">
        <v>274</v>
      </c>
      <c r="E262" s="137" t="s">
        <v>101</v>
      </c>
      <c r="F262" s="138" t="s">
        <v>263</v>
      </c>
      <c r="G262" s="139" t="s">
        <v>915</v>
      </c>
      <c r="H262" s="140" t="str">
        <f t="shared" si="89"/>
        <v>Niet van toepassing</v>
      </c>
      <c r="I262" s="138" t="s">
        <v>195</v>
      </c>
      <c r="J262" s="138" t="s">
        <v>1172</v>
      </c>
      <c r="K262" s="141" t="str">
        <f t="shared" si="90"/>
        <v>NVT</v>
      </c>
      <c r="L262" s="141" t="str">
        <f t="shared" si="91"/>
        <v>NVT</v>
      </c>
      <c r="M262" s="141" t="str">
        <f t="shared" si="92"/>
        <v>NVT</v>
      </c>
      <c r="N262" s="141" t="str">
        <f t="shared" si="93"/>
        <v>NVT</v>
      </c>
      <c r="O262" s="141" t="str">
        <f t="shared" si="94"/>
        <v>NVT</v>
      </c>
      <c r="P262" s="141" t="str">
        <f t="shared" si="95"/>
        <v>NVT</v>
      </c>
      <c r="Q262" s="141" t="str">
        <f t="shared" si="96"/>
        <v>NVT</v>
      </c>
      <c r="R262" s="63" t="s">
        <v>1221</v>
      </c>
      <c r="S262" s="142">
        <f t="shared" si="87"/>
        <v>0</v>
      </c>
      <c r="T262" s="143">
        <f>((6.8+4+6.7)*2.7)*1.3</f>
        <v>61.425000000000004</v>
      </c>
      <c r="U262" s="144"/>
      <c r="V262" s="144"/>
      <c r="W262" s="144"/>
      <c r="X262" s="144"/>
      <c r="Y262" s="144">
        <f>((6.8+2.7+6.8)*1.95)+((4+4)*2.3)+((6.7+2.7+6.7)*2)+(1.7*1.4)+(1.7*2.1)+((1.7*1.4)/2)+((2.9*2.1)/2)</f>
        <v>92.57</v>
      </c>
      <c r="Z262" s="145"/>
      <c r="AA262" s="145"/>
      <c r="AB262" s="145">
        <f>T262*0.3</f>
        <v>18.427500000000002</v>
      </c>
      <c r="AC262" s="145"/>
      <c r="AD262" s="146"/>
      <c r="AE262" s="171">
        <v>1</v>
      </c>
      <c r="AF262" s="147">
        <f t="shared" si="97"/>
        <v>0</v>
      </c>
      <c r="AG262" s="147">
        <f t="shared" si="98"/>
        <v>0</v>
      </c>
      <c r="AH262" s="147">
        <f t="shared" si="99"/>
        <v>0</v>
      </c>
      <c r="AI262" s="147">
        <f t="shared" si="100"/>
        <v>0</v>
      </c>
      <c r="AJ262" s="148">
        <f t="shared" si="101"/>
        <v>0</v>
      </c>
      <c r="AK262" s="149">
        <f t="shared" si="104"/>
        <v>0</v>
      </c>
      <c r="AL262" s="149">
        <f t="shared" si="105"/>
        <v>0</v>
      </c>
      <c r="AM262" s="149">
        <f t="shared" si="106"/>
        <v>0</v>
      </c>
      <c r="AN262" s="149">
        <f t="shared" si="107"/>
        <v>0</v>
      </c>
      <c r="AO262" s="150">
        <f t="shared" si="102"/>
        <v>0</v>
      </c>
      <c r="AQ262" s="151">
        <f t="shared" si="103"/>
        <v>0</v>
      </c>
    </row>
    <row r="263" spans="1:43" ht="15" customHeight="1">
      <c r="A263" s="82" t="e">
        <f t="shared" si="108"/>
        <v>#REF!</v>
      </c>
      <c r="B263" s="134">
        <v>103</v>
      </c>
      <c r="C263" s="135" t="s">
        <v>835</v>
      </c>
      <c r="D263" s="136" t="s">
        <v>274</v>
      </c>
      <c r="E263" s="137" t="s">
        <v>101</v>
      </c>
      <c r="F263" s="138" t="s">
        <v>263</v>
      </c>
      <c r="G263" s="139" t="s">
        <v>785</v>
      </c>
      <c r="H263" s="140" t="str">
        <f t="shared" si="89"/>
        <v>Niet van toepassing</v>
      </c>
      <c r="I263" s="138" t="s">
        <v>195</v>
      </c>
      <c r="J263" s="138" t="s">
        <v>1172</v>
      </c>
      <c r="K263" s="141" t="str">
        <f t="shared" si="90"/>
        <v>NVT</v>
      </c>
      <c r="L263" s="141" t="str">
        <f t="shared" si="91"/>
        <v>NVT</v>
      </c>
      <c r="M263" s="141" t="str">
        <f t="shared" si="92"/>
        <v>NVT</v>
      </c>
      <c r="N263" s="141" t="str">
        <f t="shared" si="93"/>
        <v>NVT</v>
      </c>
      <c r="O263" s="141" t="str">
        <f t="shared" si="94"/>
        <v>NVT</v>
      </c>
      <c r="P263" s="141" t="str">
        <f t="shared" si="95"/>
        <v>NVT</v>
      </c>
      <c r="Q263" s="141" t="str">
        <f t="shared" si="96"/>
        <v>NVT</v>
      </c>
      <c r="R263" s="63" t="s">
        <v>1221</v>
      </c>
      <c r="S263" s="142">
        <f t="shared" si="87"/>
        <v>0</v>
      </c>
      <c r="T263" s="143">
        <f>(5.15*6.7)*1.3</f>
        <v>44.856500000000004</v>
      </c>
      <c r="U263" s="144"/>
      <c r="V263" s="144"/>
      <c r="W263" s="144"/>
      <c r="X263" s="144"/>
      <c r="Y263" s="144">
        <f>(5.15+6.7+5.15+6.7)*2.2</f>
        <v>52.14</v>
      </c>
      <c r="Z263" s="145"/>
      <c r="AA263" s="145"/>
      <c r="AB263" s="145"/>
      <c r="AC263" s="145"/>
      <c r="AD263" s="146" t="s">
        <v>923</v>
      </c>
      <c r="AE263" s="171">
        <v>1</v>
      </c>
      <c r="AF263" s="147">
        <f t="shared" si="97"/>
        <v>0</v>
      </c>
      <c r="AG263" s="147">
        <f t="shared" si="98"/>
        <v>0</v>
      </c>
      <c r="AH263" s="147">
        <f t="shared" si="99"/>
        <v>0</v>
      </c>
      <c r="AI263" s="147">
        <f t="shared" si="100"/>
        <v>0</v>
      </c>
      <c r="AJ263" s="148">
        <f t="shared" si="101"/>
        <v>0</v>
      </c>
      <c r="AK263" s="149">
        <f t="shared" si="104"/>
        <v>0</v>
      </c>
      <c r="AL263" s="149">
        <f t="shared" si="105"/>
        <v>0</v>
      </c>
      <c r="AM263" s="149">
        <f t="shared" si="106"/>
        <v>0</v>
      </c>
      <c r="AN263" s="149">
        <f t="shared" si="107"/>
        <v>0</v>
      </c>
      <c r="AO263" s="150">
        <f t="shared" si="102"/>
        <v>0</v>
      </c>
      <c r="AQ263" s="151">
        <f t="shared" si="103"/>
        <v>0</v>
      </c>
    </row>
    <row r="264" spans="1:43" ht="15" customHeight="1">
      <c r="A264" s="82" t="e">
        <f t="shared" si="108"/>
        <v>#REF!</v>
      </c>
      <c r="B264" s="134">
        <v>103</v>
      </c>
      <c r="C264" s="135" t="s">
        <v>835</v>
      </c>
      <c r="D264" s="136" t="s">
        <v>274</v>
      </c>
      <c r="E264" s="137" t="s">
        <v>101</v>
      </c>
      <c r="F264" s="138" t="s">
        <v>210</v>
      </c>
      <c r="G264" s="139" t="s">
        <v>916</v>
      </c>
      <c r="H264" s="140" t="str">
        <f t="shared" si="89"/>
        <v>Niet van toepassing</v>
      </c>
      <c r="I264" s="138" t="s">
        <v>195</v>
      </c>
      <c r="J264" s="138" t="s">
        <v>1172</v>
      </c>
      <c r="K264" s="141" t="str">
        <f t="shared" si="90"/>
        <v>NVT</v>
      </c>
      <c r="L264" s="141" t="str">
        <f t="shared" si="91"/>
        <v>NVT</v>
      </c>
      <c r="M264" s="141" t="str">
        <f t="shared" si="92"/>
        <v>NVT</v>
      </c>
      <c r="N264" s="141" t="str">
        <f t="shared" si="93"/>
        <v>NVT</v>
      </c>
      <c r="O264" s="141" t="str">
        <f t="shared" si="94"/>
        <v>NVT</v>
      </c>
      <c r="P264" s="141" t="str">
        <f t="shared" si="95"/>
        <v>NVT</v>
      </c>
      <c r="Q264" s="141" t="str">
        <f t="shared" si="96"/>
        <v>NVT</v>
      </c>
      <c r="R264" s="63" t="s">
        <v>1221</v>
      </c>
      <c r="S264" s="142">
        <f t="shared" si="87"/>
        <v>0</v>
      </c>
      <c r="T264" s="143">
        <f>(2*3)*1.3</f>
        <v>7.8000000000000007</v>
      </c>
      <c r="U264" s="144"/>
      <c r="V264" s="144"/>
      <c r="W264" s="144"/>
      <c r="X264" s="144"/>
      <c r="Y264" s="144">
        <f>10*3.35</f>
        <v>33.5</v>
      </c>
      <c r="Z264" s="145"/>
      <c r="AA264" s="145"/>
      <c r="AB264" s="145">
        <f>T264</f>
        <v>7.8000000000000007</v>
      </c>
      <c r="AC264" s="145"/>
      <c r="AD264" s="146"/>
      <c r="AE264" s="171">
        <v>1</v>
      </c>
      <c r="AF264" s="147">
        <f t="shared" si="97"/>
        <v>0</v>
      </c>
      <c r="AG264" s="147">
        <f t="shared" si="98"/>
        <v>0</v>
      </c>
      <c r="AH264" s="147">
        <f t="shared" si="99"/>
        <v>0</v>
      </c>
      <c r="AI264" s="147">
        <f t="shared" si="100"/>
        <v>0</v>
      </c>
      <c r="AJ264" s="148">
        <f t="shared" si="101"/>
        <v>0</v>
      </c>
      <c r="AK264" s="149">
        <f t="shared" si="104"/>
        <v>0</v>
      </c>
      <c r="AL264" s="149">
        <f t="shared" si="105"/>
        <v>0</v>
      </c>
      <c r="AM264" s="149">
        <f t="shared" si="106"/>
        <v>0</v>
      </c>
      <c r="AN264" s="149">
        <f t="shared" si="107"/>
        <v>0</v>
      </c>
      <c r="AO264" s="150">
        <f t="shared" si="102"/>
        <v>0</v>
      </c>
      <c r="AQ264" s="151">
        <f t="shared" si="103"/>
        <v>0</v>
      </c>
    </row>
    <row r="265" spans="1:43" ht="15" customHeight="1">
      <c r="A265" s="82" t="e">
        <f t="shared" si="108"/>
        <v>#REF!</v>
      </c>
      <c r="B265" s="134">
        <v>103</v>
      </c>
      <c r="C265" s="135" t="s">
        <v>835</v>
      </c>
      <c r="D265" s="136" t="s">
        <v>274</v>
      </c>
      <c r="E265" s="137" t="s">
        <v>101</v>
      </c>
      <c r="F265" s="138" t="s">
        <v>646</v>
      </c>
      <c r="G265" s="139" t="s">
        <v>917</v>
      </c>
      <c r="H265" s="140" t="str">
        <f t="shared" si="89"/>
        <v>Niet van toepassing</v>
      </c>
      <c r="I265" s="138" t="s">
        <v>195</v>
      </c>
      <c r="J265" s="138" t="s">
        <v>1172</v>
      </c>
      <c r="K265" s="141" t="str">
        <f t="shared" si="90"/>
        <v>NVT</v>
      </c>
      <c r="L265" s="141" t="str">
        <f t="shared" si="91"/>
        <v>NVT</v>
      </c>
      <c r="M265" s="141" t="str">
        <f t="shared" si="92"/>
        <v>NVT</v>
      </c>
      <c r="N265" s="141" t="str">
        <f t="shared" si="93"/>
        <v>NVT</v>
      </c>
      <c r="O265" s="141" t="str">
        <f t="shared" si="94"/>
        <v>NVT</v>
      </c>
      <c r="P265" s="141" t="str">
        <f t="shared" si="95"/>
        <v>NVT</v>
      </c>
      <c r="Q265" s="141" t="str">
        <f t="shared" si="96"/>
        <v>NVT</v>
      </c>
      <c r="R265" s="63" t="s">
        <v>1221</v>
      </c>
      <c r="S265" s="142">
        <f t="shared" si="87"/>
        <v>0</v>
      </c>
      <c r="T265" s="143">
        <f>(2.4*1.9)*1.3</f>
        <v>5.9279999999999999</v>
      </c>
      <c r="U265" s="144"/>
      <c r="V265" s="144"/>
      <c r="W265" s="144">
        <f>(2.4*2.25)+(2.4*1)+(1.9*1.25)+(1.9*1)+(1.9*1)</f>
        <v>13.975</v>
      </c>
      <c r="X265" s="144"/>
      <c r="Y265" s="144"/>
      <c r="Z265" s="145"/>
      <c r="AA265" s="145">
        <f>T265*1.3</f>
        <v>7.7064000000000004</v>
      </c>
      <c r="AB265" s="145"/>
      <c r="AC265" s="145"/>
      <c r="AD265" s="146"/>
      <c r="AE265" s="171">
        <v>1</v>
      </c>
      <c r="AF265" s="147">
        <f t="shared" si="97"/>
        <v>0</v>
      </c>
      <c r="AG265" s="147">
        <f t="shared" si="98"/>
        <v>0</v>
      </c>
      <c r="AH265" s="147">
        <f t="shared" si="99"/>
        <v>0</v>
      </c>
      <c r="AI265" s="147">
        <f t="shared" si="100"/>
        <v>0</v>
      </c>
      <c r="AJ265" s="148">
        <f t="shared" si="101"/>
        <v>0</v>
      </c>
      <c r="AK265" s="149">
        <f t="shared" si="104"/>
        <v>0</v>
      </c>
      <c r="AL265" s="149">
        <f t="shared" si="105"/>
        <v>0</v>
      </c>
      <c r="AM265" s="149">
        <f t="shared" si="106"/>
        <v>0</v>
      </c>
      <c r="AN265" s="149">
        <f t="shared" si="107"/>
        <v>0</v>
      </c>
      <c r="AO265" s="150">
        <f t="shared" si="102"/>
        <v>0</v>
      </c>
      <c r="AQ265" s="151">
        <f t="shared" si="103"/>
        <v>0</v>
      </c>
    </row>
    <row r="266" spans="1:43" ht="15" customHeight="1">
      <c r="A266" s="82" t="e">
        <f t="shared" si="108"/>
        <v>#REF!</v>
      </c>
      <c r="B266" s="134">
        <v>103</v>
      </c>
      <c r="C266" s="135" t="s">
        <v>835</v>
      </c>
      <c r="D266" s="136" t="s">
        <v>274</v>
      </c>
      <c r="E266" s="137" t="s">
        <v>101</v>
      </c>
      <c r="F266" s="138" t="s">
        <v>646</v>
      </c>
      <c r="G266" s="139" t="s">
        <v>918</v>
      </c>
      <c r="H266" s="140" t="str">
        <f t="shared" si="89"/>
        <v>Niet van toepassing</v>
      </c>
      <c r="I266" s="138" t="s">
        <v>270</v>
      </c>
      <c r="J266" s="138" t="s">
        <v>1172</v>
      </c>
      <c r="K266" s="141" t="str">
        <f t="shared" si="90"/>
        <v>NVT</v>
      </c>
      <c r="L266" s="141" t="str">
        <f t="shared" si="91"/>
        <v>NVT</v>
      </c>
      <c r="M266" s="141" t="str">
        <f t="shared" si="92"/>
        <v>NVT</v>
      </c>
      <c r="N266" s="141" t="str">
        <f t="shared" si="93"/>
        <v>NVT</v>
      </c>
      <c r="O266" s="141" t="str">
        <f t="shared" si="94"/>
        <v>NVT</v>
      </c>
      <c r="P266" s="141" t="str">
        <f t="shared" si="95"/>
        <v>NVT</v>
      </c>
      <c r="Q266" s="141" t="str">
        <f t="shared" si="96"/>
        <v>NVT</v>
      </c>
      <c r="R266" s="63" t="s">
        <v>1221</v>
      </c>
      <c r="S266" s="142">
        <f t="shared" si="87"/>
        <v>0</v>
      </c>
      <c r="T266" s="143">
        <f>(1.7*1.7)*1.3</f>
        <v>3.7569999999999997</v>
      </c>
      <c r="U266" s="144"/>
      <c r="V266" s="144"/>
      <c r="W266" s="144"/>
      <c r="X266" s="144"/>
      <c r="Y266" s="144">
        <f>(1.7+1.7+1.7+1.7)*2.3</f>
        <v>15.639999999999999</v>
      </c>
      <c r="Z266" s="145"/>
      <c r="AA266" s="145"/>
      <c r="AB266" s="145">
        <f>T266</f>
        <v>3.7569999999999997</v>
      </c>
      <c r="AC266" s="145"/>
      <c r="AD266" s="146" t="s">
        <v>924</v>
      </c>
      <c r="AE266" s="171">
        <v>1</v>
      </c>
      <c r="AF266" s="147">
        <f t="shared" si="97"/>
        <v>0</v>
      </c>
      <c r="AG266" s="147">
        <f t="shared" si="98"/>
        <v>0</v>
      </c>
      <c r="AH266" s="147">
        <f t="shared" si="99"/>
        <v>0</v>
      </c>
      <c r="AI266" s="147">
        <f t="shared" si="100"/>
        <v>0</v>
      </c>
      <c r="AJ266" s="148">
        <f t="shared" si="101"/>
        <v>0</v>
      </c>
      <c r="AK266" s="149">
        <f t="shared" si="104"/>
        <v>0</v>
      </c>
      <c r="AL266" s="149">
        <f t="shared" si="105"/>
        <v>0</v>
      </c>
      <c r="AM266" s="149">
        <f t="shared" si="106"/>
        <v>0</v>
      </c>
      <c r="AN266" s="149">
        <f t="shared" si="107"/>
        <v>0</v>
      </c>
      <c r="AO266" s="150">
        <f t="shared" si="102"/>
        <v>0</v>
      </c>
      <c r="AQ266" s="151">
        <f t="shared" si="103"/>
        <v>0</v>
      </c>
    </row>
    <row r="267" spans="1:43" ht="15" customHeight="1">
      <c r="A267" s="82" t="e">
        <f t="shared" si="108"/>
        <v>#REF!</v>
      </c>
      <c r="B267" s="134">
        <v>103</v>
      </c>
      <c r="C267" s="135" t="s">
        <v>835</v>
      </c>
      <c r="D267" s="136" t="s">
        <v>274</v>
      </c>
      <c r="E267" s="137" t="s">
        <v>101</v>
      </c>
      <c r="F267" s="138" t="s">
        <v>646</v>
      </c>
      <c r="G267" s="139" t="s">
        <v>919</v>
      </c>
      <c r="H267" s="140" t="str">
        <f t="shared" ref="H267:H320" si="109">VLOOKUP(R267,Kengetal,3,FALSE)</f>
        <v>Niet van toepassing</v>
      </c>
      <c r="I267" s="138" t="s">
        <v>269</v>
      </c>
      <c r="J267" s="138" t="s">
        <v>1172</v>
      </c>
      <c r="K267" s="141" t="str">
        <f t="shared" ref="K267:K320" si="110">IF($R267="",0,VLOOKUP($R267,Kengetal,14,FALSE))</f>
        <v>NVT</v>
      </c>
      <c r="L267" s="141" t="str">
        <f t="shared" ref="L267:L320" si="111">IF($R267="",0,VLOOKUP($R267,Kengetal,15,FALSE))</f>
        <v>NVT</v>
      </c>
      <c r="M267" s="141" t="str">
        <f t="shared" ref="M267:M320" si="112">IF($R267="",0,VLOOKUP($R267,Kengetal,16,FALSE))</f>
        <v>NVT</v>
      </c>
      <c r="N267" s="141" t="str">
        <f t="shared" ref="N267:N320" si="113">IF($R267="",0,VLOOKUP($R267,Kengetal,17,FALSE))</f>
        <v>NVT</v>
      </c>
      <c r="O267" s="141" t="str">
        <f t="shared" ref="O267:O320" si="114">IF($R267="",0,VLOOKUP($R267,Kengetal,18,FALSE))</f>
        <v>NVT</v>
      </c>
      <c r="P267" s="141" t="str">
        <f t="shared" ref="P267:P320" si="115">IF($R267="",0,VLOOKUP($R267,Kengetal,19,FALSE))</f>
        <v>NVT</v>
      </c>
      <c r="Q267" s="141" t="str">
        <f t="shared" ref="Q267:Q320" si="116">IF($R267="",0,VLOOKUP($R267,Kengetal,20,FALSE))</f>
        <v>NVT</v>
      </c>
      <c r="R267" s="63" t="s">
        <v>1221</v>
      </c>
      <c r="S267" s="142">
        <f t="shared" si="87"/>
        <v>0</v>
      </c>
      <c r="T267" s="143">
        <f>(2.8*2.2)*1.3</f>
        <v>8.0080000000000009</v>
      </c>
      <c r="U267" s="144"/>
      <c r="V267" s="144"/>
      <c r="W267" s="144"/>
      <c r="X267" s="144"/>
      <c r="Y267" s="144"/>
      <c r="Z267" s="145"/>
      <c r="AA267" s="145"/>
      <c r="AB267" s="145"/>
      <c r="AC267" s="145"/>
      <c r="AD267" s="146"/>
      <c r="AE267" s="171">
        <v>1</v>
      </c>
      <c r="AF267" s="147">
        <f t="shared" ref="AF267:AF320" si="117">T267*AK267*AE267</f>
        <v>0</v>
      </c>
      <c r="AG267" s="147">
        <f t="shared" ref="AG267:AG320" si="118">T267*AL267*AE267</f>
        <v>0</v>
      </c>
      <c r="AH267" s="147">
        <f t="shared" ref="AH267:AH320" si="119">T267*AM267*AE267</f>
        <v>0</v>
      </c>
      <c r="AI267" s="147">
        <f t="shared" ref="AI267:AI320" si="120">T267*AN267*AE267</f>
        <v>0</v>
      </c>
      <c r="AJ267" s="148">
        <f t="shared" ref="AJ267:AJ320" si="121">IF($R267="",0,VLOOKUP($R267,Kengetal,12,FALSE))</f>
        <v>0</v>
      </c>
      <c r="AK267" s="149">
        <f t="shared" si="104"/>
        <v>0</v>
      </c>
      <c r="AL267" s="149">
        <f t="shared" si="105"/>
        <v>0</v>
      </c>
      <c r="AM267" s="149">
        <f t="shared" si="106"/>
        <v>0</v>
      </c>
      <c r="AN267" s="149">
        <f t="shared" si="107"/>
        <v>0</v>
      </c>
      <c r="AO267" s="150">
        <f t="shared" ref="AO267:AO320" si="122">IF($R267="",0,VLOOKUP($R267,Kengetal,13,FALSE))</f>
        <v>0</v>
      </c>
      <c r="AQ267" s="151">
        <f t="shared" ref="AQ267:AQ320" si="123">T267*S267</f>
        <v>0</v>
      </c>
    </row>
    <row r="268" spans="1:43" ht="15" customHeight="1">
      <c r="A268" s="82" t="e">
        <f t="shared" si="108"/>
        <v>#REF!</v>
      </c>
      <c r="B268" s="134">
        <v>103</v>
      </c>
      <c r="C268" s="135" t="s">
        <v>835</v>
      </c>
      <c r="D268" s="136" t="s">
        <v>274</v>
      </c>
      <c r="E268" s="137" t="s">
        <v>759</v>
      </c>
      <c r="F268" s="138" t="s">
        <v>760</v>
      </c>
      <c r="G268" s="139" t="s">
        <v>454</v>
      </c>
      <c r="H268" s="140" t="str">
        <f t="shared" si="109"/>
        <v>Niet van toepassing</v>
      </c>
      <c r="I268" s="138"/>
      <c r="J268" s="138" t="s">
        <v>1172</v>
      </c>
      <c r="K268" s="141" t="str">
        <f t="shared" si="110"/>
        <v>NVT</v>
      </c>
      <c r="L268" s="141" t="str">
        <f t="shared" si="111"/>
        <v>NVT</v>
      </c>
      <c r="M268" s="141" t="str">
        <f t="shared" si="112"/>
        <v>NVT</v>
      </c>
      <c r="N268" s="141" t="str">
        <f t="shared" si="113"/>
        <v>NVT</v>
      </c>
      <c r="O268" s="141" t="str">
        <f t="shared" si="114"/>
        <v>NVT</v>
      </c>
      <c r="P268" s="141" t="str">
        <f t="shared" si="115"/>
        <v>NVT</v>
      </c>
      <c r="Q268" s="141" t="str">
        <f t="shared" si="116"/>
        <v>NVT</v>
      </c>
      <c r="R268" s="63" t="s">
        <v>1221</v>
      </c>
      <c r="S268" s="142">
        <f t="shared" ref="S268:S331" si="124">VLOOKUP(R268,Kengetal,2,FALSE)</f>
        <v>0</v>
      </c>
      <c r="T268" s="143">
        <v>0</v>
      </c>
      <c r="U268" s="144"/>
      <c r="V268" s="144"/>
      <c r="W268" s="144"/>
      <c r="X268" s="144"/>
      <c r="Y268" s="144"/>
      <c r="Z268" s="145"/>
      <c r="AA268" s="145"/>
      <c r="AB268" s="145"/>
      <c r="AC268" s="145"/>
      <c r="AD268" s="146"/>
      <c r="AE268" s="171">
        <v>1</v>
      </c>
      <c r="AF268" s="147">
        <f t="shared" si="117"/>
        <v>0</v>
      </c>
      <c r="AG268" s="147">
        <f t="shared" si="118"/>
        <v>0</v>
      </c>
      <c r="AH268" s="147">
        <f t="shared" si="119"/>
        <v>0</v>
      </c>
      <c r="AI268" s="147">
        <f t="shared" si="120"/>
        <v>0</v>
      </c>
      <c r="AJ268" s="148">
        <f t="shared" si="121"/>
        <v>0</v>
      </c>
      <c r="AK268" s="149">
        <f t="shared" si="104"/>
        <v>0</v>
      </c>
      <c r="AL268" s="149">
        <f t="shared" si="105"/>
        <v>0</v>
      </c>
      <c r="AM268" s="149">
        <f t="shared" si="106"/>
        <v>0</v>
      </c>
      <c r="AN268" s="149">
        <f t="shared" si="107"/>
        <v>0</v>
      </c>
      <c r="AO268" s="150">
        <f t="shared" si="122"/>
        <v>0</v>
      </c>
      <c r="AQ268" s="151">
        <f t="shared" si="123"/>
        <v>0</v>
      </c>
    </row>
    <row r="269" spans="1:43" ht="15" customHeight="1">
      <c r="A269" s="82" t="e">
        <f>1+#REF!</f>
        <v>#REF!</v>
      </c>
      <c r="B269" s="134">
        <v>103</v>
      </c>
      <c r="C269" s="135" t="s">
        <v>835</v>
      </c>
      <c r="D269" s="136" t="s">
        <v>274</v>
      </c>
      <c r="E269" s="137" t="s">
        <v>759</v>
      </c>
      <c r="F269" s="138" t="s">
        <v>765</v>
      </c>
      <c r="G269" s="139" t="s">
        <v>926</v>
      </c>
      <c r="H269" s="140" t="str">
        <f t="shared" si="109"/>
        <v>Niet van toepassing</v>
      </c>
      <c r="I269" s="138" t="s">
        <v>35</v>
      </c>
      <c r="J269" s="138" t="s">
        <v>1172</v>
      </c>
      <c r="K269" s="141" t="str">
        <f t="shared" si="110"/>
        <v>NVT</v>
      </c>
      <c r="L269" s="141" t="str">
        <f t="shared" si="111"/>
        <v>NVT</v>
      </c>
      <c r="M269" s="141" t="str">
        <f t="shared" si="112"/>
        <v>NVT</v>
      </c>
      <c r="N269" s="141" t="str">
        <f t="shared" si="113"/>
        <v>NVT</v>
      </c>
      <c r="O269" s="141" t="str">
        <f t="shared" si="114"/>
        <v>NVT</v>
      </c>
      <c r="P269" s="141" t="str">
        <f t="shared" si="115"/>
        <v>NVT</v>
      </c>
      <c r="Q269" s="141" t="str">
        <f t="shared" si="116"/>
        <v>NVT</v>
      </c>
      <c r="R269" s="63" t="s">
        <v>1221</v>
      </c>
      <c r="S269" s="142">
        <f t="shared" si="124"/>
        <v>0</v>
      </c>
      <c r="T269" s="143">
        <v>73</v>
      </c>
      <c r="U269" s="144"/>
      <c r="V269" s="144"/>
      <c r="W269" s="144">
        <v>171</v>
      </c>
      <c r="X269" s="144"/>
      <c r="Y269" s="144"/>
      <c r="Z269" s="145"/>
      <c r="AA269" s="145">
        <v>73</v>
      </c>
      <c r="AB269" s="145"/>
      <c r="AC269" s="145"/>
      <c r="AD269" s="146"/>
      <c r="AE269" s="171">
        <v>1</v>
      </c>
      <c r="AF269" s="147">
        <f t="shared" si="117"/>
        <v>0</v>
      </c>
      <c r="AG269" s="147">
        <f t="shared" si="118"/>
        <v>0</v>
      </c>
      <c r="AH269" s="147">
        <f t="shared" si="119"/>
        <v>0</v>
      </c>
      <c r="AI269" s="147">
        <f t="shared" si="120"/>
        <v>0</v>
      </c>
      <c r="AJ269" s="148">
        <f t="shared" si="121"/>
        <v>0</v>
      </c>
      <c r="AK269" s="149">
        <f t="shared" si="104"/>
        <v>0</v>
      </c>
      <c r="AL269" s="149">
        <f t="shared" si="105"/>
        <v>0</v>
      </c>
      <c r="AM269" s="149">
        <f t="shared" si="106"/>
        <v>0</v>
      </c>
      <c r="AN269" s="149">
        <f t="shared" si="107"/>
        <v>0</v>
      </c>
      <c r="AO269" s="150">
        <f t="shared" si="122"/>
        <v>0</v>
      </c>
      <c r="AQ269" s="151">
        <f t="shared" si="123"/>
        <v>0</v>
      </c>
    </row>
    <row r="270" spans="1:43" ht="15" customHeight="1">
      <c r="A270" s="82" t="e">
        <f t="shared" si="108"/>
        <v>#REF!</v>
      </c>
      <c r="B270" s="134">
        <v>103</v>
      </c>
      <c r="C270" s="135" t="s">
        <v>835</v>
      </c>
      <c r="D270" s="136" t="s">
        <v>274</v>
      </c>
      <c r="E270" s="137" t="s">
        <v>759</v>
      </c>
      <c r="F270" s="138" t="s">
        <v>765</v>
      </c>
      <c r="G270" s="139" t="s">
        <v>927</v>
      </c>
      <c r="H270" s="140" t="str">
        <f t="shared" si="109"/>
        <v>Niet van toepassing</v>
      </c>
      <c r="I270" s="138" t="s">
        <v>35</v>
      </c>
      <c r="J270" s="138" t="s">
        <v>1172</v>
      </c>
      <c r="K270" s="141" t="str">
        <f t="shared" si="110"/>
        <v>NVT</v>
      </c>
      <c r="L270" s="141" t="str">
        <f t="shared" si="111"/>
        <v>NVT</v>
      </c>
      <c r="M270" s="141" t="str">
        <f t="shared" si="112"/>
        <v>NVT</v>
      </c>
      <c r="N270" s="141" t="str">
        <f t="shared" si="113"/>
        <v>NVT</v>
      </c>
      <c r="O270" s="141" t="str">
        <f t="shared" si="114"/>
        <v>NVT</v>
      </c>
      <c r="P270" s="141" t="str">
        <f t="shared" si="115"/>
        <v>NVT</v>
      </c>
      <c r="Q270" s="141" t="str">
        <f t="shared" si="116"/>
        <v>NVT</v>
      </c>
      <c r="R270" s="63" t="s">
        <v>1221</v>
      </c>
      <c r="S270" s="142">
        <f t="shared" si="124"/>
        <v>0</v>
      </c>
      <c r="T270" s="143">
        <v>1123</v>
      </c>
      <c r="U270" s="144"/>
      <c r="V270" s="144"/>
      <c r="W270" s="144">
        <v>673</v>
      </c>
      <c r="X270" s="144"/>
      <c r="Y270" s="144"/>
      <c r="Z270" s="145"/>
      <c r="AA270" s="145">
        <v>1123</v>
      </c>
      <c r="AB270" s="145"/>
      <c r="AC270" s="145"/>
      <c r="AD270" s="146"/>
      <c r="AE270" s="171">
        <v>1</v>
      </c>
      <c r="AF270" s="147">
        <f t="shared" si="117"/>
        <v>0</v>
      </c>
      <c r="AG270" s="147">
        <f t="shared" si="118"/>
        <v>0</v>
      </c>
      <c r="AH270" s="147">
        <f t="shared" si="119"/>
        <v>0</v>
      </c>
      <c r="AI270" s="147">
        <f t="shared" si="120"/>
        <v>0</v>
      </c>
      <c r="AJ270" s="148">
        <f t="shared" si="121"/>
        <v>0</v>
      </c>
      <c r="AK270" s="149">
        <f t="shared" si="104"/>
        <v>0</v>
      </c>
      <c r="AL270" s="149">
        <f t="shared" si="105"/>
        <v>0</v>
      </c>
      <c r="AM270" s="149">
        <f t="shared" si="106"/>
        <v>0</v>
      </c>
      <c r="AN270" s="149">
        <f t="shared" si="107"/>
        <v>0</v>
      </c>
      <c r="AO270" s="150">
        <f t="shared" si="122"/>
        <v>0</v>
      </c>
      <c r="AQ270" s="151">
        <f t="shared" si="123"/>
        <v>0</v>
      </c>
    </row>
    <row r="271" spans="1:43" ht="15" customHeight="1">
      <c r="A271" s="82" t="e">
        <f>1+#REF!</f>
        <v>#REF!</v>
      </c>
      <c r="B271" s="134">
        <v>103</v>
      </c>
      <c r="C271" s="135" t="s">
        <v>835</v>
      </c>
      <c r="D271" s="136" t="s">
        <v>274</v>
      </c>
      <c r="E271" s="137" t="s">
        <v>759</v>
      </c>
      <c r="F271" s="138" t="s">
        <v>928</v>
      </c>
      <c r="G271" s="139" t="s">
        <v>929</v>
      </c>
      <c r="H271" s="140" t="str">
        <f t="shared" si="109"/>
        <v>Niet van toepassing</v>
      </c>
      <c r="I271" s="138" t="s">
        <v>35</v>
      </c>
      <c r="J271" s="138" t="s">
        <v>1172</v>
      </c>
      <c r="K271" s="141" t="str">
        <f t="shared" si="110"/>
        <v>NVT</v>
      </c>
      <c r="L271" s="141" t="str">
        <f t="shared" si="111"/>
        <v>NVT</v>
      </c>
      <c r="M271" s="141" t="str">
        <f t="shared" si="112"/>
        <v>NVT</v>
      </c>
      <c r="N271" s="141" t="str">
        <f t="shared" si="113"/>
        <v>NVT</v>
      </c>
      <c r="O271" s="141" t="str">
        <f t="shared" si="114"/>
        <v>NVT</v>
      </c>
      <c r="P271" s="141" t="str">
        <f t="shared" si="115"/>
        <v>NVT</v>
      </c>
      <c r="Q271" s="141" t="str">
        <f t="shared" si="116"/>
        <v>NVT</v>
      </c>
      <c r="R271" s="63" t="s">
        <v>1221</v>
      </c>
      <c r="S271" s="142">
        <f t="shared" si="124"/>
        <v>0</v>
      </c>
      <c r="T271" s="143">
        <v>17</v>
      </c>
      <c r="U271" s="144"/>
      <c r="V271" s="144"/>
      <c r="W271" s="144">
        <v>33</v>
      </c>
      <c r="X271" s="144"/>
      <c r="Y271" s="144"/>
      <c r="Z271" s="145"/>
      <c r="AA271" s="145">
        <v>17</v>
      </c>
      <c r="AB271" s="145"/>
      <c r="AC271" s="145"/>
      <c r="AD271" s="146"/>
      <c r="AE271" s="171">
        <v>1</v>
      </c>
      <c r="AF271" s="147">
        <f t="shared" si="117"/>
        <v>0</v>
      </c>
      <c r="AG271" s="147">
        <f t="shared" si="118"/>
        <v>0</v>
      </c>
      <c r="AH271" s="147">
        <f t="shared" si="119"/>
        <v>0</v>
      </c>
      <c r="AI271" s="147">
        <f t="shared" si="120"/>
        <v>0</v>
      </c>
      <c r="AJ271" s="148">
        <f t="shared" si="121"/>
        <v>0</v>
      </c>
      <c r="AK271" s="149">
        <f t="shared" si="104"/>
        <v>0</v>
      </c>
      <c r="AL271" s="149">
        <f t="shared" si="105"/>
        <v>0</v>
      </c>
      <c r="AM271" s="149">
        <f t="shared" si="106"/>
        <v>0</v>
      </c>
      <c r="AN271" s="149">
        <f t="shared" si="107"/>
        <v>0</v>
      </c>
      <c r="AO271" s="150">
        <f t="shared" si="122"/>
        <v>0</v>
      </c>
      <c r="AQ271" s="151">
        <f t="shared" si="123"/>
        <v>0</v>
      </c>
    </row>
    <row r="272" spans="1:43" ht="15" customHeight="1">
      <c r="A272" s="82" t="e">
        <f t="shared" si="108"/>
        <v>#REF!</v>
      </c>
      <c r="B272" s="134">
        <v>103</v>
      </c>
      <c r="C272" s="135" t="s">
        <v>835</v>
      </c>
      <c r="D272" s="136" t="s">
        <v>274</v>
      </c>
      <c r="E272" s="137" t="s">
        <v>759</v>
      </c>
      <c r="F272" s="138" t="s">
        <v>930</v>
      </c>
      <c r="G272" s="139" t="s">
        <v>931</v>
      </c>
      <c r="H272" s="140" t="str">
        <f t="shared" si="109"/>
        <v>Niet van toepassing</v>
      </c>
      <c r="I272" s="138" t="s">
        <v>35</v>
      </c>
      <c r="J272" s="138" t="s">
        <v>1172</v>
      </c>
      <c r="K272" s="141" t="str">
        <f t="shared" si="110"/>
        <v>NVT</v>
      </c>
      <c r="L272" s="141" t="str">
        <f t="shared" si="111"/>
        <v>NVT</v>
      </c>
      <c r="M272" s="141" t="str">
        <f t="shared" si="112"/>
        <v>NVT</v>
      </c>
      <c r="N272" s="141" t="str">
        <f t="shared" si="113"/>
        <v>NVT</v>
      </c>
      <c r="O272" s="141" t="str">
        <f t="shared" si="114"/>
        <v>NVT</v>
      </c>
      <c r="P272" s="141" t="str">
        <f t="shared" si="115"/>
        <v>NVT</v>
      </c>
      <c r="Q272" s="141" t="str">
        <f t="shared" si="116"/>
        <v>NVT</v>
      </c>
      <c r="R272" s="63" t="s">
        <v>1221</v>
      </c>
      <c r="S272" s="142">
        <f t="shared" si="124"/>
        <v>0</v>
      </c>
      <c r="T272" s="143">
        <v>16</v>
      </c>
      <c r="U272" s="144"/>
      <c r="V272" s="144"/>
      <c r="W272" s="144">
        <v>26</v>
      </c>
      <c r="X272" s="144"/>
      <c r="Y272" s="144"/>
      <c r="Z272" s="145"/>
      <c r="AA272" s="145">
        <v>16</v>
      </c>
      <c r="AB272" s="145"/>
      <c r="AC272" s="145"/>
      <c r="AD272" s="146"/>
      <c r="AE272" s="171">
        <v>1</v>
      </c>
      <c r="AF272" s="147">
        <f t="shared" si="117"/>
        <v>0</v>
      </c>
      <c r="AG272" s="147">
        <f t="shared" si="118"/>
        <v>0</v>
      </c>
      <c r="AH272" s="147">
        <f t="shared" si="119"/>
        <v>0</v>
      </c>
      <c r="AI272" s="147">
        <f t="shared" si="120"/>
        <v>0</v>
      </c>
      <c r="AJ272" s="148">
        <f t="shared" si="121"/>
        <v>0</v>
      </c>
      <c r="AK272" s="149">
        <f t="shared" si="104"/>
        <v>0</v>
      </c>
      <c r="AL272" s="149">
        <f t="shared" si="105"/>
        <v>0</v>
      </c>
      <c r="AM272" s="149">
        <f t="shared" si="106"/>
        <v>0</v>
      </c>
      <c r="AN272" s="149">
        <f t="shared" si="107"/>
        <v>0</v>
      </c>
      <c r="AO272" s="150">
        <f t="shared" si="122"/>
        <v>0</v>
      </c>
      <c r="AQ272" s="151">
        <f t="shared" si="123"/>
        <v>0</v>
      </c>
    </row>
    <row r="273" spans="1:43" ht="15" customHeight="1">
      <c r="A273" s="82" t="e">
        <f t="shared" si="108"/>
        <v>#REF!</v>
      </c>
      <c r="B273" s="134">
        <v>103</v>
      </c>
      <c r="C273" s="135" t="s">
        <v>835</v>
      </c>
      <c r="D273" s="136" t="s">
        <v>274</v>
      </c>
      <c r="E273" s="137" t="s">
        <v>759</v>
      </c>
      <c r="F273" s="138" t="s">
        <v>932</v>
      </c>
      <c r="G273" s="139" t="s">
        <v>933</v>
      </c>
      <c r="H273" s="140" t="str">
        <f t="shared" si="109"/>
        <v>Niet van toepassing</v>
      </c>
      <c r="I273" s="138" t="s">
        <v>35</v>
      </c>
      <c r="J273" s="138" t="s">
        <v>1172</v>
      </c>
      <c r="K273" s="141" t="str">
        <f t="shared" si="110"/>
        <v>NVT</v>
      </c>
      <c r="L273" s="141" t="str">
        <f t="shared" si="111"/>
        <v>NVT</v>
      </c>
      <c r="M273" s="141" t="str">
        <f t="shared" si="112"/>
        <v>NVT</v>
      </c>
      <c r="N273" s="141" t="str">
        <f t="shared" si="113"/>
        <v>NVT</v>
      </c>
      <c r="O273" s="141" t="str">
        <f t="shared" si="114"/>
        <v>NVT</v>
      </c>
      <c r="P273" s="141" t="str">
        <f t="shared" si="115"/>
        <v>NVT</v>
      </c>
      <c r="Q273" s="141" t="str">
        <f t="shared" si="116"/>
        <v>NVT</v>
      </c>
      <c r="R273" s="63" t="s">
        <v>1221</v>
      </c>
      <c r="S273" s="142">
        <f t="shared" si="124"/>
        <v>0</v>
      </c>
      <c r="T273" s="143">
        <v>19</v>
      </c>
      <c r="U273" s="144"/>
      <c r="V273" s="144"/>
      <c r="W273" s="144">
        <v>40</v>
      </c>
      <c r="X273" s="144"/>
      <c r="Y273" s="144"/>
      <c r="Z273" s="145"/>
      <c r="AA273" s="145">
        <v>19</v>
      </c>
      <c r="AB273" s="145"/>
      <c r="AC273" s="145"/>
      <c r="AD273" s="146"/>
      <c r="AE273" s="171">
        <v>1</v>
      </c>
      <c r="AF273" s="147">
        <f t="shared" si="117"/>
        <v>0</v>
      </c>
      <c r="AG273" s="147">
        <f t="shared" si="118"/>
        <v>0</v>
      </c>
      <c r="AH273" s="147">
        <f t="shared" si="119"/>
        <v>0</v>
      </c>
      <c r="AI273" s="147">
        <f t="shared" si="120"/>
        <v>0</v>
      </c>
      <c r="AJ273" s="148">
        <f t="shared" si="121"/>
        <v>0</v>
      </c>
      <c r="AK273" s="149">
        <f t="shared" si="104"/>
        <v>0</v>
      </c>
      <c r="AL273" s="149">
        <f t="shared" si="105"/>
        <v>0</v>
      </c>
      <c r="AM273" s="149">
        <f t="shared" si="106"/>
        <v>0</v>
      </c>
      <c r="AN273" s="149">
        <f t="shared" si="107"/>
        <v>0</v>
      </c>
      <c r="AO273" s="150">
        <f t="shared" si="122"/>
        <v>0</v>
      </c>
      <c r="AQ273" s="151">
        <f t="shared" si="123"/>
        <v>0</v>
      </c>
    </row>
    <row r="274" spans="1:43" ht="15" customHeight="1">
      <c r="A274" s="82" t="e">
        <f t="shared" si="108"/>
        <v>#REF!</v>
      </c>
      <c r="B274" s="134">
        <v>103</v>
      </c>
      <c r="C274" s="135" t="s">
        <v>835</v>
      </c>
      <c r="D274" s="136" t="s">
        <v>274</v>
      </c>
      <c r="E274" s="137" t="s">
        <v>759</v>
      </c>
      <c r="F274" s="138" t="s">
        <v>736</v>
      </c>
      <c r="G274" s="139" t="s">
        <v>934</v>
      </c>
      <c r="H274" s="140" t="str">
        <f t="shared" si="109"/>
        <v>Niet van toepassing</v>
      </c>
      <c r="I274" s="138" t="s">
        <v>195</v>
      </c>
      <c r="J274" s="138" t="s">
        <v>1172</v>
      </c>
      <c r="K274" s="141" t="str">
        <f t="shared" si="110"/>
        <v>NVT</v>
      </c>
      <c r="L274" s="141" t="str">
        <f t="shared" si="111"/>
        <v>NVT</v>
      </c>
      <c r="M274" s="141" t="str">
        <f t="shared" si="112"/>
        <v>NVT</v>
      </c>
      <c r="N274" s="141" t="str">
        <f t="shared" si="113"/>
        <v>NVT</v>
      </c>
      <c r="O274" s="141" t="str">
        <f t="shared" si="114"/>
        <v>NVT</v>
      </c>
      <c r="P274" s="141" t="str">
        <f t="shared" si="115"/>
        <v>NVT</v>
      </c>
      <c r="Q274" s="141" t="str">
        <f t="shared" si="116"/>
        <v>NVT</v>
      </c>
      <c r="R274" s="63" t="s">
        <v>1221</v>
      </c>
      <c r="S274" s="142">
        <f t="shared" si="124"/>
        <v>0</v>
      </c>
      <c r="T274" s="143">
        <f>((2.8*4.5)+(3.5*4))*1.3</f>
        <v>34.580000000000005</v>
      </c>
      <c r="U274" s="144"/>
      <c r="V274" s="144"/>
      <c r="W274" s="144"/>
      <c r="X274" s="144"/>
      <c r="Y274" s="144">
        <f>(2.8+4.5+1.2+3.5+4+8)*3</f>
        <v>72</v>
      </c>
      <c r="Z274" s="145"/>
      <c r="AA274" s="145">
        <f>T274</f>
        <v>34.580000000000005</v>
      </c>
      <c r="AB274" s="145"/>
      <c r="AC274" s="145"/>
      <c r="AD274" s="146"/>
      <c r="AE274" s="171">
        <v>1</v>
      </c>
      <c r="AF274" s="147">
        <f t="shared" si="117"/>
        <v>0</v>
      </c>
      <c r="AG274" s="147">
        <f t="shared" si="118"/>
        <v>0</v>
      </c>
      <c r="AH274" s="147">
        <f t="shared" si="119"/>
        <v>0</v>
      </c>
      <c r="AI274" s="147">
        <f t="shared" si="120"/>
        <v>0</v>
      </c>
      <c r="AJ274" s="148">
        <f t="shared" si="121"/>
        <v>0</v>
      </c>
      <c r="AK274" s="149">
        <f t="shared" si="104"/>
        <v>0</v>
      </c>
      <c r="AL274" s="149">
        <f t="shared" si="105"/>
        <v>0</v>
      </c>
      <c r="AM274" s="149">
        <f t="shared" si="106"/>
        <v>0</v>
      </c>
      <c r="AN274" s="149">
        <f t="shared" si="107"/>
        <v>0</v>
      </c>
      <c r="AO274" s="150">
        <f t="shared" si="122"/>
        <v>0</v>
      </c>
      <c r="AQ274" s="151">
        <f t="shared" si="123"/>
        <v>0</v>
      </c>
    </row>
    <row r="275" spans="1:43" ht="15" customHeight="1">
      <c r="A275" s="82" t="e">
        <f t="shared" si="108"/>
        <v>#REF!</v>
      </c>
      <c r="B275" s="134">
        <v>103</v>
      </c>
      <c r="C275" s="135" t="s">
        <v>835</v>
      </c>
      <c r="D275" s="136" t="s">
        <v>274</v>
      </c>
      <c r="E275" s="137" t="s">
        <v>759</v>
      </c>
      <c r="F275" s="138" t="s">
        <v>775</v>
      </c>
      <c r="G275" s="139" t="s">
        <v>935</v>
      </c>
      <c r="H275" s="140" t="str">
        <f t="shared" si="109"/>
        <v>Niet van toepassing</v>
      </c>
      <c r="I275" s="138" t="s">
        <v>35</v>
      </c>
      <c r="J275" s="138" t="s">
        <v>1172</v>
      </c>
      <c r="K275" s="141" t="str">
        <f t="shared" si="110"/>
        <v>NVT</v>
      </c>
      <c r="L275" s="141" t="str">
        <f t="shared" si="111"/>
        <v>NVT</v>
      </c>
      <c r="M275" s="141" t="str">
        <f t="shared" si="112"/>
        <v>NVT</v>
      </c>
      <c r="N275" s="141" t="str">
        <f t="shared" si="113"/>
        <v>NVT</v>
      </c>
      <c r="O275" s="141" t="str">
        <f t="shared" si="114"/>
        <v>NVT</v>
      </c>
      <c r="P275" s="141" t="str">
        <f t="shared" si="115"/>
        <v>NVT</v>
      </c>
      <c r="Q275" s="141" t="str">
        <f t="shared" si="116"/>
        <v>NVT</v>
      </c>
      <c r="R275" s="63" t="s">
        <v>1221</v>
      </c>
      <c r="S275" s="142">
        <f t="shared" si="124"/>
        <v>0</v>
      </c>
      <c r="T275" s="143">
        <v>22</v>
      </c>
      <c r="U275" s="144"/>
      <c r="V275" s="144"/>
      <c r="W275" s="144">
        <v>41</v>
      </c>
      <c r="X275" s="144"/>
      <c r="Y275" s="144"/>
      <c r="Z275" s="145"/>
      <c r="AA275" s="145">
        <v>22</v>
      </c>
      <c r="AB275" s="145"/>
      <c r="AC275" s="145"/>
      <c r="AD275" s="146"/>
      <c r="AE275" s="171">
        <v>1</v>
      </c>
      <c r="AF275" s="147">
        <f t="shared" si="117"/>
        <v>0</v>
      </c>
      <c r="AG275" s="147">
        <f t="shared" si="118"/>
        <v>0</v>
      </c>
      <c r="AH275" s="147">
        <f t="shared" si="119"/>
        <v>0</v>
      </c>
      <c r="AI275" s="147">
        <f t="shared" si="120"/>
        <v>0</v>
      </c>
      <c r="AJ275" s="148">
        <f t="shared" si="121"/>
        <v>0</v>
      </c>
      <c r="AK275" s="149">
        <f t="shared" si="104"/>
        <v>0</v>
      </c>
      <c r="AL275" s="149">
        <f t="shared" si="105"/>
        <v>0</v>
      </c>
      <c r="AM275" s="149">
        <f t="shared" si="106"/>
        <v>0</v>
      </c>
      <c r="AN275" s="149">
        <f t="shared" si="107"/>
        <v>0</v>
      </c>
      <c r="AO275" s="150">
        <f t="shared" si="122"/>
        <v>0</v>
      </c>
      <c r="AQ275" s="151">
        <f t="shared" si="123"/>
        <v>0</v>
      </c>
    </row>
    <row r="276" spans="1:43" ht="15" customHeight="1">
      <c r="A276" s="82" t="e">
        <f t="shared" si="108"/>
        <v>#REF!</v>
      </c>
      <c r="B276" s="134">
        <v>103</v>
      </c>
      <c r="C276" s="135" t="s">
        <v>835</v>
      </c>
      <c r="D276" s="136" t="s">
        <v>274</v>
      </c>
      <c r="E276" s="137" t="s">
        <v>759</v>
      </c>
      <c r="F276" s="138" t="s">
        <v>736</v>
      </c>
      <c r="G276" s="139" t="s">
        <v>801</v>
      </c>
      <c r="H276" s="140" t="str">
        <f t="shared" si="109"/>
        <v>Niet van toepassing</v>
      </c>
      <c r="I276" s="138" t="s">
        <v>195</v>
      </c>
      <c r="J276" s="138" t="s">
        <v>1172</v>
      </c>
      <c r="K276" s="141" t="str">
        <f t="shared" si="110"/>
        <v>NVT</v>
      </c>
      <c r="L276" s="141" t="str">
        <f t="shared" si="111"/>
        <v>NVT</v>
      </c>
      <c r="M276" s="141" t="str">
        <f t="shared" si="112"/>
        <v>NVT</v>
      </c>
      <c r="N276" s="141" t="str">
        <f t="shared" si="113"/>
        <v>NVT</v>
      </c>
      <c r="O276" s="141" t="str">
        <f t="shared" si="114"/>
        <v>NVT</v>
      </c>
      <c r="P276" s="141" t="str">
        <f t="shared" si="115"/>
        <v>NVT</v>
      </c>
      <c r="Q276" s="141" t="str">
        <f t="shared" si="116"/>
        <v>NVT</v>
      </c>
      <c r="R276" s="63" t="s">
        <v>1221</v>
      </c>
      <c r="S276" s="142">
        <f t="shared" si="124"/>
        <v>0</v>
      </c>
      <c r="T276" s="143">
        <f>(3.4*4.6)*1.3</f>
        <v>20.332000000000001</v>
      </c>
      <c r="U276" s="144"/>
      <c r="V276" s="144"/>
      <c r="W276" s="144"/>
      <c r="X276" s="144"/>
      <c r="Y276" s="144">
        <f>(3.4+4.6+3.4+4.6)*6.15</f>
        <v>98.4</v>
      </c>
      <c r="Z276" s="145"/>
      <c r="AA276" s="145">
        <f>T276</f>
        <v>20.332000000000001</v>
      </c>
      <c r="AB276" s="145"/>
      <c r="AC276" s="145"/>
      <c r="AD276" s="146"/>
      <c r="AE276" s="171">
        <v>1</v>
      </c>
      <c r="AF276" s="147">
        <f t="shared" si="117"/>
        <v>0</v>
      </c>
      <c r="AG276" s="147">
        <f t="shared" si="118"/>
        <v>0</v>
      </c>
      <c r="AH276" s="147">
        <f t="shared" si="119"/>
        <v>0</v>
      </c>
      <c r="AI276" s="147">
        <f t="shared" si="120"/>
        <v>0</v>
      </c>
      <c r="AJ276" s="148">
        <f t="shared" si="121"/>
        <v>0</v>
      </c>
      <c r="AK276" s="149">
        <f t="shared" si="104"/>
        <v>0</v>
      </c>
      <c r="AL276" s="149">
        <f t="shared" si="105"/>
        <v>0</v>
      </c>
      <c r="AM276" s="149">
        <f t="shared" si="106"/>
        <v>0</v>
      </c>
      <c r="AN276" s="149">
        <f t="shared" si="107"/>
        <v>0</v>
      </c>
      <c r="AO276" s="150">
        <f t="shared" si="122"/>
        <v>0</v>
      </c>
      <c r="AQ276" s="151">
        <f t="shared" si="123"/>
        <v>0</v>
      </c>
    </row>
    <row r="277" spans="1:43" ht="15" customHeight="1">
      <c r="A277" s="82" t="e">
        <f t="shared" si="108"/>
        <v>#REF!</v>
      </c>
      <c r="B277" s="134">
        <v>103</v>
      </c>
      <c r="C277" s="135" t="s">
        <v>835</v>
      </c>
      <c r="D277" s="136" t="s">
        <v>274</v>
      </c>
      <c r="E277" s="137" t="s">
        <v>759</v>
      </c>
      <c r="F277" s="138" t="s">
        <v>775</v>
      </c>
      <c r="G277" s="139" t="s">
        <v>802</v>
      </c>
      <c r="H277" s="140" t="str">
        <f t="shared" si="109"/>
        <v>Niet van toepassing</v>
      </c>
      <c r="I277" s="138" t="s">
        <v>35</v>
      </c>
      <c r="J277" s="138" t="s">
        <v>1172</v>
      </c>
      <c r="K277" s="141" t="str">
        <f t="shared" si="110"/>
        <v>NVT</v>
      </c>
      <c r="L277" s="141" t="str">
        <f t="shared" si="111"/>
        <v>NVT</v>
      </c>
      <c r="M277" s="141" t="str">
        <f t="shared" si="112"/>
        <v>NVT</v>
      </c>
      <c r="N277" s="141" t="str">
        <f t="shared" si="113"/>
        <v>NVT</v>
      </c>
      <c r="O277" s="141" t="str">
        <f t="shared" si="114"/>
        <v>NVT</v>
      </c>
      <c r="P277" s="141" t="str">
        <f t="shared" si="115"/>
        <v>NVT</v>
      </c>
      <c r="Q277" s="141" t="str">
        <f t="shared" si="116"/>
        <v>NVT</v>
      </c>
      <c r="R277" s="63" t="s">
        <v>1221</v>
      </c>
      <c r="S277" s="142">
        <f t="shared" si="124"/>
        <v>0</v>
      </c>
      <c r="T277" s="143">
        <v>22</v>
      </c>
      <c r="U277" s="144"/>
      <c r="V277" s="144"/>
      <c r="W277" s="144">
        <v>26</v>
      </c>
      <c r="X277" s="144"/>
      <c r="Y277" s="144"/>
      <c r="Z277" s="145"/>
      <c r="AA277" s="145">
        <v>22</v>
      </c>
      <c r="AB277" s="145"/>
      <c r="AC277" s="145"/>
      <c r="AD277" s="146"/>
      <c r="AE277" s="171">
        <v>1</v>
      </c>
      <c r="AF277" s="147">
        <f t="shared" si="117"/>
        <v>0</v>
      </c>
      <c r="AG277" s="147">
        <f t="shared" si="118"/>
        <v>0</v>
      </c>
      <c r="AH277" s="147">
        <f t="shared" si="119"/>
        <v>0</v>
      </c>
      <c r="AI277" s="147">
        <f t="shared" si="120"/>
        <v>0</v>
      </c>
      <c r="AJ277" s="148">
        <f t="shared" si="121"/>
        <v>0</v>
      </c>
      <c r="AK277" s="149">
        <f t="shared" si="104"/>
        <v>0</v>
      </c>
      <c r="AL277" s="149">
        <f t="shared" si="105"/>
        <v>0</v>
      </c>
      <c r="AM277" s="149">
        <f t="shared" si="106"/>
        <v>0</v>
      </c>
      <c r="AN277" s="149">
        <f t="shared" si="107"/>
        <v>0</v>
      </c>
      <c r="AO277" s="150">
        <f t="shared" si="122"/>
        <v>0</v>
      </c>
      <c r="AQ277" s="151">
        <f t="shared" si="123"/>
        <v>0</v>
      </c>
    </row>
    <row r="278" spans="1:43" ht="15" customHeight="1">
      <c r="A278" s="82" t="e">
        <f t="shared" si="108"/>
        <v>#REF!</v>
      </c>
      <c r="B278" s="134">
        <v>103</v>
      </c>
      <c r="C278" s="135" t="s">
        <v>835</v>
      </c>
      <c r="D278" s="136" t="s">
        <v>274</v>
      </c>
      <c r="E278" s="137" t="s">
        <v>759</v>
      </c>
      <c r="F278" s="138" t="s">
        <v>936</v>
      </c>
      <c r="G278" s="139" t="s">
        <v>937</v>
      </c>
      <c r="H278" s="140" t="str">
        <f t="shared" si="109"/>
        <v>Niet van toepassing</v>
      </c>
      <c r="I278" s="138" t="s">
        <v>35</v>
      </c>
      <c r="J278" s="138" t="s">
        <v>1172</v>
      </c>
      <c r="K278" s="141" t="str">
        <f t="shared" si="110"/>
        <v>NVT</v>
      </c>
      <c r="L278" s="141" t="str">
        <f t="shared" si="111"/>
        <v>NVT</v>
      </c>
      <c r="M278" s="141" t="str">
        <f t="shared" si="112"/>
        <v>NVT</v>
      </c>
      <c r="N278" s="141" t="str">
        <f t="shared" si="113"/>
        <v>NVT</v>
      </c>
      <c r="O278" s="141" t="str">
        <f t="shared" si="114"/>
        <v>NVT</v>
      </c>
      <c r="P278" s="141" t="str">
        <f t="shared" si="115"/>
        <v>NVT</v>
      </c>
      <c r="Q278" s="141" t="str">
        <f t="shared" si="116"/>
        <v>NVT</v>
      </c>
      <c r="R278" s="63" t="s">
        <v>1221</v>
      </c>
      <c r="S278" s="142">
        <f t="shared" si="124"/>
        <v>0</v>
      </c>
      <c r="T278" s="143">
        <v>15</v>
      </c>
      <c r="U278" s="144"/>
      <c r="V278" s="144"/>
      <c r="W278" s="144">
        <v>28</v>
      </c>
      <c r="X278" s="144"/>
      <c r="Y278" s="144"/>
      <c r="Z278" s="145"/>
      <c r="AA278" s="145">
        <v>15</v>
      </c>
      <c r="AB278" s="145"/>
      <c r="AC278" s="145"/>
      <c r="AD278" s="146"/>
      <c r="AE278" s="171">
        <v>1</v>
      </c>
      <c r="AF278" s="147">
        <f t="shared" si="117"/>
        <v>0</v>
      </c>
      <c r="AG278" s="147">
        <f t="shared" si="118"/>
        <v>0</v>
      </c>
      <c r="AH278" s="147">
        <f t="shared" si="119"/>
        <v>0</v>
      </c>
      <c r="AI278" s="147">
        <f t="shared" si="120"/>
        <v>0</v>
      </c>
      <c r="AJ278" s="148">
        <f t="shared" si="121"/>
        <v>0</v>
      </c>
      <c r="AK278" s="149">
        <f t="shared" si="104"/>
        <v>0</v>
      </c>
      <c r="AL278" s="149">
        <f t="shared" si="105"/>
        <v>0</v>
      </c>
      <c r="AM278" s="149">
        <f t="shared" si="106"/>
        <v>0</v>
      </c>
      <c r="AN278" s="149">
        <f t="shared" si="107"/>
        <v>0</v>
      </c>
      <c r="AO278" s="150">
        <f t="shared" si="122"/>
        <v>0</v>
      </c>
      <c r="AQ278" s="151">
        <f t="shared" si="123"/>
        <v>0</v>
      </c>
    </row>
    <row r="279" spans="1:43" ht="15" customHeight="1">
      <c r="A279" s="82" t="e">
        <f t="shared" si="108"/>
        <v>#REF!</v>
      </c>
      <c r="B279" s="134">
        <v>103</v>
      </c>
      <c r="C279" s="135" t="s">
        <v>835</v>
      </c>
      <c r="D279" s="136" t="s">
        <v>274</v>
      </c>
      <c r="E279" s="137" t="s">
        <v>759</v>
      </c>
      <c r="F279" s="138" t="s">
        <v>263</v>
      </c>
      <c r="G279" s="139" t="s">
        <v>938</v>
      </c>
      <c r="H279" s="140" t="str">
        <f t="shared" si="109"/>
        <v>Niet van toepassing</v>
      </c>
      <c r="I279" s="138"/>
      <c r="J279" s="138" t="s">
        <v>1172</v>
      </c>
      <c r="K279" s="141" t="str">
        <f t="shared" si="110"/>
        <v>NVT</v>
      </c>
      <c r="L279" s="141" t="str">
        <f t="shared" si="111"/>
        <v>NVT</v>
      </c>
      <c r="M279" s="141" t="str">
        <f t="shared" si="112"/>
        <v>NVT</v>
      </c>
      <c r="N279" s="141" t="str">
        <f t="shared" si="113"/>
        <v>NVT</v>
      </c>
      <c r="O279" s="141" t="str">
        <f t="shared" si="114"/>
        <v>NVT</v>
      </c>
      <c r="P279" s="141" t="str">
        <f t="shared" si="115"/>
        <v>NVT</v>
      </c>
      <c r="Q279" s="141" t="str">
        <f t="shared" si="116"/>
        <v>NVT</v>
      </c>
      <c r="R279" s="63" t="s">
        <v>1221</v>
      </c>
      <c r="S279" s="142">
        <f t="shared" si="124"/>
        <v>0</v>
      </c>
      <c r="T279" s="143">
        <v>0</v>
      </c>
      <c r="U279" s="144"/>
      <c r="V279" s="144"/>
      <c r="W279" s="144"/>
      <c r="X279" s="144"/>
      <c r="Y279" s="144"/>
      <c r="Z279" s="145"/>
      <c r="AA279" s="145"/>
      <c r="AB279" s="145"/>
      <c r="AC279" s="145"/>
      <c r="AD279" s="146" t="s">
        <v>940</v>
      </c>
      <c r="AE279" s="171">
        <v>1</v>
      </c>
      <c r="AF279" s="147">
        <f t="shared" si="117"/>
        <v>0</v>
      </c>
      <c r="AG279" s="147">
        <f t="shared" si="118"/>
        <v>0</v>
      </c>
      <c r="AH279" s="147">
        <f t="shared" si="119"/>
        <v>0</v>
      </c>
      <c r="AI279" s="147">
        <f t="shared" si="120"/>
        <v>0</v>
      </c>
      <c r="AJ279" s="148">
        <f t="shared" si="121"/>
        <v>0</v>
      </c>
      <c r="AK279" s="149">
        <f t="shared" si="104"/>
        <v>0</v>
      </c>
      <c r="AL279" s="149">
        <f t="shared" si="105"/>
        <v>0</v>
      </c>
      <c r="AM279" s="149">
        <f t="shared" si="106"/>
        <v>0</v>
      </c>
      <c r="AN279" s="149">
        <f t="shared" si="107"/>
        <v>0</v>
      </c>
      <c r="AO279" s="150">
        <f t="shared" si="122"/>
        <v>0</v>
      </c>
      <c r="AQ279" s="151">
        <f t="shared" si="123"/>
        <v>0</v>
      </c>
    </row>
    <row r="280" spans="1:43" ht="15" customHeight="1">
      <c r="A280" s="82" t="e">
        <f t="shared" si="108"/>
        <v>#REF!</v>
      </c>
      <c r="B280" s="134">
        <v>103</v>
      </c>
      <c r="C280" s="135" t="s">
        <v>835</v>
      </c>
      <c r="D280" s="136" t="s">
        <v>274</v>
      </c>
      <c r="E280" s="137" t="s">
        <v>759</v>
      </c>
      <c r="F280" s="138" t="s">
        <v>263</v>
      </c>
      <c r="G280" s="139" t="s">
        <v>939</v>
      </c>
      <c r="H280" s="140" t="str">
        <f t="shared" si="109"/>
        <v>Niet van toepassing</v>
      </c>
      <c r="I280" s="138"/>
      <c r="J280" s="138" t="s">
        <v>1172</v>
      </c>
      <c r="K280" s="141" t="str">
        <f t="shared" si="110"/>
        <v>NVT</v>
      </c>
      <c r="L280" s="141" t="str">
        <f t="shared" si="111"/>
        <v>NVT</v>
      </c>
      <c r="M280" s="141" t="str">
        <f t="shared" si="112"/>
        <v>NVT</v>
      </c>
      <c r="N280" s="141" t="str">
        <f t="shared" si="113"/>
        <v>NVT</v>
      </c>
      <c r="O280" s="141" t="str">
        <f t="shared" si="114"/>
        <v>NVT</v>
      </c>
      <c r="P280" s="141" t="str">
        <f t="shared" si="115"/>
        <v>NVT</v>
      </c>
      <c r="Q280" s="141" t="str">
        <f t="shared" si="116"/>
        <v>NVT</v>
      </c>
      <c r="R280" s="63" t="s">
        <v>1221</v>
      </c>
      <c r="S280" s="142">
        <f t="shared" si="124"/>
        <v>0</v>
      </c>
      <c r="T280" s="143">
        <v>0</v>
      </c>
      <c r="U280" s="144"/>
      <c r="V280" s="144"/>
      <c r="W280" s="144"/>
      <c r="X280" s="144"/>
      <c r="Y280" s="144"/>
      <c r="Z280" s="145"/>
      <c r="AA280" s="145"/>
      <c r="AB280" s="145"/>
      <c r="AC280" s="145"/>
      <c r="AD280" s="146" t="s">
        <v>941</v>
      </c>
      <c r="AE280" s="171">
        <v>1</v>
      </c>
      <c r="AF280" s="147">
        <f t="shared" si="117"/>
        <v>0</v>
      </c>
      <c r="AG280" s="147">
        <f t="shared" si="118"/>
        <v>0</v>
      </c>
      <c r="AH280" s="147">
        <f t="shared" si="119"/>
        <v>0</v>
      </c>
      <c r="AI280" s="147">
        <f t="shared" si="120"/>
        <v>0</v>
      </c>
      <c r="AJ280" s="148">
        <f t="shared" si="121"/>
        <v>0</v>
      </c>
      <c r="AK280" s="149">
        <f t="shared" si="104"/>
        <v>0</v>
      </c>
      <c r="AL280" s="149">
        <f t="shared" si="105"/>
        <v>0</v>
      </c>
      <c r="AM280" s="149">
        <f t="shared" si="106"/>
        <v>0</v>
      </c>
      <c r="AN280" s="149">
        <f t="shared" si="107"/>
        <v>0</v>
      </c>
      <c r="AO280" s="150">
        <f t="shared" si="122"/>
        <v>0</v>
      </c>
      <c r="AQ280" s="151">
        <f t="shared" si="123"/>
        <v>0</v>
      </c>
    </row>
    <row r="281" spans="1:43" ht="15" customHeight="1">
      <c r="A281" s="82" t="e">
        <f t="shared" si="108"/>
        <v>#REF!</v>
      </c>
      <c r="B281" s="134">
        <v>104</v>
      </c>
      <c r="C281" s="135" t="s">
        <v>260</v>
      </c>
      <c r="D281" s="136" t="s">
        <v>274</v>
      </c>
      <c r="E281" s="137" t="s">
        <v>499</v>
      </c>
      <c r="F281" s="138" t="s">
        <v>500</v>
      </c>
      <c r="G281" s="139" t="s">
        <v>511</v>
      </c>
      <c r="H281" s="140" t="str">
        <f t="shared" si="109"/>
        <v>Niet van toepassing</v>
      </c>
      <c r="I281" s="138" t="s">
        <v>261</v>
      </c>
      <c r="J281" s="138" t="s">
        <v>1172</v>
      </c>
      <c r="K281" s="141" t="str">
        <f t="shared" si="110"/>
        <v>NVT</v>
      </c>
      <c r="L281" s="141" t="str">
        <f t="shared" si="111"/>
        <v>NVT</v>
      </c>
      <c r="M281" s="141" t="str">
        <f t="shared" si="112"/>
        <v>NVT</v>
      </c>
      <c r="N281" s="141" t="str">
        <f t="shared" si="113"/>
        <v>NVT</v>
      </c>
      <c r="O281" s="141" t="str">
        <f t="shared" si="114"/>
        <v>NVT</v>
      </c>
      <c r="P281" s="141" t="str">
        <f t="shared" si="115"/>
        <v>NVT</v>
      </c>
      <c r="Q281" s="141" t="str">
        <f t="shared" si="116"/>
        <v>NVT</v>
      </c>
      <c r="R281" s="63" t="s">
        <v>1221</v>
      </c>
      <c r="S281" s="142">
        <f t="shared" si="124"/>
        <v>0</v>
      </c>
      <c r="T281" s="143">
        <v>6.5</v>
      </c>
      <c r="U281" s="144"/>
      <c r="V281" s="144"/>
      <c r="W281" s="144">
        <v>31.372500000000002</v>
      </c>
      <c r="X281" s="144">
        <v>1</v>
      </c>
      <c r="Y281" s="144"/>
      <c r="Z281" s="145"/>
      <c r="AA281" s="145">
        <v>9</v>
      </c>
      <c r="AB281" s="145"/>
      <c r="AC281" s="145"/>
      <c r="AD281" s="146"/>
      <c r="AE281" s="171">
        <v>1</v>
      </c>
      <c r="AF281" s="147">
        <f t="shared" si="117"/>
        <v>0</v>
      </c>
      <c r="AG281" s="147">
        <f t="shared" si="118"/>
        <v>0</v>
      </c>
      <c r="AH281" s="147">
        <f t="shared" si="119"/>
        <v>0</v>
      </c>
      <c r="AI281" s="147">
        <f t="shared" si="120"/>
        <v>0</v>
      </c>
      <c r="AJ281" s="148">
        <f t="shared" si="121"/>
        <v>0</v>
      </c>
      <c r="AK281" s="149">
        <f t="shared" si="104"/>
        <v>0</v>
      </c>
      <c r="AL281" s="149">
        <f t="shared" si="105"/>
        <v>0</v>
      </c>
      <c r="AM281" s="149">
        <f t="shared" si="106"/>
        <v>0</v>
      </c>
      <c r="AN281" s="149">
        <f t="shared" si="107"/>
        <v>0</v>
      </c>
      <c r="AO281" s="150">
        <f t="shared" si="122"/>
        <v>0</v>
      </c>
      <c r="AQ281" s="151">
        <f t="shared" si="123"/>
        <v>0</v>
      </c>
    </row>
    <row r="282" spans="1:43" ht="15" customHeight="1">
      <c r="A282" s="82" t="e">
        <f t="shared" si="108"/>
        <v>#REF!</v>
      </c>
      <c r="B282" s="134">
        <v>104</v>
      </c>
      <c r="C282" s="135" t="s">
        <v>260</v>
      </c>
      <c r="D282" s="136" t="s">
        <v>274</v>
      </c>
      <c r="E282" s="137" t="s">
        <v>499</v>
      </c>
      <c r="F282" s="138" t="s">
        <v>262</v>
      </c>
      <c r="G282" s="139" t="s">
        <v>512</v>
      </c>
      <c r="H282" s="140" t="str">
        <f t="shared" si="109"/>
        <v>Niet van toepassing</v>
      </c>
      <c r="I282" s="138" t="s">
        <v>35</v>
      </c>
      <c r="J282" s="138" t="s">
        <v>1172</v>
      </c>
      <c r="K282" s="141" t="str">
        <f t="shared" si="110"/>
        <v>NVT</v>
      </c>
      <c r="L282" s="141" t="str">
        <f t="shared" si="111"/>
        <v>NVT</v>
      </c>
      <c r="M282" s="141" t="str">
        <f t="shared" si="112"/>
        <v>NVT</v>
      </c>
      <c r="N282" s="141" t="str">
        <f t="shared" si="113"/>
        <v>NVT</v>
      </c>
      <c r="O282" s="141" t="str">
        <f t="shared" si="114"/>
        <v>NVT</v>
      </c>
      <c r="P282" s="141" t="str">
        <f t="shared" si="115"/>
        <v>NVT</v>
      </c>
      <c r="Q282" s="141" t="str">
        <f t="shared" si="116"/>
        <v>NVT</v>
      </c>
      <c r="R282" s="63" t="s">
        <v>1221</v>
      </c>
      <c r="S282" s="142">
        <f t="shared" si="124"/>
        <v>0</v>
      </c>
      <c r="T282" s="143">
        <v>48</v>
      </c>
      <c r="U282" s="144"/>
      <c r="V282" s="144"/>
      <c r="W282" s="144">
        <v>151</v>
      </c>
      <c r="X282" s="144">
        <v>2</v>
      </c>
      <c r="Y282" s="144"/>
      <c r="Z282" s="145"/>
      <c r="AA282" s="145">
        <v>48</v>
      </c>
      <c r="AB282" s="145"/>
      <c r="AC282" s="145"/>
      <c r="AD282" s="146"/>
      <c r="AE282" s="171">
        <v>1</v>
      </c>
      <c r="AF282" s="147">
        <f t="shared" si="117"/>
        <v>0</v>
      </c>
      <c r="AG282" s="147">
        <f t="shared" si="118"/>
        <v>0</v>
      </c>
      <c r="AH282" s="147">
        <f t="shared" si="119"/>
        <v>0</v>
      </c>
      <c r="AI282" s="147">
        <f t="shared" si="120"/>
        <v>0</v>
      </c>
      <c r="AJ282" s="148">
        <f t="shared" si="121"/>
        <v>0</v>
      </c>
      <c r="AK282" s="149">
        <f t="shared" si="104"/>
        <v>0</v>
      </c>
      <c r="AL282" s="149">
        <f t="shared" si="105"/>
        <v>0</v>
      </c>
      <c r="AM282" s="149">
        <f t="shared" si="106"/>
        <v>0</v>
      </c>
      <c r="AN282" s="149">
        <f t="shared" si="107"/>
        <v>0</v>
      </c>
      <c r="AO282" s="150">
        <f t="shared" si="122"/>
        <v>0</v>
      </c>
      <c r="AQ282" s="151">
        <f t="shared" si="123"/>
        <v>0</v>
      </c>
    </row>
    <row r="283" spans="1:43" ht="15" customHeight="1">
      <c r="A283" s="82" t="e">
        <f t="shared" si="108"/>
        <v>#REF!</v>
      </c>
      <c r="B283" s="134">
        <v>104</v>
      </c>
      <c r="C283" s="135" t="s">
        <v>260</v>
      </c>
      <c r="D283" s="136" t="s">
        <v>274</v>
      </c>
      <c r="E283" s="137" t="s">
        <v>499</v>
      </c>
      <c r="F283" s="138" t="s">
        <v>501</v>
      </c>
      <c r="G283" s="139" t="s">
        <v>513</v>
      </c>
      <c r="H283" s="140" t="str">
        <f t="shared" si="109"/>
        <v>Niet van toepassing</v>
      </c>
      <c r="I283" s="138" t="s">
        <v>261</v>
      </c>
      <c r="J283" s="138" t="s">
        <v>1172</v>
      </c>
      <c r="K283" s="141" t="str">
        <f t="shared" si="110"/>
        <v>NVT</v>
      </c>
      <c r="L283" s="141" t="str">
        <f t="shared" si="111"/>
        <v>NVT</v>
      </c>
      <c r="M283" s="141" t="str">
        <f t="shared" si="112"/>
        <v>NVT</v>
      </c>
      <c r="N283" s="141" t="str">
        <f t="shared" si="113"/>
        <v>NVT</v>
      </c>
      <c r="O283" s="141" t="str">
        <f t="shared" si="114"/>
        <v>NVT</v>
      </c>
      <c r="P283" s="141" t="str">
        <f t="shared" si="115"/>
        <v>NVT</v>
      </c>
      <c r="Q283" s="141" t="str">
        <f t="shared" si="116"/>
        <v>NVT</v>
      </c>
      <c r="R283" s="63" t="s">
        <v>1221</v>
      </c>
      <c r="S283" s="142">
        <f t="shared" si="124"/>
        <v>0</v>
      </c>
      <c r="T283" s="143">
        <v>14</v>
      </c>
      <c r="U283" s="144"/>
      <c r="V283" s="144"/>
      <c r="W283" s="144">
        <v>28</v>
      </c>
      <c r="X283" s="144"/>
      <c r="Y283" s="144"/>
      <c r="Z283" s="145"/>
      <c r="AA283" s="145"/>
      <c r="AB283" s="145"/>
      <c r="AC283" s="145"/>
      <c r="AD283" s="146" t="s">
        <v>527</v>
      </c>
      <c r="AE283" s="171">
        <v>1</v>
      </c>
      <c r="AF283" s="147">
        <f t="shared" si="117"/>
        <v>0</v>
      </c>
      <c r="AG283" s="147">
        <f t="shared" si="118"/>
        <v>0</v>
      </c>
      <c r="AH283" s="147">
        <f t="shared" si="119"/>
        <v>0</v>
      </c>
      <c r="AI283" s="147">
        <f t="shared" si="120"/>
        <v>0</v>
      </c>
      <c r="AJ283" s="148">
        <f t="shared" si="121"/>
        <v>0</v>
      </c>
      <c r="AK283" s="149">
        <f t="shared" si="104"/>
        <v>0</v>
      </c>
      <c r="AL283" s="149">
        <f t="shared" si="105"/>
        <v>0</v>
      </c>
      <c r="AM283" s="149">
        <f t="shared" si="106"/>
        <v>0</v>
      </c>
      <c r="AN283" s="149">
        <f t="shared" si="107"/>
        <v>0</v>
      </c>
      <c r="AO283" s="150">
        <f t="shared" si="122"/>
        <v>0</v>
      </c>
      <c r="AQ283" s="151">
        <f t="shared" si="123"/>
        <v>0</v>
      </c>
    </row>
    <row r="284" spans="1:43" ht="15" customHeight="1">
      <c r="A284" s="82" t="e">
        <f t="shared" si="108"/>
        <v>#REF!</v>
      </c>
      <c r="B284" s="134">
        <v>104</v>
      </c>
      <c r="C284" s="135" t="s">
        <v>260</v>
      </c>
      <c r="D284" s="136" t="s">
        <v>274</v>
      </c>
      <c r="E284" s="137" t="s">
        <v>499</v>
      </c>
      <c r="F284" s="138" t="s">
        <v>502</v>
      </c>
      <c r="G284" s="139" t="s">
        <v>514</v>
      </c>
      <c r="H284" s="140" t="str">
        <f t="shared" si="109"/>
        <v>Niet van toepassing</v>
      </c>
      <c r="I284" s="138" t="s">
        <v>261</v>
      </c>
      <c r="J284" s="138" t="s">
        <v>1172</v>
      </c>
      <c r="K284" s="141" t="str">
        <f t="shared" si="110"/>
        <v>NVT</v>
      </c>
      <c r="L284" s="141" t="str">
        <f t="shared" si="111"/>
        <v>NVT</v>
      </c>
      <c r="M284" s="141" t="str">
        <f t="shared" si="112"/>
        <v>NVT</v>
      </c>
      <c r="N284" s="141" t="str">
        <f t="shared" si="113"/>
        <v>NVT</v>
      </c>
      <c r="O284" s="141" t="str">
        <f t="shared" si="114"/>
        <v>NVT</v>
      </c>
      <c r="P284" s="141" t="str">
        <f t="shared" si="115"/>
        <v>NVT</v>
      </c>
      <c r="Q284" s="141" t="str">
        <f t="shared" si="116"/>
        <v>NVT</v>
      </c>
      <c r="R284" s="63" t="s">
        <v>1221</v>
      </c>
      <c r="S284" s="142">
        <f t="shared" si="124"/>
        <v>0</v>
      </c>
      <c r="T284" s="143">
        <v>5.8</v>
      </c>
      <c r="U284" s="144"/>
      <c r="V284" s="144"/>
      <c r="W284" s="144">
        <v>28.795000000000002</v>
      </c>
      <c r="X284" s="144">
        <v>1</v>
      </c>
      <c r="Y284" s="144"/>
      <c r="Z284" s="145"/>
      <c r="AA284" s="145">
        <v>8</v>
      </c>
      <c r="AB284" s="145"/>
      <c r="AC284" s="145"/>
      <c r="AD284" s="146"/>
      <c r="AE284" s="171">
        <v>1</v>
      </c>
      <c r="AF284" s="147">
        <f t="shared" si="117"/>
        <v>0</v>
      </c>
      <c r="AG284" s="147">
        <f t="shared" si="118"/>
        <v>0</v>
      </c>
      <c r="AH284" s="147">
        <f t="shared" si="119"/>
        <v>0</v>
      </c>
      <c r="AI284" s="147">
        <f t="shared" si="120"/>
        <v>0</v>
      </c>
      <c r="AJ284" s="148">
        <f t="shared" si="121"/>
        <v>0</v>
      </c>
      <c r="AK284" s="149">
        <f t="shared" si="104"/>
        <v>0</v>
      </c>
      <c r="AL284" s="149">
        <f t="shared" si="105"/>
        <v>0</v>
      </c>
      <c r="AM284" s="149">
        <f t="shared" si="106"/>
        <v>0</v>
      </c>
      <c r="AN284" s="149">
        <f t="shared" si="107"/>
        <v>0</v>
      </c>
      <c r="AO284" s="150">
        <f t="shared" si="122"/>
        <v>0</v>
      </c>
      <c r="AQ284" s="151">
        <f t="shared" si="123"/>
        <v>0</v>
      </c>
    </row>
    <row r="285" spans="1:43" ht="15" customHeight="1">
      <c r="A285" s="82" t="e">
        <f t="shared" si="108"/>
        <v>#REF!</v>
      </c>
      <c r="B285" s="134">
        <v>104</v>
      </c>
      <c r="C285" s="135" t="s">
        <v>260</v>
      </c>
      <c r="D285" s="136" t="s">
        <v>274</v>
      </c>
      <c r="E285" s="137" t="s">
        <v>499</v>
      </c>
      <c r="F285" s="138" t="s">
        <v>503</v>
      </c>
      <c r="G285" s="139" t="s">
        <v>515</v>
      </c>
      <c r="H285" s="140" t="str">
        <f t="shared" si="109"/>
        <v>Niet van toepassing</v>
      </c>
      <c r="I285" s="138" t="s">
        <v>35</v>
      </c>
      <c r="J285" s="138" t="s">
        <v>1172</v>
      </c>
      <c r="K285" s="141" t="str">
        <f t="shared" si="110"/>
        <v>NVT</v>
      </c>
      <c r="L285" s="141" t="str">
        <f t="shared" si="111"/>
        <v>NVT</v>
      </c>
      <c r="M285" s="141" t="str">
        <f t="shared" si="112"/>
        <v>NVT</v>
      </c>
      <c r="N285" s="141" t="str">
        <f t="shared" si="113"/>
        <v>NVT</v>
      </c>
      <c r="O285" s="141" t="str">
        <f t="shared" si="114"/>
        <v>NVT</v>
      </c>
      <c r="P285" s="141" t="str">
        <f t="shared" si="115"/>
        <v>NVT</v>
      </c>
      <c r="Q285" s="141" t="str">
        <f t="shared" si="116"/>
        <v>NVT</v>
      </c>
      <c r="R285" s="63" t="s">
        <v>1221</v>
      </c>
      <c r="S285" s="142">
        <f t="shared" si="124"/>
        <v>0</v>
      </c>
      <c r="T285" s="143">
        <v>5.2</v>
      </c>
      <c r="U285" s="144"/>
      <c r="V285" s="144"/>
      <c r="W285" s="144">
        <v>22.6</v>
      </c>
      <c r="X285" s="144"/>
      <c r="Y285" s="144"/>
      <c r="Z285" s="145"/>
      <c r="AA285" s="145">
        <v>5</v>
      </c>
      <c r="AB285" s="145"/>
      <c r="AC285" s="145"/>
      <c r="AD285" s="146"/>
      <c r="AE285" s="171">
        <v>1</v>
      </c>
      <c r="AF285" s="147">
        <f t="shared" si="117"/>
        <v>0</v>
      </c>
      <c r="AG285" s="147">
        <f t="shared" si="118"/>
        <v>0</v>
      </c>
      <c r="AH285" s="147">
        <f t="shared" si="119"/>
        <v>0</v>
      </c>
      <c r="AI285" s="147">
        <f t="shared" si="120"/>
        <v>0</v>
      </c>
      <c r="AJ285" s="148">
        <f t="shared" si="121"/>
        <v>0</v>
      </c>
      <c r="AK285" s="149">
        <f t="shared" si="104"/>
        <v>0</v>
      </c>
      <c r="AL285" s="149">
        <f t="shared" si="105"/>
        <v>0</v>
      </c>
      <c r="AM285" s="149">
        <f t="shared" si="106"/>
        <v>0</v>
      </c>
      <c r="AN285" s="149">
        <f t="shared" si="107"/>
        <v>0</v>
      </c>
      <c r="AO285" s="150">
        <f t="shared" si="122"/>
        <v>0</v>
      </c>
      <c r="AQ285" s="151">
        <f t="shared" si="123"/>
        <v>0</v>
      </c>
    </row>
    <row r="286" spans="1:43" ht="15" customHeight="1">
      <c r="A286" s="82" t="e">
        <f t="shared" si="108"/>
        <v>#REF!</v>
      </c>
      <c r="B286" s="134">
        <v>104</v>
      </c>
      <c r="C286" s="135" t="s">
        <v>260</v>
      </c>
      <c r="D286" s="136" t="s">
        <v>274</v>
      </c>
      <c r="E286" s="137" t="s">
        <v>499</v>
      </c>
      <c r="F286" s="138" t="s">
        <v>504</v>
      </c>
      <c r="G286" s="139" t="s">
        <v>516</v>
      </c>
      <c r="H286" s="140" t="str">
        <f t="shared" si="109"/>
        <v>Niet van toepassing</v>
      </c>
      <c r="I286" s="138" t="s">
        <v>35</v>
      </c>
      <c r="J286" s="138" t="s">
        <v>1172</v>
      </c>
      <c r="K286" s="141" t="str">
        <f t="shared" si="110"/>
        <v>NVT</v>
      </c>
      <c r="L286" s="141" t="str">
        <f t="shared" si="111"/>
        <v>NVT</v>
      </c>
      <c r="M286" s="141" t="str">
        <f t="shared" si="112"/>
        <v>NVT</v>
      </c>
      <c r="N286" s="141" t="str">
        <f t="shared" si="113"/>
        <v>NVT</v>
      </c>
      <c r="O286" s="141" t="str">
        <f t="shared" si="114"/>
        <v>NVT</v>
      </c>
      <c r="P286" s="141" t="str">
        <f t="shared" si="115"/>
        <v>NVT</v>
      </c>
      <c r="Q286" s="141" t="str">
        <f t="shared" si="116"/>
        <v>NVT</v>
      </c>
      <c r="R286" s="63" t="s">
        <v>1221</v>
      </c>
      <c r="S286" s="142">
        <f t="shared" si="124"/>
        <v>0</v>
      </c>
      <c r="T286" s="143">
        <v>10.199999999999999</v>
      </c>
      <c r="U286" s="144"/>
      <c r="V286" s="144"/>
      <c r="W286" s="144">
        <v>22</v>
      </c>
      <c r="X286" s="144"/>
      <c r="Y286" s="144"/>
      <c r="Z286" s="145"/>
      <c r="AA286" s="145">
        <v>10</v>
      </c>
      <c r="AB286" s="145"/>
      <c r="AC286" s="145"/>
      <c r="AD286" s="146"/>
      <c r="AE286" s="171">
        <v>1</v>
      </c>
      <c r="AF286" s="147">
        <f t="shared" si="117"/>
        <v>0</v>
      </c>
      <c r="AG286" s="147">
        <f t="shared" si="118"/>
        <v>0</v>
      </c>
      <c r="AH286" s="147">
        <f t="shared" si="119"/>
        <v>0</v>
      </c>
      <c r="AI286" s="147">
        <f t="shared" si="120"/>
        <v>0</v>
      </c>
      <c r="AJ286" s="148">
        <f t="shared" si="121"/>
        <v>0</v>
      </c>
      <c r="AK286" s="149">
        <f t="shared" si="104"/>
        <v>0</v>
      </c>
      <c r="AL286" s="149">
        <f t="shared" si="105"/>
        <v>0</v>
      </c>
      <c r="AM286" s="149">
        <f t="shared" si="106"/>
        <v>0</v>
      </c>
      <c r="AN286" s="149">
        <f t="shared" si="107"/>
        <v>0</v>
      </c>
      <c r="AO286" s="150">
        <f t="shared" si="122"/>
        <v>0</v>
      </c>
      <c r="AQ286" s="151">
        <f t="shared" si="123"/>
        <v>0</v>
      </c>
    </row>
    <row r="287" spans="1:43" ht="15" customHeight="1">
      <c r="A287" s="82" t="e">
        <f t="shared" si="108"/>
        <v>#REF!</v>
      </c>
      <c r="B287" s="134">
        <v>104</v>
      </c>
      <c r="C287" s="135" t="s">
        <v>260</v>
      </c>
      <c r="D287" s="136" t="s">
        <v>274</v>
      </c>
      <c r="E287" s="137" t="s">
        <v>499</v>
      </c>
      <c r="F287" s="138" t="s">
        <v>503</v>
      </c>
      <c r="G287" s="139" t="s">
        <v>517</v>
      </c>
      <c r="H287" s="140" t="str">
        <f t="shared" si="109"/>
        <v>Niet van toepassing</v>
      </c>
      <c r="I287" s="138" t="s">
        <v>35</v>
      </c>
      <c r="J287" s="138" t="s">
        <v>1172</v>
      </c>
      <c r="K287" s="141" t="str">
        <f t="shared" si="110"/>
        <v>NVT</v>
      </c>
      <c r="L287" s="141" t="str">
        <f t="shared" si="111"/>
        <v>NVT</v>
      </c>
      <c r="M287" s="141" t="str">
        <f t="shared" si="112"/>
        <v>NVT</v>
      </c>
      <c r="N287" s="141" t="str">
        <f t="shared" si="113"/>
        <v>NVT</v>
      </c>
      <c r="O287" s="141" t="str">
        <f t="shared" si="114"/>
        <v>NVT</v>
      </c>
      <c r="P287" s="141" t="str">
        <f t="shared" si="115"/>
        <v>NVT</v>
      </c>
      <c r="Q287" s="141" t="str">
        <f t="shared" si="116"/>
        <v>NVT</v>
      </c>
      <c r="R287" s="63" t="s">
        <v>1221</v>
      </c>
      <c r="S287" s="142">
        <f t="shared" si="124"/>
        <v>0</v>
      </c>
      <c r="T287" s="143">
        <v>4.2250000000000005</v>
      </c>
      <c r="U287" s="144"/>
      <c r="V287" s="144"/>
      <c r="W287" s="144">
        <v>20.799999999999997</v>
      </c>
      <c r="X287" s="144"/>
      <c r="Y287" s="144"/>
      <c r="Z287" s="145"/>
      <c r="AA287" s="145">
        <v>4</v>
      </c>
      <c r="AB287" s="145"/>
      <c r="AC287" s="145"/>
      <c r="AD287" s="146"/>
      <c r="AE287" s="171">
        <v>1</v>
      </c>
      <c r="AF287" s="147">
        <f t="shared" si="117"/>
        <v>0</v>
      </c>
      <c r="AG287" s="147">
        <f t="shared" si="118"/>
        <v>0</v>
      </c>
      <c r="AH287" s="147">
        <f t="shared" si="119"/>
        <v>0</v>
      </c>
      <c r="AI287" s="147">
        <f t="shared" si="120"/>
        <v>0</v>
      </c>
      <c r="AJ287" s="148">
        <f t="shared" si="121"/>
        <v>0</v>
      </c>
      <c r="AK287" s="149">
        <f t="shared" si="104"/>
        <v>0</v>
      </c>
      <c r="AL287" s="149">
        <f t="shared" si="105"/>
        <v>0</v>
      </c>
      <c r="AM287" s="149">
        <f t="shared" si="106"/>
        <v>0</v>
      </c>
      <c r="AN287" s="149">
        <f t="shared" si="107"/>
        <v>0</v>
      </c>
      <c r="AO287" s="150">
        <f t="shared" si="122"/>
        <v>0</v>
      </c>
      <c r="AQ287" s="151">
        <f t="shared" si="123"/>
        <v>0</v>
      </c>
    </row>
    <row r="288" spans="1:43" ht="15" customHeight="1">
      <c r="A288" s="82" t="e">
        <f t="shared" si="108"/>
        <v>#REF!</v>
      </c>
      <c r="B288" s="134">
        <v>104</v>
      </c>
      <c r="C288" s="135" t="s">
        <v>260</v>
      </c>
      <c r="D288" s="136" t="s">
        <v>274</v>
      </c>
      <c r="E288" s="137" t="s">
        <v>499</v>
      </c>
      <c r="F288" s="138" t="s">
        <v>505</v>
      </c>
      <c r="G288" s="139" t="s">
        <v>518</v>
      </c>
      <c r="H288" s="140" t="str">
        <f t="shared" si="109"/>
        <v>Niet van toepassing</v>
      </c>
      <c r="I288" s="138" t="s">
        <v>35</v>
      </c>
      <c r="J288" s="138" t="s">
        <v>1172</v>
      </c>
      <c r="K288" s="141" t="str">
        <f t="shared" si="110"/>
        <v>NVT</v>
      </c>
      <c r="L288" s="141" t="str">
        <f t="shared" si="111"/>
        <v>NVT</v>
      </c>
      <c r="M288" s="141" t="str">
        <f t="shared" si="112"/>
        <v>NVT</v>
      </c>
      <c r="N288" s="141" t="str">
        <f t="shared" si="113"/>
        <v>NVT</v>
      </c>
      <c r="O288" s="141" t="str">
        <f t="shared" si="114"/>
        <v>NVT</v>
      </c>
      <c r="P288" s="141" t="str">
        <f t="shared" si="115"/>
        <v>NVT</v>
      </c>
      <c r="Q288" s="141" t="str">
        <f t="shared" si="116"/>
        <v>NVT</v>
      </c>
      <c r="R288" s="63" t="s">
        <v>1221</v>
      </c>
      <c r="S288" s="142">
        <f t="shared" si="124"/>
        <v>0</v>
      </c>
      <c r="T288" s="143">
        <v>7.5</v>
      </c>
      <c r="U288" s="144"/>
      <c r="V288" s="144"/>
      <c r="W288" s="144">
        <v>19</v>
      </c>
      <c r="X288" s="144"/>
      <c r="Y288" s="144"/>
      <c r="Z288" s="145"/>
      <c r="AA288" s="145">
        <v>8</v>
      </c>
      <c r="AB288" s="145"/>
      <c r="AC288" s="145"/>
      <c r="AD288" s="146"/>
      <c r="AE288" s="171">
        <v>1</v>
      </c>
      <c r="AF288" s="147">
        <f t="shared" si="117"/>
        <v>0</v>
      </c>
      <c r="AG288" s="147">
        <f t="shared" si="118"/>
        <v>0</v>
      </c>
      <c r="AH288" s="147">
        <f t="shared" si="119"/>
        <v>0</v>
      </c>
      <c r="AI288" s="147">
        <f t="shared" si="120"/>
        <v>0</v>
      </c>
      <c r="AJ288" s="148">
        <f t="shared" si="121"/>
        <v>0</v>
      </c>
      <c r="AK288" s="149">
        <f t="shared" si="104"/>
        <v>0</v>
      </c>
      <c r="AL288" s="149">
        <f t="shared" si="105"/>
        <v>0</v>
      </c>
      <c r="AM288" s="149">
        <f t="shared" si="106"/>
        <v>0</v>
      </c>
      <c r="AN288" s="149">
        <f t="shared" si="107"/>
        <v>0</v>
      </c>
      <c r="AO288" s="150">
        <f t="shared" si="122"/>
        <v>0</v>
      </c>
      <c r="AQ288" s="151">
        <f t="shared" si="123"/>
        <v>0</v>
      </c>
    </row>
    <row r="289" spans="1:43" ht="15" customHeight="1">
      <c r="A289" s="82" t="e">
        <f t="shared" si="108"/>
        <v>#REF!</v>
      </c>
      <c r="B289" s="134">
        <v>104</v>
      </c>
      <c r="C289" s="135" t="s">
        <v>260</v>
      </c>
      <c r="D289" s="136" t="s">
        <v>274</v>
      </c>
      <c r="E289" s="137" t="s">
        <v>499</v>
      </c>
      <c r="F289" s="138" t="s">
        <v>505</v>
      </c>
      <c r="G289" s="139" t="s">
        <v>519</v>
      </c>
      <c r="H289" s="140" t="str">
        <f t="shared" si="109"/>
        <v>Niet van toepassing</v>
      </c>
      <c r="I289" s="138" t="s">
        <v>35</v>
      </c>
      <c r="J289" s="138" t="s">
        <v>1172</v>
      </c>
      <c r="K289" s="141" t="str">
        <f t="shared" si="110"/>
        <v>NVT</v>
      </c>
      <c r="L289" s="141" t="str">
        <f t="shared" si="111"/>
        <v>NVT</v>
      </c>
      <c r="M289" s="141" t="str">
        <f t="shared" si="112"/>
        <v>NVT</v>
      </c>
      <c r="N289" s="141" t="str">
        <f t="shared" si="113"/>
        <v>NVT</v>
      </c>
      <c r="O289" s="141" t="str">
        <f t="shared" si="114"/>
        <v>NVT</v>
      </c>
      <c r="P289" s="141" t="str">
        <f t="shared" si="115"/>
        <v>NVT</v>
      </c>
      <c r="Q289" s="141" t="str">
        <f t="shared" si="116"/>
        <v>NVT</v>
      </c>
      <c r="R289" s="63" t="s">
        <v>1221</v>
      </c>
      <c r="S289" s="142">
        <f t="shared" si="124"/>
        <v>0</v>
      </c>
      <c r="T289" s="143">
        <v>30</v>
      </c>
      <c r="U289" s="144"/>
      <c r="V289" s="144"/>
      <c r="W289" s="144">
        <v>70</v>
      </c>
      <c r="X289" s="144"/>
      <c r="Y289" s="144"/>
      <c r="Z289" s="145"/>
      <c r="AA289" s="145">
        <v>25</v>
      </c>
      <c r="AB289" s="145"/>
      <c r="AC289" s="145"/>
      <c r="AD289" s="146"/>
      <c r="AE289" s="171">
        <v>1</v>
      </c>
      <c r="AF289" s="147">
        <f t="shared" si="117"/>
        <v>0</v>
      </c>
      <c r="AG289" s="147">
        <f t="shared" si="118"/>
        <v>0</v>
      </c>
      <c r="AH289" s="147">
        <f t="shared" si="119"/>
        <v>0</v>
      </c>
      <c r="AI289" s="147">
        <f t="shared" si="120"/>
        <v>0</v>
      </c>
      <c r="AJ289" s="148">
        <f t="shared" si="121"/>
        <v>0</v>
      </c>
      <c r="AK289" s="149">
        <f t="shared" si="104"/>
        <v>0</v>
      </c>
      <c r="AL289" s="149">
        <f t="shared" si="105"/>
        <v>0</v>
      </c>
      <c r="AM289" s="149">
        <f t="shared" si="106"/>
        <v>0</v>
      </c>
      <c r="AN289" s="149">
        <f t="shared" si="107"/>
        <v>0</v>
      </c>
      <c r="AO289" s="150">
        <f t="shared" si="122"/>
        <v>0</v>
      </c>
      <c r="AQ289" s="151">
        <f t="shared" si="123"/>
        <v>0</v>
      </c>
    </row>
    <row r="290" spans="1:43" ht="15" customHeight="1">
      <c r="A290" s="82" t="e">
        <f t="shared" si="108"/>
        <v>#REF!</v>
      </c>
      <c r="B290" s="134">
        <v>104</v>
      </c>
      <c r="C290" s="135" t="s">
        <v>260</v>
      </c>
      <c r="D290" s="136" t="s">
        <v>274</v>
      </c>
      <c r="E290" s="137" t="s">
        <v>499</v>
      </c>
      <c r="F290" s="138" t="s">
        <v>263</v>
      </c>
      <c r="G290" s="139" t="s">
        <v>520</v>
      </c>
      <c r="H290" s="140" t="str">
        <f t="shared" si="109"/>
        <v>Niet van toepassing</v>
      </c>
      <c r="I290" s="138" t="s">
        <v>82</v>
      </c>
      <c r="J290" s="138" t="s">
        <v>1172</v>
      </c>
      <c r="K290" s="141" t="str">
        <f t="shared" si="110"/>
        <v>NVT</v>
      </c>
      <c r="L290" s="141" t="str">
        <f t="shared" si="111"/>
        <v>NVT</v>
      </c>
      <c r="M290" s="141" t="str">
        <f t="shared" si="112"/>
        <v>NVT</v>
      </c>
      <c r="N290" s="141" t="str">
        <f t="shared" si="113"/>
        <v>NVT</v>
      </c>
      <c r="O290" s="141" t="str">
        <f t="shared" si="114"/>
        <v>NVT</v>
      </c>
      <c r="P290" s="141" t="str">
        <f t="shared" si="115"/>
        <v>NVT</v>
      </c>
      <c r="Q290" s="141" t="str">
        <f t="shared" si="116"/>
        <v>NVT</v>
      </c>
      <c r="R290" s="63" t="s">
        <v>1221</v>
      </c>
      <c r="S290" s="142">
        <f t="shared" si="124"/>
        <v>0</v>
      </c>
      <c r="T290" s="143">
        <v>52</v>
      </c>
      <c r="U290" s="144"/>
      <c r="V290" s="144"/>
      <c r="W290" s="144"/>
      <c r="X290" s="144"/>
      <c r="Y290" s="144">
        <v>158</v>
      </c>
      <c r="Z290" s="145"/>
      <c r="AA290" s="145"/>
      <c r="AB290" s="145">
        <v>20</v>
      </c>
      <c r="AC290" s="145"/>
      <c r="AD290" s="146"/>
      <c r="AE290" s="171">
        <v>1</v>
      </c>
      <c r="AF290" s="147">
        <f t="shared" si="117"/>
        <v>0</v>
      </c>
      <c r="AG290" s="147">
        <f t="shared" si="118"/>
        <v>0</v>
      </c>
      <c r="AH290" s="147">
        <f t="shared" si="119"/>
        <v>0</v>
      </c>
      <c r="AI290" s="147">
        <f t="shared" si="120"/>
        <v>0</v>
      </c>
      <c r="AJ290" s="148">
        <f t="shared" si="121"/>
        <v>0</v>
      </c>
      <c r="AK290" s="149">
        <f t="shared" si="104"/>
        <v>0</v>
      </c>
      <c r="AL290" s="149">
        <f t="shared" si="105"/>
        <v>0</v>
      </c>
      <c r="AM290" s="149">
        <f t="shared" si="106"/>
        <v>0</v>
      </c>
      <c r="AN290" s="149">
        <f t="shared" si="107"/>
        <v>0</v>
      </c>
      <c r="AO290" s="150">
        <f t="shared" si="122"/>
        <v>0</v>
      </c>
      <c r="AQ290" s="151">
        <f t="shared" si="123"/>
        <v>0</v>
      </c>
    </row>
    <row r="291" spans="1:43" ht="15" customHeight="1">
      <c r="A291" s="82" t="e">
        <f t="shared" si="108"/>
        <v>#REF!</v>
      </c>
      <c r="B291" s="134">
        <v>104</v>
      </c>
      <c r="C291" s="135" t="s">
        <v>260</v>
      </c>
      <c r="D291" s="136" t="s">
        <v>274</v>
      </c>
      <c r="E291" s="137" t="s">
        <v>499</v>
      </c>
      <c r="F291" s="138" t="s">
        <v>506</v>
      </c>
      <c r="G291" s="139" t="s">
        <v>521</v>
      </c>
      <c r="H291" s="140" t="str">
        <f t="shared" si="109"/>
        <v>Niet van toepassing</v>
      </c>
      <c r="I291" s="138" t="s">
        <v>195</v>
      </c>
      <c r="J291" s="138" t="s">
        <v>1172</v>
      </c>
      <c r="K291" s="141" t="str">
        <f t="shared" si="110"/>
        <v>NVT</v>
      </c>
      <c r="L291" s="141" t="str">
        <f t="shared" si="111"/>
        <v>NVT</v>
      </c>
      <c r="M291" s="141" t="str">
        <f t="shared" si="112"/>
        <v>NVT</v>
      </c>
      <c r="N291" s="141" t="str">
        <f t="shared" si="113"/>
        <v>NVT</v>
      </c>
      <c r="O291" s="141" t="str">
        <f t="shared" si="114"/>
        <v>NVT</v>
      </c>
      <c r="P291" s="141" t="str">
        <f t="shared" si="115"/>
        <v>NVT</v>
      </c>
      <c r="Q291" s="141" t="str">
        <f t="shared" si="116"/>
        <v>NVT</v>
      </c>
      <c r="R291" s="63" t="s">
        <v>1221</v>
      </c>
      <c r="S291" s="142">
        <f t="shared" si="124"/>
        <v>0</v>
      </c>
      <c r="T291" s="143">
        <v>94</v>
      </c>
      <c r="U291" s="144"/>
      <c r="V291" s="144"/>
      <c r="W291" s="144"/>
      <c r="X291" s="144"/>
      <c r="Y291" s="144"/>
      <c r="Z291" s="145"/>
      <c r="AA291" s="145"/>
      <c r="AB291" s="145"/>
      <c r="AC291" s="145"/>
      <c r="AD291" s="146" t="s">
        <v>528</v>
      </c>
      <c r="AE291" s="171">
        <v>1</v>
      </c>
      <c r="AF291" s="147">
        <f t="shared" si="117"/>
        <v>0</v>
      </c>
      <c r="AG291" s="147">
        <f t="shared" si="118"/>
        <v>0</v>
      </c>
      <c r="AH291" s="147">
        <f t="shared" si="119"/>
        <v>0</v>
      </c>
      <c r="AI291" s="147">
        <f t="shared" si="120"/>
        <v>0</v>
      </c>
      <c r="AJ291" s="148">
        <f t="shared" si="121"/>
        <v>0</v>
      </c>
      <c r="AK291" s="149">
        <f t="shared" si="104"/>
        <v>0</v>
      </c>
      <c r="AL291" s="149">
        <f t="shared" si="105"/>
        <v>0</v>
      </c>
      <c r="AM291" s="149">
        <f t="shared" si="106"/>
        <v>0</v>
      </c>
      <c r="AN291" s="149">
        <f t="shared" si="107"/>
        <v>0</v>
      </c>
      <c r="AO291" s="150">
        <f t="shared" si="122"/>
        <v>0</v>
      </c>
      <c r="AQ291" s="151">
        <f t="shared" si="123"/>
        <v>0</v>
      </c>
    </row>
    <row r="292" spans="1:43" ht="15" customHeight="1">
      <c r="A292" s="82" t="e">
        <f t="shared" si="108"/>
        <v>#REF!</v>
      </c>
      <c r="B292" s="134">
        <v>104</v>
      </c>
      <c r="C292" s="135" t="s">
        <v>260</v>
      </c>
      <c r="D292" s="136" t="s">
        <v>274</v>
      </c>
      <c r="E292" s="137" t="s">
        <v>499</v>
      </c>
      <c r="F292" s="138" t="s">
        <v>506</v>
      </c>
      <c r="G292" s="139" t="s">
        <v>522</v>
      </c>
      <c r="H292" s="140" t="str">
        <f t="shared" si="109"/>
        <v>Niet van toepassing</v>
      </c>
      <c r="I292" s="138" t="s">
        <v>195</v>
      </c>
      <c r="J292" s="138" t="s">
        <v>1172</v>
      </c>
      <c r="K292" s="141" t="str">
        <f t="shared" si="110"/>
        <v>NVT</v>
      </c>
      <c r="L292" s="141" t="str">
        <f t="shared" si="111"/>
        <v>NVT</v>
      </c>
      <c r="M292" s="141" t="str">
        <f t="shared" si="112"/>
        <v>NVT</v>
      </c>
      <c r="N292" s="141" t="str">
        <f t="shared" si="113"/>
        <v>NVT</v>
      </c>
      <c r="O292" s="141" t="str">
        <f t="shared" si="114"/>
        <v>NVT</v>
      </c>
      <c r="P292" s="141" t="str">
        <f t="shared" si="115"/>
        <v>NVT</v>
      </c>
      <c r="Q292" s="141" t="str">
        <f t="shared" si="116"/>
        <v>NVT</v>
      </c>
      <c r="R292" s="63" t="s">
        <v>1221</v>
      </c>
      <c r="S292" s="142">
        <f t="shared" si="124"/>
        <v>0</v>
      </c>
      <c r="T292" s="143">
        <v>71</v>
      </c>
      <c r="U292" s="144"/>
      <c r="V292" s="144"/>
      <c r="W292" s="144"/>
      <c r="X292" s="144"/>
      <c r="Y292" s="144"/>
      <c r="Z292" s="145"/>
      <c r="AA292" s="145"/>
      <c r="AB292" s="145"/>
      <c r="AC292" s="145"/>
      <c r="AD292" s="146" t="s">
        <v>528</v>
      </c>
      <c r="AE292" s="171">
        <v>1</v>
      </c>
      <c r="AF292" s="147">
        <f t="shared" si="117"/>
        <v>0</v>
      </c>
      <c r="AG292" s="147">
        <f t="shared" si="118"/>
        <v>0</v>
      </c>
      <c r="AH292" s="147">
        <f t="shared" si="119"/>
        <v>0</v>
      </c>
      <c r="AI292" s="147">
        <f t="shared" si="120"/>
        <v>0</v>
      </c>
      <c r="AJ292" s="148">
        <f t="shared" si="121"/>
        <v>0</v>
      </c>
      <c r="AK292" s="149">
        <f t="shared" si="104"/>
        <v>0</v>
      </c>
      <c r="AL292" s="149">
        <f t="shared" si="105"/>
        <v>0</v>
      </c>
      <c r="AM292" s="149">
        <f t="shared" si="106"/>
        <v>0</v>
      </c>
      <c r="AN292" s="149">
        <f t="shared" si="107"/>
        <v>0</v>
      </c>
      <c r="AO292" s="150">
        <f t="shared" si="122"/>
        <v>0</v>
      </c>
      <c r="AQ292" s="151">
        <f t="shared" si="123"/>
        <v>0</v>
      </c>
    </row>
    <row r="293" spans="1:43" ht="15" customHeight="1">
      <c r="A293" s="82" t="e">
        <f t="shared" si="108"/>
        <v>#REF!</v>
      </c>
      <c r="B293" s="134">
        <v>104</v>
      </c>
      <c r="C293" s="135" t="s">
        <v>260</v>
      </c>
      <c r="D293" s="136" t="s">
        <v>274</v>
      </c>
      <c r="E293" s="137" t="s">
        <v>499</v>
      </c>
      <c r="F293" s="138" t="s">
        <v>506</v>
      </c>
      <c r="G293" s="139" t="s">
        <v>523</v>
      </c>
      <c r="H293" s="140" t="str">
        <f t="shared" si="109"/>
        <v>Niet van toepassing</v>
      </c>
      <c r="I293" s="138" t="s">
        <v>195</v>
      </c>
      <c r="J293" s="138" t="s">
        <v>1172</v>
      </c>
      <c r="K293" s="141" t="str">
        <f t="shared" si="110"/>
        <v>NVT</v>
      </c>
      <c r="L293" s="141" t="str">
        <f t="shared" si="111"/>
        <v>NVT</v>
      </c>
      <c r="M293" s="141" t="str">
        <f t="shared" si="112"/>
        <v>NVT</v>
      </c>
      <c r="N293" s="141" t="str">
        <f t="shared" si="113"/>
        <v>NVT</v>
      </c>
      <c r="O293" s="141" t="str">
        <f t="shared" si="114"/>
        <v>NVT</v>
      </c>
      <c r="P293" s="141" t="str">
        <f t="shared" si="115"/>
        <v>NVT</v>
      </c>
      <c r="Q293" s="141" t="str">
        <f t="shared" si="116"/>
        <v>NVT</v>
      </c>
      <c r="R293" s="63" t="s">
        <v>1221</v>
      </c>
      <c r="S293" s="142">
        <f t="shared" si="124"/>
        <v>0</v>
      </c>
      <c r="T293" s="143">
        <v>143</v>
      </c>
      <c r="U293" s="144"/>
      <c r="V293" s="144"/>
      <c r="W293" s="144"/>
      <c r="X293" s="144"/>
      <c r="Y293" s="144"/>
      <c r="Z293" s="145"/>
      <c r="AA293" s="145"/>
      <c r="AB293" s="145"/>
      <c r="AC293" s="145"/>
      <c r="AD293" s="146" t="s">
        <v>528</v>
      </c>
      <c r="AE293" s="171">
        <v>1</v>
      </c>
      <c r="AF293" s="147">
        <f t="shared" si="117"/>
        <v>0</v>
      </c>
      <c r="AG293" s="147">
        <f t="shared" si="118"/>
        <v>0</v>
      </c>
      <c r="AH293" s="147">
        <f t="shared" si="119"/>
        <v>0</v>
      </c>
      <c r="AI293" s="147">
        <f t="shared" si="120"/>
        <v>0</v>
      </c>
      <c r="AJ293" s="148">
        <f t="shared" si="121"/>
        <v>0</v>
      </c>
      <c r="AK293" s="149">
        <f t="shared" si="104"/>
        <v>0</v>
      </c>
      <c r="AL293" s="149">
        <f t="shared" si="105"/>
        <v>0</v>
      </c>
      <c r="AM293" s="149">
        <f t="shared" si="106"/>
        <v>0</v>
      </c>
      <c r="AN293" s="149">
        <f t="shared" si="107"/>
        <v>0</v>
      </c>
      <c r="AO293" s="150">
        <f t="shared" si="122"/>
        <v>0</v>
      </c>
      <c r="AQ293" s="151">
        <f t="shared" si="123"/>
        <v>0</v>
      </c>
    </row>
    <row r="294" spans="1:43" ht="15" customHeight="1">
      <c r="A294" s="82" t="e">
        <f t="shared" si="108"/>
        <v>#REF!</v>
      </c>
      <c r="B294" s="134">
        <v>104</v>
      </c>
      <c r="C294" s="135" t="s">
        <v>260</v>
      </c>
      <c r="D294" s="136" t="s">
        <v>274</v>
      </c>
      <c r="E294" s="137" t="s">
        <v>499</v>
      </c>
      <c r="F294" s="138" t="s">
        <v>506</v>
      </c>
      <c r="G294" s="139" t="s">
        <v>524</v>
      </c>
      <c r="H294" s="140" t="str">
        <f t="shared" si="109"/>
        <v>Niet van toepassing</v>
      </c>
      <c r="I294" s="138" t="s">
        <v>195</v>
      </c>
      <c r="J294" s="138" t="s">
        <v>1172</v>
      </c>
      <c r="K294" s="141" t="str">
        <f t="shared" si="110"/>
        <v>NVT</v>
      </c>
      <c r="L294" s="141" t="str">
        <f t="shared" si="111"/>
        <v>NVT</v>
      </c>
      <c r="M294" s="141" t="str">
        <f t="shared" si="112"/>
        <v>NVT</v>
      </c>
      <c r="N294" s="141" t="str">
        <f t="shared" si="113"/>
        <v>NVT</v>
      </c>
      <c r="O294" s="141" t="str">
        <f t="shared" si="114"/>
        <v>NVT</v>
      </c>
      <c r="P294" s="141" t="str">
        <f t="shared" si="115"/>
        <v>NVT</v>
      </c>
      <c r="Q294" s="141" t="str">
        <f t="shared" si="116"/>
        <v>NVT</v>
      </c>
      <c r="R294" s="63" t="s">
        <v>1221</v>
      </c>
      <c r="S294" s="142">
        <f t="shared" si="124"/>
        <v>0</v>
      </c>
      <c r="T294" s="143">
        <v>54</v>
      </c>
      <c r="U294" s="144"/>
      <c r="V294" s="144"/>
      <c r="W294" s="144"/>
      <c r="X294" s="144"/>
      <c r="Y294" s="144"/>
      <c r="Z294" s="145"/>
      <c r="AA294" s="145"/>
      <c r="AB294" s="145"/>
      <c r="AC294" s="145"/>
      <c r="AD294" s="146" t="s">
        <v>528</v>
      </c>
      <c r="AE294" s="171">
        <v>1</v>
      </c>
      <c r="AF294" s="147">
        <f t="shared" si="117"/>
        <v>0</v>
      </c>
      <c r="AG294" s="147">
        <f t="shared" si="118"/>
        <v>0</v>
      </c>
      <c r="AH294" s="147">
        <f t="shared" si="119"/>
        <v>0</v>
      </c>
      <c r="AI294" s="147">
        <f t="shared" si="120"/>
        <v>0</v>
      </c>
      <c r="AJ294" s="148">
        <f t="shared" si="121"/>
        <v>0</v>
      </c>
      <c r="AK294" s="149">
        <f t="shared" si="104"/>
        <v>0</v>
      </c>
      <c r="AL294" s="149">
        <f t="shared" si="105"/>
        <v>0</v>
      </c>
      <c r="AM294" s="149">
        <f t="shared" si="106"/>
        <v>0</v>
      </c>
      <c r="AN294" s="149">
        <f t="shared" si="107"/>
        <v>0</v>
      </c>
      <c r="AO294" s="150">
        <f t="shared" si="122"/>
        <v>0</v>
      </c>
      <c r="AQ294" s="151">
        <f t="shared" si="123"/>
        <v>0</v>
      </c>
    </row>
    <row r="295" spans="1:43" ht="15" customHeight="1">
      <c r="A295" s="82" t="e">
        <f t="shared" si="108"/>
        <v>#REF!</v>
      </c>
      <c r="B295" s="134">
        <v>104</v>
      </c>
      <c r="C295" s="135" t="s">
        <v>260</v>
      </c>
      <c r="D295" s="136" t="s">
        <v>274</v>
      </c>
      <c r="E295" s="137" t="s">
        <v>499</v>
      </c>
      <c r="F295" s="138" t="s">
        <v>506</v>
      </c>
      <c r="G295" s="139" t="s">
        <v>525</v>
      </c>
      <c r="H295" s="140" t="str">
        <f t="shared" si="109"/>
        <v>Niet van toepassing</v>
      </c>
      <c r="I295" s="138" t="s">
        <v>195</v>
      </c>
      <c r="J295" s="138" t="s">
        <v>1172</v>
      </c>
      <c r="K295" s="141" t="str">
        <f t="shared" si="110"/>
        <v>NVT</v>
      </c>
      <c r="L295" s="141" t="str">
        <f t="shared" si="111"/>
        <v>NVT</v>
      </c>
      <c r="M295" s="141" t="str">
        <f t="shared" si="112"/>
        <v>NVT</v>
      </c>
      <c r="N295" s="141" t="str">
        <f t="shared" si="113"/>
        <v>NVT</v>
      </c>
      <c r="O295" s="141" t="str">
        <f t="shared" si="114"/>
        <v>NVT</v>
      </c>
      <c r="P295" s="141" t="str">
        <f t="shared" si="115"/>
        <v>NVT</v>
      </c>
      <c r="Q295" s="141" t="str">
        <f t="shared" si="116"/>
        <v>NVT</v>
      </c>
      <c r="R295" s="63" t="s">
        <v>1221</v>
      </c>
      <c r="S295" s="142">
        <f t="shared" si="124"/>
        <v>0</v>
      </c>
      <c r="T295" s="143">
        <v>22.119999999999997</v>
      </c>
      <c r="U295" s="144"/>
      <c r="V295" s="144"/>
      <c r="W295" s="144"/>
      <c r="X295" s="144"/>
      <c r="Y295" s="144">
        <v>41</v>
      </c>
      <c r="Z295" s="145"/>
      <c r="AA295" s="145">
        <v>22</v>
      </c>
      <c r="AB295" s="145"/>
      <c r="AC295" s="145"/>
      <c r="AD295" s="146"/>
      <c r="AE295" s="171">
        <v>1</v>
      </c>
      <c r="AF295" s="147">
        <f t="shared" si="117"/>
        <v>0</v>
      </c>
      <c r="AG295" s="147">
        <f t="shared" si="118"/>
        <v>0</v>
      </c>
      <c r="AH295" s="147">
        <f t="shared" si="119"/>
        <v>0</v>
      </c>
      <c r="AI295" s="147">
        <f t="shared" si="120"/>
        <v>0</v>
      </c>
      <c r="AJ295" s="148">
        <f t="shared" si="121"/>
        <v>0</v>
      </c>
      <c r="AK295" s="149">
        <f t="shared" si="104"/>
        <v>0</v>
      </c>
      <c r="AL295" s="149">
        <f t="shared" si="105"/>
        <v>0</v>
      </c>
      <c r="AM295" s="149">
        <f t="shared" si="106"/>
        <v>0</v>
      </c>
      <c r="AN295" s="149">
        <f t="shared" si="107"/>
        <v>0</v>
      </c>
      <c r="AO295" s="150">
        <f t="shared" si="122"/>
        <v>0</v>
      </c>
      <c r="AQ295" s="151">
        <f t="shared" si="123"/>
        <v>0</v>
      </c>
    </row>
    <row r="296" spans="1:43" ht="15" customHeight="1">
      <c r="A296" s="82" t="e">
        <f t="shared" si="108"/>
        <v>#REF!</v>
      </c>
      <c r="B296" s="134">
        <v>104</v>
      </c>
      <c r="C296" s="135" t="s">
        <v>260</v>
      </c>
      <c r="D296" s="136" t="s">
        <v>274</v>
      </c>
      <c r="E296" s="137" t="s">
        <v>499</v>
      </c>
      <c r="F296" s="138" t="s">
        <v>507</v>
      </c>
      <c r="G296" s="139" t="s">
        <v>526</v>
      </c>
      <c r="H296" s="140" t="str">
        <f t="shared" si="109"/>
        <v>Niet van toepassing</v>
      </c>
      <c r="I296" s="138" t="s">
        <v>35</v>
      </c>
      <c r="J296" s="138" t="s">
        <v>1172</v>
      </c>
      <c r="K296" s="141" t="str">
        <f t="shared" si="110"/>
        <v>NVT</v>
      </c>
      <c r="L296" s="141" t="str">
        <f t="shared" si="111"/>
        <v>NVT</v>
      </c>
      <c r="M296" s="141" t="str">
        <f t="shared" si="112"/>
        <v>NVT</v>
      </c>
      <c r="N296" s="141" t="str">
        <f t="shared" si="113"/>
        <v>NVT</v>
      </c>
      <c r="O296" s="141" t="str">
        <f t="shared" si="114"/>
        <v>NVT</v>
      </c>
      <c r="P296" s="141" t="str">
        <f t="shared" si="115"/>
        <v>NVT</v>
      </c>
      <c r="Q296" s="141" t="str">
        <f t="shared" si="116"/>
        <v>NVT</v>
      </c>
      <c r="R296" s="63" t="s">
        <v>1221</v>
      </c>
      <c r="S296" s="142">
        <f t="shared" si="124"/>
        <v>0</v>
      </c>
      <c r="T296" s="143">
        <v>21.9</v>
      </c>
      <c r="U296" s="144"/>
      <c r="V296" s="144"/>
      <c r="W296" s="144"/>
      <c r="X296" s="144"/>
      <c r="Y296" s="144">
        <v>58</v>
      </c>
      <c r="Z296" s="145"/>
      <c r="AA296" s="145">
        <v>16</v>
      </c>
      <c r="AB296" s="145"/>
      <c r="AC296" s="145"/>
      <c r="AD296" s="146"/>
      <c r="AE296" s="171">
        <v>1</v>
      </c>
      <c r="AF296" s="147">
        <f t="shared" si="117"/>
        <v>0</v>
      </c>
      <c r="AG296" s="147">
        <f t="shared" si="118"/>
        <v>0</v>
      </c>
      <c r="AH296" s="147">
        <f t="shared" si="119"/>
        <v>0</v>
      </c>
      <c r="AI296" s="147">
        <f t="shared" si="120"/>
        <v>0</v>
      </c>
      <c r="AJ296" s="148">
        <f t="shared" si="121"/>
        <v>0</v>
      </c>
      <c r="AK296" s="149">
        <f t="shared" si="104"/>
        <v>0</v>
      </c>
      <c r="AL296" s="149">
        <f t="shared" si="105"/>
        <v>0</v>
      </c>
      <c r="AM296" s="149">
        <f t="shared" si="106"/>
        <v>0</v>
      </c>
      <c r="AN296" s="149">
        <f t="shared" si="107"/>
        <v>0</v>
      </c>
      <c r="AO296" s="150">
        <f t="shared" si="122"/>
        <v>0</v>
      </c>
      <c r="AQ296" s="151">
        <f t="shared" si="123"/>
        <v>0</v>
      </c>
    </row>
    <row r="297" spans="1:43" ht="15" customHeight="1">
      <c r="A297" s="82" t="e">
        <f t="shared" si="108"/>
        <v>#REF!</v>
      </c>
      <c r="B297" s="134">
        <v>104</v>
      </c>
      <c r="C297" s="135" t="s">
        <v>260</v>
      </c>
      <c r="D297" s="136" t="s">
        <v>274</v>
      </c>
      <c r="E297" s="137" t="s">
        <v>499</v>
      </c>
      <c r="F297" s="138" t="s">
        <v>508</v>
      </c>
      <c r="G297" s="139" t="s">
        <v>265</v>
      </c>
      <c r="H297" s="140" t="str">
        <f t="shared" si="109"/>
        <v>Niet van toepassing</v>
      </c>
      <c r="I297" s="138" t="s">
        <v>491</v>
      </c>
      <c r="J297" s="138" t="s">
        <v>1172</v>
      </c>
      <c r="K297" s="141" t="str">
        <f t="shared" si="110"/>
        <v>NVT</v>
      </c>
      <c r="L297" s="141" t="str">
        <f t="shared" si="111"/>
        <v>NVT</v>
      </c>
      <c r="M297" s="141" t="str">
        <f t="shared" si="112"/>
        <v>NVT</v>
      </c>
      <c r="N297" s="141" t="str">
        <f t="shared" si="113"/>
        <v>NVT</v>
      </c>
      <c r="O297" s="141" t="str">
        <f t="shared" si="114"/>
        <v>NVT</v>
      </c>
      <c r="P297" s="141" t="str">
        <f t="shared" si="115"/>
        <v>NVT</v>
      </c>
      <c r="Q297" s="141" t="str">
        <f t="shared" si="116"/>
        <v>NVT</v>
      </c>
      <c r="R297" s="63" t="s">
        <v>1221</v>
      </c>
      <c r="S297" s="142">
        <f t="shared" si="124"/>
        <v>0</v>
      </c>
      <c r="T297" s="143">
        <v>5.0999999999999996</v>
      </c>
      <c r="U297" s="144"/>
      <c r="V297" s="144"/>
      <c r="W297" s="144"/>
      <c r="X297" s="144"/>
      <c r="Y297" s="144">
        <v>11</v>
      </c>
      <c r="Z297" s="145"/>
      <c r="AA297" s="145">
        <v>5</v>
      </c>
      <c r="AB297" s="145"/>
      <c r="AC297" s="145"/>
      <c r="AD297" s="146"/>
      <c r="AE297" s="171">
        <v>1</v>
      </c>
      <c r="AF297" s="147">
        <f t="shared" si="117"/>
        <v>0</v>
      </c>
      <c r="AG297" s="147">
        <f t="shared" si="118"/>
        <v>0</v>
      </c>
      <c r="AH297" s="147">
        <f t="shared" si="119"/>
        <v>0</v>
      </c>
      <c r="AI297" s="147">
        <f t="shared" si="120"/>
        <v>0</v>
      </c>
      <c r="AJ297" s="148">
        <f t="shared" si="121"/>
        <v>0</v>
      </c>
      <c r="AK297" s="149">
        <f t="shared" si="104"/>
        <v>0</v>
      </c>
      <c r="AL297" s="149">
        <f t="shared" si="105"/>
        <v>0</v>
      </c>
      <c r="AM297" s="149">
        <f t="shared" si="106"/>
        <v>0</v>
      </c>
      <c r="AN297" s="149">
        <f t="shared" si="107"/>
        <v>0</v>
      </c>
      <c r="AO297" s="150">
        <f t="shared" si="122"/>
        <v>0</v>
      </c>
      <c r="AQ297" s="151">
        <f t="shared" si="123"/>
        <v>0</v>
      </c>
    </row>
    <row r="298" spans="1:43" ht="15" customHeight="1">
      <c r="A298" s="82" t="e">
        <f t="shared" si="108"/>
        <v>#REF!</v>
      </c>
      <c r="B298" s="134">
        <v>104</v>
      </c>
      <c r="C298" s="135" t="s">
        <v>260</v>
      </c>
      <c r="D298" s="136" t="s">
        <v>274</v>
      </c>
      <c r="E298" s="137" t="s">
        <v>499</v>
      </c>
      <c r="F298" s="138" t="s">
        <v>508</v>
      </c>
      <c r="G298" s="139" t="s">
        <v>266</v>
      </c>
      <c r="H298" s="140" t="str">
        <f t="shared" si="109"/>
        <v>Niet van toepassing</v>
      </c>
      <c r="I298" s="138" t="s">
        <v>1254</v>
      </c>
      <c r="J298" s="138" t="s">
        <v>1172</v>
      </c>
      <c r="K298" s="141" t="str">
        <f t="shared" si="110"/>
        <v>NVT</v>
      </c>
      <c r="L298" s="141" t="str">
        <f t="shared" si="111"/>
        <v>NVT</v>
      </c>
      <c r="M298" s="141" t="str">
        <f t="shared" si="112"/>
        <v>NVT</v>
      </c>
      <c r="N298" s="141" t="str">
        <f t="shared" si="113"/>
        <v>NVT</v>
      </c>
      <c r="O298" s="141" t="str">
        <f t="shared" si="114"/>
        <v>NVT</v>
      </c>
      <c r="P298" s="141" t="str">
        <f t="shared" si="115"/>
        <v>NVT</v>
      </c>
      <c r="Q298" s="141" t="str">
        <f t="shared" si="116"/>
        <v>NVT</v>
      </c>
      <c r="R298" s="63" t="s">
        <v>1221</v>
      </c>
      <c r="S298" s="142">
        <f t="shared" si="124"/>
        <v>0</v>
      </c>
      <c r="T298" s="143">
        <v>176.25</v>
      </c>
      <c r="U298" s="144"/>
      <c r="V298" s="144">
        <v>166</v>
      </c>
      <c r="W298" s="144"/>
      <c r="X298" s="144"/>
      <c r="Y298" s="144"/>
      <c r="Z298" s="145"/>
      <c r="AA298" s="145">
        <v>86</v>
      </c>
      <c r="AB298" s="145">
        <v>90</v>
      </c>
      <c r="AC298" s="145"/>
      <c r="AD298" s="146" t="s">
        <v>529</v>
      </c>
      <c r="AE298" s="171">
        <v>1</v>
      </c>
      <c r="AF298" s="147">
        <f t="shared" si="117"/>
        <v>0</v>
      </c>
      <c r="AG298" s="147">
        <f t="shared" si="118"/>
        <v>0</v>
      </c>
      <c r="AH298" s="147">
        <f t="shared" si="119"/>
        <v>0</v>
      </c>
      <c r="AI298" s="147">
        <f t="shared" si="120"/>
        <v>0</v>
      </c>
      <c r="AJ298" s="148">
        <f t="shared" si="121"/>
        <v>0</v>
      </c>
      <c r="AK298" s="149">
        <f t="shared" si="104"/>
        <v>0</v>
      </c>
      <c r="AL298" s="149">
        <f t="shared" si="105"/>
        <v>0</v>
      </c>
      <c r="AM298" s="149">
        <f t="shared" si="106"/>
        <v>0</v>
      </c>
      <c r="AN298" s="149">
        <f t="shared" si="107"/>
        <v>0</v>
      </c>
      <c r="AO298" s="150">
        <f t="shared" si="122"/>
        <v>0</v>
      </c>
      <c r="AQ298" s="151">
        <f t="shared" si="123"/>
        <v>0</v>
      </c>
    </row>
    <row r="299" spans="1:43" ht="15" customHeight="1">
      <c r="A299" s="82" t="e">
        <f t="shared" si="108"/>
        <v>#REF!</v>
      </c>
      <c r="B299" s="134">
        <v>104</v>
      </c>
      <c r="C299" s="135" t="s">
        <v>260</v>
      </c>
      <c r="D299" s="136" t="s">
        <v>274</v>
      </c>
      <c r="E299" s="137" t="s">
        <v>499</v>
      </c>
      <c r="F299" s="138" t="s">
        <v>508</v>
      </c>
      <c r="G299" s="139" t="s">
        <v>267</v>
      </c>
      <c r="H299" s="140" t="str">
        <f t="shared" si="109"/>
        <v>Niet van toepassing</v>
      </c>
      <c r="I299" s="138" t="s">
        <v>82</v>
      </c>
      <c r="J299" s="138" t="s">
        <v>1172</v>
      </c>
      <c r="K299" s="141" t="str">
        <f t="shared" si="110"/>
        <v>NVT</v>
      </c>
      <c r="L299" s="141" t="str">
        <f t="shared" si="111"/>
        <v>NVT</v>
      </c>
      <c r="M299" s="141" t="str">
        <f t="shared" si="112"/>
        <v>NVT</v>
      </c>
      <c r="N299" s="141" t="str">
        <f t="shared" si="113"/>
        <v>NVT</v>
      </c>
      <c r="O299" s="141" t="str">
        <f t="shared" si="114"/>
        <v>NVT</v>
      </c>
      <c r="P299" s="141" t="str">
        <f t="shared" si="115"/>
        <v>NVT</v>
      </c>
      <c r="Q299" s="141" t="str">
        <f t="shared" si="116"/>
        <v>NVT</v>
      </c>
      <c r="R299" s="63" t="s">
        <v>1221</v>
      </c>
      <c r="S299" s="142">
        <f t="shared" si="124"/>
        <v>0</v>
      </c>
      <c r="T299" s="143">
        <v>17.899999999999999</v>
      </c>
      <c r="U299" s="144"/>
      <c r="V299" s="144"/>
      <c r="W299" s="144">
        <v>52</v>
      </c>
      <c r="X299" s="144"/>
      <c r="Y299" s="144"/>
      <c r="Z299" s="145"/>
      <c r="AA299" s="145">
        <v>18</v>
      </c>
      <c r="AB299" s="145"/>
      <c r="AC299" s="145"/>
      <c r="AD299" s="146"/>
      <c r="AE299" s="171">
        <v>1</v>
      </c>
      <c r="AF299" s="147">
        <f t="shared" si="117"/>
        <v>0</v>
      </c>
      <c r="AG299" s="147">
        <f t="shared" si="118"/>
        <v>0</v>
      </c>
      <c r="AH299" s="147">
        <f t="shared" si="119"/>
        <v>0</v>
      </c>
      <c r="AI299" s="147">
        <f t="shared" si="120"/>
        <v>0</v>
      </c>
      <c r="AJ299" s="148">
        <f t="shared" si="121"/>
        <v>0</v>
      </c>
      <c r="AK299" s="149">
        <f t="shared" ref="AK299:AK350" si="125">IF($R299="",0,VLOOKUP($R299,Kengetal,5,FALSE))</f>
        <v>0</v>
      </c>
      <c r="AL299" s="149">
        <f t="shared" ref="AL299:AL350" si="126">IF($R299="",0,VLOOKUP($R299,Kengetal,6,FALSE))</f>
        <v>0</v>
      </c>
      <c r="AM299" s="149">
        <f t="shared" ref="AM299:AM350" si="127">IF($R299="",0,VLOOKUP($R299,Kengetal,7,FALSE))</f>
        <v>0</v>
      </c>
      <c r="AN299" s="149">
        <f t="shared" ref="AN299:AN350" si="128">IF($R299="",0,VLOOKUP($R299,Kengetal,8,FALSE))</f>
        <v>0</v>
      </c>
      <c r="AO299" s="150">
        <f t="shared" si="122"/>
        <v>0</v>
      </c>
      <c r="AQ299" s="151">
        <f t="shared" si="123"/>
        <v>0</v>
      </c>
    </row>
    <row r="300" spans="1:43" ht="15" customHeight="1">
      <c r="A300" s="82" t="e">
        <f t="shared" si="108"/>
        <v>#REF!</v>
      </c>
      <c r="B300" s="134">
        <v>104</v>
      </c>
      <c r="C300" s="135" t="s">
        <v>260</v>
      </c>
      <c r="D300" s="136" t="s">
        <v>274</v>
      </c>
      <c r="E300" s="137" t="s">
        <v>499</v>
      </c>
      <c r="F300" s="138" t="s">
        <v>508</v>
      </c>
      <c r="G300" s="139" t="s">
        <v>268</v>
      </c>
      <c r="H300" s="140" t="str">
        <f t="shared" si="109"/>
        <v>Niet van toepassing</v>
      </c>
      <c r="I300" s="138" t="s">
        <v>82</v>
      </c>
      <c r="J300" s="138" t="s">
        <v>1172</v>
      </c>
      <c r="K300" s="141" t="str">
        <f t="shared" si="110"/>
        <v>NVT</v>
      </c>
      <c r="L300" s="141" t="str">
        <f t="shared" si="111"/>
        <v>NVT</v>
      </c>
      <c r="M300" s="141" t="str">
        <f t="shared" si="112"/>
        <v>NVT</v>
      </c>
      <c r="N300" s="141" t="str">
        <f t="shared" si="113"/>
        <v>NVT</v>
      </c>
      <c r="O300" s="141" t="str">
        <f t="shared" si="114"/>
        <v>NVT</v>
      </c>
      <c r="P300" s="141" t="str">
        <f t="shared" si="115"/>
        <v>NVT</v>
      </c>
      <c r="Q300" s="141" t="str">
        <f t="shared" si="116"/>
        <v>NVT</v>
      </c>
      <c r="R300" s="63" t="s">
        <v>1221</v>
      </c>
      <c r="S300" s="142">
        <f t="shared" si="124"/>
        <v>0</v>
      </c>
      <c r="T300" s="143">
        <v>10.964999999999998</v>
      </c>
      <c r="U300" s="144"/>
      <c r="V300" s="144"/>
      <c r="W300" s="144">
        <v>36</v>
      </c>
      <c r="X300" s="144"/>
      <c r="Y300" s="144"/>
      <c r="Z300" s="145"/>
      <c r="AA300" s="145">
        <v>11</v>
      </c>
      <c r="AB300" s="145"/>
      <c r="AC300" s="145"/>
      <c r="AD300" s="146"/>
      <c r="AE300" s="171">
        <v>1</v>
      </c>
      <c r="AF300" s="147">
        <f t="shared" si="117"/>
        <v>0</v>
      </c>
      <c r="AG300" s="147">
        <f t="shared" si="118"/>
        <v>0</v>
      </c>
      <c r="AH300" s="147">
        <f t="shared" si="119"/>
        <v>0</v>
      </c>
      <c r="AI300" s="147">
        <f t="shared" si="120"/>
        <v>0</v>
      </c>
      <c r="AJ300" s="148">
        <f t="shared" si="121"/>
        <v>0</v>
      </c>
      <c r="AK300" s="149">
        <f t="shared" si="125"/>
        <v>0</v>
      </c>
      <c r="AL300" s="149">
        <f t="shared" si="126"/>
        <v>0</v>
      </c>
      <c r="AM300" s="149">
        <f t="shared" si="127"/>
        <v>0</v>
      </c>
      <c r="AN300" s="149">
        <f t="shared" si="128"/>
        <v>0</v>
      </c>
      <c r="AO300" s="150">
        <f t="shared" si="122"/>
        <v>0</v>
      </c>
      <c r="AQ300" s="151">
        <f t="shared" si="123"/>
        <v>0</v>
      </c>
    </row>
    <row r="301" spans="1:43" ht="15" customHeight="1">
      <c r="A301" s="82" t="e">
        <f t="shared" si="108"/>
        <v>#REF!</v>
      </c>
      <c r="B301" s="134">
        <v>104</v>
      </c>
      <c r="C301" s="135" t="s">
        <v>260</v>
      </c>
      <c r="D301" s="136" t="s">
        <v>274</v>
      </c>
      <c r="E301" s="137" t="s">
        <v>499</v>
      </c>
      <c r="F301" s="138" t="s">
        <v>509</v>
      </c>
      <c r="G301" s="139" t="s">
        <v>510</v>
      </c>
      <c r="H301" s="140" t="str">
        <f t="shared" si="109"/>
        <v>Sanitair</v>
      </c>
      <c r="I301" s="138" t="s">
        <v>195</v>
      </c>
      <c r="J301" s="138" t="s">
        <v>1171</v>
      </c>
      <c r="K301" s="141" t="str">
        <f t="shared" si="110"/>
        <v>Omde dag Vol/Nal.</v>
      </c>
      <c r="L301" s="141" t="str">
        <f t="shared" si="111"/>
        <v>Omde dag Nal./Vol</v>
      </c>
      <c r="M301" s="141" t="str">
        <f t="shared" si="112"/>
        <v>Omde dag Vol/Nal.</v>
      </c>
      <c r="N301" s="141" t="str">
        <f t="shared" si="113"/>
        <v>Omde dag Nal./Vol</v>
      </c>
      <c r="O301" s="141" t="str">
        <f t="shared" si="114"/>
        <v>Omde dag Vol/Nal.</v>
      </c>
      <c r="P301" s="141" t="str">
        <f t="shared" si="115"/>
        <v>Omde dag Nal./Vol</v>
      </c>
      <c r="Q301" s="141" t="str">
        <f t="shared" si="116"/>
        <v>Omde dag Vol/Nal.</v>
      </c>
      <c r="R301" s="63" t="s">
        <v>1211</v>
      </c>
      <c r="S301" s="142">
        <f t="shared" si="124"/>
        <v>365</v>
      </c>
      <c r="T301" s="143">
        <v>4.620000000000001</v>
      </c>
      <c r="U301" s="144">
        <v>2</v>
      </c>
      <c r="V301" s="144"/>
      <c r="W301" s="144"/>
      <c r="X301" s="144"/>
      <c r="Y301" s="144">
        <v>23</v>
      </c>
      <c r="Z301" s="145"/>
      <c r="AA301" s="145"/>
      <c r="AB301" s="145">
        <v>5</v>
      </c>
      <c r="AC301" s="145"/>
      <c r="AD301" s="146"/>
      <c r="AE301" s="171">
        <v>1</v>
      </c>
      <c r="AF301" s="147">
        <f t="shared" si="117"/>
        <v>0</v>
      </c>
      <c r="AG301" s="147">
        <f t="shared" si="118"/>
        <v>0</v>
      </c>
      <c r="AH301" s="147">
        <f t="shared" si="119"/>
        <v>0</v>
      </c>
      <c r="AI301" s="147">
        <f t="shared" si="120"/>
        <v>0</v>
      </c>
      <c r="AJ301" s="148" t="str">
        <f t="shared" si="121"/>
        <v>ja</v>
      </c>
      <c r="AK301" s="149">
        <f t="shared" si="125"/>
        <v>0</v>
      </c>
      <c r="AL301" s="149">
        <f t="shared" si="126"/>
        <v>0</v>
      </c>
      <c r="AM301" s="149">
        <f t="shared" si="127"/>
        <v>0</v>
      </c>
      <c r="AN301" s="149">
        <f t="shared" si="128"/>
        <v>0</v>
      </c>
      <c r="AO301" s="150" t="str">
        <f t="shared" si="122"/>
        <v>S</v>
      </c>
      <c r="AQ301" s="151">
        <f t="shared" si="123"/>
        <v>1686.3000000000004</v>
      </c>
    </row>
    <row r="302" spans="1:43" ht="15" customHeight="1">
      <c r="A302" s="82" t="e">
        <f t="shared" si="108"/>
        <v>#REF!</v>
      </c>
      <c r="B302" s="134">
        <v>104</v>
      </c>
      <c r="C302" s="135" t="s">
        <v>260</v>
      </c>
      <c r="D302" s="136" t="s">
        <v>274</v>
      </c>
      <c r="E302" s="137" t="s">
        <v>530</v>
      </c>
      <c r="F302" s="138" t="s">
        <v>531</v>
      </c>
      <c r="G302" s="139" t="s">
        <v>532</v>
      </c>
      <c r="H302" s="140" t="str">
        <f t="shared" si="109"/>
        <v>Roltrappen(inclusief aangrenzende bouwdelen)</v>
      </c>
      <c r="I302" s="138" t="s">
        <v>1251</v>
      </c>
      <c r="J302" s="138" t="s">
        <v>1171</v>
      </c>
      <c r="K302" s="141" t="str">
        <f t="shared" si="110"/>
        <v>Omde dag Vol/Nal.</v>
      </c>
      <c r="L302" s="141" t="str">
        <f t="shared" si="111"/>
        <v>Omde dag Nal./Vol</v>
      </c>
      <c r="M302" s="141" t="str">
        <f t="shared" si="112"/>
        <v>Omde dag Vol/Nal.</v>
      </c>
      <c r="N302" s="141" t="str">
        <f t="shared" si="113"/>
        <v>Omde dag Nal./Vol</v>
      </c>
      <c r="O302" s="141" t="str">
        <f t="shared" si="114"/>
        <v>Omde dag Vol/Nal.</v>
      </c>
      <c r="P302" s="141" t="str">
        <f t="shared" si="115"/>
        <v>Omde dag Nal./Vol</v>
      </c>
      <c r="Q302" s="141" t="str">
        <f t="shared" si="116"/>
        <v>Omde dag Vol/Nal.</v>
      </c>
      <c r="R302" s="63" t="s">
        <v>1481</v>
      </c>
      <c r="S302" s="142">
        <f t="shared" si="124"/>
        <v>365</v>
      </c>
      <c r="T302" s="143">
        <v>25</v>
      </c>
      <c r="U302" s="144"/>
      <c r="V302" s="144"/>
      <c r="W302" s="144"/>
      <c r="X302" s="144"/>
      <c r="Y302" s="144"/>
      <c r="Z302" s="145"/>
      <c r="AA302" s="145"/>
      <c r="AB302" s="145"/>
      <c r="AC302" s="145"/>
      <c r="AD302" s="146"/>
      <c r="AE302" s="171">
        <v>1</v>
      </c>
      <c r="AF302" s="147">
        <f t="shared" si="117"/>
        <v>0</v>
      </c>
      <c r="AG302" s="147">
        <f t="shared" si="118"/>
        <v>0</v>
      </c>
      <c r="AH302" s="147">
        <f t="shared" si="119"/>
        <v>0</v>
      </c>
      <c r="AI302" s="147">
        <f t="shared" si="120"/>
        <v>0</v>
      </c>
      <c r="AJ302" s="148" t="str">
        <f t="shared" si="121"/>
        <v>ja</v>
      </c>
      <c r="AK302" s="149">
        <f t="shared" si="125"/>
        <v>0</v>
      </c>
      <c r="AL302" s="149">
        <f t="shared" si="126"/>
        <v>0</v>
      </c>
      <c r="AM302" s="149">
        <f t="shared" si="127"/>
        <v>0</v>
      </c>
      <c r="AN302" s="149">
        <f t="shared" si="128"/>
        <v>0</v>
      </c>
      <c r="AO302" s="150" t="str">
        <f t="shared" si="122"/>
        <v>V</v>
      </c>
      <c r="AQ302" s="151">
        <f t="shared" si="123"/>
        <v>9125</v>
      </c>
    </row>
    <row r="303" spans="1:43" ht="15" customHeight="1">
      <c r="A303" s="82" t="e">
        <f t="shared" si="108"/>
        <v>#REF!</v>
      </c>
      <c r="B303" s="134">
        <v>104</v>
      </c>
      <c r="C303" s="135" t="s">
        <v>260</v>
      </c>
      <c r="D303" s="136" t="s">
        <v>274</v>
      </c>
      <c r="E303" s="137" t="s">
        <v>530</v>
      </c>
      <c r="F303" s="138" t="s">
        <v>533</v>
      </c>
      <c r="G303" s="139" t="s">
        <v>535</v>
      </c>
      <c r="H303" s="140" t="str">
        <f t="shared" si="109"/>
        <v>Trappen</v>
      </c>
      <c r="I303" s="138" t="s">
        <v>1250</v>
      </c>
      <c r="J303" s="138" t="s">
        <v>1171</v>
      </c>
      <c r="K303" s="141" t="str">
        <f t="shared" si="110"/>
        <v>Omde dag Vol/Nal.</v>
      </c>
      <c r="L303" s="141" t="str">
        <f t="shared" si="111"/>
        <v>Omde dag Nal./Vol</v>
      </c>
      <c r="M303" s="141" t="str">
        <f t="shared" si="112"/>
        <v>Omde dag Vol/Nal.</v>
      </c>
      <c r="N303" s="141" t="str">
        <f t="shared" si="113"/>
        <v>Omde dag Nal./Vol</v>
      </c>
      <c r="O303" s="141" t="str">
        <f t="shared" si="114"/>
        <v>Omde dag Vol/Nal.</v>
      </c>
      <c r="P303" s="141" t="str">
        <f t="shared" si="115"/>
        <v>Omde dag Nal./Vol</v>
      </c>
      <c r="Q303" s="141" t="str">
        <f t="shared" si="116"/>
        <v>Omde dag Vol/Nal.</v>
      </c>
      <c r="R303" s="63" t="s">
        <v>1477</v>
      </c>
      <c r="S303" s="142">
        <f t="shared" si="124"/>
        <v>365</v>
      </c>
      <c r="T303" s="143">
        <v>117</v>
      </c>
      <c r="U303" s="144"/>
      <c r="V303" s="144">
        <f>104+80</f>
        <v>184</v>
      </c>
      <c r="W303" s="144"/>
      <c r="X303" s="144"/>
      <c r="Y303" s="144"/>
      <c r="Z303" s="145"/>
      <c r="AA303" s="145"/>
      <c r="AB303" s="145"/>
      <c r="AC303" s="145"/>
      <c r="AD303" s="146" t="s">
        <v>1236</v>
      </c>
      <c r="AE303" s="171">
        <v>1</v>
      </c>
      <c r="AF303" s="147">
        <f t="shared" si="117"/>
        <v>0</v>
      </c>
      <c r="AG303" s="147">
        <f t="shared" si="118"/>
        <v>0</v>
      </c>
      <c r="AH303" s="147">
        <f t="shared" si="119"/>
        <v>0</v>
      </c>
      <c r="AI303" s="147">
        <f t="shared" si="120"/>
        <v>0</v>
      </c>
      <c r="AJ303" s="148" t="str">
        <f t="shared" si="121"/>
        <v>ja</v>
      </c>
      <c r="AK303" s="149">
        <f t="shared" si="125"/>
        <v>0</v>
      </c>
      <c r="AL303" s="149">
        <f t="shared" si="126"/>
        <v>0</v>
      </c>
      <c r="AM303" s="149">
        <f t="shared" si="127"/>
        <v>0</v>
      </c>
      <c r="AN303" s="149">
        <f t="shared" si="128"/>
        <v>0</v>
      </c>
      <c r="AO303" s="150" t="str">
        <f t="shared" si="122"/>
        <v>V</v>
      </c>
      <c r="AQ303" s="151">
        <f t="shared" si="123"/>
        <v>42705</v>
      </c>
    </row>
    <row r="304" spans="1:43" ht="15" customHeight="1">
      <c r="A304" s="82" t="e">
        <f t="shared" si="108"/>
        <v>#REF!</v>
      </c>
      <c r="B304" s="134">
        <v>104</v>
      </c>
      <c r="C304" s="135" t="s">
        <v>260</v>
      </c>
      <c r="D304" s="136" t="s">
        <v>274</v>
      </c>
      <c r="E304" s="137" t="s">
        <v>530</v>
      </c>
      <c r="F304" s="138" t="s">
        <v>536</v>
      </c>
      <c r="G304" s="139" t="s">
        <v>534</v>
      </c>
      <c r="H304" s="140" t="str">
        <f t="shared" si="109"/>
        <v>Hallen</v>
      </c>
      <c r="I304" s="138" t="s">
        <v>195</v>
      </c>
      <c r="J304" s="138" t="s">
        <v>1171</v>
      </c>
      <c r="K304" s="141" t="str">
        <f t="shared" si="110"/>
        <v>Omde dag Vol/Nal.</v>
      </c>
      <c r="L304" s="141" t="str">
        <f t="shared" si="111"/>
        <v>Omde dag Nal./Vol</v>
      </c>
      <c r="M304" s="141" t="str">
        <f t="shared" si="112"/>
        <v>Omde dag Vol/Nal.</v>
      </c>
      <c r="N304" s="141" t="str">
        <f t="shared" si="113"/>
        <v>Omde dag Nal./Vol</v>
      </c>
      <c r="O304" s="141" t="str">
        <f t="shared" si="114"/>
        <v>Omde dag Vol/Nal.</v>
      </c>
      <c r="P304" s="141" t="str">
        <f t="shared" si="115"/>
        <v>Omde dag Nal./Vol</v>
      </c>
      <c r="Q304" s="141" t="str">
        <f t="shared" si="116"/>
        <v>Omde dag Vol/Nal.</v>
      </c>
      <c r="R304" s="63" t="s">
        <v>1479</v>
      </c>
      <c r="S304" s="142">
        <f t="shared" si="124"/>
        <v>365</v>
      </c>
      <c r="T304" s="143">
        <f>(40.5+133+50+265+(1000-180)+45+22+34+145+50)*1.3</f>
        <v>2085.85</v>
      </c>
      <c r="U304" s="144"/>
      <c r="V304" s="144">
        <f>85+92+54+15+502+74+82+145+115+78</f>
        <v>1242</v>
      </c>
      <c r="W304" s="144"/>
      <c r="X304" s="144"/>
      <c r="Y304" s="144"/>
      <c r="Z304" s="145"/>
      <c r="AA304" s="145"/>
      <c r="AB304" s="145">
        <f>40.5+133+50+265+1000+45+22+34+145+50</f>
        <v>1784.5</v>
      </c>
      <c r="AC304" s="145"/>
      <c r="AD304" s="146" t="s">
        <v>679</v>
      </c>
      <c r="AE304" s="171">
        <v>1</v>
      </c>
      <c r="AF304" s="147">
        <f t="shared" si="117"/>
        <v>0</v>
      </c>
      <c r="AG304" s="147">
        <f t="shared" si="118"/>
        <v>0</v>
      </c>
      <c r="AH304" s="147">
        <f t="shared" si="119"/>
        <v>0</v>
      </c>
      <c r="AI304" s="147">
        <f t="shared" si="120"/>
        <v>0</v>
      </c>
      <c r="AJ304" s="148" t="str">
        <f t="shared" si="121"/>
        <v>ja</v>
      </c>
      <c r="AK304" s="149">
        <f t="shared" si="125"/>
        <v>0</v>
      </c>
      <c r="AL304" s="149">
        <f t="shared" si="126"/>
        <v>0</v>
      </c>
      <c r="AM304" s="149">
        <f t="shared" si="127"/>
        <v>0</v>
      </c>
      <c r="AN304" s="149">
        <f t="shared" si="128"/>
        <v>0</v>
      </c>
      <c r="AO304" s="150" t="str">
        <f t="shared" si="122"/>
        <v>V</v>
      </c>
      <c r="AQ304" s="151">
        <f t="shared" si="123"/>
        <v>761335.25</v>
      </c>
    </row>
    <row r="305" spans="1:43" ht="15" customHeight="1">
      <c r="A305" s="82" t="e">
        <f t="shared" si="108"/>
        <v>#REF!</v>
      </c>
      <c r="B305" s="134">
        <v>104</v>
      </c>
      <c r="C305" s="135" t="s">
        <v>260</v>
      </c>
      <c r="D305" s="136" t="s">
        <v>274</v>
      </c>
      <c r="E305" s="137" t="s">
        <v>530</v>
      </c>
      <c r="F305" s="138" t="s">
        <v>537</v>
      </c>
      <c r="G305" s="139" t="s">
        <v>538</v>
      </c>
      <c r="H305" s="140" t="str">
        <f t="shared" si="109"/>
        <v>Trappen</v>
      </c>
      <c r="I305" s="138" t="s">
        <v>1250</v>
      </c>
      <c r="J305" s="138" t="s">
        <v>1171</v>
      </c>
      <c r="K305" s="141" t="str">
        <f t="shared" si="110"/>
        <v>Omde dag Vol/Nal.</v>
      </c>
      <c r="L305" s="141" t="str">
        <f t="shared" si="111"/>
        <v>Omde dag Nal./Vol</v>
      </c>
      <c r="M305" s="141" t="str">
        <f t="shared" si="112"/>
        <v>Omde dag Vol/Nal.</v>
      </c>
      <c r="N305" s="141" t="str">
        <f t="shared" si="113"/>
        <v>Omde dag Nal./Vol</v>
      </c>
      <c r="O305" s="141" t="str">
        <f t="shared" si="114"/>
        <v>Omde dag Vol/Nal.</v>
      </c>
      <c r="P305" s="141" t="str">
        <f t="shared" si="115"/>
        <v>Omde dag Nal./Vol</v>
      </c>
      <c r="Q305" s="141" t="str">
        <f t="shared" si="116"/>
        <v>Omde dag Vol/Nal.</v>
      </c>
      <c r="R305" s="63" t="s">
        <v>1477</v>
      </c>
      <c r="S305" s="142">
        <f t="shared" si="124"/>
        <v>365</v>
      </c>
      <c r="T305" s="143">
        <v>62.400000000000006</v>
      </c>
      <c r="U305" s="144"/>
      <c r="V305" s="144">
        <f>79+108</f>
        <v>187</v>
      </c>
      <c r="W305" s="144"/>
      <c r="X305" s="144"/>
      <c r="Y305" s="144">
        <v>3</v>
      </c>
      <c r="Z305" s="145"/>
      <c r="AA305" s="145"/>
      <c r="AB305" s="145"/>
      <c r="AC305" s="145"/>
      <c r="AD305" s="146" t="s">
        <v>1237</v>
      </c>
      <c r="AE305" s="171">
        <v>1</v>
      </c>
      <c r="AF305" s="147">
        <f t="shared" si="117"/>
        <v>0</v>
      </c>
      <c r="AG305" s="147">
        <f t="shared" si="118"/>
        <v>0</v>
      </c>
      <c r="AH305" s="147">
        <f t="shared" si="119"/>
        <v>0</v>
      </c>
      <c r="AI305" s="147">
        <f t="shared" si="120"/>
        <v>0</v>
      </c>
      <c r="AJ305" s="148" t="str">
        <f t="shared" si="121"/>
        <v>ja</v>
      </c>
      <c r="AK305" s="149">
        <f t="shared" si="125"/>
        <v>0</v>
      </c>
      <c r="AL305" s="149">
        <f t="shared" si="126"/>
        <v>0</v>
      </c>
      <c r="AM305" s="149">
        <f t="shared" si="127"/>
        <v>0</v>
      </c>
      <c r="AN305" s="149">
        <f t="shared" si="128"/>
        <v>0</v>
      </c>
      <c r="AO305" s="150" t="str">
        <f t="shared" si="122"/>
        <v>V</v>
      </c>
      <c r="AQ305" s="151">
        <f t="shared" si="123"/>
        <v>22776.000000000004</v>
      </c>
    </row>
    <row r="306" spans="1:43" ht="15" customHeight="1">
      <c r="A306" s="82" t="e">
        <f t="shared" si="108"/>
        <v>#REF!</v>
      </c>
      <c r="B306" s="134">
        <v>104</v>
      </c>
      <c r="C306" s="135" t="s">
        <v>260</v>
      </c>
      <c r="D306" s="136" t="s">
        <v>274</v>
      </c>
      <c r="E306" s="137" t="s">
        <v>530</v>
      </c>
      <c r="F306" s="138" t="s">
        <v>531</v>
      </c>
      <c r="G306" s="139" t="s">
        <v>539</v>
      </c>
      <c r="H306" s="140" t="str">
        <f t="shared" si="109"/>
        <v>Roltrappen(inclusief aangrenzende bouwdelen)</v>
      </c>
      <c r="I306" s="138" t="s">
        <v>1251</v>
      </c>
      <c r="J306" s="138" t="s">
        <v>1171</v>
      </c>
      <c r="K306" s="141" t="str">
        <f t="shared" si="110"/>
        <v>Omde dag Vol/Nal.</v>
      </c>
      <c r="L306" s="141" t="str">
        <f t="shared" si="111"/>
        <v>Omde dag Nal./Vol</v>
      </c>
      <c r="M306" s="141" t="str">
        <f t="shared" si="112"/>
        <v>Omde dag Vol/Nal.</v>
      </c>
      <c r="N306" s="141" t="str">
        <f t="shared" si="113"/>
        <v>Omde dag Nal./Vol</v>
      </c>
      <c r="O306" s="141" t="str">
        <f t="shared" si="114"/>
        <v>Omde dag Vol/Nal.</v>
      </c>
      <c r="P306" s="141" t="str">
        <f t="shared" si="115"/>
        <v>Omde dag Nal./Vol</v>
      </c>
      <c r="Q306" s="141" t="str">
        <f t="shared" si="116"/>
        <v>Omde dag Vol/Nal.</v>
      </c>
      <c r="R306" s="63" t="s">
        <v>1481</v>
      </c>
      <c r="S306" s="142">
        <f t="shared" si="124"/>
        <v>365</v>
      </c>
      <c r="T306" s="143">
        <v>28</v>
      </c>
      <c r="U306" s="144"/>
      <c r="V306" s="144"/>
      <c r="W306" s="144"/>
      <c r="X306" s="144"/>
      <c r="Y306" s="144"/>
      <c r="Z306" s="145"/>
      <c r="AA306" s="145"/>
      <c r="AB306" s="145"/>
      <c r="AC306" s="145"/>
      <c r="AD306" s="146"/>
      <c r="AE306" s="171">
        <v>1</v>
      </c>
      <c r="AF306" s="147">
        <f t="shared" si="117"/>
        <v>0</v>
      </c>
      <c r="AG306" s="147">
        <f t="shared" si="118"/>
        <v>0</v>
      </c>
      <c r="AH306" s="147">
        <f t="shared" si="119"/>
        <v>0</v>
      </c>
      <c r="AI306" s="147">
        <f t="shared" si="120"/>
        <v>0</v>
      </c>
      <c r="AJ306" s="148" t="str">
        <f t="shared" si="121"/>
        <v>ja</v>
      </c>
      <c r="AK306" s="149">
        <f t="shared" si="125"/>
        <v>0</v>
      </c>
      <c r="AL306" s="149">
        <f t="shared" si="126"/>
        <v>0</v>
      </c>
      <c r="AM306" s="149">
        <f t="shared" si="127"/>
        <v>0</v>
      </c>
      <c r="AN306" s="149">
        <f t="shared" si="128"/>
        <v>0</v>
      </c>
      <c r="AO306" s="150" t="str">
        <f t="shared" si="122"/>
        <v>V</v>
      </c>
      <c r="AQ306" s="151">
        <f t="shared" si="123"/>
        <v>10220</v>
      </c>
    </row>
    <row r="307" spans="1:43" ht="15" customHeight="1">
      <c r="A307" s="82" t="e">
        <f t="shared" si="108"/>
        <v>#REF!</v>
      </c>
      <c r="B307" s="134">
        <v>104</v>
      </c>
      <c r="C307" s="135" t="s">
        <v>260</v>
      </c>
      <c r="D307" s="136" t="s">
        <v>274</v>
      </c>
      <c r="E307" s="137" t="s">
        <v>530</v>
      </c>
      <c r="F307" s="138" t="s">
        <v>533</v>
      </c>
      <c r="G307" s="139" t="s">
        <v>540</v>
      </c>
      <c r="H307" s="140" t="str">
        <f t="shared" si="109"/>
        <v>Trappen</v>
      </c>
      <c r="I307" s="138" t="s">
        <v>1250</v>
      </c>
      <c r="J307" s="138" t="s">
        <v>1171</v>
      </c>
      <c r="K307" s="141" t="str">
        <f t="shared" si="110"/>
        <v>Omde dag Vol/Nal.</v>
      </c>
      <c r="L307" s="141" t="str">
        <f t="shared" si="111"/>
        <v>Omde dag Nal./Vol</v>
      </c>
      <c r="M307" s="141" t="str">
        <f t="shared" si="112"/>
        <v>Omde dag Vol/Nal.</v>
      </c>
      <c r="N307" s="141" t="str">
        <f t="shared" si="113"/>
        <v>Omde dag Nal./Vol</v>
      </c>
      <c r="O307" s="141" t="str">
        <f t="shared" si="114"/>
        <v>Omde dag Vol/Nal.</v>
      </c>
      <c r="P307" s="141" t="str">
        <f t="shared" si="115"/>
        <v>Omde dag Nal./Vol</v>
      </c>
      <c r="Q307" s="141" t="str">
        <f t="shared" si="116"/>
        <v>Omde dag Vol/Nal.</v>
      </c>
      <c r="R307" s="63" t="s">
        <v>1477</v>
      </c>
      <c r="S307" s="142">
        <f t="shared" si="124"/>
        <v>365</v>
      </c>
      <c r="T307" s="143">
        <v>39</v>
      </c>
      <c r="U307" s="144"/>
      <c r="V307" s="144">
        <f>111+31</f>
        <v>142</v>
      </c>
      <c r="W307" s="144"/>
      <c r="X307" s="144"/>
      <c r="Y307" s="144"/>
      <c r="Z307" s="145"/>
      <c r="AA307" s="145"/>
      <c r="AB307" s="145">
        <v>50</v>
      </c>
      <c r="AC307" s="145"/>
      <c r="AD307" s="146" t="s">
        <v>1238</v>
      </c>
      <c r="AE307" s="171">
        <v>1</v>
      </c>
      <c r="AF307" s="147">
        <f t="shared" si="117"/>
        <v>0</v>
      </c>
      <c r="AG307" s="147">
        <f t="shared" si="118"/>
        <v>0</v>
      </c>
      <c r="AH307" s="147">
        <f t="shared" si="119"/>
        <v>0</v>
      </c>
      <c r="AI307" s="147">
        <f t="shared" si="120"/>
        <v>0</v>
      </c>
      <c r="AJ307" s="148" t="str">
        <f t="shared" si="121"/>
        <v>ja</v>
      </c>
      <c r="AK307" s="149">
        <f t="shared" si="125"/>
        <v>0</v>
      </c>
      <c r="AL307" s="149">
        <f t="shared" si="126"/>
        <v>0</v>
      </c>
      <c r="AM307" s="149">
        <f t="shared" si="127"/>
        <v>0</v>
      </c>
      <c r="AN307" s="149">
        <f t="shared" si="128"/>
        <v>0</v>
      </c>
      <c r="AO307" s="150" t="str">
        <f t="shared" si="122"/>
        <v>V</v>
      </c>
      <c r="AQ307" s="151">
        <f t="shared" si="123"/>
        <v>14235</v>
      </c>
    </row>
    <row r="308" spans="1:43" ht="15" customHeight="1">
      <c r="A308" s="82" t="e">
        <f t="shared" si="108"/>
        <v>#REF!</v>
      </c>
      <c r="B308" s="134">
        <v>104</v>
      </c>
      <c r="C308" s="135" t="s">
        <v>260</v>
      </c>
      <c r="D308" s="136" t="s">
        <v>274</v>
      </c>
      <c r="E308" s="137" t="s">
        <v>530</v>
      </c>
      <c r="F308" s="138" t="s">
        <v>541</v>
      </c>
      <c r="G308" s="139" t="s">
        <v>542</v>
      </c>
      <c r="H308" s="140" t="str">
        <f t="shared" si="109"/>
        <v>Trappen</v>
      </c>
      <c r="I308" s="138" t="s">
        <v>1250</v>
      </c>
      <c r="J308" s="138" t="s">
        <v>1171</v>
      </c>
      <c r="K308" s="141" t="str">
        <f t="shared" si="110"/>
        <v>Omde dag Vol/Nal.</v>
      </c>
      <c r="L308" s="141" t="str">
        <f t="shared" si="111"/>
        <v>Omde dag Nal./Vol</v>
      </c>
      <c r="M308" s="141" t="str">
        <f t="shared" si="112"/>
        <v>Omde dag Vol/Nal.</v>
      </c>
      <c r="N308" s="141" t="str">
        <f t="shared" si="113"/>
        <v>Omde dag Nal./Vol</v>
      </c>
      <c r="O308" s="141" t="str">
        <f t="shared" si="114"/>
        <v>Omde dag Vol/Nal.</v>
      </c>
      <c r="P308" s="141" t="str">
        <f t="shared" si="115"/>
        <v>Omde dag Nal./Vol</v>
      </c>
      <c r="Q308" s="141" t="str">
        <f t="shared" si="116"/>
        <v>Omde dag Vol/Nal.</v>
      </c>
      <c r="R308" s="63" t="s">
        <v>1477</v>
      </c>
      <c r="S308" s="142">
        <f t="shared" si="124"/>
        <v>365</v>
      </c>
      <c r="T308" s="143">
        <v>84.5</v>
      </c>
      <c r="U308" s="144"/>
      <c r="V308" s="144">
        <f>156</f>
        <v>156</v>
      </c>
      <c r="W308" s="144"/>
      <c r="X308" s="144"/>
      <c r="Y308" s="144"/>
      <c r="Z308" s="145"/>
      <c r="AA308" s="145"/>
      <c r="AB308" s="145"/>
      <c r="AC308" s="145"/>
      <c r="AD308" s="146"/>
      <c r="AE308" s="171">
        <v>1</v>
      </c>
      <c r="AF308" s="147">
        <f t="shared" si="117"/>
        <v>0</v>
      </c>
      <c r="AG308" s="147">
        <f t="shared" si="118"/>
        <v>0</v>
      </c>
      <c r="AH308" s="147">
        <f t="shared" si="119"/>
        <v>0</v>
      </c>
      <c r="AI308" s="147">
        <f t="shared" si="120"/>
        <v>0</v>
      </c>
      <c r="AJ308" s="148" t="str">
        <f t="shared" si="121"/>
        <v>ja</v>
      </c>
      <c r="AK308" s="149">
        <f t="shared" si="125"/>
        <v>0</v>
      </c>
      <c r="AL308" s="149">
        <f t="shared" si="126"/>
        <v>0</v>
      </c>
      <c r="AM308" s="149">
        <f t="shared" si="127"/>
        <v>0</v>
      </c>
      <c r="AN308" s="149">
        <f t="shared" si="128"/>
        <v>0</v>
      </c>
      <c r="AO308" s="150" t="str">
        <f t="shared" si="122"/>
        <v>V</v>
      </c>
      <c r="AQ308" s="151">
        <f t="shared" si="123"/>
        <v>30842.5</v>
      </c>
    </row>
    <row r="309" spans="1:43" ht="15" customHeight="1">
      <c r="A309" s="82" t="e">
        <f t="shared" si="108"/>
        <v>#REF!</v>
      </c>
      <c r="B309" s="134">
        <v>104</v>
      </c>
      <c r="C309" s="135" t="s">
        <v>260</v>
      </c>
      <c r="D309" s="136" t="s">
        <v>274</v>
      </c>
      <c r="E309" s="137" t="s">
        <v>530</v>
      </c>
      <c r="F309" s="138" t="s">
        <v>533</v>
      </c>
      <c r="G309" s="139" t="s">
        <v>543</v>
      </c>
      <c r="H309" s="140" t="str">
        <f t="shared" si="109"/>
        <v>Trappen</v>
      </c>
      <c r="I309" s="138" t="s">
        <v>1250</v>
      </c>
      <c r="J309" s="138" t="s">
        <v>1171</v>
      </c>
      <c r="K309" s="141" t="str">
        <f t="shared" si="110"/>
        <v>Omde dag Vol/Nal.</v>
      </c>
      <c r="L309" s="141" t="str">
        <f t="shared" si="111"/>
        <v>Omde dag Nal./Vol</v>
      </c>
      <c r="M309" s="141" t="str">
        <f t="shared" si="112"/>
        <v>Omde dag Vol/Nal.</v>
      </c>
      <c r="N309" s="141" t="str">
        <f t="shared" si="113"/>
        <v>Omde dag Nal./Vol</v>
      </c>
      <c r="O309" s="141" t="str">
        <f t="shared" si="114"/>
        <v>Omde dag Vol/Nal.</v>
      </c>
      <c r="P309" s="141" t="str">
        <f t="shared" si="115"/>
        <v>Omde dag Nal./Vol</v>
      </c>
      <c r="Q309" s="141" t="str">
        <f t="shared" si="116"/>
        <v>Omde dag Vol/Nal.</v>
      </c>
      <c r="R309" s="63" t="s">
        <v>1477</v>
      </c>
      <c r="S309" s="142">
        <f t="shared" si="124"/>
        <v>365</v>
      </c>
      <c r="T309" s="143">
        <v>72.8</v>
      </c>
      <c r="U309" s="144"/>
      <c r="V309" s="144">
        <v>95</v>
      </c>
      <c r="W309" s="144"/>
      <c r="X309" s="144"/>
      <c r="Y309" s="144"/>
      <c r="Z309" s="145"/>
      <c r="AA309" s="145"/>
      <c r="AB309" s="145">
        <v>29</v>
      </c>
      <c r="AC309" s="145"/>
      <c r="AD309" s="146"/>
      <c r="AE309" s="171">
        <v>1</v>
      </c>
      <c r="AF309" s="147">
        <f t="shared" si="117"/>
        <v>0</v>
      </c>
      <c r="AG309" s="147">
        <f t="shared" si="118"/>
        <v>0</v>
      </c>
      <c r="AH309" s="147">
        <f t="shared" si="119"/>
        <v>0</v>
      </c>
      <c r="AI309" s="147">
        <f t="shared" si="120"/>
        <v>0</v>
      </c>
      <c r="AJ309" s="148" t="str">
        <f t="shared" si="121"/>
        <v>ja</v>
      </c>
      <c r="AK309" s="149">
        <f t="shared" si="125"/>
        <v>0</v>
      </c>
      <c r="AL309" s="149">
        <f t="shared" si="126"/>
        <v>0</v>
      </c>
      <c r="AM309" s="149">
        <f t="shared" si="127"/>
        <v>0</v>
      </c>
      <c r="AN309" s="149">
        <f t="shared" si="128"/>
        <v>0</v>
      </c>
      <c r="AO309" s="150" t="str">
        <f t="shared" si="122"/>
        <v>V</v>
      </c>
      <c r="AQ309" s="151">
        <f t="shared" si="123"/>
        <v>26572</v>
      </c>
    </row>
    <row r="310" spans="1:43" ht="15" customHeight="1">
      <c r="A310" s="82" t="e">
        <f t="shared" si="108"/>
        <v>#REF!</v>
      </c>
      <c r="B310" s="134">
        <v>104</v>
      </c>
      <c r="C310" s="135" t="s">
        <v>260</v>
      </c>
      <c r="D310" s="136" t="s">
        <v>274</v>
      </c>
      <c r="E310" s="137" t="s">
        <v>530</v>
      </c>
      <c r="F310" s="138" t="s">
        <v>533</v>
      </c>
      <c r="G310" s="139" t="s">
        <v>544</v>
      </c>
      <c r="H310" s="140" t="str">
        <f t="shared" si="109"/>
        <v>Trappen</v>
      </c>
      <c r="I310" s="138" t="s">
        <v>1250</v>
      </c>
      <c r="J310" s="138" t="s">
        <v>1171</v>
      </c>
      <c r="K310" s="141" t="str">
        <f t="shared" si="110"/>
        <v>Omde dag Vol/Nal.</v>
      </c>
      <c r="L310" s="141" t="str">
        <f t="shared" si="111"/>
        <v>Omde dag Nal./Vol</v>
      </c>
      <c r="M310" s="141" t="str">
        <f t="shared" si="112"/>
        <v>Omde dag Vol/Nal.</v>
      </c>
      <c r="N310" s="141" t="str">
        <f t="shared" si="113"/>
        <v>Omde dag Nal./Vol</v>
      </c>
      <c r="O310" s="141" t="str">
        <f t="shared" si="114"/>
        <v>Omde dag Vol/Nal.</v>
      </c>
      <c r="P310" s="141" t="str">
        <f t="shared" si="115"/>
        <v>Omde dag Nal./Vol</v>
      </c>
      <c r="Q310" s="141" t="str">
        <f t="shared" si="116"/>
        <v>Omde dag Vol/Nal.</v>
      </c>
      <c r="R310" s="63" t="s">
        <v>1477</v>
      </c>
      <c r="S310" s="142">
        <f t="shared" si="124"/>
        <v>365</v>
      </c>
      <c r="T310" s="143">
        <f>(30+2*1.5)*1.3</f>
        <v>42.9</v>
      </c>
      <c r="U310" s="144"/>
      <c r="V310" s="144">
        <f>95+78</f>
        <v>173</v>
      </c>
      <c r="W310" s="144"/>
      <c r="X310" s="144"/>
      <c r="Y310" s="144"/>
      <c r="Z310" s="145"/>
      <c r="AA310" s="145"/>
      <c r="AB310" s="145">
        <v>70</v>
      </c>
      <c r="AC310" s="145"/>
      <c r="AD310" s="146" t="s">
        <v>1239</v>
      </c>
      <c r="AE310" s="171">
        <v>1</v>
      </c>
      <c r="AF310" s="147">
        <f t="shared" si="117"/>
        <v>0</v>
      </c>
      <c r="AG310" s="147">
        <f t="shared" si="118"/>
        <v>0</v>
      </c>
      <c r="AH310" s="147">
        <f t="shared" si="119"/>
        <v>0</v>
      </c>
      <c r="AI310" s="147">
        <f t="shared" si="120"/>
        <v>0</v>
      </c>
      <c r="AJ310" s="148" t="str">
        <f t="shared" si="121"/>
        <v>ja</v>
      </c>
      <c r="AK310" s="149">
        <f t="shared" si="125"/>
        <v>0</v>
      </c>
      <c r="AL310" s="149">
        <f t="shared" si="126"/>
        <v>0</v>
      </c>
      <c r="AM310" s="149">
        <f t="shared" si="127"/>
        <v>0</v>
      </c>
      <c r="AN310" s="149">
        <f t="shared" si="128"/>
        <v>0</v>
      </c>
      <c r="AO310" s="150" t="str">
        <f t="shared" si="122"/>
        <v>V</v>
      </c>
      <c r="AQ310" s="151">
        <f t="shared" si="123"/>
        <v>15658.5</v>
      </c>
    </row>
    <row r="311" spans="1:43" ht="15" customHeight="1">
      <c r="A311" s="82" t="e">
        <f t="shared" si="108"/>
        <v>#REF!</v>
      </c>
      <c r="B311" s="134">
        <v>104</v>
      </c>
      <c r="C311" s="135" t="s">
        <v>260</v>
      </c>
      <c r="D311" s="136" t="s">
        <v>274</v>
      </c>
      <c r="E311" s="137" t="s">
        <v>530</v>
      </c>
      <c r="F311" s="138" t="s">
        <v>531</v>
      </c>
      <c r="G311" s="139" t="s">
        <v>545</v>
      </c>
      <c r="H311" s="140" t="str">
        <f t="shared" si="109"/>
        <v>Roltrappen(inclusief aangrenzende bouwdelen)</v>
      </c>
      <c r="I311" s="138" t="s">
        <v>1251</v>
      </c>
      <c r="J311" s="138" t="s">
        <v>1171</v>
      </c>
      <c r="K311" s="141" t="str">
        <f t="shared" si="110"/>
        <v>Omde dag Vol/Nal.</v>
      </c>
      <c r="L311" s="141" t="str">
        <f t="shared" si="111"/>
        <v>Omde dag Nal./Vol</v>
      </c>
      <c r="M311" s="141" t="str">
        <f t="shared" si="112"/>
        <v>Omde dag Vol/Nal.</v>
      </c>
      <c r="N311" s="141" t="str">
        <f t="shared" si="113"/>
        <v>Omde dag Nal./Vol</v>
      </c>
      <c r="O311" s="141" t="str">
        <f t="shared" si="114"/>
        <v>Omde dag Vol/Nal.</v>
      </c>
      <c r="P311" s="141" t="str">
        <f t="shared" si="115"/>
        <v>Omde dag Nal./Vol</v>
      </c>
      <c r="Q311" s="141" t="str">
        <f t="shared" si="116"/>
        <v>Omde dag Vol/Nal.</v>
      </c>
      <c r="R311" s="63" t="s">
        <v>1481</v>
      </c>
      <c r="S311" s="142">
        <f t="shared" si="124"/>
        <v>365</v>
      </c>
      <c r="T311" s="143">
        <v>32</v>
      </c>
      <c r="U311" s="144"/>
      <c r="V311" s="144"/>
      <c r="W311" s="144"/>
      <c r="X311" s="144"/>
      <c r="Y311" s="144"/>
      <c r="Z311" s="145"/>
      <c r="AA311" s="145"/>
      <c r="AB311" s="145"/>
      <c r="AC311" s="145"/>
      <c r="AD311" s="146"/>
      <c r="AE311" s="171">
        <v>1</v>
      </c>
      <c r="AF311" s="147">
        <f t="shared" si="117"/>
        <v>0</v>
      </c>
      <c r="AG311" s="147">
        <f t="shared" si="118"/>
        <v>0</v>
      </c>
      <c r="AH311" s="147">
        <f t="shared" si="119"/>
        <v>0</v>
      </c>
      <c r="AI311" s="147">
        <f t="shared" si="120"/>
        <v>0</v>
      </c>
      <c r="AJ311" s="148" t="str">
        <f t="shared" si="121"/>
        <v>ja</v>
      </c>
      <c r="AK311" s="149">
        <f t="shared" si="125"/>
        <v>0</v>
      </c>
      <c r="AL311" s="149">
        <f t="shared" si="126"/>
        <v>0</v>
      </c>
      <c r="AM311" s="149">
        <f t="shared" si="127"/>
        <v>0</v>
      </c>
      <c r="AN311" s="149">
        <f t="shared" si="128"/>
        <v>0</v>
      </c>
      <c r="AO311" s="150" t="str">
        <f t="shared" si="122"/>
        <v>V</v>
      </c>
      <c r="AQ311" s="151">
        <f t="shared" si="123"/>
        <v>11680</v>
      </c>
    </row>
    <row r="312" spans="1:43" ht="15" customHeight="1">
      <c r="A312" s="82" t="e">
        <f t="shared" si="108"/>
        <v>#REF!</v>
      </c>
      <c r="B312" s="134">
        <v>104</v>
      </c>
      <c r="C312" s="135" t="s">
        <v>260</v>
      </c>
      <c r="D312" s="136" t="s">
        <v>274</v>
      </c>
      <c r="E312" s="137" t="s">
        <v>530</v>
      </c>
      <c r="F312" s="138" t="s">
        <v>546</v>
      </c>
      <c r="G312" s="139" t="s">
        <v>547</v>
      </c>
      <c r="H312" s="140" t="str">
        <f t="shared" si="109"/>
        <v>Roltrappen(inclusief aangrenzende bouwdelen)</v>
      </c>
      <c r="I312" s="138" t="s">
        <v>1251</v>
      </c>
      <c r="J312" s="138" t="s">
        <v>1171</v>
      </c>
      <c r="K312" s="141" t="str">
        <f t="shared" si="110"/>
        <v>Omde dag Vol/Nal.</v>
      </c>
      <c r="L312" s="141" t="str">
        <f t="shared" si="111"/>
        <v>Omde dag Nal./Vol</v>
      </c>
      <c r="M312" s="141" t="str">
        <f t="shared" si="112"/>
        <v>Omde dag Vol/Nal.</v>
      </c>
      <c r="N312" s="141" t="str">
        <f t="shared" si="113"/>
        <v>Omde dag Nal./Vol</v>
      </c>
      <c r="O312" s="141" t="str">
        <f t="shared" si="114"/>
        <v>Omde dag Vol/Nal.</v>
      </c>
      <c r="P312" s="141" t="str">
        <f t="shared" si="115"/>
        <v>Omde dag Nal./Vol</v>
      </c>
      <c r="Q312" s="141" t="str">
        <f t="shared" si="116"/>
        <v>Omde dag Vol/Nal.</v>
      </c>
      <c r="R312" s="63" t="s">
        <v>1481</v>
      </c>
      <c r="S312" s="142">
        <f t="shared" si="124"/>
        <v>365</v>
      </c>
      <c r="T312" s="143">
        <v>21</v>
      </c>
      <c r="U312" s="144"/>
      <c r="V312" s="144"/>
      <c r="W312" s="144"/>
      <c r="X312" s="144"/>
      <c r="Y312" s="144"/>
      <c r="Z312" s="145"/>
      <c r="AA312" s="145"/>
      <c r="AB312" s="145"/>
      <c r="AC312" s="145"/>
      <c r="AD312" s="146"/>
      <c r="AE312" s="171">
        <v>1</v>
      </c>
      <c r="AF312" s="147">
        <f t="shared" si="117"/>
        <v>0</v>
      </c>
      <c r="AG312" s="147">
        <f t="shared" si="118"/>
        <v>0</v>
      </c>
      <c r="AH312" s="147">
        <f t="shared" si="119"/>
        <v>0</v>
      </c>
      <c r="AI312" s="147">
        <f t="shared" si="120"/>
        <v>0</v>
      </c>
      <c r="AJ312" s="148" t="str">
        <f t="shared" si="121"/>
        <v>ja</v>
      </c>
      <c r="AK312" s="149">
        <f t="shared" si="125"/>
        <v>0</v>
      </c>
      <c r="AL312" s="149">
        <f t="shared" si="126"/>
        <v>0</v>
      </c>
      <c r="AM312" s="149">
        <f t="shared" si="127"/>
        <v>0</v>
      </c>
      <c r="AN312" s="149">
        <f t="shared" si="128"/>
        <v>0</v>
      </c>
      <c r="AO312" s="150" t="str">
        <f t="shared" si="122"/>
        <v>V</v>
      </c>
      <c r="AQ312" s="151">
        <f t="shared" si="123"/>
        <v>7665</v>
      </c>
    </row>
    <row r="313" spans="1:43" ht="15" customHeight="1">
      <c r="A313" s="82" t="e">
        <f t="shared" si="108"/>
        <v>#REF!</v>
      </c>
      <c r="B313" s="134">
        <v>104</v>
      </c>
      <c r="C313" s="135" t="s">
        <v>260</v>
      </c>
      <c r="D313" s="136" t="s">
        <v>274</v>
      </c>
      <c r="E313" s="137" t="s">
        <v>530</v>
      </c>
      <c r="F313" s="138" t="s">
        <v>548</v>
      </c>
      <c r="G313" s="139" t="s">
        <v>549</v>
      </c>
      <c r="H313" s="140" t="str">
        <f t="shared" si="109"/>
        <v>Trappen</v>
      </c>
      <c r="I313" s="138" t="s">
        <v>1250</v>
      </c>
      <c r="J313" s="138" t="s">
        <v>1171</v>
      </c>
      <c r="K313" s="141" t="str">
        <f t="shared" si="110"/>
        <v>Omde dag Vol/Nal.</v>
      </c>
      <c r="L313" s="141" t="str">
        <f t="shared" si="111"/>
        <v>Omde dag Nal./Vol</v>
      </c>
      <c r="M313" s="141" t="str">
        <f t="shared" si="112"/>
        <v>Omde dag Vol/Nal.</v>
      </c>
      <c r="N313" s="141" t="str">
        <f t="shared" si="113"/>
        <v>Omde dag Nal./Vol</v>
      </c>
      <c r="O313" s="141" t="str">
        <f t="shared" si="114"/>
        <v>Omde dag Vol/Nal.</v>
      </c>
      <c r="P313" s="141" t="str">
        <f t="shared" si="115"/>
        <v>Omde dag Nal./Vol</v>
      </c>
      <c r="Q313" s="141" t="str">
        <f t="shared" si="116"/>
        <v>Omde dag Vol/Nal.</v>
      </c>
      <c r="R313" s="63" t="s">
        <v>1477</v>
      </c>
      <c r="S313" s="142">
        <f t="shared" si="124"/>
        <v>365</v>
      </c>
      <c r="T313" s="143">
        <f>(3.4*8.2)*1.3</f>
        <v>36.243999999999993</v>
      </c>
      <c r="U313" s="144"/>
      <c r="V313" s="144"/>
      <c r="W313" s="144"/>
      <c r="X313" s="144"/>
      <c r="Y313" s="144"/>
      <c r="Z313" s="145"/>
      <c r="AA313" s="145"/>
      <c r="AB313" s="145"/>
      <c r="AC313" s="145"/>
      <c r="AD313" s="146"/>
      <c r="AE313" s="171">
        <v>1</v>
      </c>
      <c r="AF313" s="147">
        <f t="shared" si="117"/>
        <v>0</v>
      </c>
      <c r="AG313" s="147">
        <f t="shared" si="118"/>
        <v>0</v>
      </c>
      <c r="AH313" s="147">
        <f t="shared" si="119"/>
        <v>0</v>
      </c>
      <c r="AI313" s="147">
        <f t="shared" si="120"/>
        <v>0</v>
      </c>
      <c r="AJ313" s="148" t="str">
        <f t="shared" si="121"/>
        <v>ja</v>
      </c>
      <c r="AK313" s="149">
        <f t="shared" si="125"/>
        <v>0</v>
      </c>
      <c r="AL313" s="149">
        <f t="shared" si="126"/>
        <v>0</v>
      </c>
      <c r="AM313" s="149">
        <f t="shared" si="127"/>
        <v>0</v>
      </c>
      <c r="AN313" s="149">
        <f t="shared" si="128"/>
        <v>0</v>
      </c>
      <c r="AO313" s="150" t="str">
        <f t="shared" si="122"/>
        <v>V</v>
      </c>
      <c r="AQ313" s="151">
        <f t="shared" si="123"/>
        <v>13229.059999999998</v>
      </c>
    </row>
    <row r="314" spans="1:43" ht="15" customHeight="1">
      <c r="A314" s="82" t="e">
        <f t="shared" si="108"/>
        <v>#REF!</v>
      </c>
      <c r="B314" s="134">
        <v>104</v>
      </c>
      <c r="C314" s="135" t="s">
        <v>260</v>
      </c>
      <c r="D314" s="136" t="s">
        <v>274</v>
      </c>
      <c r="E314" s="137" t="s">
        <v>530</v>
      </c>
      <c r="F314" s="138" t="s">
        <v>550</v>
      </c>
      <c r="G314" s="139" t="s">
        <v>551</v>
      </c>
      <c r="H314" s="140" t="str">
        <f t="shared" si="109"/>
        <v>Niet van toepassing</v>
      </c>
      <c r="I314" s="138" t="s">
        <v>261</v>
      </c>
      <c r="J314" s="138" t="s">
        <v>1172</v>
      </c>
      <c r="K314" s="141" t="str">
        <f t="shared" si="110"/>
        <v>NVT</v>
      </c>
      <c r="L314" s="141" t="str">
        <f t="shared" si="111"/>
        <v>NVT</v>
      </c>
      <c r="M314" s="141" t="str">
        <f t="shared" si="112"/>
        <v>NVT</v>
      </c>
      <c r="N314" s="141" t="str">
        <f t="shared" si="113"/>
        <v>NVT</v>
      </c>
      <c r="O314" s="141" t="str">
        <f t="shared" si="114"/>
        <v>NVT</v>
      </c>
      <c r="P314" s="141" t="str">
        <f t="shared" si="115"/>
        <v>NVT</v>
      </c>
      <c r="Q314" s="141" t="str">
        <f t="shared" si="116"/>
        <v>NVT</v>
      </c>
      <c r="R314" s="63" t="s">
        <v>1221</v>
      </c>
      <c r="S314" s="142">
        <f t="shared" si="124"/>
        <v>0</v>
      </c>
      <c r="T314" s="143">
        <v>91</v>
      </c>
      <c r="U314" s="144"/>
      <c r="V314" s="144">
        <v>77</v>
      </c>
      <c r="W314" s="144"/>
      <c r="X314" s="144"/>
      <c r="Y314" s="144"/>
      <c r="Z314" s="145"/>
      <c r="AA314" s="145"/>
      <c r="AB314" s="145">
        <v>28</v>
      </c>
      <c r="AC314" s="145"/>
      <c r="AD314" s="146" t="s">
        <v>490</v>
      </c>
      <c r="AE314" s="171">
        <v>1</v>
      </c>
      <c r="AF314" s="147">
        <f t="shared" si="117"/>
        <v>0</v>
      </c>
      <c r="AG314" s="147">
        <f t="shared" si="118"/>
        <v>0</v>
      </c>
      <c r="AH314" s="147">
        <f t="shared" si="119"/>
        <v>0</v>
      </c>
      <c r="AI314" s="147">
        <f t="shared" si="120"/>
        <v>0</v>
      </c>
      <c r="AJ314" s="148">
        <f t="shared" si="121"/>
        <v>0</v>
      </c>
      <c r="AK314" s="149">
        <f t="shared" si="125"/>
        <v>0</v>
      </c>
      <c r="AL314" s="149">
        <f t="shared" si="126"/>
        <v>0</v>
      </c>
      <c r="AM314" s="149">
        <f t="shared" si="127"/>
        <v>0</v>
      </c>
      <c r="AN314" s="149">
        <f t="shared" si="128"/>
        <v>0</v>
      </c>
      <c r="AO314" s="150">
        <f t="shared" si="122"/>
        <v>0</v>
      </c>
      <c r="AQ314" s="151">
        <f t="shared" si="123"/>
        <v>0</v>
      </c>
    </row>
    <row r="315" spans="1:43" ht="15" customHeight="1">
      <c r="A315" s="82" t="e">
        <f t="shared" si="108"/>
        <v>#REF!</v>
      </c>
      <c r="B315" s="134">
        <v>104</v>
      </c>
      <c r="C315" s="135" t="s">
        <v>260</v>
      </c>
      <c r="D315" s="136" t="s">
        <v>274</v>
      </c>
      <c r="E315" s="137" t="s">
        <v>530</v>
      </c>
      <c r="F315" s="138" t="s">
        <v>552</v>
      </c>
      <c r="G315" s="139" t="s">
        <v>553</v>
      </c>
      <c r="H315" s="140" t="str">
        <f t="shared" si="109"/>
        <v>Roltrappen(inclusief aangrenzende bouwdelen)</v>
      </c>
      <c r="I315" s="138" t="s">
        <v>1251</v>
      </c>
      <c r="J315" s="138" t="s">
        <v>1171</v>
      </c>
      <c r="K315" s="141" t="str">
        <f t="shared" si="110"/>
        <v>Omde dag Vol/Nal.</v>
      </c>
      <c r="L315" s="141" t="str">
        <f t="shared" si="111"/>
        <v>Omde dag Nal./Vol</v>
      </c>
      <c r="M315" s="141" t="str">
        <f t="shared" si="112"/>
        <v>Omde dag Vol/Nal.</v>
      </c>
      <c r="N315" s="141" t="str">
        <f t="shared" si="113"/>
        <v>Omde dag Nal./Vol</v>
      </c>
      <c r="O315" s="141" t="str">
        <f t="shared" si="114"/>
        <v>Omde dag Vol/Nal.</v>
      </c>
      <c r="P315" s="141" t="str">
        <f t="shared" si="115"/>
        <v>Omde dag Nal./Vol</v>
      </c>
      <c r="Q315" s="141" t="str">
        <f t="shared" si="116"/>
        <v>Omde dag Vol/Nal.</v>
      </c>
      <c r="R315" s="63" t="s">
        <v>1481</v>
      </c>
      <c r="S315" s="142">
        <f t="shared" si="124"/>
        <v>365</v>
      </c>
      <c r="T315" s="143">
        <v>21</v>
      </c>
      <c r="U315" s="144"/>
      <c r="V315" s="144"/>
      <c r="W315" s="144"/>
      <c r="X315" s="144"/>
      <c r="Y315" s="144"/>
      <c r="Z315" s="145"/>
      <c r="AA315" s="145"/>
      <c r="AB315" s="145"/>
      <c r="AC315" s="145"/>
      <c r="AD315" s="146"/>
      <c r="AE315" s="171">
        <v>1</v>
      </c>
      <c r="AF315" s="147">
        <f t="shared" si="117"/>
        <v>0</v>
      </c>
      <c r="AG315" s="147">
        <f t="shared" si="118"/>
        <v>0</v>
      </c>
      <c r="AH315" s="147">
        <f t="shared" si="119"/>
        <v>0</v>
      </c>
      <c r="AI315" s="147">
        <f t="shared" si="120"/>
        <v>0</v>
      </c>
      <c r="AJ315" s="148" t="str">
        <f t="shared" si="121"/>
        <v>ja</v>
      </c>
      <c r="AK315" s="149">
        <f t="shared" si="125"/>
        <v>0</v>
      </c>
      <c r="AL315" s="149">
        <f t="shared" si="126"/>
        <v>0</v>
      </c>
      <c r="AM315" s="149">
        <f t="shared" si="127"/>
        <v>0</v>
      </c>
      <c r="AN315" s="149">
        <f t="shared" si="128"/>
        <v>0</v>
      </c>
      <c r="AO315" s="150" t="str">
        <f t="shared" si="122"/>
        <v>V</v>
      </c>
      <c r="AQ315" s="151">
        <f t="shared" si="123"/>
        <v>7665</v>
      </c>
    </row>
    <row r="316" spans="1:43" ht="15" customHeight="1">
      <c r="A316" s="82" t="e">
        <f t="shared" si="108"/>
        <v>#REF!</v>
      </c>
      <c r="B316" s="134">
        <v>104</v>
      </c>
      <c r="C316" s="135" t="s">
        <v>260</v>
      </c>
      <c r="D316" s="136" t="s">
        <v>274</v>
      </c>
      <c r="E316" s="137" t="s">
        <v>530</v>
      </c>
      <c r="F316" s="138" t="s">
        <v>548</v>
      </c>
      <c r="G316" s="139" t="s">
        <v>554</v>
      </c>
      <c r="H316" s="140" t="str">
        <f t="shared" si="109"/>
        <v>Trappen</v>
      </c>
      <c r="I316" s="138" t="s">
        <v>1250</v>
      </c>
      <c r="J316" s="138" t="s">
        <v>1171</v>
      </c>
      <c r="K316" s="141" t="str">
        <f t="shared" si="110"/>
        <v>Omde dag Vol/Nal.</v>
      </c>
      <c r="L316" s="141" t="str">
        <f t="shared" si="111"/>
        <v>Omde dag Nal./Vol</v>
      </c>
      <c r="M316" s="141" t="str">
        <f t="shared" si="112"/>
        <v>Omde dag Vol/Nal.</v>
      </c>
      <c r="N316" s="141" t="str">
        <f t="shared" si="113"/>
        <v>Omde dag Nal./Vol</v>
      </c>
      <c r="O316" s="141" t="str">
        <f t="shared" si="114"/>
        <v>Omde dag Vol/Nal.</v>
      </c>
      <c r="P316" s="141" t="str">
        <f t="shared" si="115"/>
        <v>Omde dag Nal./Vol</v>
      </c>
      <c r="Q316" s="141" t="str">
        <f t="shared" si="116"/>
        <v>Omde dag Vol/Nal.</v>
      </c>
      <c r="R316" s="63" t="s">
        <v>1477</v>
      </c>
      <c r="S316" s="142">
        <f t="shared" si="124"/>
        <v>365</v>
      </c>
      <c r="T316" s="143">
        <v>36.4</v>
      </c>
      <c r="U316" s="144"/>
      <c r="V316" s="144"/>
      <c r="W316" s="144"/>
      <c r="X316" s="144"/>
      <c r="Y316" s="144"/>
      <c r="Z316" s="145"/>
      <c r="AA316" s="145"/>
      <c r="AB316" s="145"/>
      <c r="AC316" s="145"/>
      <c r="AD316" s="146"/>
      <c r="AE316" s="171">
        <v>1</v>
      </c>
      <c r="AF316" s="147">
        <f t="shared" si="117"/>
        <v>0</v>
      </c>
      <c r="AG316" s="147">
        <f t="shared" si="118"/>
        <v>0</v>
      </c>
      <c r="AH316" s="147">
        <f t="shared" si="119"/>
        <v>0</v>
      </c>
      <c r="AI316" s="147">
        <f t="shared" si="120"/>
        <v>0</v>
      </c>
      <c r="AJ316" s="148" t="str">
        <f t="shared" si="121"/>
        <v>ja</v>
      </c>
      <c r="AK316" s="149">
        <f t="shared" si="125"/>
        <v>0</v>
      </c>
      <c r="AL316" s="149">
        <f t="shared" si="126"/>
        <v>0</v>
      </c>
      <c r="AM316" s="149">
        <f t="shared" si="127"/>
        <v>0</v>
      </c>
      <c r="AN316" s="149">
        <f t="shared" si="128"/>
        <v>0</v>
      </c>
      <c r="AO316" s="150" t="str">
        <f t="shared" si="122"/>
        <v>V</v>
      </c>
      <c r="AQ316" s="151">
        <f t="shared" si="123"/>
        <v>13286</v>
      </c>
    </row>
    <row r="317" spans="1:43" ht="15" customHeight="1">
      <c r="A317" s="82" t="e">
        <f t="shared" ref="A317:A368" si="129">1+A316</f>
        <v>#REF!</v>
      </c>
      <c r="B317" s="134">
        <v>104</v>
      </c>
      <c r="C317" s="135" t="s">
        <v>260</v>
      </c>
      <c r="D317" s="136" t="s">
        <v>274</v>
      </c>
      <c r="E317" s="137" t="s">
        <v>530</v>
      </c>
      <c r="F317" s="138" t="s">
        <v>550</v>
      </c>
      <c r="G317" s="139" t="s">
        <v>555</v>
      </c>
      <c r="H317" s="140" t="str">
        <f t="shared" si="109"/>
        <v>Niet van toepassing</v>
      </c>
      <c r="I317" s="138" t="s">
        <v>261</v>
      </c>
      <c r="J317" s="138" t="s">
        <v>1172</v>
      </c>
      <c r="K317" s="141" t="str">
        <f t="shared" si="110"/>
        <v>NVT</v>
      </c>
      <c r="L317" s="141" t="str">
        <f t="shared" si="111"/>
        <v>NVT</v>
      </c>
      <c r="M317" s="141" t="str">
        <f t="shared" si="112"/>
        <v>NVT</v>
      </c>
      <c r="N317" s="141" t="str">
        <f t="shared" si="113"/>
        <v>NVT</v>
      </c>
      <c r="O317" s="141" t="str">
        <f t="shared" si="114"/>
        <v>NVT</v>
      </c>
      <c r="P317" s="141" t="str">
        <f t="shared" si="115"/>
        <v>NVT</v>
      </c>
      <c r="Q317" s="141" t="str">
        <f t="shared" si="116"/>
        <v>NVT</v>
      </c>
      <c r="R317" s="63" t="s">
        <v>1221</v>
      </c>
      <c r="S317" s="142">
        <f t="shared" si="124"/>
        <v>0</v>
      </c>
      <c r="T317" s="143">
        <v>52</v>
      </c>
      <c r="U317" s="144"/>
      <c r="V317" s="144">
        <v>77</v>
      </c>
      <c r="W317" s="144"/>
      <c r="X317" s="144"/>
      <c r="Y317" s="144"/>
      <c r="Z317" s="145"/>
      <c r="AA317" s="145"/>
      <c r="AB317" s="145">
        <v>28</v>
      </c>
      <c r="AC317" s="145"/>
      <c r="AD317" s="146" t="s">
        <v>490</v>
      </c>
      <c r="AE317" s="171">
        <v>1</v>
      </c>
      <c r="AF317" s="147">
        <f t="shared" si="117"/>
        <v>0</v>
      </c>
      <c r="AG317" s="147">
        <f t="shared" si="118"/>
        <v>0</v>
      </c>
      <c r="AH317" s="147">
        <f t="shared" si="119"/>
        <v>0</v>
      </c>
      <c r="AI317" s="147">
        <f t="shared" si="120"/>
        <v>0</v>
      </c>
      <c r="AJ317" s="148">
        <f t="shared" si="121"/>
        <v>0</v>
      </c>
      <c r="AK317" s="149">
        <f t="shared" si="125"/>
        <v>0</v>
      </c>
      <c r="AL317" s="149">
        <f t="shared" si="126"/>
        <v>0</v>
      </c>
      <c r="AM317" s="149">
        <f t="shared" si="127"/>
        <v>0</v>
      </c>
      <c r="AN317" s="149">
        <f t="shared" si="128"/>
        <v>0</v>
      </c>
      <c r="AO317" s="150">
        <f t="shared" si="122"/>
        <v>0</v>
      </c>
      <c r="AQ317" s="151">
        <f t="shared" si="123"/>
        <v>0</v>
      </c>
    </row>
    <row r="318" spans="1:43" ht="15" customHeight="1">
      <c r="A318" s="82" t="e">
        <f t="shared" si="129"/>
        <v>#REF!</v>
      </c>
      <c r="B318" s="134">
        <v>104</v>
      </c>
      <c r="C318" s="135" t="s">
        <v>260</v>
      </c>
      <c r="D318" s="136" t="s">
        <v>274</v>
      </c>
      <c r="E318" s="137" t="s">
        <v>530</v>
      </c>
      <c r="F318" s="138" t="s">
        <v>556</v>
      </c>
      <c r="G318" s="139" t="s">
        <v>557</v>
      </c>
      <c r="H318" s="140" t="str">
        <f t="shared" si="109"/>
        <v>Liften</v>
      </c>
      <c r="I318" s="138" t="s">
        <v>457</v>
      </c>
      <c r="J318" s="138" t="s">
        <v>1171</v>
      </c>
      <c r="K318" s="141" t="str">
        <f t="shared" si="110"/>
        <v>Omde dag Vol/Nal.</v>
      </c>
      <c r="L318" s="141" t="str">
        <f t="shared" si="111"/>
        <v>Omde dag Nal./Vol</v>
      </c>
      <c r="M318" s="141" t="str">
        <f t="shared" si="112"/>
        <v>Omde dag Vol/Nal.</v>
      </c>
      <c r="N318" s="141" t="str">
        <f t="shared" si="113"/>
        <v>Omde dag Nal./Vol</v>
      </c>
      <c r="O318" s="141" t="str">
        <f t="shared" si="114"/>
        <v>Omde dag Vol/Nal.</v>
      </c>
      <c r="P318" s="141" t="str">
        <f t="shared" si="115"/>
        <v>Omde dag Nal./Vol</v>
      </c>
      <c r="Q318" s="141" t="str">
        <f t="shared" si="116"/>
        <v>Omde dag Vol/Nal.</v>
      </c>
      <c r="R318" s="63" t="s">
        <v>1475</v>
      </c>
      <c r="S318" s="142">
        <f t="shared" si="124"/>
        <v>365</v>
      </c>
      <c r="T318" s="143">
        <v>6.5</v>
      </c>
      <c r="U318" s="144"/>
      <c r="V318" s="144"/>
      <c r="W318" s="144"/>
      <c r="X318" s="144"/>
      <c r="Y318" s="144"/>
      <c r="Z318" s="145"/>
      <c r="AA318" s="145"/>
      <c r="AB318" s="145"/>
      <c r="AC318" s="145"/>
      <c r="AD318" s="146"/>
      <c r="AE318" s="171">
        <v>1</v>
      </c>
      <c r="AF318" s="147">
        <f t="shared" si="117"/>
        <v>0</v>
      </c>
      <c r="AG318" s="147">
        <f t="shared" si="118"/>
        <v>0</v>
      </c>
      <c r="AH318" s="147">
        <f t="shared" si="119"/>
        <v>0</v>
      </c>
      <c r="AI318" s="147">
        <f t="shared" si="120"/>
        <v>0</v>
      </c>
      <c r="AJ318" s="148" t="str">
        <f t="shared" si="121"/>
        <v>ja</v>
      </c>
      <c r="AK318" s="149">
        <f t="shared" si="125"/>
        <v>0</v>
      </c>
      <c r="AL318" s="149">
        <f t="shared" si="126"/>
        <v>0</v>
      </c>
      <c r="AM318" s="149">
        <f t="shared" si="127"/>
        <v>0</v>
      </c>
      <c r="AN318" s="149">
        <f t="shared" si="128"/>
        <v>0</v>
      </c>
      <c r="AO318" s="150" t="str">
        <f t="shared" si="122"/>
        <v>V</v>
      </c>
      <c r="AQ318" s="151">
        <f t="shared" si="123"/>
        <v>2372.5</v>
      </c>
    </row>
    <row r="319" spans="1:43" ht="15" customHeight="1">
      <c r="A319" s="82" t="e">
        <f t="shared" si="129"/>
        <v>#REF!</v>
      </c>
      <c r="B319" s="134">
        <v>104</v>
      </c>
      <c r="C319" s="135" t="s">
        <v>260</v>
      </c>
      <c r="D319" s="136" t="s">
        <v>274</v>
      </c>
      <c r="E319" s="137" t="s">
        <v>530</v>
      </c>
      <c r="F319" s="138" t="s">
        <v>558</v>
      </c>
      <c r="G319" s="139" t="s">
        <v>559</v>
      </c>
      <c r="H319" s="140" t="str">
        <f t="shared" si="109"/>
        <v>Liften</v>
      </c>
      <c r="I319" s="138" t="s">
        <v>457</v>
      </c>
      <c r="J319" s="138" t="s">
        <v>1171</v>
      </c>
      <c r="K319" s="141" t="str">
        <f t="shared" si="110"/>
        <v>Omde dag Vol/Nal.</v>
      </c>
      <c r="L319" s="141" t="str">
        <f t="shared" si="111"/>
        <v>Omde dag Nal./Vol</v>
      </c>
      <c r="M319" s="141" t="str">
        <f t="shared" si="112"/>
        <v>Omde dag Vol/Nal.</v>
      </c>
      <c r="N319" s="141" t="str">
        <f t="shared" si="113"/>
        <v>Omde dag Nal./Vol</v>
      </c>
      <c r="O319" s="141" t="str">
        <f t="shared" si="114"/>
        <v>Omde dag Vol/Nal.</v>
      </c>
      <c r="P319" s="141" t="str">
        <f t="shared" si="115"/>
        <v>Omde dag Nal./Vol</v>
      </c>
      <c r="Q319" s="141" t="str">
        <f t="shared" si="116"/>
        <v>Omde dag Vol/Nal.</v>
      </c>
      <c r="R319" s="63" t="s">
        <v>1475</v>
      </c>
      <c r="S319" s="142">
        <f t="shared" si="124"/>
        <v>365</v>
      </c>
      <c r="T319" s="143">
        <v>7.8000000000000007</v>
      </c>
      <c r="U319" s="144"/>
      <c r="V319" s="144"/>
      <c r="W319" s="144"/>
      <c r="X319" s="144"/>
      <c r="Y319" s="144"/>
      <c r="Z319" s="145"/>
      <c r="AA319" s="145"/>
      <c r="AB319" s="145"/>
      <c r="AC319" s="145"/>
      <c r="AD319" s="146"/>
      <c r="AE319" s="171">
        <v>1</v>
      </c>
      <c r="AF319" s="147">
        <f t="shared" si="117"/>
        <v>0</v>
      </c>
      <c r="AG319" s="147">
        <f t="shared" si="118"/>
        <v>0</v>
      </c>
      <c r="AH319" s="147">
        <f t="shared" si="119"/>
        <v>0</v>
      </c>
      <c r="AI319" s="147">
        <f t="shared" si="120"/>
        <v>0</v>
      </c>
      <c r="AJ319" s="148" t="str">
        <f t="shared" si="121"/>
        <v>ja</v>
      </c>
      <c r="AK319" s="149">
        <f t="shared" si="125"/>
        <v>0</v>
      </c>
      <c r="AL319" s="149">
        <f t="shared" si="126"/>
        <v>0</v>
      </c>
      <c r="AM319" s="149">
        <f t="shared" si="127"/>
        <v>0</v>
      </c>
      <c r="AN319" s="149">
        <f t="shared" si="128"/>
        <v>0</v>
      </c>
      <c r="AO319" s="150" t="str">
        <f t="shared" si="122"/>
        <v>V</v>
      </c>
      <c r="AQ319" s="151">
        <f t="shared" si="123"/>
        <v>2847.0000000000005</v>
      </c>
    </row>
    <row r="320" spans="1:43" ht="15" customHeight="1">
      <c r="A320" s="82" t="e">
        <f t="shared" si="129"/>
        <v>#REF!</v>
      </c>
      <c r="B320" s="134">
        <v>104</v>
      </c>
      <c r="C320" s="135" t="s">
        <v>260</v>
      </c>
      <c r="D320" s="136" t="s">
        <v>274</v>
      </c>
      <c r="E320" s="137" t="s">
        <v>530</v>
      </c>
      <c r="F320" s="138" t="s">
        <v>560</v>
      </c>
      <c r="G320" s="139" t="s">
        <v>561</v>
      </c>
      <c r="H320" s="140" t="str">
        <f t="shared" si="109"/>
        <v>Liften</v>
      </c>
      <c r="I320" s="138" t="s">
        <v>457</v>
      </c>
      <c r="J320" s="138" t="s">
        <v>1171</v>
      </c>
      <c r="K320" s="141" t="str">
        <f t="shared" si="110"/>
        <v>Omde dag Vol/Nal.</v>
      </c>
      <c r="L320" s="141" t="str">
        <f t="shared" si="111"/>
        <v>Omde dag Nal./Vol</v>
      </c>
      <c r="M320" s="141" t="str">
        <f t="shared" si="112"/>
        <v>Omde dag Vol/Nal.</v>
      </c>
      <c r="N320" s="141" t="str">
        <f t="shared" si="113"/>
        <v>Omde dag Nal./Vol</v>
      </c>
      <c r="O320" s="141" t="str">
        <f t="shared" si="114"/>
        <v>Omde dag Vol/Nal.</v>
      </c>
      <c r="P320" s="141" t="str">
        <f t="shared" si="115"/>
        <v>Omde dag Nal./Vol</v>
      </c>
      <c r="Q320" s="141" t="str">
        <f t="shared" si="116"/>
        <v>Omde dag Vol/Nal.</v>
      </c>
      <c r="R320" s="63" t="s">
        <v>1475</v>
      </c>
      <c r="S320" s="142">
        <f t="shared" si="124"/>
        <v>365</v>
      </c>
      <c r="T320" s="143">
        <v>7.8000000000000007</v>
      </c>
      <c r="U320" s="144"/>
      <c r="V320" s="144"/>
      <c r="W320" s="144"/>
      <c r="X320" s="144"/>
      <c r="Y320" s="144"/>
      <c r="Z320" s="145"/>
      <c r="AA320" s="145"/>
      <c r="AB320" s="145"/>
      <c r="AC320" s="145"/>
      <c r="AD320" s="146"/>
      <c r="AE320" s="171">
        <v>1</v>
      </c>
      <c r="AF320" s="147">
        <f t="shared" si="117"/>
        <v>0</v>
      </c>
      <c r="AG320" s="147">
        <f t="shared" si="118"/>
        <v>0</v>
      </c>
      <c r="AH320" s="147">
        <f t="shared" si="119"/>
        <v>0</v>
      </c>
      <c r="AI320" s="147">
        <f t="shared" si="120"/>
        <v>0</v>
      </c>
      <c r="AJ320" s="148" t="str">
        <f t="shared" si="121"/>
        <v>ja</v>
      </c>
      <c r="AK320" s="149">
        <f t="shared" si="125"/>
        <v>0</v>
      </c>
      <c r="AL320" s="149">
        <f t="shared" si="126"/>
        <v>0</v>
      </c>
      <c r="AM320" s="149">
        <f t="shared" si="127"/>
        <v>0</v>
      </c>
      <c r="AN320" s="149">
        <f t="shared" si="128"/>
        <v>0</v>
      </c>
      <c r="AO320" s="150" t="str">
        <f t="shared" si="122"/>
        <v>V</v>
      </c>
      <c r="AQ320" s="151">
        <f t="shared" si="123"/>
        <v>2847.0000000000005</v>
      </c>
    </row>
    <row r="321" spans="1:43" ht="15" customHeight="1">
      <c r="A321" s="82" t="e">
        <f>1+#REF!</f>
        <v>#REF!</v>
      </c>
      <c r="B321" s="134">
        <v>104</v>
      </c>
      <c r="C321" s="135" t="s">
        <v>260</v>
      </c>
      <c r="D321" s="136" t="s">
        <v>274</v>
      </c>
      <c r="E321" s="137" t="s">
        <v>530</v>
      </c>
      <c r="F321" s="138" t="s">
        <v>562</v>
      </c>
      <c r="G321" s="139" t="s">
        <v>563</v>
      </c>
      <c r="H321" s="140" t="str">
        <f t="shared" ref="H321:H377" si="130">VLOOKUP(R321,Kengetal,3,FALSE)</f>
        <v>Niet van toepassing</v>
      </c>
      <c r="I321" s="138" t="s">
        <v>261</v>
      </c>
      <c r="J321" s="138" t="s">
        <v>1172</v>
      </c>
      <c r="K321" s="141" t="str">
        <f t="shared" ref="K321:K377" si="131">IF($R321="",0,VLOOKUP($R321,Kengetal,14,FALSE))</f>
        <v>NVT</v>
      </c>
      <c r="L321" s="141" t="str">
        <f t="shared" ref="L321:L377" si="132">IF($R321="",0,VLOOKUP($R321,Kengetal,15,FALSE))</f>
        <v>NVT</v>
      </c>
      <c r="M321" s="141" t="str">
        <f t="shared" ref="M321:M377" si="133">IF($R321="",0,VLOOKUP($R321,Kengetal,16,FALSE))</f>
        <v>NVT</v>
      </c>
      <c r="N321" s="141" t="str">
        <f t="shared" ref="N321:N377" si="134">IF($R321="",0,VLOOKUP($R321,Kengetal,17,FALSE))</f>
        <v>NVT</v>
      </c>
      <c r="O321" s="141" t="str">
        <f t="shared" ref="O321:O377" si="135">IF($R321="",0,VLOOKUP($R321,Kengetal,18,FALSE))</f>
        <v>NVT</v>
      </c>
      <c r="P321" s="141" t="str">
        <f t="shared" ref="P321:P377" si="136">IF($R321="",0,VLOOKUP($R321,Kengetal,19,FALSE))</f>
        <v>NVT</v>
      </c>
      <c r="Q321" s="141" t="str">
        <f t="shared" ref="Q321:Q377" si="137">IF($R321="",0,VLOOKUP($R321,Kengetal,20,FALSE))</f>
        <v>NVT</v>
      </c>
      <c r="R321" s="63" t="s">
        <v>1221</v>
      </c>
      <c r="S321" s="142">
        <f t="shared" si="124"/>
        <v>0</v>
      </c>
      <c r="T321" s="143">
        <f>(4.75*1.3)*1.3</f>
        <v>8.0274999999999999</v>
      </c>
      <c r="U321" s="144"/>
      <c r="V321" s="144"/>
      <c r="W321" s="144"/>
      <c r="X321" s="144"/>
      <c r="Y321" s="144"/>
      <c r="Z321" s="145"/>
      <c r="AA321" s="145"/>
      <c r="AB321" s="145"/>
      <c r="AC321" s="145"/>
      <c r="AD321" s="146"/>
      <c r="AE321" s="171">
        <v>1</v>
      </c>
      <c r="AF321" s="147">
        <f t="shared" ref="AF321:AF377" si="138">T321*AK321*AE321</f>
        <v>0</v>
      </c>
      <c r="AG321" s="147">
        <f t="shared" ref="AG321:AG377" si="139">T321*AL321*AE321</f>
        <v>0</v>
      </c>
      <c r="AH321" s="147">
        <f t="shared" ref="AH321:AH377" si="140">T321*AM321*AE321</f>
        <v>0</v>
      </c>
      <c r="AI321" s="147">
        <f t="shared" ref="AI321:AI377" si="141">T321*AN321*AE321</f>
        <v>0</v>
      </c>
      <c r="AJ321" s="148">
        <f t="shared" ref="AJ321:AJ377" si="142">IF($R321="",0,VLOOKUP($R321,Kengetal,12,FALSE))</f>
        <v>0</v>
      </c>
      <c r="AK321" s="149">
        <f t="shared" si="125"/>
        <v>0</v>
      </c>
      <c r="AL321" s="149">
        <f t="shared" si="126"/>
        <v>0</v>
      </c>
      <c r="AM321" s="149">
        <f t="shared" si="127"/>
        <v>0</v>
      </c>
      <c r="AN321" s="149">
        <f t="shared" si="128"/>
        <v>0</v>
      </c>
      <c r="AO321" s="150">
        <f t="shared" ref="AO321:AO377" si="143">IF($R321="",0,VLOOKUP($R321,Kengetal,13,FALSE))</f>
        <v>0</v>
      </c>
      <c r="AQ321" s="151">
        <f t="shared" ref="AQ321:AQ377" si="144">T321*S321</f>
        <v>0</v>
      </c>
    </row>
    <row r="322" spans="1:43" ht="15" customHeight="1">
      <c r="A322" s="82" t="e">
        <f>1+#REF!</f>
        <v>#REF!</v>
      </c>
      <c r="B322" s="134">
        <v>104</v>
      </c>
      <c r="C322" s="135" t="s">
        <v>260</v>
      </c>
      <c r="D322" s="136" t="s">
        <v>274</v>
      </c>
      <c r="E322" s="137" t="s">
        <v>530</v>
      </c>
      <c r="F322" s="138" t="s">
        <v>262</v>
      </c>
      <c r="G322" s="139" t="s">
        <v>565</v>
      </c>
      <c r="H322" s="140" t="str">
        <f t="shared" si="130"/>
        <v>Niet van toepassing</v>
      </c>
      <c r="I322" s="138" t="s">
        <v>261</v>
      </c>
      <c r="J322" s="138" t="s">
        <v>1172</v>
      </c>
      <c r="K322" s="141" t="str">
        <f t="shared" si="131"/>
        <v>NVT</v>
      </c>
      <c r="L322" s="141" t="str">
        <f t="shared" si="132"/>
        <v>NVT</v>
      </c>
      <c r="M322" s="141" t="str">
        <f t="shared" si="133"/>
        <v>NVT</v>
      </c>
      <c r="N322" s="141" t="str">
        <f t="shared" si="134"/>
        <v>NVT</v>
      </c>
      <c r="O322" s="141" t="str">
        <f t="shared" si="135"/>
        <v>NVT</v>
      </c>
      <c r="P322" s="141" t="str">
        <f t="shared" si="136"/>
        <v>NVT</v>
      </c>
      <c r="Q322" s="141" t="str">
        <f t="shared" si="137"/>
        <v>NVT</v>
      </c>
      <c r="R322" s="63" t="s">
        <v>1221</v>
      </c>
      <c r="S322" s="142">
        <f t="shared" si="124"/>
        <v>0</v>
      </c>
      <c r="T322" s="143">
        <f>(8.5*4)*1.3</f>
        <v>44.2</v>
      </c>
      <c r="U322" s="144"/>
      <c r="V322" s="144"/>
      <c r="W322" s="144">
        <v>76</v>
      </c>
      <c r="X322" s="144"/>
      <c r="Y322" s="144"/>
      <c r="Z322" s="145"/>
      <c r="AA322" s="145">
        <v>34</v>
      </c>
      <c r="AB322" s="145"/>
      <c r="AC322" s="145"/>
      <c r="AD322" s="146"/>
      <c r="AE322" s="171">
        <v>1</v>
      </c>
      <c r="AF322" s="147">
        <f t="shared" si="138"/>
        <v>0</v>
      </c>
      <c r="AG322" s="147">
        <f t="shared" si="139"/>
        <v>0</v>
      </c>
      <c r="AH322" s="147">
        <f t="shared" si="140"/>
        <v>0</v>
      </c>
      <c r="AI322" s="147">
        <f t="shared" si="141"/>
        <v>0</v>
      </c>
      <c r="AJ322" s="148">
        <f t="shared" si="142"/>
        <v>0</v>
      </c>
      <c r="AK322" s="149">
        <f t="shared" si="125"/>
        <v>0</v>
      </c>
      <c r="AL322" s="149">
        <f t="shared" si="126"/>
        <v>0</v>
      </c>
      <c r="AM322" s="149">
        <f t="shared" si="127"/>
        <v>0</v>
      </c>
      <c r="AN322" s="149">
        <f t="shared" si="128"/>
        <v>0</v>
      </c>
      <c r="AO322" s="150">
        <f t="shared" si="143"/>
        <v>0</v>
      </c>
      <c r="AQ322" s="151">
        <f t="shared" si="144"/>
        <v>0</v>
      </c>
    </row>
    <row r="323" spans="1:43" ht="15" customHeight="1">
      <c r="A323" s="82" t="e">
        <f t="shared" si="129"/>
        <v>#REF!</v>
      </c>
      <c r="B323" s="134">
        <v>104</v>
      </c>
      <c r="C323" s="135" t="s">
        <v>260</v>
      </c>
      <c r="D323" s="136" t="s">
        <v>274</v>
      </c>
      <c r="E323" s="137" t="s">
        <v>530</v>
      </c>
      <c r="F323" s="138" t="s">
        <v>566</v>
      </c>
      <c r="G323" s="139" t="s">
        <v>567</v>
      </c>
      <c r="H323" s="140" t="str">
        <f t="shared" si="130"/>
        <v>Niet van toepassing</v>
      </c>
      <c r="I323" s="138" t="s">
        <v>261</v>
      </c>
      <c r="J323" s="138" t="s">
        <v>1172</v>
      </c>
      <c r="K323" s="141" t="str">
        <f t="shared" si="131"/>
        <v>NVT</v>
      </c>
      <c r="L323" s="141" t="str">
        <f t="shared" si="132"/>
        <v>NVT</v>
      </c>
      <c r="M323" s="141" t="str">
        <f t="shared" si="133"/>
        <v>NVT</v>
      </c>
      <c r="N323" s="141" t="str">
        <f t="shared" si="134"/>
        <v>NVT</v>
      </c>
      <c r="O323" s="141" t="str">
        <f t="shared" si="135"/>
        <v>NVT</v>
      </c>
      <c r="P323" s="141" t="str">
        <f t="shared" si="136"/>
        <v>NVT</v>
      </c>
      <c r="Q323" s="141" t="str">
        <f t="shared" si="137"/>
        <v>NVT</v>
      </c>
      <c r="R323" s="63" t="s">
        <v>1221</v>
      </c>
      <c r="S323" s="142">
        <f t="shared" si="124"/>
        <v>0</v>
      </c>
      <c r="T323" s="143">
        <f>(2.3*7.8+2*2.3)*1.3</f>
        <v>29.302</v>
      </c>
      <c r="U323" s="144"/>
      <c r="V323" s="144"/>
      <c r="W323" s="144">
        <v>40</v>
      </c>
      <c r="X323" s="144"/>
      <c r="Y323" s="144"/>
      <c r="Z323" s="145"/>
      <c r="AA323" s="145"/>
      <c r="AB323" s="145"/>
      <c r="AC323" s="145"/>
      <c r="AD323" s="146"/>
      <c r="AE323" s="171">
        <v>1</v>
      </c>
      <c r="AF323" s="147">
        <f t="shared" si="138"/>
        <v>0</v>
      </c>
      <c r="AG323" s="147">
        <f t="shared" si="139"/>
        <v>0</v>
      </c>
      <c r="AH323" s="147">
        <f t="shared" si="140"/>
        <v>0</v>
      </c>
      <c r="AI323" s="147">
        <f t="shared" si="141"/>
        <v>0</v>
      </c>
      <c r="AJ323" s="148">
        <f t="shared" si="142"/>
        <v>0</v>
      </c>
      <c r="AK323" s="149">
        <f t="shared" si="125"/>
        <v>0</v>
      </c>
      <c r="AL323" s="149">
        <f t="shared" si="126"/>
        <v>0</v>
      </c>
      <c r="AM323" s="149">
        <f t="shared" si="127"/>
        <v>0</v>
      </c>
      <c r="AN323" s="149">
        <f t="shared" si="128"/>
        <v>0</v>
      </c>
      <c r="AO323" s="150">
        <f t="shared" si="143"/>
        <v>0</v>
      </c>
      <c r="AQ323" s="151">
        <f t="shared" si="144"/>
        <v>0</v>
      </c>
    </row>
    <row r="324" spans="1:43" ht="15" customHeight="1">
      <c r="A324" s="82" t="e">
        <f t="shared" si="129"/>
        <v>#REF!</v>
      </c>
      <c r="B324" s="134">
        <v>104</v>
      </c>
      <c r="C324" s="135" t="s">
        <v>260</v>
      </c>
      <c r="D324" s="136" t="s">
        <v>274</v>
      </c>
      <c r="E324" s="137" t="s">
        <v>530</v>
      </c>
      <c r="F324" s="138" t="s">
        <v>566</v>
      </c>
      <c r="G324" s="139" t="s">
        <v>568</v>
      </c>
      <c r="H324" s="140" t="str">
        <f t="shared" si="130"/>
        <v>Niet van toepassing</v>
      </c>
      <c r="I324" s="138" t="s">
        <v>261</v>
      </c>
      <c r="J324" s="138" t="s">
        <v>1172</v>
      </c>
      <c r="K324" s="141" t="str">
        <f t="shared" si="131"/>
        <v>NVT</v>
      </c>
      <c r="L324" s="141" t="str">
        <f t="shared" si="132"/>
        <v>NVT</v>
      </c>
      <c r="M324" s="141" t="str">
        <f t="shared" si="133"/>
        <v>NVT</v>
      </c>
      <c r="N324" s="141" t="str">
        <f t="shared" si="134"/>
        <v>NVT</v>
      </c>
      <c r="O324" s="141" t="str">
        <f t="shared" si="135"/>
        <v>NVT</v>
      </c>
      <c r="P324" s="141" t="str">
        <f t="shared" si="136"/>
        <v>NVT</v>
      </c>
      <c r="Q324" s="141" t="str">
        <f t="shared" si="137"/>
        <v>NVT</v>
      </c>
      <c r="R324" s="63" t="s">
        <v>1221</v>
      </c>
      <c r="S324" s="142">
        <f t="shared" si="124"/>
        <v>0</v>
      </c>
      <c r="T324" s="143">
        <f>(2.3*7.8+2*2.3)*1.3</f>
        <v>29.302</v>
      </c>
      <c r="U324" s="144"/>
      <c r="V324" s="144"/>
      <c r="W324" s="144">
        <v>40</v>
      </c>
      <c r="X324" s="144"/>
      <c r="Y324" s="144"/>
      <c r="Z324" s="145"/>
      <c r="AA324" s="145"/>
      <c r="AB324" s="145"/>
      <c r="AC324" s="145"/>
      <c r="AD324" s="146"/>
      <c r="AE324" s="171">
        <v>1</v>
      </c>
      <c r="AF324" s="147">
        <f t="shared" si="138"/>
        <v>0</v>
      </c>
      <c r="AG324" s="147">
        <f t="shared" si="139"/>
        <v>0</v>
      </c>
      <c r="AH324" s="147">
        <f t="shared" si="140"/>
        <v>0</v>
      </c>
      <c r="AI324" s="147">
        <f t="shared" si="141"/>
        <v>0</v>
      </c>
      <c r="AJ324" s="148">
        <f t="shared" si="142"/>
        <v>0</v>
      </c>
      <c r="AK324" s="149">
        <f t="shared" si="125"/>
        <v>0</v>
      </c>
      <c r="AL324" s="149">
        <f t="shared" si="126"/>
        <v>0</v>
      </c>
      <c r="AM324" s="149">
        <f t="shared" si="127"/>
        <v>0</v>
      </c>
      <c r="AN324" s="149">
        <f t="shared" si="128"/>
        <v>0</v>
      </c>
      <c r="AO324" s="150">
        <f t="shared" si="143"/>
        <v>0</v>
      </c>
      <c r="AQ324" s="151">
        <f t="shared" si="144"/>
        <v>0</v>
      </c>
    </row>
    <row r="325" spans="1:43" ht="15" customHeight="1">
      <c r="A325" s="82" t="e">
        <f t="shared" si="129"/>
        <v>#REF!</v>
      </c>
      <c r="B325" s="134">
        <v>104</v>
      </c>
      <c r="C325" s="135" t="s">
        <v>260</v>
      </c>
      <c r="D325" s="136" t="s">
        <v>274</v>
      </c>
      <c r="E325" s="137" t="s">
        <v>530</v>
      </c>
      <c r="F325" s="138" t="s">
        <v>262</v>
      </c>
      <c r="G325" s="139" t="s">
        <v>569</v>
      </c>
      <c r="H325" s="140" t="str">
        <f t="shared" si="130"/>
        <v>Niet van toepassing</v>
      </c>
      <c r="I325" s="138" t="s">
        <v>261</v>
      </c>
      <c r="J325" s="138" t="s">
        <v>1172</v>
      </c>
      <c r="K325" s="141" t="str">
        <f t="shared" si="131"/>
        <v>NVT</v>
      </c>
      <c r="L325" s="141" t="str">
        <f t="shared" si="132"/>
        <v>NVT</v>
      </c>
      <c r="M325" s="141" t="str">
        <f t="shared" si="133"/>
        <v>NVT</v>
      </c>
      <c r="N325" s="141" t="str">
        <f t="shared" si="134"/>
        <v>NVT</v>
      </c>
      <c r="O325" s="141" t="str">
        <f t="shared" si="135"/>
        <v>NVT</v>
      </c>
      <c r="P325" s="141" t="str">
        <f t="shared" si="136"/>
        <v>NVT</v>
      </c>
      <c r="Q325" s="141" t="str">
        <f t="shared" si="137"/>
        <v>NVT</v>
      </c>
      <c r="R325" s="63" t="s">
        <v>1221</v>
      </c>
      <c r="S325" s="142">
        <f t="shared" si="124"/>
        <v>0</v>
      </c>
      <c r="T325" s="143">
        <v>11.700000000000001</v>
      </c>
      <c r="U325" s="144"/>
      <c r="V325" s="144"/>
      <c r="W325" s="144">
        <v>34</v>
      </c>
      <c r="X325" s="144"/>
      <c r="Y325" s="144"/>
      <c r="Z325" s="145"/>
      <c r="AA325" s="145">
        <v>9</v>
      </c>
      <c r="AB325" s="145"/>
      <c r="AC325" s="145"/>
      <c r="AD325" s="146"/>
      <c r="AE325" s="171">
        <v>1</v>
      </c>
      <c r="AF325" s="147">
        <f t="shared" si="138"/>
        <v>0</v>
      </c>
      <c r="AG325" s="147">
        <f t="shared" si="139"/>
        <v>0</v>
      </c>
      <c r="AH325" s="147">
        <f t="shared" si="140"/>
        <v>0</v>
      </c>
      <c r="AI325" s="147">
        <f t="shared" si="141"/>
        <v>0</v>
      </c>
      <c r="AJ325" s="148">
        <f t="shared" si="142"/>
        <v>0</v>
      </c>
      <c r="AK325" s="149">
        <f t="shared" si="125"/>
        <v>0</v>
      </c>
      <c r="AL325" s="149">
        <f t="shared" si="126"/>
        <v>0</v>
      </c>
      <c r="AM325" s="149">
        <f t="shared" si="127"/>
        <v>0</v>
      </c>
      <c r="AN325" s="149">
        <f t="shared" si="128"/>
        <v>0</v>
      </c>
      <c r="AO325" s="150">
        <f t="shared" si="143"/>
        <v>0</v>
      </c>
      <c r="AQ325" s="151">
        <f t="shared" si="144"/>
        <v>0</v>
      </c>
    </row>
    <row r="326" spans="1:43" ht="15" customHeight="1">
      <c r="A326" s="82" t="e">
        <f t="shared" si="129"/>
        <v>#REF!</v>
      </c>
      <c r="B326" s="134">
        <v>104</v>
      </c>
      <c r="C326" s="135" t="s">
        <v>260</v>
      </c>
      <c r="D326" s="136" t="s">
        <v>274</v>
      </c>
      <c r="E326" s="137" t="s">
        <v>530</v>
      </c>
      <c r="F326" s="138" t="s">
        <v>570</v>
      </c>
      <c r="G326" s="139" t="s">
        <v>571</v>
      </c>
      <c r="H326" s="140" t="str">
        <f t="shared" si="130"/>
        <v>Niet van toepassing</v>
      </c>
      <c r="I326" s="138" t="s">
        <v>261</v>
      </c>
      <c r="J326" s="138" t="s">
        <v>1172</v>
      </c>
      <c r="K326" s="141" t="str">
        <f t="shared" si="131"/>
        <v>NVT</v>
      </c>
      <c r="L326" s="141" t="str">
        <f t="shared" si="132"/>
        <v>NVT</v>
      </c>
      <c r="M326" s="141" t="str">
        <f t="shared" si="133"/>
        <v>NVT</v>
      </c>
      <c r="N326" s="141" t="str">
        <f t="shared" si="134"/>
        <v>NVT</v>
      </c>
      <c r="O326" s="141" t="str">
        <f t="shared" si="135"/>
        <v>NVT</v>
      </c>
      <c r="P326" s="141" t="str">
        <f t="shared" si="136"/>
        <v>NVT</v>
      </c>
      <c r="Q326" s="141" t="str">
        <f t="shared" si="137"/>
        <v>NVT</v>
      </c>
      <c r="R326" s="63" t="s">
        <v>1221</v>
      </c>
      <c r="S326" s="142">
        <f t="shared" si="124"/>
        <v>0</v>
      </c>
      <c r="T326" s="143">
        <f>(2.5*1+1*1+2.7*1)*1.3</f>
        <v>8.06</v>
      </c>
      <c r="U326" s="144"/>
      <c r="V326" s="144"/>
      <c r="W326" s="144">
        <v>5</v>
      </c>
      <c r="X326" s="144"/>
      <c r="Y326" s="144"/>
      <c r="Z326" s="145"/>
      <c r="AA326" s="145">
        <v>4</v>
      </c>
      <c r="AB326" s="145"/>
      <c r="AC326" s="145"/>
      <c r="AD326" s="146"/>
      <c r="AE326" s="171">
        <v>1</v>
      </c>
      <c r="AF326" s="147">
        <f t="shared" si="138"/>
        <v>0</v>
      </c>
      <c r="AG326" s="147">
        <f t="shared" si="139"/>
        <v>0</v>
      </c>
      <c r="AH326" s="147">
        <f t="shared" si="140"/>
        <v>0</v>
      </c>
      <c r="AI326" s="147">
        <f t="shared" si="141"/>
        <v>0</v>
      </c>
      <c r="AJ326" s="148">
        <f t="shared" si="142"/>
        <v>0</v>
      </c>
      <c r="AK326" s="149">
        <f t="shared" si="125"/>
        <v>0</v>
      </c>
      <c r="AL326" s="149">
        <f t="shared" si="126"/>
        <v>0</v>
      </c>
      <c r="AM326" s="149">
        <f t="shared" si="127"/>
        <v>0</v>
      </c>
      <c r="AN326" s="149">
        <f t="shared" si="128"/>
        <v>0</v>
      </c>
      <c r="AO326" s="150">
        <f t="shared" si="143"/>
        <v>0</v>
      </c>
      <c r="AQ326" s="151">
        <f t="shared" si="144"/>
        <v>0</v>
      </c>
    </row>
    <row r="327" spans="1:43" ht="15" customHeight="1">
      <c r="A327" s="82" t="e">
        <f>1+#REF!</f>
        <v>#REF!</v>
      </c>
      <c r="B327" s="134">
        <v>104</v>
      </c>
      <c r="C327" s="135" t="s">
        <v>260</v>
      </c>
      <c r="D327" s="136" t="s">
        <v>274</v>
      </c>
      <c r="E327" s="137" t="s">
        <v>530</v>
      </c>
      <c r="F327" s="138" t="s">
        <v>572</v>
      </c>
      <c r="G327" s="139" t="s">
        <v>573</v>
      </c>
      <c r="H327" s="140" t="str">
        <f t="shared" si="130"/>
        <v>Niet van toepassing</v>
      </c>
      <c r="I327" s="138" t="s">
        <v>261</v>
      </c>
      <c r="J327" s="138" t="s">
        <v>1172</v>
      </c>
      <c r="K327" s="141" t="str">
        <f t="shared" si="131"/>
        <v>NVT</v>
      </c>
      <c r="L327" s="141" t="str">
        <f t="shared" si="132"/>
        <v>NVT</v>
      </c>
      <c r="M327" s="141" t="str">
        <f t="shared" si="133"/>
        <v>NVT</v>
      </c>
      <c r="N327" s="141" t="str">
        <f t="shared" si="134"/>
        <v>NVT</v>
      </c>
      <c r="O327" s="141" t="str">
        <f t="shared" si="135"/>
        <v>NVT</v>
      </c>
      <c r="P327" s="141" t="str">
        <f t="shared" si="136"/>
        <v>NVT</v>
      </c>
      <c r="Q327" s="141" t="str">
        <f t="shared" si="137"/>
        <v>NVT</v>
      </c>
      <c r="R327" s="63" t="s">
        <v>1221</v>
      </c>
      <c r="S327" s="142">
        <f t="shared" si="124"/>
        <v>0</v>
      </c>
      <c r="T327" s="143">
        <f>(5.35*1)*1.3</f>
        <v>6.9550000000000001</v>
      </c>
      <c r="U327" s="144"/>
      <c r="V327" s="144"/>
      <c r="W327" s="144">
        <v>40</v>
      </c>
      <c r="X327" s="144"/>
      <c r="Y327" s="144"/>
      <c r="Z327" s="145"/>
      <c r="AA327" s="145">
        <v>5</v>
      </c>
      <c r="AB327" s="145"/>
      <c r="AC327" s="145"/>
      <c r="AD327" s="146"/>
      <c r="AE327" s="171">
        <v>1</v>
      </c>
      <c r="AF327" s="147">
        <f t="shared" si="138"/>
        <v>0</v>
      </c>
      <c r="AG327" s="147">
        <f t="shared" si="139"/>
        <v>0</v>
      </c>
      <c r="AH327" s="147">
        <f t="shared" si="140"/>
        <v>0</v>
      </c>
      <c r="AI327" s="147">
        <f t="shared" si="141"/>
        <v>0</v>
      </c>
      <c r="AJ327" s="148">
        <f t="shared" si="142"/>
        <v>0</v>
      </c>
      <c r="AK327" s="149">
        <f t="shared" si="125"/>
        <v>0</v>
      </c>
      <c r="AL327" s="149">
        <f t="shared" si="126"/>
        <v>0</v>
      </c>
      <c r="AM327" s="149">
        <f t="shared" si="127"/>
        <v>0</v>
      </c>
      <c r="AN327" s="149">
        <f t="shared" si="128"/>
        <v>0</v>
      </c>
      <c r="AO327" s="150">
        <f t="shared" si="143"/>
        <v>0</v>
      </c>
      <c r="AQ327" s="151">
        <f t="shared" si="144"/>
        <v>0</v>
      </c>
    </row>
    <row r="328" spans="1:43" ht="15" customHeight="1">
      <c r="A328" s="82" t="e">
        <f>1+#REF!</f>
        <v>#REF!</v>
      </c>
      <c r="B328" s="134">
        <v>104</v>
      </c>
      <c r="C328" s="135" t="s">
        <v>260</v>
      </c>
      <c r="D328" s="136" t="s">
        <v>274</v>
      </c>
      <c r="E328" s="137" t="s">
        <v>530</v>
      </c>
      <c r="F328" s="138" t="s">
        <v>502</v>
      </c>
      <c r="G328" s="139" t="s">
        <v>574</v>
      </c>
      <c r="H328" s="140" t="str">
        <f t="shared" si="130"/>
        <v>Niet van toepassing</v>
      </c>
      <c r="I328" s="138" t="s">
        <v>261</v>
      </c>
      <c r="J328" s="138" t="s">
        <v>1172</v>
      </c>
      <c r="K328" s="141" t="str">
        <f t="shared" si="131"/>
        <v>NVT</v>
      </c>
      <c r="L328" s="141" t="str">
        <f t="shared" si="132"/>
        <v>NVT</v>
      </c>
      <c r="M328" s="141" t="str">
        <f t="shared" si="133"/>
        <v>NVT</v>
      </c>
      <c r="N328" s="141" t="str">
        <f t="shared" si="134"/>
        <v>NVT</v>
      </c>
      <c r="O328" s="141" t="str">
        <f t="shared" si="135"/>
        <v>NVT</v>
      </c>
      <c r="P328" s="141" t="str">
        <f t="shared" si="136"/>
        <v>NVT</v>
      </c>
      <c r="Q328" s="141" t="str">
        <f t="shared" si="137"/>
        <v>NVT</v>
      </c>
      <c r="R328" s="63" t="s">
        <v>1221</v>
      </c>
      <c r="S328" s="142">
        <f t="shared" si="124"/>
        <v>0</v>
      </c>
      <c r="T328" s="143">
        <v>0</v>
      </c>
      <c r="U328" s="144"/>
      <c r="V328" s="144"/>
      <c r="W328" s="144"/>
      <c r="X328" s="144"/>
      <c r="Y328" s="144"/>
      <c r="Z328" s="145"/>
      <c r="AA328" s="145"/>
      <c r="AB328" s="145"/>
      <c r="AC328" s="145"/>
      <c r="AD328" s="146" t="s">
        <v>680</v>
      </c>
      <c r="AE328" s="171">
        <v>1</v>
      </c>
      <c r="AF328" s="147">
        <f t="shared" si="138"/>
        <v>0</v>
      </c>
      <c r="AG328" s="147">
        <f t="shared" si="139"/>
        <v>0</v>
      </c>
      <c r="AH328" s="147">
        <f t="shared" si="140"/>
        <v>0</v>
      </c>
      <c r="AI328" s="147">
        <f t="shared" si="141"/>
        <v>0</v>
      </c>
      <c r="AJ328" s="148">
        <f t="shared" si="142"/>
        <v>0</v>
      </c>
      <c r="AK328" s="149">
        <f t="shared" si="125"/>
        <v>0</v>
      </c>
      <c r="AL328" s="149">
        <f t="shared" si="126"/>
        <v>0</v>
      </c>
      <c r="AM328" s="149">
        <f t="shared" si="127"/>
        <v>0</v>
      </c>
      <c r="AN328" s="149">
        <f t="shared" si="128"/>
        <v>0</v>
      </c>
      <c r="AO328" s="150">
        <f t="shared" si="143"/>
        <v>0</v>
      </c>
      <c r="AQ328" s="151">
        <f t="shared" si="144"/>
        <v>0</v>
      </c>
    </row>
    <row r="329" spans="1:43" ht="15" customHeight="1">
      <c r="A329" s="82" t="e">
        <f t="shared" si="129"/>
        <v>#REF!</v>
      </c>
      <c r="B329" s="134">
        <v>104</v>
      </c>
      <c r="C329" s="135" t="s">
        <v>260</v>
      </c>
      <c r="D329" s="136" t="s">
        <v>274</v>
      </c>
      <c r="E329" s="137" t="s">
        <v>530</v>
      </c>
      <c r="F329" s="138" t="s">
        <v>502</v>
      </c>
      <c r="G329" s="139" t="s">
        <v>575</v>
      </c>
      <c r="H329" s="140" t="str">
        <f t="shared" si="130"/>
        <v>Niet van toepassing</v>
      </c>
      <c r="I329" s="138" t="s">
        <v>261</v>
      </c>
      <c r="J329" s="138" t="s">
        <v>1172</v>
      </c>
      <c r="K329" s="141" t="str">
        <f t="shared" si="131"/>
        <v>NVT</v>
      </c>
      <c r="L329" s="141" t="str">
        <f t="shared" si="132"/>
        <v>NVT</v>
      </c>
      <c r="M329" s="141" t="str">
        <f t="shared" si="133"/>
        <v>NVT</v>
      </c>
      <c r="N329" s="141" t="str">
        <f t="shared" si="134"/>
        <v>NVT</v>
      </c>
      <c r="O329" s="141" t="str">
        <f t="shared" si="135"/>
        <v>NVT</v>
      </c>
      <c r="P329" s="141" t="str">
        <f t="shared" si="136"/>
        <v>NVT</v>
      </c>
      <c r="Q329" s="141" t="str">
        <f t="shared" si="137"/>
        <v>NVT</v>
      </c>
      <c r="R329" s="63" t="s">
        <v>1221</v>
      </c>
      <c r="S329" s="142">
        <f t="shared" si="124"/>
        <v>0</v>
      </c>
      <c r="T329" s="143">
        <v>0</v>
      </c>
      <c r="U329" s="144"/>
      <c r="V329" s="144"/>
      <c r="W329" s="144"/>
      <c r="X329" s="144"/>
      <c r="Y329" s="144"/>
      <c r="Z329" s="145"/>
      <c r="AA329" s="145"/>
      <c r="AB329" s="145"/>
      <c r="AC329" s="145"/>
      <c r="AD329" s="146" t="s">
        <v>681</v>
      </c>
      <c r="AE329" s="171">
        <v>1</v>
      </c>
      <c r="AF329" s="147">
        <f t="shared" si="138"/>
        <v>0</v>
      </c>
      <c r="AG329" s="147">
        <f t="shared" si="139"/>
        <v>0</v>
      </c>
      <c r="AH329" s="147">
        <f t="shared" si="140"/>
        <v>0</v>
      </c>
      <c r="AI329" s="147">
        <f t="shared" si="141"/>
        <v>0</v>
      </c>
      <c r="AJ329" s="148">
        <f t="shared" si="142"/>
        <v>0</v>
      </c>
      <c r="AK329" s="149">
        <f t="shared" si="125"/>
        <v>0</v>
      </c>
      <c r="AL329" s="149">
        <f t="shared" si="126"/>
        <v>0</v>
      </c>
      <c r="AM329" s="149">
        <f t="shared" si="127"/>
        <v>0</v>
      </c>
      <c r="AN329" s="149">
        <f t="shared" si="128"/>
        <v>0</v>
      </c>
      <c r="AO329" s="150">
        <f t="shared" si="143"/>
        <v>0</v>
      </c>
      <c r="AQ329" s="151">
        <f t="shared" si="144"/>
        <v>0</v>
      </c>
    </row>
    <row r="330" spans="1:43" ht="15" customHeight="1">
      <c r="A330" s="82" t="e">
        <f>1+#REF!</f>
        <v>#REF!</v>
      </c>
      <c r="B330" s="134">
        <v>104</v>
      </c>
      <c r="C330" s="135" t="s">
        <v>260</v>
      </c>
      <c r="D330" s="136" t="s">
        <v>274</v>
      </c>
      <c r="E330" s="137" t="s">
        <v>530</v>
      </c>
      <c r="F330" s="138" t="s">
        <v>572</v>
      </c>
      <c r="G330" s="139" t="s">
        <v>576</v>
      </c>
      <c r="H330" s="140" t="str">
        <f t="shared" si="130"/>
        <v>Niet van toepassing</v>
      </c>
      <c r="I330" s="138" t="s">
        <v>261</v>
      </c>
      <c r="J330" s="138" t="s">
        <v>1172</v>
      </c>
      <c r="K330" s="141" t="str">
        <f t="shared" si="131"/>
        <v>NVT</v>
      </c>
      <c r="L330" s="141" t="str">
        <f t="shared" si="132"/>
        <v>NVT</v>
      </c>
      <c r="M330" s="141" t="str">
        <f t="shared" si="133"/>
        <v>NVT</v>
      </c>
      <c r="N330" s="141" t="str">
        <f t="shared" si="134"/>
        <v>NVT</v>
      </c>
      <c r="O330" s="141" t="str">
        <f t="shared" si="135"/>
        <v>NVT</v>
      </c>
      <c r="P330" s="141" t="str">
        <f t="shared" si="136"/>
        <v>NVT</v>
      </c>
      <c r="Q330" s="141" t="str">
        <f t="shared" si="137"/>
        <v>NVT</v>
      </c>
      <c r="R330" s="63" t="s">
        <v>1221</v>
      </c>
      <c r="S330" s="142">
        <f t="shared" si="124"/>
        <v>0</v>
      </c>
      <c r="T330" s="143">
        <v>7.8000000000000007</v>
      </c>
      <c r="U330" s="144"/>
      <c r="V330" s="144"/>
      <c r="W330" s="144">
        <v>35</v>
      </c>
      <c r="X330" s="144"/>
      <c r="Y330" s="144"/>
      <c r="Z330" s="145"/>
      <c r="AA330" s="145">
        <v>7</v>
      </c>
      <c r="AB330" s="145"/>
      <c r="AC330" s="145"/>
      <c r="AD330" s="146"/>
      <c r="AE330" s="171">
        <v>1</v>
      </c>
      <c r="AF330" s="147">
        <f t="shared" si="138"/>
        <v>0</v>
      </c>
      <c r="AG330" s="147">
        <f t="shared" si="139"/>
        <v>0</v>
      </c>
      <c r="AH330" s="147">
        <f t="shared" si="140"/>
        <v>0</v>
      </c>
      <c r="AI330" s="147">
        <f t="shared" si="141"/>
        <v>0</v>
      </c>
      <c r="AJ330" s="148">
        <f t="shared" si="142"/>
        <v>0</v>
      </c>
      <c r="AK330" s="149">
        <f t="shared" si="125"/>
        <v>0</v>
      </c>
      <c r="AL330" s="149">
        <f t="shared" si="126"/>
        <v>0</v>
      </c>
      <c r="AM330" s="149">
        <f t="shared" si="127"/>
        <v>0</v>
      </c>
      <c r="AN330" s="149">
        <f t="shared" si="128"/>
        <v>0</v>
      </c>
      <c r="AO330" s="150">
        <f t="shared" si="143"/>
        <v>0</v>
      </c>
      <c r="AQ330" s="151">
        <f t="shared" si="144"/>
        <v>0</v>
      </c>
    </row>
    <row r="331" spans="1:43" ht="15" customHeight="1">
      <c r="A331" s="82" t="e">
        <f t="shared" si="129"/>
        <v>#REF!</v>
      </c>
      <c r="B331" s="134">
        <v>104</v>
      </c>
      <c r="C331" s="135" t="s">
        <v>260</v>
      </c>
      <c r="D331" s="136" t="s">
        <v>274</v>
      </c>
      <c r="E331" s="137" t="s">
        <v>530</v>
      </c>
      <c r="F331" s="138" t="s">
        <v>577</v>
      </c>
      <c r="G331" s="139" t="s">
        <v>578</v>
      </c>
      <c r="H331" s="140" t="str">
        <f t="shared" si="130"/>
        <v>Niet van toepassing</v>
      </c>
      <c r="I331" s="138" t="s">
        <v>1252</v>
      </c>
      <c r="J331" s="138" t="s">
        <v>1172</v>
      </c>
      <c r="K331" s="141" t="str">
        <f t="shared" si="131"/>
        <v>NVT</v>
      </c>
      <c r="L331" s="141" t="str">
        <f t="shared" si="132"/>
        <v>NVT</v>
      </c>
      <c r="M331" s="141" t="str">
        <f t="shared" si="133"/>
        <v>NVT</v>
      </c>
      <c r="N331" s="141" t="str">
        <f t="shared" si="134"/>
        <v>NVT</v>
      </c>
      <c r="O331" s="141" t="str">
        <f t="shared" si="135"/>
        <v>NVT</v>
      </c>
      <c r="P331" s="141" t="str">
        <f t="shared" si="136"/>
        <v>NVT</v>
      </c>
      <c r="Q331" s="141" t="str">
        <f t="shared" si="137"/>
        <v>NVT</v>
      </c>
      <c r="R331" s="63" t="s">
        <v>1221</v>
      </c>
      <c r="S331" s="142">
        <f t="shared" si="124"/>
        <v>0</v>
      </c>
      <c r="T331" s="143">
        <f>(2.6*6.9)*1.3</f>
        <v>23.322000000000003</v>
      </c>
      <c r="U331" s="144"/>
      <c r="V331" s="144">
        <v>51</v>
      </c>
      <c r="W331" s="144"/>
      <c r="X331" s="144"/>
      <c r="Y331" s="144"/>
      <c r="Z331" s="145"/>
      <c r="AA331" s="145"/>
      <c r="AB331" s="145">
        <v>18</v>
      </c>
      <c r="AC331" s="145"/>
      <c r="AD331" s="146"/>
      <c r="AE331" s="171">
        <v>1</v>
      </c>
      <c r="AF331" s="147">
        <f t="shared" si="138"/>
        <v>0</v>
      </c>
      <c r="AG331" s="147">
        <f t="shared" si="139"/>
        <v>0</v>
      </c>
      <c r="AH331" s="147">
        <f t="shared" si="140"/>
        <v>0</v>
      </c>
      <c r="AI331" s="147">
        <f t="shared" si="141"/>
        <v>0</v>
      </c>
      <c r="AJ331" s="148">
        <f t="shared" si="142"/>
        <v>0</v>
      </c>
      <c r="AK331" s="149">
        <f t="shared" si="125"/>
        <v>0</v>
      </c>
      <c r="AL331" s="149">
        <f t="shared" si="126"/>
        <v>0</v>
      </c>
      <c r="AM331" s="149">
        <f t="shared" si="127"/>
        <v>0</v>
      </c>
      <c r="AN331" s="149">
        <f t="shared" si="128"/>
        <v>0</v>
      </c>
      <c r="AO331" s="150">
        <f t="shared" si="143"/>
        <v>0</v>
      </c>
      <c r="AQ331" s="151">
        <f t="shared" si="144"/>
        <v>0</v>
      </c>
    </row>
    <row r="332" spans="1:43" ht="15" customHeight="1">
      <c r="A332" s="82" t="e">
        <f t="shared" si="129"/>
        <v>#REF!</v>
      </c>
      <c r="B332" s="134">
        <v>104</v>
      </c>
      <c r="C332" s="135" t="s">
        <v>260</v>
      </c>
      <c r="D332" s="136" t="s">
        <v>274</v>
      </c>
      <c r="E332" s="137" t="s">
        <v>530</v>
      </c>
      <c r="F332" s="138" t="s">
        <v>248</v>
      </c>
      <c r="G332" s="139" t="s">
        <v>579</v>
      </c>
      <c r="H332" s="140" t="str">
        <f t="shared" si="130"/>
        <v>Niet van toepassing</v>
      </c>
      <c r="I332" s="138" t="s">
        <v>270</v>
      </c>
      <c r="J332" s="138" t="s">
        <v>1172</v>
      </c>
      <c r="K332" s="141" t="str">
        <f t="shared" si="131"/>
        <v>NVT</v>
      </c>
      <c r="L332" s="141" t="str">
        <f t="shared" si="132"/>
        <v>NVT</v>
      </c>
      <c r="M332" s="141" t="str">
        <f t="shared" si="133"/>
        <v>NVT</v>
      </c>
      <c r="N332" s="141" t="str">
        <f t="shared" si="134"/>
        <v>NVT</v>
      </c>
      <c r="O332" s="141" t="str">
        <f t="shared" si="135"/>
        <v>NVT</v>
      </c>
      <c r="P332" s="141" t="str">
        <f t="shared" si="136"/>
        <v>NVT</v>
      </c>
      <c r="Q332" s="141" t="str">
        <f t="shared" si="137"/>
        <v>NVT</v>
      </c>
      <c r="R332" s="63" t="s">
        <v>1221</v>
      </c>
      <c r="S332" s="142">
        <f t="shared" ref="S332:S395" si="145">VLOOKUP(R332,Kengetal,2,FALSE)</f>
        <v>0</v>
      </c>
      <c r="T332" s="143">
        <f>(8.5*4.6-0.8*4.6)*1.3</f>
        <v>46.045999999999992</v>
      </c>
      <c r="U332" s="144"/>
      <c r="V332" s="144">
        <v>73</v>
      </c>
      <c r="W332" s="144"/>
      <c r="X332" s="144"/>
      <c r="Y332" s="144"/>
      <c r="Z332" s="145"/>
      <c r="AA332" s="145"/>
      <c r="AB332" s="145">
        <v>35</v>
      </c>
      <c r="AC332" s="145"/>
      <c r="AD332" s="146"/>
      <c r="AE332" s="171">
        <v>1</v>
      </c>
      <c r="AF332" s="147">
        <f t="shared" si="138"/>
        <v>0</v>
      </c>
      <c r="AG332" s="147">
        <f t="shared" si="139"/>
        <v>0</v>
      </c>
      <c r="AH332" s="147">
        <f t="shared" si="140"/>
        <v>0</v>
      </c>
      <c r="AI332" s="147">
        <f t="shared" si="141"/>
        <v>0</v>
      </c>
      <c r="AJ332" s="148">
        <f t="shared" si="142"/>
        <v>0</v>
      </c>
      <c r="AK332" s="149">
        <f t="shared" si="125"/>
        <v>0</v>
      </c>
      <c r="AL332" s="149">
        <f t="shared" si="126"/>
        <v>0</v>
      </c>
      <c r="AM332" s="149">
        <f t="shared" si="127"/>
        <v>0</v>
      </c>
      <c r="AN332" s="149">
        <f t="shared" si="128"/>
        <v>0</v>
      </c>
      <c r="AO332" s="150">
        <f t="shared" si="143"/>
        <v>0</v>
      </c>
      <c r="AQ332" s="151">
        <f t="shared" si="144"/>
        <v>0</v>
      </c>
    </row>
    <row r="333" spans="1:43" ht="15" customHeight="1">
      <c r="A333" s="82" t="e">
        <f t="shared" si="129"/>
        <v>#REF!</v>
      </c>
      <c r="B333" s="134">
        <v>104</v>
      </c>
      <c r="C333" s="135" t="s">
        <v>260</v>
      </c>
      <c r="D333" s="136" t="s">
        <v>274</v>
      </c>
      <c r="E333" s="137" t="s">
        <v>530</v>
      </c>
      <c r="F333" s="138" t="s">
        <v>580</v>
      </c>
      <c r="G333" s="139" t="s">
        <v>581</v>
      </c>
      <c r="H333" s="140" t="str">
        <f t="shared" si="130"/>
        <v>Niet van toepassing</v>
      </c>
      <c r="I333" s="138" t="s">
        <v>270</v>
      </c>
      <c r="J333" s="138" t="s">
        <v>1172</v>
      </c>
      <c r="K333" s="141" t="str">
        <f t="shared" si="131"/>
        <v>NVT</v>
      </c>
      <c r="L333" s="141" t="str">
        <f t="shared" si="132"/>
        <v>NVT</v>
      </c>
      <c r="M333" s="141" t="str">
        <f t="shared" si="133"/>
        <v>NVT</v>
      </c>
      <c r="N333" s="141" t="str">
        <f t="shared" si="134"/>
        <v>NVT</v>
      </c>
      <c r="O333" s="141" t="str">
        <f t="shared" si="135"/>
        <v>NVT</v>
      </c>
      <c r="P333" s="141" t="str">
        <f t="shared" si="136"/>
        <v>NVT</v>
      </c>
      <c r="Q333" s="141" t="str">
        <f t="shared" si="137"/>
        <v>NVT</v>
      </c>
      <c r="R333" s="63" t="s">
        <v>1221</v>
      </c>
      <c r="S333" s="142">
        <f t="shared" si="145"/>
        <v>0</v>
      </c>
      <c r="T333" s="143">
        <f>(2.5*2.6)*1.3</f>
        <v>8.4500000000000011</v>
      </c>
      <c r="U333" s="144"/>
      <c r="V333" s="144">
        <v>35</v>
      </c>
      <c r="W333" s="144"/>
      <c r="X333" s="144"/>
      <c r="Y333" s="144"/>
      <c r="Z333" s="145"/>
      <c r="AA333" s="145"/>
      <c r="AB333" s="145">
        <v>7</v>
      </c>
      <c r="AC333" s="145"/>
      <c r="AD333" s="146" t="s">
        <v>682</v>
      </c>
      <c r="AE333" s="171">
        <v>1</v>
      </c>
      <c r="AF333" s="147">
        <f t="shared" si="138"/>
        <v>0</v>
      </c>
      <c r="AG333" s="147">
        <f t="shared" si="139"/>
        <v>0</v>
      </c>
      <c r="AH333" s="147">
        <f t="shared" si="140"/>
        <v>0</v>
      </c>
      <c r="AI333" s="147">
        <f t="shared" si="141"/>
        <v>0</v>
      </c>
      <c r="AJ333" s="148">
        <f t="shared" si="142"/>
        <v>0</v>
      </c>
      <c r="AK333" s="149">
        <f t="shared" si="125"/>
        <v>0</v>
      </c>
      <c r="AL333" s="149">
        <f t="shared" si="126"/>
        <v>0</v>
      </c>
      <c r="AM333" s="149">
        <f t="shared" si="127"/>
        <v>0</v>
      </c>
      <c r="AN333" s="149">
        <f t="shared" si="128"/>
        <v>0</v>
      </c>
      <c r="AO333" s="150">
        <f t="shared" si="143"/>
        <v>0</v>
      </c>
      <c r="AQ333" s="151">
        <f t="shared" si="144"/>
        <v>0</v>
      </c>
    </row>
    <row r="334" spans="1:43" ht="15" customHeight="1">
      <c r="A334" s="82" t="e">
        <f t="shared" si="129"/>
        <v>#REF!</v>
      </c>
      <c r="B334" s="134">
        <v>104</v>
      </c>
      <c r="C334" s="135" t="s">
        <v>260</v>
      </c>
      <c r="D334" s="136" t="s">
        <v>274</v>
      </c>
      <c r="E334" s="137" t="s">
        <v>530</v>
      </c>
      <c r="F334" s="138" t="s">
        <v>582</v>
      </c>
      <c r="G334" s="139" t="s">
        <v>583</v>
      </c>
      <c r="H334" s="140" t="str">
        <f t="shared" si="130"/>
        <v>Niet van toepassing</v>
      </c>
      <c r="I334" s="138" t="s">
        <v>1252</v>
      </c>
      <c r="J334" s="138" t="s">
        <v>1172</v>
      </c>
      <c r="K334" s="141" t="str">
        <f t="shared" si="131"/>
        <v>NVT</v>
      </c>
      <c r="L334" s="141" t="str">
        <f t="shared" si="132"/>
        <v>NVT</v>
      </c>
      <c r="M334" s="141" t="str">
        <f t="shared" si="133"/>
        <v>NVT</v>
      </c>
      <c r="N334" s="141" t="str">
        <f t="shared" si="134"/>
        <v>NVT</v>
      </c>
      <c r="O334" s="141" t="str">
        <f t="shared" si="135"/>
        <v>NVT</v>
      </c>
      <c r="P334" s="141" t="str">
        <f t="shared" si="136"/>
        <v>NVT</v>
      </c>
      <c r="Q334" s="141" t="str">
        <f t="shared" si="137"/>
        <v>NVT</v>
      </c>
      <c r="R334" s="63" t="s">
        <v>1221</v>
      </c>
      <c r="S334" s="142">
        <f t="shared" si="145"/>
        <v>0</v>
      </c>
      <c r="T334" s="143">
        <f>(19.1*3)*1.3</f>
        <v>74.490000000000009</v>
      </c>
      <c r="U334" s="144"/>
      <c r="V334" s="144"/>
      <c r="W334" s="144">
        <v>137</v>
      </c>
      <c r="X334" s="144"/>
      <c r="Y334" s="144"/>
      <c r="Z334" s="145"/>
      <c r="AA334" s="145"/>
      <c r="AB334" s="145"/>
      <c r="AC334" s="145">
        <v>57</v>
      </c>
      <c r="AD334" s="146" t="s">
        <v>679</v>
      </c>
      <c r="AE334" s="171">
        <v>1</v>
      </c>
      <c r="AF334" s="147">
        <f t="shared" si="138"/>
        <v>0</v>
      </c>
      <c r="AG334" s="147">
        <f t="shared" si="139"/>
        <v>0</v>
      </c>
      <c r="AH334" s="147">
        <f t="shared" si="140"/>
        <v>0</v>
      </c>
      <c r="AI334" s="147">
        <f t="shared" si="141"/>
        <v>0</v>
      </c>
      <c r="AJ334" s="148">
        <f t="shared" si="142"/>
        <v>0</v>
      </c>
      <c r="AK334" s="149">
        <f t="shared" si="125"/>
        <v>0</v>
      </c>
      <c r="AL334" s="149">
        <f t="shared" si="126"/>
        <v>0</v>
      </c>
      <c r="AM334" s="149">
        <f t="shared" si="127"/>
        <v>0</v>
      </c>
      <c r="AN334" s="149">
        <f t="shared" si="128"/>
        <v>0</v>
      </c>
      <c r="AO334" s="150">
        <f t="shared" si="143"/>
        <v>0</v>
      </c>
      <c r="AQ334" s="151">
        <f t="shared" si="144"/>
        <v>0</v>
      </c>
    </row>
    <row r="335" spans="1:43" ht="15" customHeight="1">
      <c r="A335" s="82" t="e">
        <f t="shared" si="129"/>
        <v>#REF!</v>
      </c>
      <c r="B335" s="134">
        <v>104</v>
      </c>
      <c r="C335" s="135" t="s">
        <v>260</v>
      </c>
      <c r="D335" s="136" t="s">
        <v>274</v>
      </c>
      <c r="E335" s="137" t="s">
        <v>530</v>
      </c>
      <c r="F335" s="138" t="s">
        <v>271</v>
      </c>
      <c r="G335" s="139" t="s">
        <v>584</v>
      </c>
      <c r="H335" s="140" t="str">
        <f t="shared" si="130"/>
        <v>Niet van toepassing</v>
      </c>
      <c r="I335" s="138" t="s">
        <v>270</v>
      </c>
      <c r="J335" s="138" t="s">
        <v>1172</v>
      </c>
      <c r="K335" s="141" t="str">
        <f t="shared" si="131"/>
        <v>NVT</v>
      </c>
      <c r="L335" s="141" t="str">
        <f t="shared" si="132"/>
        <v>NVT</v>
      </c>
      <c r="M335" s="141" t="str">
        <f t="shared" si="133"/>
        <v>NVT</v>
      </c>
      <c r="N335" s="141" t="str">
        <f t="shared" si="134"/>
        <v>NVT</v>
      </c>
      <c r="O335" s="141" t="str">
        <f t="shared" si="135"/>
        <v>NVT</v>
      </c>
      <c r="P335" s="141" t="str">
        <f t="shared" si="136"/>
        <v>NVT</v>
      </c>
      <c r="Q335" s="141" t="str">
        <f t="shared" si="137"/>
        <v>NVT</v>
      </c>
      <c r="R335" s="63" t="s">
        <v>1221</v>
      </c>
      <c r="S335" s="142">
        <f t="shared" si="145"/>
        <v>0</v>
      </c>
      <c r="T335" s="143">
        <f>(5*3-2.2*1.15-1.65*0.35)*1.3</f>
        <v>15.46025</v>
      </c>
      <c r="U335" s="144">
        <v>3</v>
      </c>
      <c r="V335" s="144">
        <v>51</v>
      </c>
      <c r="W335" s="144"/>
      <c r="X335" s="144"/>
      <c r="Y335" s="144"/>
      <c r="Z335" s="145"/>
      <c r="AA335" s="145"/>
      <c r="AB335" s="145">
        <v>12</v>
      </c>
      <c r="AC335" s="145"/>
      <c r="AD335" s="146" t="s">
        <v>679</v>
      </c>
      <c r="AE335" s="171">
        <v>1</v>
      </c>
      <c r="AF335" s="147">
        <f t="shared" si="138"/>
        <v>0</v>
      </c>
      <c r="AG335" s="147">
        <f t="shared" si="139"/>
        <v>0</v>
      </c>
      <c r="AH335" s="147">
        <f t="shared" si="140"/>
        <v>0</v>
      </c>
      <c r="AI335" s="147">
        <f t="shared" si="141"/>
        <v>0</v>
      </c>
      <c r="AJ335" s="148">
        <f t="shared" si="142"/>
        <v>0</v>
      </c>
      <c r="AK335" s="149">
        <f t="shared" si="125"/>
        <v>0</v>
      </c>
      <c r="AL335" s="149">
        <f t="shared" si="126"/>
        <v>0</v>
      </c>
      <c r="AM335" s="149">
        <f t="shared" si="127"/>
        <v>0</v>
      </c>
      <c r="AN335" s="149">
        <f t="shared" si="128"/>
        <v>0</v>
      </c>
      <c r="AO335" s="150">
        <f t="shared" si="143"/>
        <v>0</v>
      </c>
      <c r="AQ335" s="151">
        <f t="shared" si="144"/>
        <v>0</v>
      </c>
    </row>
    <row r="336" spans="1:43" ht="15" customHeight="1">
      <c r="A336" s="82" t="e">
        <f t="shared" si="129"/>
        <v>#REF!</v>
      </c>
      <c r="B336" s="134">
        <v>104</v>
      </c>
      <c r="C336" s="135" t="s">
        <v>260</v>
      </c>
      <c r="D336" s="136" t="s">
        <v>274</v>
      </c>
      <c r="E336" s="137" t="s">
        <v>530</v>
      </c>
      <c r="F336" s="138" t="s">
        <v>585</v>
      </c>
      <c r="G336" s="139" t="s">
        <v>586</v>
      </c>
      <c r="H336" s="140" t="str">
        <f t="shared" si="130"/>
        <v>Niet van toepassing</v>
      </c>
      <c r="I336" s="138" t="s">
        <v>35</v>
      </c>
      <c r="J336" s="138" t="s">
        <v>1172</v>
      </c>
      <c r="K336" s="141" t="str">
        <f t="shared" si="131"/>
        <v>NVT</v>
      </c>
      <c r="L336" s="141" t="str">
        <f t="shared" si="132"/>
        <v>NVT</v>
      </c>
      <c r="M336" s="141" t="str">
        <f t="shared" si="133"/>
        <v>NVT</v>
      </c>
      <c r="N336" s="141" t="str">
        <f t="shared" si="134"/>
        <v>NVT</v>
      </c>
      <c r="O336" s="141" t="str">
        <f t="shared" si="135"/>
        <v>NVT</v>
      </c>
      <c r="P336" s="141" t="str">
        <f t="shared" si="136"/>
        <v>NVT</v>
      </c>
      <c r="Q336" s="141" t="str">
        <f t="shared" si="137"/>
        <v>NVT</v>
      </c>
      <c r="R336" s="63" t="s">
        <v>1221</v>
      </c>
      <c r="S336" s="142">
        <f t="shared" si="145"/>
        <v>0</v>
      </c>
      <c r="T336" s="143">
        <f>(3.45*2.15)*1.3</f>
        <v>9.6427500000000013</v>
      </c>
      <c r="U336" s="144"/>
      <c r="V336" s="144">
        <v>18</v>
      </c>
      <c r="W336" s="144">
        <v>18</v>
      </c>
      <c r="X336" s="144"/>
      <c r="Y336" s="144"/>
      <c r="Z336" s="145"/>
      <c r="AA336" s="145"/>
      <c r="AB336" s="145">
        <v>7</v>
      </c>
      <c r="AC336" s="145"/>
      <c r="AD336" s="146" t="s">
        <v>679</v>
      </c>
      <c r="AE336" s="171">
        <v>1</v>
      </c>
      <c r="AF336" s="147">
        <f t="shared" si="138"/>
        <v>0</v>
      </c>
      <c r="AG336" s="147">
        <f t="shared" si="139"/>
        <v>0</v>
      </c>
      <c r="AH336" s="147">
        <f t="shared" si="140"/>
        <v>0</v>
      </c>
      <c r="AI336" s="147">
        <f t="shared" si="141"/>
        <v>0</v>
      </c>
      <c r="AJ336" s="148">
        <f t="shared" si="142"/>
        <v>0</v>
      </c>
      <c r="AK336" s="149">
        <f t="shared" si="125"/>
        <v>0</v>
      </c>
      <c r="AL336" s="149">
        <f t="shared" si="126"/>
        <v>0</v>
      </c>
      <c r="AM336" s="149">
        <f t="shared" si="127"/>
        <v>0</v>
      </c>
      <c r="AN336" s="149">
        <f t="shared" si="128"/>
        <v>0</v>
      </c>
      <c r="AO336" s="150">
        <f t="shared" si="143"/>
        <v>0</v>
      </c>
      <c r="AQ336" s="151">
        <f t="shared" si="144"/>
        <v>0</v>
      </c>
    </row>
    <row r="337" spans="1:43" ht="15" customHeight="1">
      <c r="A337" s="82" t="e">
        <f t="shared" si="129"/>
        <v>#REF!</v>
      </c>
      <c r="B337" s="134">
        <v>104</v>
      </c>
      <c r="C337" s="135" t="s">
        <v>260</v>
      </c>
      <c r="D337" s="136" t="s">
        <v>274</v>
      </c>
      <c r="E337" s="137" t="s">
        <v>530</v>
      </c>
      <c r="F337" s="138" t="s">
        <v>587</v>
      </c>
      <c r="G337" s="139" t="s">
        <v>588</v>
      </c>
      <c r="H337" s="140" t="str">
        <f t="shared" si="130"/>
        <v>Niet van toepassing</v>
      </c>
      <c r="I337" s="138" t="s">
        <v>35</v>
      </c>
      <c r="J337" s="138" t="s">
        <v>1172</v>
      </c>
      <c r="K337" s="141" t="str">
        <f t="shared" si="131"/>
        <v>NVT</v>
      </c>
      <c r="L337" s="141" t="str">
        <f t="shared" si="132"/>
        <v>NVT</v>
      </c>
      <c r="M337" s="141" t="str">
        <f t="shared" si="133"/>
        <v>NVT</v>
      </c>
      <c r="N337" s="141" t="str">
        <f t="shared" si="134"/>
        <v>NVT</v>
      </c>
      <c r="O337" s="141" t="str">
        <f t="shared" si="135"/>
        <v>NVT</v>
      </c>
      <c r="P337" s="141" t="str">
        <f t="shared" si="136"/>
        <v>NVT</v>
      </c>
      <c r="Q337" s="141" t="str">
        <f t="shared" si="137"/>
        <v>NVT</v>
      </c>
      <c r="R337" s="63" t="s">
        <v>1221</v>
      </c>
      <c r="S337" s="142">
        <f t="shared" si="145"/>
        <v>0</v>
      </c>
      <c r="T337" s="143">
        <f>(3.45*1)*1.3</f>
        <v>4.4850000000000003</v>
      </c>
      <c r="U337" s="144"/>
      <c r="V337" s="144">
        <v>15</v>
      </c>
      <c r="W337" s="144">
        <v>14</v>
      </c>
      <c r="X337" s="144"/>
      <c r="Y337" s="144"/>
      <c r="Z337" s="145"/>
      <c r="AA337" s="145"/>
      <c r="AB337" s="145">
        <v>3</v>
      </c>
      <c r="AC337" s="145"/>
      <c r="AD337" s="146" t="s">
        <v>679</v>
      </c>
      <c r="AE337" s="171">
        <v>1</v>
      </c>
      <c r="AF337" s="147">
        <f t="shared" si="138"/>
        <v>0</v>
      </c>
      <c r="AG337" s="147">
        <f t="shared" si="139"/>
        <v>0</v>
      </c>
      <c r="AH337" s="147">
        <f t="shared" si="140"/>
        <v>0</v>
      </c>
      <c r="AI337" s="147">
        <f t="shared" si="141"/>
        <v>0</v>
      </c>
      <c r="AJ337" s="148">
        <f t="shared" si="142"/>
        <v>0</v>
      </c>
      <c r="AK337" s="149">
        <f t="shared" si="125"/>
        <v>0</v>
      </c>
      <c r="AL337" s="149">
        <f t="shared" si="126"/>
        <v>0</v>
      </c>
      <c r="AM337" s="149">
        <f t="shared" si="127"/>
        <v>0</v>
      </c>
      <c r="AN337" s="149">
        <f t="shared" si="128"/>
        <v>0</v>
      </c>
      <c r="AO337" s="150">
        <f t="shared" si="143"/>
        <v>0</v>
      </c>
      <c r="AQ337" s="151">
        <f t="shared" si="144"/>
        <v>0</v>
      </c>
    </row>
    <row r="338" spans="1:43" ht="15" customHeight="1">
      <c r="A338" s="82" t="e">
        <f t="shared" si="129"/>
        <v>#REF!</v>
      </c>
      <c r="B338" s="134">
        <v>104</v>
      </c>
      <c r="C338" s="135" t="s">
        <v>260</v>
      </c>
      <c r="D338" s="136" t="s">
        <v>274</v>
      </c>
      <c r="E338" s="137" t="s">
        <v>530</v>
      </c>
      <c r="F338" s="138" t="s">
        <v>585</v>
      </c>
      <c r="G338" s="139" t="s">
        <v>589</v>
      </c>
      <c r="H338" s="140" t="str">
        <f t="shared" si="130"/>
        <v>Niet van toepassing</v>
      </c>
      <c r="I338" s="138" t="s">
        <v>35</v>
      </c>
      <c r="J338" s="138" t="s">
        <v>1172</v>
      </c>
      <c r="K338" s="141" t="str">
        <f t="shared" si="131"/>
        <v>NVT</v>
      </c>
      <c r="L338" s="141" t="str">
        <f t="shared" si="132"/>
        <v>NVT</v>
      </c>
      <c r="M338" s="141" t="str">
        <f t="shared" si="133"/>
        <v>NVT</v>
      </c>
      <c r="N338" s="141" t="str">
        <f t="shared" si="134"/>
        <v>NVT</v>
      </c>
      <c r="O338" s="141" t="str">
        <f t="shared" si="135"/>
        <v>NVT</v>
      </c>
      <c r="P338" s="141" t="str">
        <f t="shared" si="136"/>
        <v>NVT</v>
      </c>
      <c r="Q338" s="141" t="str">
        <f t="shared" si="137"/>
        <v>NVT</v>
      </c>
      <c r="R338" s="63" t="s">
        <v>1221</v>
      </c>
      <c r="S338" s="142">
        <f t="shared" si="145"/>
        <v>0</v>
      </c>
      <c r="T338" s="143">
        <f>(2.75*2.15)*1.3</f>
        <v>7.6862499999999994</v>
      </c>
      <c r="U338" s="144"/>
      <c r="V338" s="144">
        <v>23</v>
      </c>
      <c r="W338" s="144">
        <v>9</v>
      </c>
      <c r="X338" s="144"/>
      <c r="Y338" s="144"/>
      <c r="Z338" s="145"/>
      <c r="AA338" s="145"/>
      <c r="AB338" s="145">
        <v>6</v>
      </c>
      <c r="AC338" s="145"/>
      <c r="AD338" s="146" t="s">
        <v>679</v>
      </c>
      <c r="AE338" s="171">
        <v>1</v>
      </c>
      <c r="AF338" s="147">
        <f t="shared" si="138"/>
        <v>0</v>
      </c>
      <c r="AG338" s="147">
        <f t="shared" si="139"/>
        <v>0</v>
      </c>
      <c r="AH338" s="147">
        <f t="shared" si="140"/>
        <v>0</v>
      </c>
      <c r="AI338" s="147">
        <f t="shared" si="141"/>
        <v>0</v>
      </c>
      <c r="AJ338" s="148">
        <f t="shared" si="142"/>
        <v>0</v>
      </c>
      <c r="AK338" s="149">
        <f t="shared" si="125"/>
        <v>0</v>
      </c>
      <c r="AL338" s="149">
        <f t="shared" si="126"/>
        <v>0</v>
      </c>
      <c r="AM338" s="149">
        <f t="shared" si="127"/>
        <v>0</v>
      </c>
      <c r="AN338" s="149">
        <f t="shared" si="128"/>
        <v>0</v>
      </c>
      <c r="AO338" s="150">
        <f t="shared" si="143"/>
        <v>0</v>
      </c>
      <c r="AQ338" s="151">
        <f t="shared" si="144"/>
        <v>0</v>
      </c>
    </row>
    <row r="339" spans="1:43" ht="15" customHeight="1">
      <c r="A339" s="82" t="e">
        <f t="shared" si="129"/>
        <v>#REF!</v>
      </c>
      <c r="B339" s="134">
        <v>104</v>
      </c>
      <c r="C339" s="135" t="s">
        <v>260</v>
      </c>
      <c r="D339" s="136" t="s">
        <v>274</v>
      </c>
      <c r="E339" s="137" t="s">
        <v>530</v>
      </c>
      <c r="F339" s="138" t="s">
        <v>587</v>
      </c>
      <c r="G339" s="139" t="s">
        <v>590</v>
      </c>
      <c r="H339" s="140" t="str">
        <f t="shared" si="130"/>
        <v>Niet van toepassing</v>
      </c>
      <c r="I339" s="138" t="s">
        <v>35</v>
      </c>
      <c r="J339" s="138" t="s">
        <v>1172</v>
      </c>
      <c r="K339" s="141" t="str">
        <f t="shared" si="131"/>
        <v>NVT</v>
      </c>
      <c r="L339" s="141" t="str">
        <f t="shared" si="132"/>
        <v>NVT</v>
      </c>
      <c r="M339" s="141" t="str">
        <f t="shared" si="133"/>
        <v>NVT</v>
      </c>
      <c r="N339" s="141" t="str">
        <f t="shared" si="134"/>
        <v>NVT</v>
      </c>
      <c r="O339" s="141" t="str">
        <f t="shared" si="135"/>
        <v>NVT</v>
      </c>
      <c r="P339" s="141" t="str">
        <f t="shared" si="136"/>
        <v>NVT</v>
      </c>
      <c r="Q339" s="141" t="str">
        <f t="shared" si="137"/>
        <v>NVT</v>
      </c>
      <c r="R339" s="63" t="s">
        <v>1221</v>
      </c>
      <c r="S339" s="142">
        <f t="shared" si="145"/>
        <v>0</v>
      </c>
      <c r="T339" s="143">
        <f>(2.75*1)*1.3</f>
        <v>3.5750000000000002</v>
      </c>
      <c r="U339" s="144"/>
      <c r="V339" s="144">
        <v>15</v>
      </c>
      <c r="W339" s="144">
        <v>9</v>
      </c>
      <c r="X339" s="144"/>
      <c r="Y339" s="144"/>
      <c r="Z339" s="145"/>
      <c r="AA339" s="145"/>
      <c r="AB339" s="145">
        <v>3</v>
      </c>
      <c r="AC339" s="145"/>
      <c r="AD339" s="146" t="s">
        <v>679</v>
      </c>
      <c r="AE339" s="171">
        <v>1</v>
      </c>
      <c r="AF339" s="147">
        <f t="shared" si="138"/>
        <v>0</v>
      </c>
      <c r="AG339" s="147">
        <f t="shared" si="139"/>
        <v>0</v>
      </c>
      <c r="AH339" s="147">
        <f t="shared" si="140"/>
        <v>0</v>
      </c>
      <c r="AI339" s="147">
        <f t="shared" si="141"/>
        <v>0</v>
      </c>
      <c r="AJ339" s="148">
        <f t="shared" si="142"/>
        <v>0</v>
      </c>
      <c r="AK339" s="149">
        <f t="shared" si="125"/>
        <v>0</v>
      </c>
      <c r="AL339" s="149">
        <f t="shared" si="126"/>
        <v>0</v>
      </c>
      <c r="AM339" s="149">
        <f t="shared" si="127"/>
        <v>0</v>
      </c>
      <c r="AN339" s="149">
        <f t="shared" si="128"/>
        <v>0</v>
      </c>
      <c r="AO339" s="150">
        <f t="shared" si="143"/>
        <v>0</v>
      </c>
      <c r="AQ339" s="151">
        <f t="shared" si="144"/>
        <v>0</v>
      </c>
    </row>
    <row r="340" spans="1:43" ht="15" customHeight="1">
      <c r="A340" s="82" t="e">
        <f t="shared" si="129"/>
        <v>#REF!</v>
      </c>
      <c r="B340" s="134">
        <v>104</v>
      </c>
      <c r="C340" s="135" t="s">
        <v>260</v>
      </c>
      <c r="D340" s="136" t="s">
        <v>274</v>
      </c>
      <c r="E340" s="137" t="s">
        <v>530</v>
      </c>
      <c r="F340" s="138" t="s">
        <v>591</v>
      </c>
      <c r="G340" s="139" t="s">
        <v>592</v>
      </c>
      <c r="H340" s="140" t="str">
        <f t="shared" si="130"/>
        <v>Niet van toepassing</v>
      </c>
      <c r="I340" s="138" t="s">
        <v>35</v>
      </c>
      <c r="J340" s="138" t="s">
        <v>1172</v>
      </c>
      <c r="K340" s="141" t="str">
        <f t="shared" si="131"/>
        <v>NVT</v>
      </c>
      <c r="L340" s="141" t="str">
        <f t="shared" si="132"/>
        <v>NVT</v>
      </c>
      <c r="M340" s="141" t="str">
        <f t="shared" si="133"/>
        <v>NVT</v>
      </c>
      <c r="N340" s="141" t="str">
        <f t="shared" si="134"/>
        <v>NVT</v>
      </c>
      <c r="O340" s="141" t="str">
        <f t="shared" si="135"/>
        <v>NVT</v>
      </c>
      <c r="P340" s="141" t="str">
        <f t="shared" si="136"/>
        <v>NVT</v>
      </c>
      <c r="Q340" s="141" t="str">
        <f t="shared" si="137"/>
        <v>NVT</v>
      </c>
      <c r="R340" s="63" t="s">
        <v>1221</v>
      </c>
      <c r="S340" s="142">
        <f t="shared" si="145"/>
        <v>0</v>
      </c>
      <c r="T340" s="143">
        <f>(1.5*2.7)*1.3</f>
        <v>5.2650000000000015</v>
      </c>
      <c r="U340" s="144"/>
      <c r="V340" s="144"/>
      <c r="W340" s="144">
        <v>19</v>
      </c>
      <c r="X340" s="144"/>
      <c r="Y340" s="144"/>
      <c r="Z340" s="145"/>
      <c r="AA340" s="145">
        <v>4</v>
      </c>
      <c r="AB340" s="145"/>
      <c r="AC340" s="145"/>
      <c r="AD340" s="146"/>
      <c r="AE340" s="171">
        <v>1</v>
      </c>
      <c r="AF340" s="147">
        <f t="shared" si="138"/>
        <v>0</v>
      </c>
      <c r="AG340" s="147">
        <f t="shared" si="139"/>
        <v>0</v>
      </c>
      <c r="AH340" s="147">
        <f t="shared" si="140"/>
        <v>0</v>
      </c>
      <c r="AI340" s="147">
        <f t="shared" si="141"/>
        <v>0</v>
      </c>
      <c r="AJ340" s="148">
        <f t="shared" si="142"/>
        <v>0</v>
      </c>
      <c r="AK340" s="149">
        <f t="shared" si="125"/>
        <v>0</v>
      </c>
      <c r="AL340" s="149">
        <f t="shared" si="126"/>
        <v>0</v>
      </c>
      <c r="AM340" s="149">
        <f t="shared" si="127"/>
        <v>0</v>
      </c>
      <c r="AN340" s="149">
        <f t="shared" si="128"/>
        <v>0</v>
      </c>
      <c r="AO340" s="150">
        <f t="shared" si="143"/>
        <v>0</v>
      </c>
      <c r="AQ340" s="151">
        <f t="shared" si="144"/>
        <v>0</v>
      </c>
    </row>
    <row r="341" spans="1:43" ht="15" customHeight="1">
      <c r="A341" s="82" t="e">
        <f t="shared" si="129"/>
        <v>#REF!</v>
      </c>
      <c r="B341" s="134">
        <v>104</v>
      </c>
      <c r="C341" s="135" t="s">
        <v>260</v>
      </c>
      <c r="D341" s="136" t="s">
        <v>274</v>
      </c>
      <c r="E341" s="137" t="s">
        <v>530</v>
      </c>
      <c r="F341" s="138" t="s">
        <v>593</v>
      </c>
      <c r="G341" s="139" t="s">
        <v>594</v>
      </c>
      <c r="H341" s="140" t="str">
        <f t="shared" si="130"/>
        <v>Niet van toepassing</v>
      </c>
      <c r="I341" s="138" t="s">
        <v>35</v>
      </c>
      <c r="J341" s="138" t="s">
        <v>1172</v>
      </c>
      <c r="K341" s="141" t="str">
        <f t="shared" si="131"/>
        <v>NVT</v>
      </c>
      <c r="L341" s="141" t="str">
        <f t="shared" si="132"/>
        <v>NVT</v>
      </c>
      <c r="M341" s="141" t="str">
        <f t="shared" si="133"/>
        <v>NVT</v>
      </c>
      <c r="N341" s="141" t="str">
        <f t="shared" si="134"/>
        <v>NVT</v>
      </c>
      <c r="O341" s="141" t="str">
        <f t="shared" si="135"/>
        <v>NVT</v>
      </c>
      <c r="P341" s="141" t="str">
        <f t="shared" si="136"/>
        <v>NVT</v>
      </c>
      <c r="Q341" s="141" t="str">
        <f t="shared" si="137"/>
        <v>NVT</v>
      </c>
      <c r="R341" s="63" t="s">
        <v>1221</v>
      </c>
      <c r="S341" s="142">
        <f t="shared" si="145"/>
        <v>0</v>
      </c>
      <c r="T341" s="143">
        <f>(2.7*2.7)*1.3</f>
        <v>9.4770000000000021</v>
      </c>
      <c r="U341" s="144"/>
      <c r="V341" s="144"/>
      <c r="W341" s="144">
        <v>27</v>
      </c>
      <c r="X341" s="144"/>
      <c r="Y341" s="144"/>
      <c r="Z341" s="145"/>
      <c r="AA341" s="145">
        <v>7</v>
      </c>
      <c r="AB341" s="145"/>
      <c r="AC341" s="145"/>
      <c r="AD341" s="146"/>
      <c r="AE341" s="171">
        <v>1</v>
      </c>
      <c r="AF341" s="147">
        <f t="shared" si="138"/>
        <v>0</v>
      </c>
      <c r="AG341" s="147">
        <f t="shared" si="139"/>
        <v>0</v>
      </c>
      <c r="AH341" s="147">
        <f t="shared" si="140"/>
        <v>0</v>
      </c>
      <c r="AI341" s="147">
        <f t="shared" si="141"/>
        <v>0</v>
      </c>
      <c r="AJ341" s="148">
        <f t="shared" si="142"/>
        <v>0</v>
      </c>
      <c r="AK341" s="149">
        <f t="shared" si="125"/>
        <v>0</v>
      </c>
      <c r="AL341" s="149">
        <f t="shared" si="126"/>
        <v>0</v>
      </c>
      <c r="AM341" s="149">
        <f t="shared" si="127"/>
        <v>0</v>
      </c>
      <c r="AN341" s="149">
        <f t="shared" si="128"/>
        <v>0</v>
      </c>
      <c r="AO341" s="150">
        <f t="shared" si="143"/>
        <v>0</v>
      </c>
      <c r="AQ341" s="151">
        <f t="shared" si="144"/>
        <v>0</v>
      </c>
    </row>
    <row r="342" spans="1:43" ht="15" customHeight="1">
      <c r="A342" s="82" t="e">
        <f t="shared" si="129"/>
        <v>#REF!</v>
      </c>
      <c r="B342" s="134">
        <v>104</v>
      </c>
      <c r="C342" s="135" t="s">
        <v>260</v>
      </c>
      <c r="D342" s="136" t="s">
        <v>274</v>
      </c>
      <c r="E342" s="137" t="s">
        <v>530</v>
      </c>
      <c r="F342" s="138" t="s">
        <v>595</v>
      </c>
      <c r="G342" s="139" t="s">
        <v>596</v>
      </c>
      <c r="H342" s="140" t="str">
        <f t="shared" si="130"/>
        <v>Niet van toepassing</v>
      </c>
      <c r="I342" s="138" t="s">
        <v>35</v>
      </c>
      <c r="J342" s="138" t="s">
        <v>1172</v>
      </c>
      <c r="K342" s="141" t="str">
        <f t="shared" si="131"/>
        <v>NVT</v>
      </c>
      <c r="L342" s="141" t="str">
        <f t="shared" si="132"/>
        <v>NVT</v>
      </c>
      <c r="M342" s="141" t="str">
        <f t="shared" si="133"/>
        <v>NVT</v>
      </c>
      <c r="N342" s="141" t="str">
        <f t="shared" si="134"/>
        <v>NVT</v>
      </c>
      <c r="O342" s="141" t="str">
        <f t="shared" si="135"/>
        <v>NVT</v>
      </c>
      <c r="P342" s="141" t="str">
        <f t="shared" si="136"/>
        <v>NVT</v>
      </c>
      <c r="Q342" s="141" t="str">
        <f t="shared" si="137"/>
        <v>NVT</v>
      </c>
      <c r="R342" s="63" t="s">
        <v>1221</v>
      </c>
      <c r="S342" s="142">
        <f t="shared" si="145"/>
        <v>0</v>
      </c>
      <c r="T342" s="143">
        <f>(2.4*4.1)*1.3</f>
        <v>12.791999999999998</v>
      </c>
      <c r="U342" s="144"/>
      <c r="V342" s="144"/>
      <c r="W342" s="144">
        <v>44</v>
      </c>
      <c r="X342" s="144"/>
      <c r="Y342" s="144"/>
      <c r="Z342" s="145"/>
      <c r="AA342" s="145">
        <v>10</v>
      </c>
      <c r="AB342" s="145"/>
      <c r="AC342" s="145"/>
      <c r="AD342" s="146"/>
      <c r="AE342" s="171">
        <v>1</v>
      </c>
      <c r="AF342" s="147">
        <f t="shared" si="138"/>
        <v>0</v>
      </c>
      <c r="AG342" s="147">
        <f t="shared" si="139"/>
        <v>0</v>
      </c>
      <c r="AH342" s="147">
        <f t="shared" si="140"/>
        <v>0</v>
      </c>
      <c r="AI342" s="147">
        <f t="shared" si="141"/>
        <v>0</v>
      </c>
      <c r="AJ342" s="148">
        <f t="shared" si="142"/>
        <v>0</v>
      </c>
      <c r="AK342" s="149">
        <f t="shared" si="125"/>
        <v>0</v>
      </c>
      <c r="AL342" s="149">
        <f t="shared" si="126"/>
        <v>0</v>
      </c>
      <c r="AM342" s="149">
        <f t="shared" si="127"/>
        <v>0</v>
      </c>
      <c r="AN342" s="149">
        <f t="shared" si="128"/>
        <v>0</v>
      </c>
      <c r="AO342" s="150">
        <f t="shared" si="143"/>
        <v>0</v>
      </c>
      <c r="AQ342" s="151">
        <f t="shared" si="144"/>
        <v>0</v>
      </c>
    </row>
    <row r="343" spans="1:43" ht="15" customHeight="1">
      <c r="A343" s="82" t="e">
        <f t="shared" si="129"/>
        <v>#REF!</v>
      </c>
      <c r="B343" s="134">
        <v>104</v>
      </c>
      <c r="C343" s="135" t="s">
        <v>260</v>
      </c>
      <c r="D343" s="136" t="s">
        <v>274</v>
      </c>
      <c r="E343" s="137" t="s">
        <v>530</v>
      </c>
      <c r="F343" s="138" t="s">
        <v>597</v>
      </c>
      <c r="G343" s="139" t="s">
        <v>598</v>
      </c>
      <c r="H343" s="140" t="str">
        <f t="shared" si="130"/>
        <v>Niet van toepassing</v>
      </c>
      <c r="I343" s="138" t="s">
        <v>270</v>
      </c>
      <c r="J343" s="138" t="s">
        <v>1172</v>
      </c>
      <c r="K343" s="141" t="str">
        <f t="shared" si="131"/>
        <v>NVT</v>
      </c>
      <c r="L343" s="141" t="str">
        <f t="shared" si="132"/>
        <v>NVT</v>
      </c>
      <c r="M343" s="141" t="str">
        <f t="shared" si="133"/>
        <v>NVT</v>
      </c>
      <c r="N343" s="141" t="str">
        <f t="shared" si="134"/>
        <v>NVT</v>
      </c>
      <c r="O343" s="141" t="str">
        <f t="shared" si="135"/>
        <v>NVT</v>
      </c>
      <c r="P343" s="141" t="str">
        <f t="shared" si="136"/>
        <v>NVT</v>
      </c>
      <c r="Q343" s="141" t="str">
        <f t="shared" si="137"/>
        <v>NVT</v>
      </c>
      <c r="R343" s="63" t="s">
        <v>1221</v>
      </c>
      <c r="S343" s="142">
        <f t="shared" si="145"/>
        <v>0</v>
      </c>
      <c r="T343" s="143">
        <f>(4*2)*1.3</f>
        <v>10.4</v>
      </c>
      <c r="U343" s="144"/>
      <c r="V343" s="144">
        <v>28</v>
      </c>
      <c r="W343" s="144"/>
      <c r="X343" s="144"/>
      <c r="Y343" s="144"/>
      <c r="Z343" s="145"/>
      <c r="AA343" s="145"/>
      <c r="AB343" s="145"/>
      <c r="AC343" s="145">
        <v>8</v>
      </c>
      <c r="AD343" s="146" t="s">
        <v>679</v>
      </c>
      <c r="AE343" s="171">
        <v>1</v>
      </c>
      <c r="AF343" s="147">
        <f t="shared" si="138"/>
        <v>0</v>
      </c>
      <c r="AG343" s="147">
        <f t="shared" si="139"/>
        <v>0</v>
      </c>
      <c r="AH343" s="147">
        <f t="shared" si="140"/>
        <v>0</v>
      </c>
      <c r="AI343" s="147">
        <f t="shared" si="141"/>
        <v>0</v>
      </c>
      <c r="AJ343" s="148">
        <f t="shared" si="142"/>
        <v>0</v>
      </c>
      <c r="AK343" s="149">
        <f t="shared" si="125"/>
        <v>0</v>
      </c>
      <c r="AL343" s="149">
        <f t="shared" si="126"/>
        <v>0</v>
      </c>
      <c r="AM343" s="149">
        <f t="shared" si="127"/>
        <v>0</v>
      </c>
      <c r="AN343" s="149">
        <f t="shared" si="128"/>
        <v>0</v>
      </c>
      <c r="AO343" s="150">
        <f t="shared" si="143"/>
        <v>0</v>
      </c>
      <c r="AQ343" s="151">
        <f t="shared" si="144"/>
        <v>0</v>
      </c>
    </row>
    <row r="344" spans="1:43" ht="15" customHeight="1">
      <c r="A344" s="82" t="e">
        <f t="shared" si="129"/>
        <v>#REF!</v>
      </c>
      <c r="B344" s="134">
        <v>104</v>
      </c>
      <c r="C344" s="135" t="s">
        <v>260</v>
      </c>
      <c r="D344" s="136" t="s">
        <v>274</v>
      </c>
      <c r="E344" s="137" t="s">
        <v>530</v>
      </c>
      <c r="F344" s="138" t="s">
        <v>76</v>
      </c>
      <c r="G344" s="139" t="s">
        <v>599</v>
      </c>
      <c r="H344" s="140" t="str">
        <f t="shared" si="130"/>
        <v>Niet van toepassing</v>
      </c>
      <c r="I344" s="138" t="s">
        <v>677</v>
      </c>
      <c r="J344" s="138" t="s">
        <v>1172</v>
      </c>
      <c r="K344" s="141" t="str">
        <f t="shared" si="131"/>
        <v>NVT</v>
      </c>
      <c r="L344" s="141" t="str">
        <f t="shared" si="132"/>
        <v>NVT</v>
      </c>
      <c r="M344" s="141" t="str">
        <f t="shared" si="133"/>
        <v>NVT</v>
      </c>
      <c r="N344" s="141" t="str">
        <f t="shared" si="134"/>
        <v>NVT</v>
      </c>
      <c r="O344" s="141" t="str">
        <f t="shared" si="135"/>
        <v>NVT</v>
      </c>
      <c r="P344" s="141" t="str">
        <f t="shared" si="136"/>
        <v>NVT</v>
      </c>
      <c r="Q344" s="141" t="str">
        <f t="shared" si="137"/>
        <v>NVT</v>
      </c>
      <c r="R344" s="63" t="s">
        <v>1221</v>
      </c>
      <c r="S344" s="142">
        <f t="shared" si="145"/>
        <v>0</v>
      </c>
      <c r="T344" s="143">
        <f>(3.4*1.75)*1.3</f>
        <v>7.7350000000000003</v>
      </c>
      <c r="U344" s="144">
        <v>1</v>
      </c>
      <c r="V344" s="144">
        <v>15</v>
      </c>
      <c r="W344" s="144"/>
      <c r="X344" s="144"/>
      <c r="Y344" s="144"/>
      <c r="Z344" s="145"/>
      <c r="AA344" s="145">
        <v>6</v>
      </c>
      <c r="AB344" s="145"/>
      <c r="AC344" s="145"/>
      <c r="AD344" s="146"/>
      <c r="AE344" s="171">
        <v>1</v>
      </c>
      <c r="AF344" s="147">
        <f t="shared" si="138"/>
        <v>0</v>
      </c>
      <c r="AG344" s="147">
        <f t="shared" si="139"/>
        <v>0</v>
      </c>
      <c r="AH344" s="147">
        <f t="shared" si="140"/>
        <v>0</v>
      </c>
      <c r="AI344" s="147">
        <f t="shared" si="141"/>
        <v>0</v>
      </c>
      <c r="AJ344" s="148">
        <f t="shared" si="142"/>
        <v>0</v>
      </c>
      <c r="AK344" s="149">
        <f t="shared" si="125"/>
        <v>0</v>
      </c>
      <c r="AL344" s="149">
        <f t="shared" si="126"/>
        <v>0</v>
      </c>
      <c r="AM344" s="149">
        <f t="shared" si="127"/>
        <v>0</v>
      </c>
      <c r="AN344" s="149">
        <f t="shared" si="128"/>
        <v>0</v>
      </c>
      <c r="AO344" s="150">
        <f t="shared" si="143"/>
        <v>0</v>
      </c>
      <c r="AQ344" s="151">
        <f t="shared" si="144"/>
        <v>0</v>
      </c>
    </row>
    <row r="345" spans="1:43" ht="15" customHeight="1">
      <c r="A345" s="82" t="e">
        <f t="shared" si="129"/>
        <v>#REF!</v>
      </c>
      <c r="B345" s="134">
        <v>104</v>
      </c>
      <c r="C345" s="135" t="s">
        <v>260</v>
      </c>
      <c r="D345" s="136" t="s">
        <v>274</v>
      </c>
      <c r="E345" s="137" t="s">
        <v>530</v>
      </c>
      <c r="F345" s="138" t="s">
        <v>76</v>
      </c>
      <c r="G345" s="139" t="s">
        <v>601</v>
      </c>
      <c r="H345" s="140" t="str">
        <f t="shared" si="130"/>
        <v>Niet van toepassing</v>
      </c>
      <c r="I345" s="138" t="s">
        <v>677</v>
      </c>
      <c r="J345" s="138" t="s">
        <v>1172</v>
      </c>
      <c r="K345" s="141" t="str">
        <f t="shared" si="131"/>
        <v>NVT</v>
      </c>
      <c r="L345" s="141" t="str">
        <f t="shared" si="132"/>
        <v>NVT</v>
      </c>
      <c r="M345" s="141" t="str">
        <f t="shared" si="133"/>
        <v>NVT</v>
      </c>
      <c r="N345" s="141" t="str">
        <f t="shared" si="134"/>
        <v>NVT</v>
      </c>
      <c r="O345" s="141" t="str">
        <f t="shared" si="135"/>
        <v>NVT</v>
      </c>
      <c r="P345" s="141" t="str">
        <f t="shared" si="136"/>
        <v>NVT</v>
      </c>
      <c r="Q345" s="141" t="str">
        <f t="shared" si="137"/>
        <v>NVT</v>
      </c>
      <c r="R345" s="63" t="s">
        <v>1221</v>
      </c>
      <c r="S345" s="142">
        <f t="shared" si="145"/>
        <v>0</v>
      </c>
      <c r="T345" s="143">
        <f>(3.25*9.75-0.65*1.05)*1.3</f>
        <v>40.3065</v>
      </c>
      <c r="U345" s="144"/>
      <c r="V345" s="144">
        <v>60</v>
      </c>
      <c r="W345" s="144"/>
      <c r="X345" s="144"/>
      <c r="Y345" s="144"/>
      <c r="Z345" s="145"/>
      <c r="AA345" s="145"/>
      <c r="AB345" s="145">
        <v>31</v>
      </c>
      <c r="AC345" s="145"/>
      <c r="AD345" s="146" t="s">
        <v>679</v>
      </c>
      <c r="AE345" s="171">
        <v>1</v>
      </c>
      <c r="AF345" s="147">
        <f t="shared" si="138"/>
        <v>0</v>
      </c>
      <c r="AG345" s="147">
        <f t="shared" si="139"/>
        <v>0</v>
      </c>
      <c r="AH345" s="147">
        <f t="shared" si="140"/>
        <v>0</v>
      </c>
      <c r="AI345" s="147">
        <f t="shared" si="141"/>
        <v>0</v>
      </c>
      <c r="AJ345" s="148">
        <f t="shared" si="142"/>
        <v>0</v>
      </c>
      <c r="AK345" s="149">
        <f t="shared" si="125"/>
        <v>0</v>
      </c>
      <c r="AL345" s="149">
        <f t="shared" si="126"/>
        <v>0</v>
      </c>
      <c r="AM345" s="149">
        <f t="shared" si="127"/>
        <v>0</v>
      </c>
      <c r="AN345" s="149">
        <f t="shared" si="128"/>
        <v>0</v>
      </c>
      <c r="AO345" s="150">
        <f t="shared" si="143"/>
        <v>0</v>
      </c>
      <c r="AQ345" s="151">
        <f t="shared" si="144"/>
        <v>0</v>
      </c>
    </row>
    <row r="346" spans="1:43" ht="15" customHeight="1">
      <c r="A346" s="82" t="e">
        <f t="shared" si="129"/>
        <v>#REF!</v>
      </c>
      <c r="B346" s="134">
        <v>104</v>
      </c>
      <c r="C346" s="135" t="s">
        <v>260</v>
      </c>
      <c r="D346" s="136" t="s">
        <v>274</v>
      </c>
      <c r="E346" s="137" t="s">
        <v>530</v>
      </c>
      <c r="F346" s="138" t="s">
        <v>76</v>
      </c>
      <c r="G346" s="139" t="s">
        <v>600</v>
      </c>
      <c r="H346" s="140" t="str">
        <f t="shared" si="130"/>
        <v>Niet van toepassing</v>
      </c>
      <c r="I346" s="138" t="s">
        <v>677</v>
      </c>
      <c r="J346" s="138" t="s">
        <v>1172</v>
      </c>
      <c r="K346" s="141" t="str">
        <f t="shared" si="131"/>
        <v>NVT</v>
      </c>
      <c r="L346" s="141" t="str">
        <f t="shared" si="132"/>
        <v>NVT</v>
      </c>
      <c r="M346" s="141" t="str">
        <f t="shared" si="133"/>
        <v>NVT</v>
      </c>
      <c r="N346" s="141" t="str">
        <f t="shared" si="134"/>
        <v>NVT</v>
      </c>
      <c r="O346" s="141" t="str">
        <f t="shared" si="135"/>
        <v>NVT</v>
      </c>
      <c r="P346" s="141" t="str">
        <f t="shared" si="136"/>
        <v>NVT</v>
      </c>
      <c r="Q346" s="141" t="str">
        <f t="shared" si="137"/>
        <v>NVT</v>
      </c>
      <c r="R346" s="63" t="s">
        <v>1221</v>
      </c>
      <c r="S346" s="142">
        <f t="shared" si="145"/>
        <v>0</v>
      </c>
      <c r="T346" s="143">
        <f>(10.3*1.2+2.1*0.95+2.9*5.1+0.5*2+4.35*10.3+1.2*2)*1.3</f>
        <v>100.55500000000002</v>
      </c>
      <c r="U346" s="144"/>
      <c r="V346" s="144">
        <v>132</v>
      </c>
      <c r="W346" s="144"/>
      <c r="X346" s="144"/>
      <c r="Y346" s="144"/>
      <c r="Z346" s="145"/>
      <c r="AA346" s="145"/>
      <c r="AB346" s="145">
        <v>77</v>
      </c>
      <c r="AC346" s="145"/>
      <c r="AD346" s="146" t="s">
        <v>679</v>
      </c>
      <c r="AE346" s="171">
        <v>1</v>
      </c>
      <c r="AF346" s="147">
        <f t="shared" si="138"/>
        <v>0</v>
      </c>
      <c r="AG346" s="147">
        <f t="shared" si="139"/>
        <v>0</v>
      </c>
      <c r="AH346" s="147">
        <f t="shared" si="140"/>
        <v>0</v>
      </c>
      <c r="AI346" s="147">
        <f t="shared" si="141"/>
        <v>0</v>
      </c>
      <c r="AJ346" s="148">
        <f t="shared" si="142"/>
        <v>0</v>
      </c>
      <c r="AK346" s="149">
        <f t="shared" si="125"/>
        <v>0</v>
      </c>
      <c r="AL346" s="149">
        <f t="shared" si="126"/>
        <v>0</v>
      </c>
      <c r="AM346" s="149">
        <f t="shared" si="127"/>
        <v>0</v>
      </c>
      <c r="AN346" s="149">
        <f t="shared" si="128"/>
        <v>0</v>
      </c>
      <c r="AO346" s="150">
        <f t="shared" si="143"/>
        <v>0</v>
      </c>
      <c r="AQ346" s="151">
        <f t="shared" si="144"/>
        <v>0</v>
      </c>
    </row>
    <row r="347" spans="1:43" ht="15" customHeight="1">
      <c r="A347" s="82" t="e">
        <f t="shared" si="129"/>
        <v>#REF!</v>
      </c>
      <c r="B347" s="134">
        <v>104</v>
      </c>
      <c r="C347" s="135" t="s">
        <v>260</v>
      </c>
      <c r="D347" s="136" t="s">
        <v>274</v>
      </c>
      <c r="E347" s="137" t="s">
        <v>530</v>
      </c>
      <c r="F347" s="138" t="s">
        <v>76</v>
      </c>
      <c r="G347" s="139" t="s">
        <v>602</v>
      </c>
      <c r="H347" s="140" t="str">
        <f t="shared" si="130"/>
        <v>Niet van toepassing</v>
      </c>
      <c r="I347" s="138" t="s">
        <v>35</v>
      </c>
      <c r="J347" s="138" t="s">
        <v>1172</v>
      </c>
      <c r="K347" s="141" t="str">
        <f t="shared" si="131"/>
        <v>NVT</v>
      </c>
      <c r="L347" s="141" t="str">
        <f t="shared" si="132"/>
        <v>NVT</v>
      </c>
      <c r="M347" s="141" t="str">
        <f t="shared" si="133"/>
        <v>NVT</v>
      </c>
      <c r="N347" s="141" t="str">
        <f t="shared" si="134"/>
        <v>NVT</v>
      </c>
      <c r="O347" s="141" t="str">
        <f t="shared" si="135"/>
        <v>NVT</v>
      </c>
      <c r="P347" s="141" t="str">
        <f t="shared" si="136"/>
        <v>NVT</v>
      </c>
      <c r="Q347" s="141" t="str">
        <f t="shared" si="137"/>
        <v>NVT</v>
      </c>
      <c r="R347" s="63" t="s">
        <v>1221</v>
      </c>
      <c r="S347" s="142">
        <f t="shared" si="145"/>
        <v>0</v>
      </c>
      <c r="T347" s="143">
        <f>(4.35*3.65-1.35*2.15)*1.3</f>
        <v>16.867499999999996</v>
      </c>
      <c r="U347" s="144"/>
      <c r="V347" s="144"/>
      <c r="W347" s="144">
        <v>43</v>
      </c>
      <c r="X347" s="144"/>
      <c r="Y347" s="144"/>
      <c r="Z347" s="145"/>
      <c r="AA347" s="145"/>
      <c r="AB347" s="145">
        <v>13</v>
      </c>
      <c r="AC347" s="145"/>
      <c r="AD347" s="146" t="s">
        <v>679</v>
      </c>
      <c r="AE347" s="171">
        <v>1</v>
      </c>
      <c r="AF347" s="147">
        <f t="shared" si="138"/>
        <v>0</v>
      </c>
      <c r="AG347" s="147">
        <f t="shared" si="139"/>
        <v>0</v>
      </c>
      <c r="AH347" s="147">
        <f t="shared" si="140"/>
        <v>0</v>
      </c>
      <c r="AI347" s="147">
        <f t="shared" si="141"/>
        <v>0</v>
      </c>
      <c r="AJ347" s="148">
        <f t="shared" si="142"/>
        <v>0</v>
      </c>
      <c r="AK347" s="149">
        <f t="shared" si="125"/>
        <v>0</v>
      </c>
      <c r="AL347" s="149">
        <f t="shared" si="126"/>
        <v>0</v>
      </c>
      <c r="AM347" s="149">
        <f t="shared" si="127"/>
        <v>0</v>
      </c>
      <c r="AN347" s="149">
        <f t="shared" si="128"/>
        <v>0</v>
      </c>
      <c r="AO347" s="150">
        <f t="shared" si="143"/>
        <v>0</v>
      </c>
      <c r="AQ347" s="151">
        <f t="shared" si="144"/>
        <v>0</v>
      </c>
    </row>
    <row r="348" spans="1:43" ht="15" customHeight="1">
      <c r="A348" s="82" t="e">
        <f t="shared" si="129"/>
        <v>#REF!</v>
      </c>
      <c r="B348" s="134">
        <v>104</v>
      </c>
      <c r="C348" s="135" t="s">
        <v>260</v>
      </c>
      <c r="D348" s="136" t="s">
        <v>274</v>
      </c>
      <c r="E348" s="137" t="s">
        <v>530</v>
      </c>
      <c r="F348" s="138" t="s">
        <v>74</v>
      </c>
      <c r="G348" s="139" t="s">
        <v>603</v>
      </c>
      <c r="H348" s="140" t="str">
        <f t="shared" si="130"/>
        <v>Berging/opslag/magazijn</v>
      </c>
      <c r="I348" s="138" t="s">
        <v>677</v>
      </c>
      <c r="J348" s="138" t="s">
        <v>1266</v>
      </c>
      <c r="K348" s="141" t="str">
        <f t="shared" si="131"/>
        <v>Zie Freq</v>
      </c>
      <c r="L348" s="141" t="str">
        <f t="shared" si="132"/>
        <v>Zie Freq</v>
      </c>
      <c r="M348" s="141" t="str">
        <f t="shared" si="133"/>
        <v>Zie Freq</v>
      </c>
      <c r="N348" s="141" t="str">
        <f t="shared" si="134"/>
        <v>Zie Freq</v>
      </c>
      <c r="O348" s="141" t="str">
        <f t="shared" si="135"/>
        <v>Zie Freq</v>
      </c>
      <c r="P348" s="141" t="str">
        <f t="shared" si="136"/>
        <v>NVT</v>
      </c>
      <c r="Q348" s="141" t="str">
        <f t="shared" si="137"/>
        <v>NVT</v>
      </c>
      <c r="R348" s="63" t="s">
        <v>1269</v>
      </c>
      <c r="S348" s="142">
        <f t="shared" si="145"/>
        <v>3</v>
      </c>
      <c r="T348" s="143">
        <f>(3.4*2.35)*1.3</f>
        <v>10.387</v>
      </c>
      <c r="U348" s="144">
        <v>1</v>
      </c>
      <c r="V348" s="144">
        <v>31</v>
      </c>
      <c r="W348" s="144"/>
      <c r="X348" s="144"/>
      <c r="Y348" s="144"/>
      <c r="Z348" s="145"/>
      <c r="AA348" s="145"/>
      <c r="AB348" s="145">
        <v>8</v>
      </c>
      <c r="AC348" s="145"/>
      <c r="AD348" s="146" t="s">
        <v>679</v>
      </c>
      <c r="AE348" s="171">
        <v>1</v>
      </c>
      <c r="AF348" s="147">
        <f t="shared" si="138"/>
        <v>0</v>
      </c>
      <c r="AG348" s="147">
        <f t="shared" si="139"/>
        <v>0</v>
      </c>
      <c r="AH348" s="147">
        <f t="shared" si="140"/>
        <v>0</v>
      </c>
      <c r="AI348" s="147">
        <f t="shared" si="141"/>
        <v>0</v>
      </c>
      <c r="AJ348" s="148" t="str">
        <f t="shared" si="142"/>
        <v>nee</v>
      </c>
      <c r="AK348" s="149">
        <f t="shared" si="125"/>
        <v>0</v>
      </c>
      <c r="AL348" s="149">
        <f t="shared" si="126"/>
        <v>0</v>
      </c>
      <c r="AM348" s="149">
        <f t="shared" si="127"/>
        <v>0</v>
      </c>
      <c r="AN348" s="149">
        <f t="shared" si="128"/>
        <v>0</v>
      </c>
      <c r="AO348" s="150" t="str">
        <f t="shared" si="143"/>
        <v>V</v>
      </c>
      <c r="AQ348" s="151">
        <f t="shared" si="144"/>
        <v>31.161000000000001</v>
      </c>
    </row>
    <row r="349" spans="1:43" ht="15" customHeight="1">
      <c r="A349" s="82" t="e">
        <f t="shared" si="129"/>
        <v>#REF!</v>
      </c>
      <c r="B349" s="134">
        <v>104</v>
      </c>
      <c r="C349" s="135" t="s">
        <v>260</v>
      </c>
      <c r="D349" s="136" t="s">
        <v>274</v>
      </c>
      <c r="E349" s="137" t="s">
        <v>530</v>
      </c>
      <c r="F349" s="138" t="s">
        <v>604</v>
      </c>
      <c r="G349" s="139" t="s">
        <v>605</v>
      </c>
      <c r="H349" s="140" t="str">
        <f t="shared" si="130"/>
        <v>Sanitair</v>
      </c>
      <c r="I349" s="138" t="s">
        <v>237</v>
      </c>
      <c r="J349" s="138" t="s">
        <v>1171</v>
      </c>
      <c r="K349" s="141" t="str">
        <f t="shared" si="131"/>
        <v>Omde dag Vol/Nal.</v>
      </c>
      <c r="L349" s="141" t="str">
        <f t="shared" si="132"/>
        <v>Omde dag Nal./Vol</v>
      </c>
      <c r="M349" s="141" t="str">
        <f t="shared" si="133"/>
        <v>Omde dag Vol/Nal.</v>
      </c>
      <c r="N349" s="141" t="str">
        <f t="shared" si="134"/>
        <v>Omde dag Nal./Vol</v>
      </c>
      <c r="O349" s="141" t="str">
        <f t="shared" si="135"/>
        <v>Omde dag Vol/Nal.</v>
      </c>
      <c r="P349" s="141" t="str">
        <f t="shared" si="136"/>
        <v>Omde dag Nal./Vol</v>
      </c>
      <c r="Q349" s="141" t="str">
        <f t="shared" si="137"/>
        <v>Omde dag Vol/Nal.</v>
      </c>
      <c r="R349" s="63" t="s">
        <v>1211</v>
      </c>
      <c r="S349" s="142">
        <f t="shared" si="145"/>
        <v>365</v>
      </c>
      <c r="T349" s="143">
        <f>(1.4*1.6)*1.3</f>
        <v>2.9119999999999999</v>
      </c>
      <c r="U349" s="144">
        <v>15</v>
      </c>
      <c r="V349" s="144"/>
      <c r="W349" s="144"/>
      <c r="X349" s="144"/>
      <c r="Y349" s="144"/>
      <c r="Z349" s="145"/>
      <c r="AA349" s="145"/>
      <c r="AB349" s="145"/>
      <c r="AC349" s="145">
        <v>2</v>
      </c>
      <c r="AD349" s="146" t="s">
        <v>683</v>
      </c>
      <c r="AE349" s="171">
        <v>1</v>
      </c>
      <c r="AF349" s="147">
        <f t="shared" si="138"/>
        <v>0</v>
      </c>
      <c r="AG349" s="147">
        <f t="shared" si="139"/>
        <v>0</v>
      </c>
      <c r="AH349" s="147">
        <f t="shared" si="140"/>
        <v>0</v>
      </c>
      <c r="AI349" s="147">
        <f t="shared" si="141"/>
        <v>0</v>
      </c>
      <c r="AJ349" s="148" t="str">
        <f t="shared" si="142"/>
        <v>ja</v>
      </c>
      <c r="AK349" s="149">
        <f t="shared" si="125"/>
        <v>0</v>
      </c>
      <c r="AL349" s="149">
        <f t="shared" si="126"/>
        <v>0</v>
      </c>
      <c r="AM349" s="149">
        <f t="shared" si="127"/>
        <v>0</v>
      </c>
      <c r="AN349" s="149">
        <f t="shared" si="128"/>
        <v>0</v>
      </c>
      <c r="AO349" s="150" t="str">
        <f t="shared" si="143"/>
        <v>S</v>
      </c>
      <c r="AQ349" s="151">
        <f t="shared" si="144"/>
        <v>1062.8799999999999</v>
      </c>
    </row>
    <row r="350" spans="1:43" ht="15" customHeight="1">
      <c r="A350" s="82" t="e">
        <f t="shared" si="129"/>
        <v>#REF!</v>
      </c>
      <c r="B350" s="134">
        <v>104</v>
      </c>
      <c r="C350" s="135" t="s">
        <v>260</v>
      </c>
      <c r="D350" s="136" t="s">
        <v>274</v>
      </c>
      <c r="E350" s="137" t="s">
        <v>530</v>
      </c>
      <c r="F350" s="138" t="s">
        <v>604</v>
      </c>
      <c r="G350" s="139" t="s">
        <v>606</v>
      </c>
      <c r="H350" s="140" t="str">
        <f t="shared" si="130"/>
        <v>Sanitair</v>
      </c>
      <c r="I350" s="138" t="s">
        <v>237</v>
      </c>
      <c r="J350" s="138" t="s">
        <v>1171</v>
      </c>
      <c r="K350" s="141" t="str">
        <f t="shared" si="131"/>
        <v>Omde dag Vol/Nal.</v>
      </c>
      <c r="L350" s="141" t="str">
        <f t="shared" si="132"/>
        <v>Omde dag Nal./Vol</v>
      </c>
      <c r="M350" s="141" t="str">
        <f t="shared" si="133"/>
        <v>Omde dag Vol/Nal.</v>
      </c>
      <c r="N350" s="141" t="str">
        <f t="shared" si="134"/>
        <v>Omde dag Nal./Vol</v>
      </c>
      <c r="O350" s="141" t="str">
        <f t="shared" si="135"/>
        <v>Omde dag Vol/Nal.</v>
      </c>
      <c r="P350" s="141" t="str">
        <f t="shared" si="136"/>
        <v>Omde dag Nal./Vol</v>
      </c>
      <c r="Q350" s="141" t="str">
        <f t="shared" si="137"/>
        <v>Omde dag Vol/Nal.</v>
      </c>
      <c r="R350" s="63" t="s">
        <v>1211</v>
      </c>
      <c r="S350" s="142">
        <f t="shared" si="145"/>
        <v>365</v>
      </c>
      <c r="T350" s="143">
        <f>(1.25*1.3)*1.3</f>
        <v>2.1125000000000003</v>
      </c>
      <c r="U350" s="144">
        <v>13</v>
      </c>
      <c r="V350" s="144"/>
      <c r="W350" s="144"/>
      <c r="X350" s="144"/>
      <c r="Y350" s="144"/>
      <c r="Z350" s="145"/>
      <c r="AA350" s="145"/>
      <c r="AB350" s="145"/>
      <c r="AC350" s="145">
        <v>2</v>
      </c>
      <c r="AD350" s="146" t="s">
        <v>683</v>
      </c>
      <c r="AE350" s="171">
        <v>1</v>
      </c>
      <c r="AF350" s="147">
        <f t="shared" si="138"/>
        <v>0</v>
      </c>
      <c r="AG350" s="147">
        <f t="shared" si="139"/>
        <v>0</v>
      </c>
      <c r="AH350" s="147">
        <f t="shared" si="140"/>
        <v>0</v>
      </c>
      <c r="AI350" s="147">
        <f t="shared" si="141"/>
        <v>0</v>
      </c>
      <c r="AJ350" s="148" t="str">
        <f t="shared" si="142"/>
        <v>ja</v>
      </c>
      <c r="AK350" s="149">
        <f t="shared" si="125"/>
        <v>0</v>
      </c>
      <c r="AL350" s="149">
        <f t="shared" si="126"/>
        <v>0</v>
      </c>
      <c r="AM350" s="149">
        <f t="shared" si="127"/>
        <v>0</v>
      </c>
      <c r="AN350" s="149">
        <f t="shared" si="128"/>
        <v>0</v>
      </c>
      <c r="AO350" s="150" t="str">
        <f t="shared" si="143"/>
        <v>S</v>
      </c>
      <c r="AQ350" s="151">
        <f t="shared" si="144"/>
        <v>771.06250000000011</v>
      </c>
    </row>
    <row r="351" spans="1:43" ht="15" customHeight="1">
      <c r="A351" s="82" t="e">
        <f t="shared" si="129"/>
        <v>#REF!</v>
      </c>
      <c r="B351" s="134">
        <v>104</v>
      </c>
      <c r="C351" s="135" t="s">
        <v>260</v>
      </c>
      <c r="D351" s="136" t="s">
        <v>274</v>
      </c>
      <c r="E351" s="137" t="s">
        <v>530</v>
      </c>
      <c r="F351" s="138" t="s">
        <v>604</v>
      </c>
      <c r="G351" s="139" t="s">
        <v>607</v>
      </c>
      <c r="H351" s="140" t="str">
        <f t="shared" si="130"/>
        <v>Sanitair</v>
      </c>
      <c r="I351" s="138" t="s">
        <v>237</v>
      </c>
      <c r="J351" s="138" t="s">
        <v>1171</v>
      </c>
      <c r="K351" s="141" t="str">
        <f t="shared" si="131"/>
        <v>Omde dag Vol/Nal.</v>
      </c>
      <c r="L351" s="141" t="str">
        <f t="shared" si="132"/>
        <v>Omde dag Nal./Vol</v>
      </c>
      <c r="M351" s="141" t="str">
        <f t="shared" si="133"/>
        <v>Omde dag Vol/Nal.</v>
      </c>
      <c r="N351" s="141" t="str">
        <f t="shared" si="134"/>
        <v>Omde dag Nal./Vol</v>
      </c>
      <c r="O351" s="141" t="str">
        <f t="shared" si="135"/>
        <v>Omde dag Vol/Nal.</v>
      </c>
      <c r="P351" s="141" t="str">
        <f t="shared" si="136"/>
        <v>Omde dag Nal./Vol</v>
      </c>
      <c r="Q351" s="141" t="str">
        <f t="shared" si="137"/>
        <v>Omde dag Vol/Nal.</v>
      </c>
      <c r="R351" s="63" t="s">
        <v>1211</v>
      </c>
      <c r="S351" s="142">
        <f t="shared" si="145"/>
        <v>365</v>
      </c>
      <c r="T351" s="143">
        <f>(1.4*1.6)*1.3</f>
        <v>2.9119999999999999</v>
      </c>
      <c r="U351" s="144">
        <v>15</v>
      </c>
      <c r="V351" s="144"/>
      <c r="W351" s="144"/>
      <c r="X351" s="144"/>
      <c r="Y351" s="144"/>
      <c r="Z351" s="145"/>
      <c r="AA351" s="145"/>
      <c r="AB351" s="145"/>
      <c r="AC351" s="145">
        <v>2</v>
      </c>
      <c r="AD351" s="146" t="s">
        <v>683</v>
      </c>
      <c r="AE351" s="171">
        <v>1</v>
      </c>
      <c r="AF351" s="147">
        <f t="shared" si="138"/>
        <v>0</v>
      </c>
      <c r="AG351" s="147">
        <f t="shared" si="139"/>
        <v>0</v>
      </c>
      <c r="AH351" s="147">
        <f t="shared" si="140"/>
        <v>0</v>
      </c>
      <c r="AI351" s="147">
        <f t="shared" si="141"/>
        <v>0</v>
      </c>
      <c r="AJ351" s="148" t="str">
        <f t="shared" si="142"/>
        <v>ja</v>
      </c>
      <c r="AK351" s="149">
        <f t="shared" ref="AK351:AK414" si="146">IF($R351="",0,VLOOKUP($R351,Kengetal,5,FALSE))</f>
        <v>0</v>
      </c>
      <c r="AL351" s="149">
        <f t="shared" ref="AL351:AL414" si="147">IF($R351="",0,VLOOKUP($R351,Kengetal,6,FALSE))</f>
        <v>0</v>
      </c>
      <c r="AM351" s="149">
        <f t="shared" ref="AM351:AM414" si="148">IF($R351="",0,VLOOKUP($R351,Kengetal,7,FALSE))</f>
        <v>0</v>
      </c>
      <c r="AN351" s="149">
        <f t="shared" ref="AN351:AN414" si="149">IF($R351="",0,VLOOKUP($R351,Kengetal,8,FALSE))</f>
        <v>0</v>
      </c>
      <c r="AO351" s="150" t="str">
        <f t="shared" si="143"/>
        <v>S</v>
      </c>
      <c r="AQ351" s="151">
        <f t="shared" si="144"/>
        <v>1062.8799999999999</v>
      </c>
    </row>
    <row r="352" spans="1:43" ht="15" customHeight="1">
      <c r="A352" s="82" t="e">
        <f t="shared" si="129"/>
        <v>#REF!</v>
      </c>
      <c r="B352" s="134">
        <v>104</v>
      </c>
      <c r="C352" s="135" t="s">
        <v>260</v>
      </c>
      <c r="D352" s="136" t="s">
        <v>274</v>
      </c>
      <c r="E352" s="137" t="s">
        <v>530</v>
      </c>
      <c r="F352" s="138" t="s">
        <v>604</v>
      </c>
      <c r="G352" s="139" t="s">
        <v>608</v>
      </c>
      <c r="H352" s="140" t="str">
        <f t="shared" si="130"/>
        <v>Sanitair</v>
      </c>
      <c r="I352" s="138" t="s">
        <v>237</v>
      </c>
      <c r="J352" s="138" t="s">
        <v>1171</v>
      </c>
      <c r="K352" s="141" t="str">
        <f t="shared" si="131"/>
        <v>Omde dag Vol/Nal.</v>
      </c>
      <c r="L352" s="141" t="str">
        <f t="shared" si="132"/>
        <v>Omde dag Nal./Vol</v>
      </c>
      <c r="M352" s="141" t="str">
        <f t="shared" si="133"/>
        <v>Omde dag Vol/Nal.</v>
      </c>
      <c r="N352" s="141" t="str">
        <f t="shared" si="134"/>
        <v>Omde dag Nal./Vol</v>
      </c>
      <c r="O352" s="141" t="str">
        <f t="shared" si="135"/>
        <v>Omde dag Vol/Nal.</v>
      </c>
      <c r="P352" s="141" t="str">
        <f t="shared" si="136"/>
        <v>Omde dag Nal./Vol</v>
      </c>
      <c r="Q352" s="141" t="str">
        <f t="shared" si="137"/>
        <v>Omde dag Vol/Nal.</v>
      </c>
      <c r="R352" s="63" t="s">
        <v>1211</v>
      </c>
      <c r="S352" s="142">
        <f t="shared" si="145"/>
        <v>365</v>
      </c>
      <c r="T352" s="143">
        <f>(1.25*1.3)*1.3</f>
        <v>2.1125000000000003</v>
      </c>
      <c r="U352" s="144">
        <v>13</v>
      </c>
      <c r="V352" s="144"/>
      <c r="W352" s="144"/>
      <c r="X352" s="144"/>
      <c r="Y352" s="144"/>
      <c r="Z352" s="145"/>
      <c r="AA352" s="145"/>
      <c r="AB352" s="145"/>
      <c r="AC352" s="145">
        <v>2</v>
      </c>
      <c r="AD352" s="146" t="s">
        <v>683</v>
      </c>
      <c r="AE352" s="171">
        <v>1</v>
      </c>
      <c r="AF352" s="147">
        <f t="shared" si="138"/>
        <v>0</v>
      </c>
      <c r="AG352" s="147">
        <f t="shared" si="139"/>
        <v>0</v>
      </c>
      <c r="AH352" s="147">
        <f t="shared" si="140"/>
        <v>0</v>
      </c>
      <c r="AI352" s="147">
        <f t="shared" si="141"/>
        <v>0</v>
      </c>
      <c r="AJ352" s="148" t="str">
        <f t="shared" si="142"/>
        <v>ja</v>
      </c>
      <c r="AK352" s="149">
        <f t="shared" si="146"/>
        <v>0</v>
      </c>
      <c r="AL352" s="149">
        <f t="shared" si="147"/>
        <v>0</v>
      </c>
      <c r="AM352" s="149">
        <f t="shared" si="148"/>
        <v>0</v>
      </c>
      <c r="AN352" s="149">
        <f t="shared" si="149"/>
        <v>0</v>
      </c>
      <c r="AO352" s="150" t="str">
        <f t="shared" si="143"/>
        <v>S</v>
      </c>
      <c r="AQ352" s="151">
        <f t="shared" si="144"/>
        <v>771.06250000000011</v>
      </c>
    </row>
    <row r="353" spans="1:43" ht="15" customHeight="1">
      <c r="A353" s="82" t="e">
        <f t="shared" si="129"/>
        <v>#REF!</v>
      </c>
      <c r="B353" s="134">
        <v>104</v>
      </c>
      <c r="C353" s="135" t="s">
        <v>260</v>
      </c>
      <c r="D353" s="136" t="s">
        <v>274</v>
      </c>
      <c r="E353" s="137" t="s">
        <v>530</v>
      </c>
      <c r="F353" s="138" t="s">
        <v>604</v>
      </c>
      <c r="G353" s="139" t="s">
        <v>609</v>
      </c>
      <c r="H353" s="140" t="str">
        <f t="shared" si="130"/>
        <v>Sanitair</v>
      </c>
      <c r="I353" s="138" t="s">
        <v>195</v>
      </c>
      <c r="J353" s="138" t="s">
        <v>1171</v>
      </c>
      <c r="K353" s="141" t="str">
        <f t="shared" si="131"/>
        <v>Omde dag Vol/Nal.</v>
      </c>
      <c r="L353" s="141" t="str">
        <f t="shared" si="132"/>
        <v>Omde dag Nal./Vol</v>
      </c>
      <c r="M353" s="141" t="str">
        <f t="shared" si="133"/>
        <v>Omde dag Vol/Nal.</v>
      </c>
      <c r="N353" s="141" t="str">
        <f t="shared" si="134"/>
        <v>Omde dag Nal./Vol</v>
      </c>
      <c r="O353" s="141" t="str">
        <f t="shared" si="135"/>
        <v>Omde dag Vol/Nal.</v>
      </c>
      <c r="P353" s="141" t="str">
        <f t="shared" si="136"/>
        <v>Omde dag Nal./Vol</v>
      </c>
      <c r="Q353" s="141" t="str">
        <f t="shared" si="137"/>
        <v>Omde dag Vol/Nal.</v>
      </c>
      <c r="R353" s="63" t="s">
        <v>1211</v>
      </c>
      <c r="S353" s="142">
        <f t="shared" si="145"/>
        <v>365</v>
      </c>
      <c r="T353" s="143">
        <v>2.6</v>
      </c>
      <c r="U353" s="144"/>
      <c r="V353" s="144"/>
      <c r="W353" s="144"/>
      <c r="X353" s="144"/>
      <c r="Y353" s="144"/>
      <c r="Z353" s="145"/>
      <c r="AA353" s="145"/>
      <c r="AB353" s="145"/>
      <c r="AC353" s="145"/>
      <c r="AD353" s="146" t="s">
        <v>1258</v>
      </c>
      <c r="AE353" s="171">
        <v>1</v>
      </c>
      <c r="AF353" s="147">
        <f t="shared" si="138"/>
        <v>0</v>
      </c>
      <c r="AG353" s="147">
        <f t="shared" si="139"/>
        <v>0</v>
      </c>
      <c r="AH353" s="147">
        <f t="shared" si="140"/>
        <v>0</v>
      </c>
      <c r="AI353" s="147">
        <f t="shared" si="141"/>
        <v>0</v>
      </c>
      <c r="AJ353" s="148" t="str">
        <f t="shared" si="142"/>
        <v>ja</v>
      </c>
      <c r="AK353" s="149">
        <f t="shared" si="146"/>
        <v>0</v>
      </c>
      <c r="AL353" s="149">
        <f t="shared" si="147"/>
        <v>0</v>
      </c>
      <c r="AM353" s="149">
        <f t="shared" si="148"/>
        <v>0</v>
      </c>
      <c r="AN353" s="149">
        <f t="shared" si="149"/>
        <v>0</v>
      </c>
      <c r="AO353" s="150" t="str">
        <f t="shared" si="143"/>
        <v>S</v>
      </c>
      <c r="AQ353" s="151">
        <f t="shared" si="144"/>
        <v>949</v>
      </c>
    </row>
    <row r="354" spans="1:43" ht="15" customHeight="1">
      <c r="A354" s="82" t="e">
        <f t="shared" si="129"/>
        <v>#REF!</v>
      </c>
      <c r="B354" s="134">
        <v>104</v>
      </c>
      <c r="C354" s="135" t="s">
        <v>260</v>
      </c>
      <c r="D354" s="136" t="s">
        <v>274</v>
      </c>
      <c r="E354" s="137" t="s">
        <v>530</v>
      </c>
      <c r="F354" s="138" t="s">
        <v>604</v>
      </c>
      <c r="G354" s="139" t="s">
        <v>610</v>
      </c>
      <c r="H354" s="140" t="str">
        <f t="shared" si="130"/>
        <v>Sanitair</v>
      </c>
      <c r="I354" s="138" t="s">
        <v>195</v>
      </c>
      <c r="J354" s="138" t="s">
        <v>1171</v>
      </c>
      <c r="K354" s="141" t="str">
        <f t="shared" si="131"/>
        <v>Omde dag Vol/Nal.</v>
      </c>
      <c r="L354" s="141" t="str">
        <f t="shared" si="132"/>
        <v>Omde dag Nal./Vol</v>
      </c>
      <c r="M354" s="141" t="str">
        <f t="shared" si="133"/>
        <v>Omde dag Vol/Nal.</v>
      </c>
      <c r="N354" s="141" t="str">
        <f t="shared" si="134"/>
        <v>Omde dag Nal./Vol</v>
      </c>
      <c r="O354" s="141" t="str">
        <f t="shared" si="135"/>
        <v>Omde dag Vol/Nal.</v>
      </c>
      <c r="P354" s="141" t="str">
        <f t="shared" si="136"/>
        <v>Omde dag Nal./Vol</v>
      </c>
      <c r="Q354" s="141" t="str">
        <f t="shared" si="137"/>
        <v>Omde dag Vol/Nal.</v>
      </c>
      <c r="R354" s="63" t="s">
        <v>1211</v>
      </c>
      <c r="S354" s="142">
        <f t="shared" si="145"/>
        <v>365</v>
      </c>
      <c r="T354" s="143">
        <v>2.6</v>
      </c>
      <c r="U354" s="144"/>
      <c r="V354" s="144"/>
      <c r="W354" s="144"/>
      <c r="X354" s="144"/>
      <c r="Y354" s="144"/>
      <c r="Z354" s="145"/>
      <c r="AA354" s="145"/>
      <c r="AB354" s="145"/>
      <c r="AC354" s="145"/>
      <c r="AD354" s="146" t="s">
        <v>1258</v>
      </c>
      <c r="AE354" s="171">
        <v>1</v>
      </c>
      <c r="AF354" s="147">
        <f t="shared" si="138"/>
        <v>0</v>
      </c>
      <c r="AG354" s="147">
        <f t="shared" si="139"/>
        <v>0</v>
      </c>
      <c r="AH354" s="147">
        <f t="shared" si="140"/>
        <v>0</v>
      </c>
      <c r="AI354" s="147">
        <f t="shared" si="141"/>
        <v>0</v>
      </c>
      <c r="AJ354" s="148" t="str">
        <f t="shared" si="142"/>
        <v>ja</v>
      </c>
      <c r="AK354" s="149">
        <f t="shared" si="146"/>
        <v>0</v>
      </c>
      <c r="AL354" s="149">
        <f t="shared" si="147"/>
        <v>0</v>
      </c>
      <c r="AM354" s="149">
        <f t="shared" si="148"/>
        <v>0</v>
      </c>
      <c r="AN354" s="149">
        <f t="shared" si="149"/>
        <v>0</v>
      </c>
      <c r="AO354" s="150" t="str">
        <f t="shared" si="143"/>
        <v>S</v>
      </c>
      <c r="AQ354" s="151">
        <f t="shared" si="144"/>
        <v>949</v>
      </c>
    </row>
    <row r="355" spans="1:43" ht="15" customHeight="1">
      <c r="A355" s="82" t="e">
        <f t="shared" si="129"/>
        <v>#REF!</v>
      </c>
      <c r="B355" s="134">
        <v>104</v>
      </c>
      <c r="C355" s="135" t="s">
        <v>260</v>
      </c>
      <c r="D355" s="136" t="s">
        <v>274</v>
      </c>
      <c r="E355" s="137" t="s">
        <v>530</v>
      </c>
      <c r="F355" s="138" t="s">
        <v>604</v>
      </c>
      <c r="G355" s="139" t="s">
        <v>611</v>
      </c>
      <c r="H355" s="140" t="str">
        <f t="shared" si="130"/>
        <v>Sanitair</v>
      </c>
      <c r="I355" s="138" t="s">
        <v>195</v>
      </c>
      <c r="J355" s="138" t="s">
        <v>1171</v>
      </c>
      <c r="K355" s="141" t="str">
        <f t="shared" si="131"/>
        <v>Omde dag Vol/Nal.</v>
      </c>
      <c r="L355" s="141" t="str">
        <f t="shared" si="132"/>
        <v>Omde dag Nal./Vol</v>
      </c>
      <c r="M355" s="141" t="str">
        <f t="shared" si="133"/>
        <v>Omde dag Vol/Nal.</v>
      </c>
      <c r="N355" s="141" t="str">
        <f t="shared" si="134"/>
        <v>Omde dag Nal./Vol</v>
      </c>
      <c r="O355" s="141" t="str">
        <f t="shared" si="135"/>
        <v>Omde dag Vol/Nal.</v>
      </c>
      <c r="P355" s="141" t="str">
        <f t="shared" si="136"/>
        <v>Omde dag Nal./Vol</v>
      </c>
      <c r="Q355" s="141" t="str">
        <f t="shared" si="137"/>
        <v>Omde dag Vol/Nal.</v>
      </c>
      <c r="R355" s="63" t="s">
        <v>1211</v>
      </c>
      <c r="S355" s="142">
        <f t="shared" si="145"/>
        <v>365</v>
      </c>
      <c r="T355" s="143">
        <v>2.6</v>
      </c>
      <c r="U355" s="144"/>
      <c r="V355" s="144"/>
      <c r="W355" s="144"/>
      <c r="X355" s="144"/>
      <c r="Y355" s="144"/>
      <c r="Z355" s="145"/>
      <c r="AA355" s="145"/>
      <c r="AB355" s="145"/>
      <c r="AC355" s="145"/>
      <c r="AD355" s="146" t="s">
        <v>1258</v>
      </c>
      <c r="AE355" s="171">
        <v>1</v>
      </c>
      <c r="AF355" s="147">
        <f t="shared" si="138"/>
        <v>0</v>
      </c>
      <c r="AG355" s="147">
        <f t="shared" si="139"/>
        <v>0</v>
      </c>
      <c r="AH355" s="147">
        <f t="shared" si="140"/>
        <v>0</v>
      </c>
      <c r="AI355" s="147">
        <f t="shared" si="141"/>
        <v>0</v>
      </c>
      <c r="AJ355" s="148" t="str">
        <f t="shared" si="142"/>
        <v>ja</v>
      </c>
      <c r="AK355" s="149">
        <f t="shared" si="146"/>
        <v>0</v>
      </c>
      <c r="AL355" s="149">
        <f t="shared" si="147"/>
        <v>0</v>
      </c>
      <c r="AM355" s="149">
        <f t="shared" si="148"/>
        <v>0</v>
      </c>
      <c r="AN355" s="149">
        <f t="shared" si="149"/>
        <v>0</v>
      </c>
      <c r="AO355" s="150" t="str">
        <f t="shared" si="143"/>
        <v>S</v>
      </c>
      <c r="AQ355" s="151">
        <f t="shared" si="144"/>
        <v>949</v>
      </c>
    </row>
    <row r="356" spans="1:43" ht="15" customHeight="1">
      <c r="A356" s="82" t="e">
        <f t="shared" si="129"/>
        <v>#REF!</v>
      </c>
      <c r="B356" s="134">
        <v>104</v>
      </c>
      <c r="C356" s="135" t="s">
        <v>260</v>
      </c>
      <c r="D356" s="136" t="s">
        <v>274</v>
      </c>
      <c r="E356" s="137" t="s">
        <v>530</v>
      </c>
      <c r="F356" s="138" t="s">
        <v>604</v>
      </c>
      <c r="G356" s="139" t="s">
        <v>612</v>
      </c>
      <c r="H356" s="140" t="str">
        <f t="shared" si="130"/>
        <v>Sanitair</v>
      </c>
      <c r="I356" s="138" t="s">
        <v>195</v>
      </c>
      <c r="J356" s="138" t="s">
        <v>1171</v>
      </c>
      <c r="K356" s="141" t="str">
        <f t="shared" si="131"/>
        <v>Omde dag Vol/Nal.</v>
      </c>
      <c r="L356" s="141" t="str">
        <f t="shared" si="132"/>
        <v>Omde dag Nal./Vol</v>
      </c>
      <c r="M356" s="141" t="str">
        <f t="shared" si="133"/>
        <v>Omde dag Vol/Nal.</v>
      </c>
      <c r="N356" s="141" t="str">
        <f t="shared" si="134"/>
        <v>Omde dag Nal./Vol</v>
      </c>
      <c r="O356" s="141" t="str">
        <f t="shared" si="135"/>
        <v>Omde dag Vol/Nal.</v>
      </c>
      <c r="P356" s="141" t="str">
        <f t="shared" si="136"/>
        <v>Omde dag Nal./Vol</v>
      </c>
      <c r="Q356" s="141" t="str">
        <f t="shared" si="137"/>
        <v>Omde dag Vol/Nal.</v>
      </c>
      <c r="R356" s="63" t="s">
        <v>1211</v>
      </c>
      <c r="S356" s="142">
        <f t="shared" si="145"/>
        <v>365</v>
      </c>
      <c r="T356" s="143">
        <v>2.6</v>
      </c>
      <c r="U356" s="144"/>
      <c r="V356" s="144"/>
      <c r="W356" s="144"/>
      <c r="X356" s="144"/>
      <c r="Y356" s="144"/>
      <c r="Z356" s="145"/>
      <c r="AA356" s="145"/>
      <c r="AB356" s="145"/>
      <c r="AC356" s="145"/>
      <c r="AD356" s="146" t="s">
        <v>1258</v>
      </c>
      <c r="AE356" s="171">
        <v>1</v>
      </c>
      <c r="AF356" s="147">
        <f t="shared" si="138"/>
        <v>0</v>
      </c>
      <c r="AG356" s="147">
        <f t="shared" si="139"/>
        <v>0</v>
      </c>
      <c r="AH356" s="147">
        <f t="shared" si="140"/>
        <v>0</v>
      </c>
      <c r="AI356" s="147">
        <f t="shared" si="141"/>
        <v>0</v>
      </c>
      <c r="AJ356" s="148" t="str">
        <f t="shared" si="142"/>
        <v>ja</v>
      </c>
      <c r="AK356" s="149">
        <f t="shared" si="146"/>
        <v>0</v>
      </c>
      <c r="AL356" s="149">
        <f t="shared" si="147"/>
        <v>0</v>
      </c>
      <c r="AM356" s="149">
        <f t="shared" si="148"/>
        <v>0</v>
      </c>
      <c r="AN356" s="149">
        <f t="shared" si="149"/>
        <v>0</v>
      </c>
      <c r="AO356" s="150" t="str">
        <f t="shared" si="143"/>
        <v>S</v>
      </c>
      <c r="AQ356" s="151">
        <f t="shared" si="144"/>
        <v>949</v>
      </c>
    </row>
    <row r="357" spans="1:43" ht="15" customHeight="1">
      <c r="A357" s="82" t="e">
        <f t="shared" si="129"/>
        <v>#REF!</v>
      </c>
      <c r="B357" s="134">
        <v>104</v>
      </c>
      <c r="C357" s="135" t="s">
        <v>260</v>
      </c>
      <c r="D357" s="136" t="s">
        <v>274</v>
      </c>
      <c r="E357" s="137" t="s">
        <v>530</v>
      </c>
      <c r="F357" s="138" t="s">
        <v>604</v>
      </c>
      <c r="G357" s="139" t="s">
        <v>614</v>
      </c>
      <c r="H357" s="140" t="str">
        <f t="shared" si="130"/>
        <v>Sanitair</v>
      </c>
      <c r="I357" s="138" t="s">
        <v>237</v>
      </c>
      <c r="J357" s="138" t="s">
        <v>1171</v>
      </c>
      <c r="K357" s="141" t="str">
        <f t="shared" si="131"/>
        <v>Omde dag Vol/Nal.</v>
      </c>
      <c r="L357" s="141" t="str">
        <f t="shared" si="132"/>
        <v>Omde dag Nal./Vol</v>
      </c>
      <c r="M357" s="141" t="str">
        <f t="shared" si="133"/>
        <v>Omde dag Vol/Nal.</v>
      </c>
      <c r="N357" s="141" t="str">
        <f t="shared" si="134"/>
        <v>Omde dag Nal./Vol</v>
      </c>
      <c r="O357" s="141" t="str">
        <f t="shared" si="135"/>
        <v>Omde dag Vol/Nal.</v>
      </c>
      <c r="P357" s="141" t="str">
        <f t="shared" si="136"/>
        <v>Omde dag Nal./Vol</v>
      </c>
      <c r="Q357" s="141" t="str">
        <f t="shared" si="137"/>
        <v>Omde dag Vol/Nal.</v>
      </c>
      <c r="R357" s="63" t="s">
        <v>1211</v>
      </c>
      <c r="S357" s="142">
        <f t="shared" si="145"/>
        <v>365</v>
      </c>
      <c r="T357" s="143">
        <f>(0.95*1.25)*1.3</f>
        <v>1.54375</v>
      </c>
      <c r="U357" s="144">
        <v>10</v>
      </c>
      <c r="V357" s="144"/>
      <c r="W357" s="144"/>
      <c r="X357" s="144"/>
      <c r="Y357" s="144"/>
      <c r="Z357" s="145"/>
      <c r="AA357" s="145"/>
      <c r="AB357" s="145"/>
      <c r="AC357" s="145">
        <v>1</v>
      </c>
      <c r="AD357" s="146" t="s">
        <v>683</v>
      </c>
      <c r="AE357" s="171">
        <v>1</v>
      </c>
      <c r="AF357" s="147">
        <f t="shared" si="138"/>
        <v>0</v>
      </c>
      <c r="AG357" s="147">
        <f t="shared" si="139"/>
        <v>0</v>
      </c>
      <c r="AH357" s="147">
        <f t="shared" si="140"/>
        <v>0</v>
      </c>
      <c r="AI357" s="147">
        <f t="shared" si="141"/>
        <v>0</v>
      </c>
      <c r="AJ357" s="148" t="str">
        <f t="shared" si="142"/>
        <v>ja</v>
      </c>
      <c r="AK357" s="149">
        <f t="shared" si="146"/>
        <v>0</v>
      </c>
      <c r="AL357" s="149">
        <f t="shared" si="147"/>
        <v>0</v>
      </c>
      <c r="AM357" s="149">
        <f t="shared" si="148"/>
        <v>0</v>
      </c>
      <c r="AN357" s="149">
        <f t="shared" si="149"/>
        <v>0</v>
      </c>
      <c r="AO357" s="150" t="str">
        <f t="shared" si="143"/>
        <v>S</v>
      </c>
      <c r="AQ357" s="151">
        <f t="shared" si="144"/>
        <v>563.46875</v>
      </c>
    </row>
    <row r="358" spans="1:43" ht="15" customHeight="1">
      <c r="A358" s="82" t="e">
        <f t="shared" si="129"/>
        <v>#REF!</v>
      </c>
      <c r="B358" s="134">
        <v>104</v>
      </c>
      <c r="C358" s="135" t="s">
        <v>260</v>
      </c>
      <c r="D358" s="136" t="s">
        <v>274</v>
      </c>
      <c r="E358" s="137" t="s">
        <v>530</v>
      </c>
      <c r="F358" s="138" t="s">
        <v>604</v>
      </c>
      <c r="G358" s="139" t="s">
        <v>616</v>
      </c>
      <c r="H358" s="140" t="str">
        <f t="shared" si="130"/>
        <v>Sanitair</v>
      </c>
      <c r="I358" s="138" t="s">
        <v>237</v>
      </c>
      <c r="J358" s="138" t="s">
        <v>1171</v>
      </c>
      <c r="K358" s="141" t="str">
        <f t="shared" si="131"/>
        <v>Omde dag Vol/Nal.</v>
      </c>
      <c r="L358" s="141" t="str">
        <f t="shared" si="132"/>
        <v>Omde dag Nal./Vol</v>
      </c>
      <c r="M358" s="141" t="str">
        <f t="shared" si="133"/>
        <v>Omde dag Vol/Nal.</v>
      </c>
      <c r="N358" s="141" t="str">
        <f t="shared" si="134"/>
        <v>Omde dag Nal./Vol</v>
      </c>
      <c r="O358" s="141" t="str">
        <f t="shared" si="135"/>
        <v>Omde dag Vol/Nal.</v>
      </c>
      <c r="P358" s="141" t="str">
        <f t="shared" si="136"/>
        <v>Omde dag Nal./Vol</v>
      </c>
      <c r="Q358" s="141" t="str">
        <f t="shared" si="137"/>
        <v>Omde dag Vol/Nal.</v>
      </c>
      <c r="R358" s="63" t="s">
        <v>1211</v>
      </c>
      <c r="S358" s="142">
        <f t="shared" si="145"/>
        <v>365</v>
      </c>
      <c r="T358" s="143">
        <f>(0.95*1.25)*1.3</f>
        <v>1.54375</v>
      </c>
      <c r="U358" s="144">
        <v>10</v>
      </c>
      <c r="V358" s="144"/>
      <c r="W358" s="144"/>
      <c r="X358" s="144"/>
      <c r="Y358" s="144"/>
      <c r="Z358" s="145"/>
      <c r="AA358" s="145"/>
      <c r="AB358" s="145"/>
      <c r="AC358" s="145">
        <v>1</v>
      </c>
      <c r="AD358" s="146" t="s">
        <v>683</v>
      </c>
      <c r="AE358" s="171">
        <v>1</v>
      </c>
      <c r="AF358" s="147">
        <f t="shared" si="138"/>
        <v>0</v>
      </c>
      <c r="AG358" s="147">
        <f t="shared" si="139"/>
        <v>0</v>
      </c>
      <c r="AH358" s="147">
        <f t="shared" si="140"/>
        <v>0</v>
      </c>
      <c r="AI358" s="147">
        <f t="shared" si="141"/>
        <v>0</v>
      </c>
      <c r="AJ358" s="148" t="str">
        <f t="shared" si="142"/>
        <v>ja</v>
      </c>
      <c r="AK358" s="149">
        <f t="shared" si="146"/>
        <v>0</v>
      </c>
      <c r="AL358" s="149">
        <f t="shared" si="147"/>
        <v>0</v>
      </c>
      <c r="AM358" s="149">
        <f t="shared" si="148"/>
        <v>0</v>
      </c>
      <c r="AN358" s="149">
        <f t="shared" si="149"/>
        <v>0</v>
      </c>
      <c r="AO358" s="150" t="str">
        <f t="shared" si="143"/>
        <v>S</v>
      </c>
      <c r="AQ358" s="151">
        <f t="shared" si="144"/>
        <v>563.46875</v>
      </c>
    </row>
    <row r="359" spans="1:43" ht="15" customHeight="1">
      <c r="A359" s="82" t="e">
        <f t="shared" si="129"/>
        <v>#REF!</v>
      </c>
      <c r="B359" s="134">
        <v>104</v>
      </c>
      <c r="C359" s="135" t="s">
        <v>260</v>
      </c>
      <c r="D359" s="136" t="s">
        <v>274</v>
      </c>
      <c r="E359" s="137" t="s">
        <v>530</v>
      </c>
      <c r="F359" s="138" t="s">
        <v>604</v>
      </c>
      <c r="G359" s="139" t="s">
        <v>618</v>
      </c>
      <c r="H359" s="140" t="str">
        <f t="shared" si="130"/>
        <v>Sanitair</v>
      </c>
      <c r="I359" s="138" t="s">
        <v>237</v>
      </c>
      <c r="J359" s="138" t="s">
        <v>1171</v>
      </c>
      <c r="K359" s="141" t="str">
        <f t="shared" si="131"/>
        <v>Omde dag Vol/Nal.</v>
      </c>
      <c r="L359" s="141" t="str">
        <f t="shared" si="132"/>
        <v>Omde dag Nal./Vol</v>
      </c>
      <c r="M359" s="141" t="str">
        <f t="shared" si="133"/>
        <v>Omde dag Vol/Nal.</v>
      </c>
      <c r="N359" s="141" t="str">
        <f t="shared" si="134"/>
        <v>Omde dag Nal./Vol</v>
      </c>
      <c r="O359" s="141" t="str">
        <f t="shared" si="135"/>
        <v>Omde dag Vol/Nal.</v>
      </c>
      <c r="P359" s="141" t="str">
        <f t="shared" si="136"/>
        <v>Omde dag Nal./Vol</v>
      </c>
      <c r="Q359" s="141" t="str">
        <f t="shared" si="137"/>
        <v>Omde dag Vol/Nal.</v>
      </c>
      <c r="R359" s="63" t="s">
        <v>1211</v>
      </c>
      <c r="S359" s="142">
        <f t="shared" si="145"/>
        <v>365</v>
      </c>
      <c r="T359" s="143">
        <f>(0.95*1.25)*1.3</f>
        <v>1.54375</v>
      </c>
      <c r="U359" s="144">
        <v>10</v>
      </c>
      <c r="V359" s="144"/>
      <c r="W359" s="144"/>
      <c r="X359" s="144"/>
      <c r="Y359" s="144"/>
      <c r="Z359" s="145"/>
      <c r="AA359" s="145"/>
      <c r="AB359" s="145"/>
      <c r="AC359" s="145">
        <v>1</v>
      </c>
      <c r="AD359" s="146" t="s">
        <v>683</v>
      </c>
      <c r="AE359" s="171">
        <v>1</v>
      </c>
      <c r="AF359" s="147">
        <f t="shared" si="138"/>
        <v>0</v>
      </c>
      <c r="AG359" s="147">
        <f t="shared" si="139"/>
        <v>0</v>
      </c>
      <c r="AH359" s="147">
        <f t="shared" si="140"/>
        <v>0</v>
      </c>
      <c r="AI359" s="147">
        <f t="shared" si="141"/>
        <v>0</v>
      </c>
      <c r="AJ359" s="148" t="str">
        <f t="shared" si="142"/>
        <v>ja</v>
      </c>
      <c r="AK359" s="149">
        <f t="shared" si="146"/>
        <v>0</v>
      </c>
      <c r="AL359" s="149">
        <f t="shared" si="147"/>
        <v>0</v>
      </c>
      <c r="AM359" s="149">
        <f t="shared" si="148"/>
        <v>0</v>
      </c>
      <c r="AN359" s="149">
        <f t="shared" si="149"/>
        <v>0</v>
      </c>
      <c r="AO359" s="150" t="str">
        <f t="shared" si="143"/>
        <v>S</v>
      </c>
      <c r="AQ359" s="151">
        <f t="shared" si="144"/>
        <v>563.46875</v>
      </c>
    </row>
    <row r="360" spans="1:43" ht="15" customHeight="1">
      <c r="A360" s="82" t="e">
        <f t="shared" si="129"/>
        <v>#REF!</v>
      </c>
      <c r="B360" s="134">
        <v>104</v>
      </c>
      <c r="C360" s="135" t="s">
        <v>260</v>
      </c>
      <c r="D360" s="136" t="s">
        <v>274</v>
      </c>
      <c r="E360" s="137" t="s">
        <v>530</v>
      </c>
      <c r="F360" s="138" t="s">
        <v>619</v>
      </c>
      <c r="G360" s="139" t="s">
        <v>620</v>
      </c>
      <c r="H360" s="140" t="str">
        <f t="shared" si="130"/>
        <v>Niet van toepassing</v>
      </c>
      <c r="I360" s="138" t="s">
        <v>35</v>
      </c>
      <c r="J360" s="138" t="s">
        <v>1172</v>
      </c>
      <c r="K360" s="141" t="str">
        <f t="shared" si="131"/>
        <v>NVT</v>
      </c>
      <c r="L360" s="141" t="str">
        <f t="shared" si="132"/>
        <v>NVT</v>
      </c>
      <c r="M360" s="141" t="str">
        <f t="shared" si="133"/>
        <v>NVT</v>
      </c>
      <c r="N360" s="141" t="str">
        <f t="shared" si="134"/>
        <v>NVT</v>
      </c>
      <c r="O360" s="141" t="str">
        <f t="shared" si="135"/>
        <v>NVT</v>
      </c>
      <c r="P360" s="141" t="str">
        <f t="shared" si="136"/>
        <v>NVT</v>
      </c>
      <c r="Q360" s="141" t="str">
        <f t="shared" si="137"/>
        <v>NVT</v>
      </c>
      <c r="R360" s="63" t="s">
        <v>1221</v>
      </c>
      <c r="S360" s="142">
        <f t="shared" si="145"/>
        <v>0</v>
      </c>
      <c r="T360" s="143">
        <f>(3.15*2.95)*1.3</f>
        <v>12.080250000000001</v>
      </c>
      <c r="U360" s="144"/>
      <c r="V360" s="144"/>
      <c r="W360" s="144"/>
      <c r="X360" s="144"/>
      <c r="Y360" s="144"/>
      <c r="Z360" s="145"/>
      <c r="AA360" s="145"/>
      <c r="AB360" s="145"/>
      <c r="AC360" s="145">
        <v>9</v>
      </c>
      <c r="AD360" s="146" t="s">
        <v>684</v>
      </c>
      <c r="AE360" s="171">
        <v>1</v>
      </c>
      <c r="AF360" s="147">
        <f t="shared" si="138"/>
        <v>0</v>
      </c>
      <c r="AG360" s="147">
        <f t="shared" si="139"/>
        <v>0</v>
      </c>
      <c r="AH360" s="147">
        <f t="shared" si="140"/>
        <v>0</v>
      </c>
      <c r="AI360" s="147">
        <f t="shared" si="141"/>
        <v>0</v>
      </c>
      <c r="AJ360" s="148">
        <f t="shared" si="142"/>
        <v>0</v>
      </c>
      <c r="AK360" s="149">
        <f t="shared" si="146"/>
        <v>0</v>
      </c>
      <c r="AL360" s="149">
        <f t="shared" si="147"/>
        <v>0</v>
      </c>
      <c r="AM360" s="149">
        <f t="shared" si="148"/>
        <v>0</v>
      </c>
      <c r="AN360" s="149">
        <f t="shared" si="149"/>
        <v>0</v>
      </c>
      <c r="AO360" s="150">
        <f t="shared" si="143"/>
        <v>0</v>
      </c>
      <c r="AQ360" s="151">
        <f t="shared" si="144"/>
        <v>0</v>
      </c>
    </row>
    <row r="361" spans="1:43" ht="15" customHeight="1">
      <c r="A361" s="82" t="e">
        <f t="shared" si="129"/>
        <v>#REF!</v>
      </c>
      <c r="B361" s="134">
        <v>104</v>
      </c>
      <c r="C361" s="135" t="s">
        <v>260</v>
      </c>
      <c r="D361" s="136" t="s">
        <v>274</v>
      </c>
      <c r="E361" s="137" t="s">
        <v>530</v>
      </c>
      <c r="F361" s="138" t="s">
        <v>621</v>
      </c>
      <c r="G361" s="139" t="s">
        <v>622</v>
      </c>
      <c r="H361" s="140" t="str">
        <f t="shared" si="130"/>
        <v>Niet van toepassing</v>
      </c>
      <c r="I361" s="138" t="s">
        <v>35</v>
      </c>
      <c r="J361" s="138" t="s">
        <v>1172</v>
      </c>
      <c r="K361" s="141" t="str">
        <f t="shared" si="131"/>
        <v>NVT</v>
      </c>
      <c r="L361" s="141" t="str">
        <f t="shared" si="132"/>
        <v>NVT</v>
      </c>
      <c r="M361" s="141" t="str">
        <f t="shared" si="133"/>
        <v>NVT</v>
      </c>
      <c r="N361" s="141" t="str">
        <f t="shared" si="134"/>
        <v>NVT</v>
      </c>
      <c r="O361" s="141" t="str">
        <f t="shared" si="135"/>
        <v>NVT</v>
      </c>
      <c r="P361" s="141" t="str">
        <f t="shared" si="136"/>
        <v>NVT</v>
      </c>
      <c r="Q361" s="141" t="str">
        <f t="shared" si="137"/>
        <v>NVT</v>
      </c>
      <c r="R361" s="63" t="s">
        <v>1221</v>
      </c>
      <c r="S361" s="142">
        <f t="shared" si="145"/>
        <v>0</v>
      </c>
      <c r="T361" s="143">
        <f>(8.55*17.65-1.2*4.45-4.11*0.75-(12.5*6))*1.3</f>
        <v>87.730499999999978</v>
      </c>
      <c r="U361" s="144"/>
      <c r="V361" s="144">
        <v>149</v>
      </c>
      <c r="W361" s="144"/>
      <c r="X361" s="144"/>
      <c r="Y361" s="144"/>
      <c r="Z361" s="145"/>
      <c r="AA361" s="145"/>
      <c r="AB361" s="145">
        <v>150</v>
      </c>
      <c r="AC361" s="145"/>
      <c r="AD361" s="146"/>
      <c r="AE361" s="171">
        <v>1</v>
      </c>
      <c r="AF361" s="147">
        <f t="shared" si="138"/>
        <v>0</v>
      </c>
      <c r="AG361" s="147">
        <f t="shared" si="139"/>
        <v>0</v>
      </c>
      <c r="AH361" s="147">
        <f t="shared" si="140"/>
        <v>0</v>
      </c>
      <c r="AI361" s="147">
        <f t="shared" si="141"/>
        <v>0</v>
      </c>
      <c r="AJ361" s="148">
        <f t="shared" si="142"/>
        <v>0</v>
      </c>
      <c r="AK361" s="149">
        <f t="shared" si="146"/>
        <v>0</v>
      </c>
      <c r="AL361" s="149">
        <f t="shared" si="147"/>
        <v>0</v>
      </c>
      <c r="AM361" s="149">
        <f t="shared" si="148"/>
        <v>0</v>
      </c>
      <c r="AN361" s="149">
        <f t="shared" si="149"/>
        <v>0</v>
      </c>
      <c r="AO361" s="150">
        <f t="shared" si="143"/>
        <v>0</v>
      </c>
      <c r="AQ361" s="151">
        <f t="shared" si="144"/>
        <v>0</v>
      </c>
    </row>
    <row r="362" spans="1:43" ht="15" customHeight="1">
      <c r="A362" s="82" t="e">
        <f t="shared" si="129"/>
        <v>#REF!</v>
      </c>
      <c r="B362" s="134">
        <v>104</v>
      </c>
      <c r="C362" s="135" t="s">
        <v>260</v>
      </c>
      <c r="D362" s="136" t="s">
        <v>274</v>
      </c>
      <c r="E362" s="137" t="s">
        <v>530</v>
      </c>
      <c r="F362" s="138" t="s">
        <v>621</v>
      </c>
      <c r="G362" s="139" t="s">
        <v>623</v>
      </c>
      <c r="H362" s="140" t="str">
        <f t="shared" si="130"/>
        <v>Niet van toepassing</v>
      </c>
      <c r="I362" s="138" t="s">
        <v>35</v>
      </c>
      <c r="J362" s="138" t="s">
        <v>1172</v>
      </c>
      <c r="K362" s="141" t="str">
        <f t="shared" si="131"/>
        <v>NVT</v>
      </c>
      <c r="L362" s="141" t="str">
        <f t="shared" si="132"/>
        <v>NVT</v>
      </c>
      <c r="M362" s="141" t="str">
        <f t="shared" si="133"/>
        <v>NVT</v>
      </c>
      <c r="N362" s="141" t="str">
        <f t="shared" si="134"/>
        <v>NVT</v>
      </c>
      <c r="O362" s="141" t="str">
        <f t="shared" si="135"/>
        <v>NVT</v>
      </c>
      <c r="P362" s="141" t="str">
        <f t="shared" si="136"/>
        <v>NVT</v>
      </c>
      <c r="Q362" s="141" t="str">
        <f t="shared" si="137"/>
        <v>NVT</v>
      </c>
      <c r="R362" s="63" t="s">
        <v>1221</v>
      </c>
      <c r="S362" s="142">
        <f t="shared" si="145"/>
        <v>0</v>
      </c>
      <c r="T362" s="143">
        <f>(6.5*1.7+12.6*2.5)*1.3</f>
        <v>55.314999999999998</v>
      </c>
      <c r="U362" s="144"/>
      <c r="V362" s="144"/>
      <c r="W362" s="144">
        <v>101</v>
      </c>
      <c r="X362" s="144"/>
      <c r="Y362" s="144"/>
      <c r="Z362" s="145"/>
      <c r="AA362" s="145">
        <v>113</v>
      </c>
      <c r="AB362" s="145"/>
      <c r="AC362" s="145"/>
      <c r="AD362" s="146"/>
      <c r="AE362" s="171">
        <v>1</v>
      </c>
      <c r="AF362" s="147">
        <f t="shared" si="138"/>
        <v>0</v>
      </c>
      <c r="AG362" s="147">
        <f t="shared" si="139"/>
        <v>0</v>
      </c>
      <c r="AH362" s="147">
        <f t="shared" si="140"/>
        <v>0</v>
      </c>
      <c r="AI362" s="147">
        <f t="shared" si="141"/>
        <v>0</v>
      </c>
      <c r="AJ362" s="148">
        <f t="shared" si="142"/>
        <v>0</v>
      </c>
      <c r="AK362" s="149">
        <f t="shared" si="146"/>
        <v>0</v>
      </c>
      <c r="AL362" s="149">
        <f t="shared" si="147"/>
        <v>0</v>
      </c>
      <c r="AM362" s="149">
        <f t="shared" si="148"/>
        <v>0</v>
      </c>
      <c r="AN362" s="149">
        <f t="shared" si="149"/>
        <v>0</v>
      </c>
      <c r="AO362" s="150">
        <f t="shared" si="143"/>
        <v>0</v>
      </c>
      <c r="AQ362" s="151">
        <f t="shared" si="144"/>
        <v>0</v>
      </c>
    </row>
    <row r="363" spans="1:43" ht="15" customHeight="1">
      <c r="A363" s="82" t="e">
        <f t="shared" si="129"/>
        <v>#REF!</v>
      </c>
      <c r="B363" s="134">
        <v>104</v>
      </c>
      <c r="C363" s="135" t="s">
        <v>260</v>
      </c>
      <c r="D363" s="136" t="s">
        <v>274</v>
      </c>
      <c r="E363" s="137" t="s">
        <v>530</v>
      </c>
      <c r="F363" s="138" t="s">
        <v>505</v>
      </c>
      <c r="G363" s="139" t="s">
        <v>624</v>
      </c>
      <c r="H363" s="140" t="str">
        <f t="shared" si="130"/>
        <v>Niet van toepassing</v>
      </c>
      <c r="I363" s="138" t="s">
        <v>261</v>
      </c>
      <c r="J363" s="138" t="s">
        <v>1172</v>
      </c>
      <c r="K363" s="141" t="str">
        <f t="shared" si="131"/>
        <v>NVT</v>
      </c>
      <c r="L363" s="141" t="str">
        <f t="shared" si="132"/>
        <v>NVT</v>
      </c>
      <c r="M363" s="141" t="str">
        <f t="shared" si="133"/>
        <v>NVT</v>
      </c>
      <c r="N363" s="141" t="str">
        <f t="shared" si="134"/>
        <v>NVT</v>
      </c>
      <c r="O363" s="141" t="str">
        <f t="shared" si="135"/>
        <v>NVT</v>
      </c>
      <c r="P363" s="141" t="str">
        <f t="shared" si="136"/>
        <v>NVT</v>
      </c>
      <c r="Q363" s="141" t="str">
        <f t="shared" si="137"/>
        <v>NVT</v>
      </c>
      <c r="R363" s="63" t="s">
        <v>1221</v>
      </c>
      <c r="S363" s="142">
        <f t="shared" si="145"/>
        <v>0</v>
      </c>
      <c r="T363" s="143">
        <v>19.5</v>
      </c>
      <c r="U363" s="144"/>
      <c r="V363" s="144"/>
      <c r="W363" s="144">
        <f>7.2*2*2.4+3*2.4</f>
        <v>41.760000000000005</v>
      </c>
      <c r="X363" s="144"/>
      <c r="Y363" s="144"/>
      <c r="Z363" s="145"/>
      <c r="AA363" s="145">
        <v>28</v>
      </c>
      <c r="AB363" s="145"/>
      <c r="AC363" s="145"/>
      <c r="AD363" s="146"/>
      <c r="AE363" s="171">
        <v>1</v>
      </c>
      <c r="AF363" s="147">
        <f t="shared" si="138"/>
        <v>0</v>
      </c>
      <c r="AG363" s="147">
        <f t="shared" si="139"/>
        <v>0</v>
      </c>
      <c r="AH363" s="147">
        <f t="shared" si="140"/>
        <v>0</v>
      </c>
      <c r="AI363" s="147">
        <f t="shared" si="141"/>
        <v>0</v>
      </c>
      <c r="AJ363" s="148">
        <f t="shared" si="142"/>
        <v>0</v>
      </c>
      <c r="AK363" s="149">
        <f t="shared" si="146"/>
        <v>0</v>
      </c>
      <c r="AL363" s="149">
        <f t="shared" si="147"/>
        <v>0</v>
      </c>
      <c r="AM363" s="149">
        <f t="shared" si="148"/>
        <v>0</v>
      </c>
      <c r="AN363" s="149">
        <f t="shared" si="149"/>
        <v>0</v>
      </c>
      <c r="AO363" s="150">
        <f t="shared" si="143"/>
        <v>0</v>
      </c>
      <c r="AQ363" s="151">
        <f t="shared" si="144"/>
        <v>0</v>
      </c>
    </row>
    <row r="364" spans="1:43" ht="15" customHeight="1">
      <c r="A364" s="82" t="e">
        <f t="shared" si="129"/>
        <v>#REF!</v>
      </c>
      <c r="B364" s="134">
        <v>104</v>
      </c>
      <c r="C364" s="135" t="s">
        <v>260</v>
      </c>
      <c r="D364" s="136" t="s">
        <v>274</v>
      </c>
      <c r="E364" s="137" t="s">
        <v>530</v>
      </c>
      <c r="F364" s="138" t="s">
        <v>505</v>
      </c>
      <c r="G364" s="139" t="s">
        <v>625</v>
      </c>
      <c r="H364" s="140" t="str">
        <f t="shared" si="130"/>
        <v>Niet van toepassing</v>
      </c>
      <c r="I364" s="138" t="s">
        <v>261</v>
      </c>
      <c r="J364" s="138" t="s">
        <v>1172</v>
      </c>
      <c r="K364" s="141" t="str">
        <f t="shared" si="131"/>
        <v>NVT</v>
      </c>
      <c r="L364" s="141" t="str">
        <f t="shared" si="132"/>
        <v>NVT</v>
      </c>
      <c r="M364" s="141" t="str">
        <f t="shared" si="133"/>
        <v>NVT</v>
      </c>
      <c r="N364" s="141" t="str">
        <f t="shared" si="134"/>
        <v>NVT</v>
      </c>
      <c r="O364" s="141" t="str">
        <f t="shared" si="135"/>
        <v>NVT</v>
      </c>
      <c r="P364" s="141" t="str">
        <f t="shared" si="136"/>
        <v>NVT</v>
      </c>
      <c r="Q364" s="141" t="str">
        <f t="shared" si="137"/>
        <v>NVT</v>
      </c>
      <c r="R364" s="63" t="s">
        <v>1221</v>
      </c>
      <c r="S364" s="142">
        <f t="shared" si="145"/>
        <v>0</v>
      </c>
      <c r="T364" s="143">
        <v>5.2</v>
      </c>
      <c r="U364" s="144"/>
      <c r="V364" s="144"/>
      <c r="W364" s="144"/>
      <c r="X364" s="144"/>
      <c r="Y364" s="144"/>
      <c r="Z364" s="145"/>
      <c r="AA364" s="145"/>
      <c r="AB364" s="145"/>
      <c r="AC364" s="145"/>
      <c r="AD364" s="146" t="s">
        <v>1260</v>
      </c>
      <c r="AE364" s="171">
        <v>1</v>
      </c>
      <c r="AF364" s="147">
        <f t="shared" si="138"/>
        <v>0</v>
      </c>
      <c r="AG364" s="147">
        <f t="shared" si="139"/>
        <v>0</v>
      </c>
      <c r="AH364" s="147">
        <f t="shared" si="140"/>
        <v>0</v>
      </c>
      <c r="AI364" s="147">
        <f t="shared" si="141"/>
        <v>0</v>
      </c>
      <c r="AJ364" s="148">
        <f t="shared" si="142"/>
        <v>0</v>
      </c>
      <c r="AK364" s="149">
        <f t="shared" si="146"/>
        <v>0</v>
      </c>
      <c r="AL364" s="149">
        <f t="shared" si="147"/>
        <v>0</v>
      </c>
      <c r="AM364" s="149">
        <f t="shared" si="148"/>
        <v>0</v>
      </c>
      <c r="AN364" s="149">
        <f t="shared" si="149"/>
        <v>0</v>
      </c>
      <c r="AO364" s="150">
        <f t="shared" si="143"/>
        <v>0</v>
      </c>
      <c r="AQ364" s="151">
        <f t="shared" si="144"/>
        <v>0</v>
      </c>
    </row>
    <row r="365" spans="1:43" ht="15" customHeight="1">
      <c r="A365" s="82" t="e">
        <f t="shared" si="129"/>
        <v>#REF!</v>
      </c>
      <c r="B365" s="134">
        <v>104</v>
      </c>
      <c r="C365" s="135" t="s">
        <v>260</v>
      </c>
      <c r="D365" s="136" t="s">
        <v>274</v>
      </c>
      <c r="E365" s="137" t="s">
        <v>530</v>
      </c>
      <c r="F365" s="138" t="s">
        <v>263</v>
      </c>
      <c r="G365" s="139" t="s">
        <v>626</v>
      </c>
      <c r="H365" s="140" t="str">
        <f t="shared" si="130"/>
        <v>Niet van toepassing</v>
      </c>
      <c r="I365" s="138" t="s">
        <v>677</v>
      </c>
      <c r="J365" s="138" t="s">
        <v>1172</v>
      </c>
      <c r="K365" s="141" t="str">
        <f t="shared" si="131"/>
        <v>NVT</v>
      </c>
      <c r="L365" s="141" t="str">
        <f t="shared" si="132"/>
        <v>NVT</v>
      </c>
      <c r="M365" s="141" t="str">
        <f t="shared" si="133"/>
        <v>NVT</v>
      </c>
      <c r="N365" s="141" t="str">
        <f t="shared" si="134"/>
        <v>NVT</v>
      </c>
      <c r="O365" s="141" t="str">
        <f t="shared" si="135"/>
        <v>NVT</v>
      </c>
      <c r="P365" s="141" t="str">
        <f t="shared" si="136"/>
        <v>NVT</v>
      </c>
      <c r="Q365" s="141" t="str">
        <f t="shared" si="137"/>
        <v>NVT</v>
      </c>
      <c r="R365" s="63" t="s">
        <v>1221</v>
      </c>
      <c r="S365" s="142">
        <f t="shared" si="145"/>
        <v>0</v>
      </c>
      <c r="T365" s="143">
        <f>(7.4*4.9+2.8*1.2-1*2.75)*1.3</f>
        <v>47.931000000000004</v>
      </c>
      <c r="U365" s="144"/>
      <c r="V365" s="144">
        <v>90</v>
      </c>
      <c r="W365" s="144"/>
      <c r="X365" s="144"/>
      <c r="Y365" s="144"/>
      <c r="Z365" s="145"/>
      <c r="AA365" s="145"/>
      <c r="AB365" s="145">
        <v>28</v>
      </c>
      <c r="AC365" s="145"/>
      <c r="AD365" s="146"/>
      <c r="AE365" s="171">
        <v>1</v>
      </c>
      <c r="AF365" s="147">
        <f t="shared" si="138"/>
        <v>0</v>
      </c>
      <c r="AG365" s="147">
        <f t="shared" si="139"/>
        <v>0</v>
      </c>
      <c r="AH365" s="147">
        <f t="shared" si="140"/>
        <v>0</v>
      </c>
      <c r="AI365" s="147">
        <f t="shared" si="141"/>
        <v>0</v>
      </c>
      <c r="AJ365" s="148">
        <f t="shared" si="142"/>
        <v>0</v>
      </c>
      <c r="AK365" s="149">
        <f t="shared" si="146"/>
        <v>0</v>
      </c>
      <c r="AL365" s="149">
        <f t="shared" si="147"/>
        <v>0</v>
      </c>
      <c r="AM365" s="149">
        <f t="shared" si="148"/>
        <v>0</v>
      </c>
      <c r="AN365" s="149">
        <f t="shared" si="149"/>
        <v>0</v>
      </c>
      <c r="AO365" s="150">
        <f t="shared" si="143"/>
        <v>0</v>
      </c>
      <c r="AQ365" s="151">
        <f t="shared" si="144"/>
        <v>0</v>
      </c>
    </row>
    <row r="366" spans="1:43" ht="15" customHeight="1">
      <c r="A366" s="82" t="e">
        <f t="shared" si="129"/>
        <v>#REF!</v>
      </c>
      <c r="B366" s="134">
        <v>104</v>
      </c>
      <c r="C366" s="135" t="s">
        <v>260</v>
      </c>
      <c r="D366" s="136" t="s">
        <v>274</v>
      </c>
      <c r="E366" s="137" t="s">
        <v>530</v>
      </c>
      <c r="F366" s="138" t="s">
        <v>263</v>
      </c>
      <c r="G366" s="139" t="s">
        <v>628</v>
      </c>
      <c r="H366" s="140" t="str">
        <f t="shared" si="130"/>
        <v>Niet van toepassing</v>
      </c>
      <c r="I366" s="138" t="s">
        <v>677</v>
      </c>
      <c r="J366" s="138" t="s">
        <v>1172</v>
      </c>
      <c r="K366" s="141" t="str">
        <f t="shared" si="131"/>
        <v>NVT</v>
      </c>
      <c r="L366" s="141" t="str">
        <f t="shared" si="132"/>
        <v>NVT</v>
      </c>
      <c r="M366" s="141" t="str">
        <f t="shared" si="133"/>
        <v>NVT</v>
      </c>
      <c r="N366" s="141" t="str">
        <f t="shared" si="134"/>
        <v>NVT</v>
      </c>
      <c r="O366" s="141" t="str">
        <f t="shared" si="135"/>
        <v>NVT</v>
      </c>
      <c r="P366" s="141" t="str">
        <f t="shared" si="136"/>
        <v>NVT</v>
      </c>
      <c r="Q366" s="141" t="str">
        <f t="shared" si="137"/>
        <v>NVT</v>
      </c>
      <c r="R366" s="63" t="s">
        <v>1221</v>
      </c>
      <c r="S366" s="142">
        <f t="shared" si="145"/>
        <v>0</v>
      </c>
      <c r="T366" s="143">
        <f>(5.4*4.75+3.5+1.7*6.8+5.1*4.1+2.31*1.6+3.75*4.1)*1.3</f>
        <v>104.89830000000001</v>
      </c>
      <c r="U366" s="144"/>
      <c r="V366" s="144">
        <v>185</v>
      </c>
      <c r="W366" s="144"/>
      <c r="X366" s="144"/>
      <c r="Y366" s="144"/>
      <c r="Z366" s="145"/>
      <c r="AA366" s="145"/>
      <c r="AB366" s="145">
        <v>35</v>
      </c>
      <c r="AC366" s="145"/>
      <c r="AD366" s="146"/>
      <c r="AE366" s="171">
        <v>1</v>
      </c>
      <c r="AF366" s="147">
        <f t="shared" si="138"/>
        <v>0</v>
      </c>
      <c r="AG366" s="147">
        <f t="shared" si="139"/>
        <v>0</v>
      </c>
      <c r="AH366" s="147">
        <f t="shared" si="140"/>
        <v>0</v>
      </c>
      <c r="AI366" s="147">
        <f t="shared" si="141"/>
        <v>0</v>
      </c>
      <c r="AJ366" s="148">
        <f t="shared" si="142"/>
        <v>0</v>
      </c>
      <c r="AK366" s="149">
        <f t="shared" si="146"/>
        <v>0</v>
      </c>
      <c r="AL366" s="149">
        <f t="shared" si="147"/>
        <v>0</v>
      </c>
      <c r="AM366" s="149">
        <f t="shared" si="148"/>
        <v>0</v>
      </c>
      <c r="AN366" s="149">
        <f t="shared" si="149"/>
        <v>0</v>
      </c>
      <c r="AO366" s="150">
        <f t="shared" si="143"/>
        <v>0</v>
      </c>
      <c r="AQ366" s="151">
        <f t="shared" si="144"/>
        <v>0</v>
      </c>
    </row>
    <row r="367" spans="1:43" ht="15" customHeight="1">
      <c r="A367" s="82" t="e">
        <f t="shared" si="129"/>
        <v>#REF!</v>
      </c>
      <c r="B367" s="134">
        <v>104</v>
      </c>
      <c r="C367" s="135" t="s">
        <v>260</v>
      </c>
      <c r="D367" s="136" t="s">
        <v>274</v>
      </c>
      <c r="E367" s="137" t="s">
        <v>530</v>
      </c>
      <c r="F367" s="138" t="s">
        <v>210</v>
      </c>
      <c r="G367" s="139" t="s">
        <v>629</v>
      </c>
      <c r="H367" s="140" t="str">
        <f t="shared" si="130"/>
        <v>Niet van toepassing</v>
      </c>
      <c r="I367" s="138" t="s">
        <v>195</v>
      </c>
      <c r="J367" s="138" t="s">
        <v>1172</v>
      </c>
      <c r="K367" s="141" t="str">
        <f t="shared" si="131"/>
        <v>NVT</v>
      </c>
      <c r="L367" s="141" t="str">
        <f t="shared" si="132"/>
        <v>NVT</v>
      </c>
      <c r="M367" s="141" t="str">
        <f t="shared" si="133"/>
        <v>NVT</v>
      </c>
      <c r="N367" s="141" t="str">
        <f t="shared" si="134"/>
        <v>NVT</v>
      </c>
      <c r="O367" s="141" t="str">
        <f t="shared" si="135"/>
        <v>NVT</v>
      </c>
      <c r="P367" s="141" t="str">
        <f t="shared" si="136"/>
        <v>NVT</v>
      </c>
      <c r="Q367" s="141" t="str">
        <f t="shared" si="137"/>
        <v>NVT</v>
      </c>
      <c r="R367" s="63" t="s">
        <v>1221</v>
      </c>
      <c r="S367" s="142">
        <f t="shared" si="145"/>
        <v>0</v>
      </c>
      <c r="T367" s="143">
        <f>(2.9*2.45)*1.3</f>
        <v>9.2365000000000013</v>
      </c>
      <c r="U367" s="144"/>
      <c r="V367" s="144">
        <v>36</v>
      </c>
      <c r="W367" s="144"/>
      <c r="X367" s="144"/>
      <c r="Y367" s="144"/>
      <c r="Z367" s="145"/>
      <c r="AA367" s="145"/>
      <c r="AB367" s="145">
        <v>7</v>
      </c>
      <c r="AC367" s="145"/>
      <c r="AD367" s="146"/>
      <c r="AE367" s="171">
        <v>1</v>
      </c>
      <c r="AF367" s="147">
        <f t="shared" si="138"/>
        <v>0</v>
      </c>
      <c r="AG367" s="147">
        <f t="shared" si="139"/>
        <v>0</v>
      </c>
      <c r="AH367" s="147">
        <f t="shared" si="140"/>
        <v>0</v>
      </c>
      <c r="AI367" s="147">
        <f t="shared" si="141"/>
        <v>0</v>
      </c>
      <c r="AJ367" s="148">
        <f t="shared" si="142"/>
        <v>0</v>
      </c>
      <c r="AK367" s="149">
        <f t="shared" si="146"/>
        <v>0</v>
      </c>
      <c r="AL367" s="149">
        <f t="shared" si="147"/>
        <v>0</v>
      </c>
      <c r="AM367" s="149">
        <f t="shared" si="148"/>
        <v>0</v>
      </c>
      <c r="AN367" s="149">
        <f t="shared" si="149"/>
        <v>0</v>
      </c>
      <c r="AO367" s="150">
        <f t="shared" si="143"/>
        <v>0</v>
      </c>
      <c r="AQ367" s="151">
        <f t="shared" si="144"/>
        <v>0</v>
      </c>
    </row>
    <row r="368" spans="1:43" ht="15" customHeight="1">
      <c r="A368" s="82" t="e">
        <f t="shared" si="129"/>
        <v>#REF!</v>
      </c>
      <c r="B368" s="134">
        <v>104</v>
      </c>
      <c r="C368" s="135" t="s">
        <v>260</v>
      </c>
      <c r="D368" s="136" t="s">
        <v>274</v>
      </c>
      <c r="E368" s="137" t="s">
        <v>530</v>
      </c>
      <c r="F368" s="138" t="s">
        <v>210</v>
      </c>
      <c r="G368" s="139" t="s">
        <v>631</v>
      </c>
      <c r="H368" s="140" t="str">
        <f t="shared" si="130"/>
        <v>Niet van toepassing</v>
      </c>
      <c r="I368" s="138" t="s">
        <v>35</v>
      </c>
      <c r="J368" s="138" t="s">
        <v>1172</v>
      </c>
      <c r="K368" s="141" t="str">
        <f t="shared" si="131"/>
        <v>NVT</v>
      </c>
      <c r="L368" s="141" t="str">
        <f t="shared" si="132"/>
        <v>NVT</v>
      </c>
      <c r="M368" s="141" t="str">
        <f t="shared" si="133"/>
        <v>NVT</v>
      </c>
      <c r="N368" s="141" t="str">
        <f t="shared" si="134"/>
        <v>NVT</v>
      </c>
      <c r="O368" s="141" t="str">
        <f t="shared" si="135"/>
        <v>NVT</v>
      </c>
      <c r="P368" s="141" t="str">
        <f t="shared" si="136"/>
        <v>NVT</v>
      </c>
      <c r="Q368" s="141" t="str">
        <f t="shared" si="137"/>
        <v>NVT</v>
      </c>
      <c r="R368" s="63" t="s">
        <v>1221</v>
      </c>
      <c r="S368" s="142">
        <f t="shared" si="145"/>
        <v>0</v>
      </c>
      <c r="T368" s="143">
        <f>(2.5*2.8-0.5*1.5*1.2)*1.3</f>
        <v>7.93</v>
      </c>
      <c r="U368" s="144"/>
      <c r="V368" s="144"/>
      <c r="W368" s="144">
        <v>33</v>
      </c>
      <c r="X368" s="144"/>
      <c r="Y368" s="144"/>
      <c r="Z368" s="145"/>
      <c r="AA368" s="145"/>
      <c r="AB368" s="145"/>
      <c r="AC368" s="145">
        <v>6</v>
      </c>
      <c r="AD368" s="146" t="s">
        <v>679</v>
      </c>
      <c r="AE368" s="171">
        <v>1</v>
      </c>
      <c r="AF368" s="147">
        <f t="shared" si="138"/>
        <v>0</v>
      </c>
      <c r="AG368" s="147">
        <f t="shared" si="139"/>
        <v>0</v>
      </c>
      <c r="AH368" s="147">
        <f t="shared" si="140"/>
        <v>0</v>
      </c>
      <c r="AI368" s="147">
        <f t="shared" si="141"/>
        <v>0</v>
      </c>
      <c r="AJ368" s="148">
        <f t="shared" si="142"/>
        <v>0</v>
      </c>
      <c r="AK368" s="149">
        <f t="shared" si="146"/>
        <v>0</v>
      </c>
      <c r="AL368" s="149">
        <f t="shared" si="147"/>
        <v>0</v>
      </c>
      <c r="AM368" s="149">
        <f t="shared" si="148"/>
        <v>0</v>
      </c>
      <c r="AN368" s="149">
        <f t="shared" si="149"/>
        <v>0</v>
      </c>
      <c r="AO368" s="150">
        <f t="shared" si="143"/>
        <v>0</v>
      </c>
      <c r="AQ368" s="151">
        <f t="shared" si="144"/>
        <v>0</v>
      </c>
    </row>
    <row r="369" spans="1:43" ht="15" customHeight="1">
      <c r="A369" s="82" t="e">
        <f t="shared" ref="A369:A424" si="150">1+A368</f>
        <v>#REF!</v>
      </c>
      <c r="B369" s="134">
        <v>104</v>
      </c>
      <c r="C369" s="135" t="s">
        <v>260</v>
      </c>
      <c r="D369" s="136" t="s">
        <v>274</v>
      </c>
      <c r="E369" s="137" t="s">
        <v>530</v>
      </c>
      <c r="F369" s="138" t="s">
        <v>632</v>
      </c>
      <c r="G369" s="139" t="s">
        <v>633</v>
      </c>
      <c r="H369" s="140" t="str">
        <f t="shared" si="130"/>
        <v>Niet van toepassing</v>
      </c>
      <c r="I369" s="138" t="s">
        <v>677</v>
      </c>
      <c r="J369" s="138" t="s">
        <v>1172</v>
      </c>
      <c r="K369" s="141" t="str">
        <f t="shared" si="131"/>
        <v>NVT</v>
      </c>
      <c r="L369" s="141" t="str">
        <f t="shared" si="132"/>
        <v>NVT</v>
      </c>
      <c r="M369" s="141" t="str">
        <f t="shared" si="133"/>
        <v>NVT</v>
      </c>
      <c r="N369" s="141" t="str">
        <f t="shared" si="134"/>
        <v>NVT</v>
      </c>
      <c r="O369" s="141" t="str">
        <f t="shared" si="135"/>
        <v>NVT</v>
      </c>
      <c r="P369" s="141" t="str">
        <f t="shared" si="136"/>
        <v>NVT</v>
      </c>
      <c r="Q369" s="141" t="str">
        <f t="shared" si="137"/>
        <v>NVT</v>
      </c>
      <c r="R369" s="63" t="s">
        <v>1221</v>
      </c>
      <c r="S369" s="142">
        <f t="shared" si="145"/>
        <v>0</v>
      </c>
      <c r="T369" s="143">
        <f>(1.5*3.05)*1.3</f>
        <v>5.9474999999999989</v>
      </c>
      <c r="U369" s="144"/>
      <c r="V369" s="144"/>
      <c r="W369" s="144">
        <v>21</v>
      </c>
      <c r="X369" s="144"/>
      <c r="Y369" s="144"/>
      <c r="Z369" s="145"/>
      <c r="AA369" s="145"/>
      <c r="AB369" s="145"/>
      <c r="AC369" s="145">
        <v>5</v>
      </c>
      <c r="AD369" s="146" t="s">
        <v>679</v>
      </c>
      <c r="AE369" s="171">
        <v>1</v>
      </c>
      <c r="AF369" s="147">
        <f t="shared" si="138"/>
        <v>0</v>
      </c>
      <c r="AG369" s="147">
        <f t="shared" si="139"/>
        <v>0</v>
      </c>
      <c r="AH369" s="147">
        <f t="shared" si="140"/>
        <v>0</v>
      </c>
      <c r="AI369" s="147">
        <f t="shared" si="141"/>
        <v>0</v>
      </c>
      <c r="AJ369" s="148">
        <f t="shared" si="142"/>
        <v>0</v>
      </c>
      <c r="AK369" s="149">
        <f t="shared" si="146"/>
        <v>0</v>
      </c>
      <c r="AL369" s="149">
        <f t="shared" si="147"/>
        <v>0</v>
      </c>
      <c r="AM369" s="149">
        <f t="shared" si="148"/>
        <v>0</v>
      </c>
      <c r="AN369" s="149">
        <f t="shared" si="149"/>
        <v>0</v>
      </c>
      <c r="AO369" s="150">
        <f t="shared" si="143"/>
        <v>0</v>
      </c>
      <c r="AQ369" s="151">
        <f t="shared" si="144"/>
        <v>0</v>
      </c>
    </row>
    <row r="370" spans="1:43" ht="15" customHeight="1">
      <c r="A370" s="82" t="e">
        <f t="shared" si="150"/>
        <v>#REF!</v>
      </c>
      <c r="B370" s="134">
        <v>104</v>
      </c>
      <c r="C370" s="135" t="s">
        <v>260</v>
      </c>
      <c r="D370" s="136" t="s">
        <v>274</v>
      </c>
      <c r="E370" s="137" t="s">
        <v>530</v>
      </c>
      <c r="F370" s="138" t="s">
        <v>634</v>
      </c>
      <c r="G370" s="139" t="s">
        <v>635</v>
      </c>
      <c r="H370" s="140" t="str">
        <f t="shared" si="130"/>
        <v>Niet van toepassing</v>
      </c>
      <c r="I370" s="138" t="s">
        <v>676</v>
      </c>
      <c r="J370" s="138" t="s">
        <v>1172</v>
      </c>
      <c r="K370" s="141" t="str">
        <f t="shared" si="131"/>
        <v>NVT</v>
      </c>
      <c r="L370" s="141" t="str">
        <f t="shared" si="132"/>
        <v>NVT</v>
      </c>
      <c r="M370" s="141" t="str">
        <f t="shared" si="133"/>
        <v>NVT</v>
      </c>
      <c r="N370" s="141" t="str">
        <f t="shared" si="134"/>
        <v>NVT</v>
      </c>
      <c r="O370" s="141" t="str">
        <f t="shared" si="135"/>
        <v>NVT</v>
      </c>
      <c r="P370" s="141" t="str">
        <f t="shared" si="136"/>
        <v>NVT</v>
      </c>
      <c r="Q370" s="141" t="str">
        <f t="shared" si="137"/>
        <v>NVT</v>
      </c>
      <c r="R370" s="63" t="s">
        <v>1221</v>
      </c>
      <c r="S370" s="142">
        <f t="shared" si="145"/>
        <v>0</v>
      </c>
      <c r="T370" s="143">
        <v>0</v>
      </c>
      <c r="U370" s="144"/>
      <c r="V370" s="144"/>
      <c r="W370" s="144"/>
      <c r="X370" s="144"/>
      <c r="Y370" s="144"/>
      <c r="Z370" s="145"/>
      <c r="AA370" s="145"/>
      <c r="AB370" s="145"/>
      <c r="AC370" s="145"/>
      <c r="AD370" s="146" t="s">
        <v>686</v>
      </c>
      <c r="AE370" s="171">
        <v>1</v>
      </c>
      <c r="AF370" s="147">
        <f t="shared" si="138"/>
        <v>0</v>
      </c>
      <c r="AG370" s="147">
        <f t="shared" si="139"/>
        <v>0</v>
      </c>
      <c r="AH370" s="147">
        <f t="shared" si="140"/>
        <v>0</v>
      </c>
      <c r="AI370" s="147">
        <f t="shared" si="141"/>
        <v>0</v>
      </c>
      <c r="AJ370" s="148">
        <f t="shared" si="142"/>
        <v>0</v>
      </c>
      <c r="AK370" s="149">
        <f t="shared" si="146"/>
        <v>0</v>
      </c>
      <c r="AL370" s="149">
        <f t="shared" si="147"/>
        <v>0</v>
      </c>
      <c r="AM370" s="149">
        <f t="shared" si="148"/>
        <v>0</v>
      </c>
      <c r="AN370" s="149">
        <f t="shared" si="149"/>
        <v>0</v>
      </c>
      <c r="AO370" s="150">
        <f t="shared" si="143"/>
        <v>0</v>
      </c>
      <c r="AQ370" s="151">
        <f t="shared" si="144"/>
        <v>0</v>
      </c>
    </row>
    <row r="371" spans="1:43" ht="15" customHeight="1">
      <c r="A371" s="82" t="e">
        <f t="shared" si="150"/>
        <v>#REF!</v>
      </c>
      <c r="B371" s="134">
        <v>104</v>
      </c>
      <c r="C371" s="135" t="s">
        <v>260</v>
      </c>
      <c r="D371" s="136" t="s">
        <v>274</v>
      </c>
      <c r="E371" s="137" t="s">
        <v>530</v>
      </c>
      <c r="F371" s="138" t="s">
        <v>636</v>
      </c>
      <c r="G371" s="139" t="s">
        <v>638</v>
      </c>
      <c r="H371" s="140" t="str">
        <f t="shared" si="130"/>
        <v>Niet van toepassing</v>
      </c>
      <c r="I371" s="138" t="s">
        <v>678</v>
      </c>
      <c r="J371" s="138" t="s">
        <v>1172</v>
      </c>
      <c r="K371" s="141" t="str">
        <f t="shared" si="131"/>
        <v>NVT</v>
      </c>
      <c r="L371" s="141" t="str">
        <f t="shared" si="132"/>
        <v>NVT</v>
      </c>
      <c r="M371" s="141" t="str">
        <f t="shared" si="133"/>
        <v>NVT</v>
      </c>
      <c r="N371" s="141" t="str">
        <f t="shared" si="134"/>
        <v>NVT</v>
      </c>
      <c r="O371" s="141" t="str">
        <f t="shared" si="135"/>
        <v>NVT</v>
      </c>
      <c r="P371" s="141" t="str">
        <f t="shared" si="136"/>
        <v>NVT</v>
      </c>
      <c r="Q371" s="141" t="str">
        <f t="shared" si="137"/>
        <v>NVT</v>
      </c>
      <c r="R371" s="63" t="s">
        <v>1221</v>
      </c>
      <c r="S371" s="142">
        <f t="shared" si="145"/>
        <v>0</v>
      </c>
      <c r="T371" s="143">
        <v>7.8000000000000007</v>
      </c>
      <c r="U371" s="144"/>
      <c r="V371" s="144"/>
      <c r="W371" s="144"/>
      <c r="X371" s="144"/>
      <c r="Y371" s="144"/>
      <c r="Z371" s="145"/>
      <c r="AA371" s="145"/>
      <c r="AB371" s="145"/>
      <c r="AC371" s="145"/>
      <c r="AD371" s="146" t="s">
        <v>1258</v>
      </c>
      <c r="AE371" s="171">
        <v>1</v>
      </c>
      <c r="AF371" s="147">
        <f t="shared" si="138"/>
        <v>0</v>
      </c>
      <c r="AG371" s="147">
        <f t="shared" si="139"/>
        <v>0</v>
      </c>
      <c r="AH371" s="147">
        <f t="shared" si="140"/>
        <v>0</v>
      </c>
      <c r="AI371" s="147">
        <f t="shared" si="141"/>
        <v>0</v>
      </c>
      <c r="AJ371" s="148">
        <f t="shared" si="142"/>
        <v>0</v>
      </c>
      <c r="AK371" s="149">
        <f t="shared" si="146"/>
        <v>0</v>
      </c>
      <c r="AL371" s="149">
        <f t="shared" si="147"/>
        <v>0</v>
      </c>
      <c r="AM371" s="149">
        <f t="shared" si="148"/>
        <v>0</v>
      </c>
      <c r="AN371" s="149">
        <f t="shared" si="149"/>
        <v>0</v>
      </c>
      <c r="AO371" s="150">
        <f t="shared" si="143"/>
        <v>0</v>
      </c>
      <c r="AQ371" s="151">
        <f t="shared" si="144"/>
        <v>0</v>
      </c>
    </row>
    <row r="372" spans="1:43" ht="15" customHeight="1">
      <c r="A372" s="82" t="e">
        <f t="shared" si="150"/>
        <v>#REF!</v>
      </c>
      <c r="B372" s="134">
        <v>104</v>
      </c>
      <c r="C372" s="135" t="s">
        <v>260</v>
      </c>
      <c r="D372" s="136" t="s">
        <v>274</v>
      </c>
      <c r="E372" s="137" t="s">
        <v>530</v>
      </c>
      <c r="F372" s="138" t="s">
        <v>636</v>
      </c>
      <c r="G372" s="139" t="s">
        <v>640</v>
      </c>
      <c r="H372" s="140" t="str">
        <f t="shared" si="130"/>
        <v>Niet van toepassing</v>
      </c>
      <c r="I372" s="138" t="s">
        <v>195</v>
      </c>
      <c r="J372" s="138" t="s">
        <v>1172</v>
      </c>
      <c r="K372" s="141" t="str">
        <f t="shared" si="131"/>
        <v>NVT</v>
      </c>
      <c r="L372" s="141" t="str">
        <f t="shared" si="132"/>
        <v>NVT</v>
      </c>
      <c r="M372" s="141" t="str">
        <f t="shared" si="133"/>
        <v>NVT</v>
      </c>
      <c r="N372" s="141" t="str">
        <f t="shared" si="134"/>
        <v>NVT</v>
      </c>
      <c r="O372" s="141" t="str">
        <f t="shared" si="135"/>
        <v>NVT</v>
      </c>
      <c r="P372" s="141" t="str">
        <f t="shared" si="136"/>
        <v>NVT</v>
      </c>
      <c r="Q372" s="141" t="str">
        <f t="shared" si="137"/>
        <v>NVT</v>
      </c>
      <c r="R372" s="63" t="s">
        <v>1221</v>
      </c>
      <c r="S372" s="142">
        <f t="shared" si="145"/>
        <v>0</v>
      </c>
      <c r="T372" s="143">
        <f>(2.7*2.75+3.85*6.75)*1.3</f>
        <v>43.436250000000001</v>
      </c>
      <c r="U372" s="144"/>
      <c r="V372" s="144">
        <v>29</v>
      </c>
      <c r="W372" s="144"/>
      <c r="X372" s="144"/>
      <c r="Y372" s="144">
        <v>41</v>
      </c>
      <c r="Z372" s="145"/>
      <c r="AA372" s="145"/>
      <c r="AB372" s="145">
        <v>33</v>
      </c>
      <c r="AC372" s="145"/>
      <c r="AD372" s="146"/>
      <c r="AE372" s="171">
        <v>1</v>
      </c>
      <c r="AF372" s="147">
        <f t="shared" si="138"/>
        <v>0</v>
      </c>
      <c r="AG372" s="147">
        <f t="shared" si="139"/>
        <v>0</v>
      </c>
      <c r="AH372" s="147">
        <f t="shared" si="140"/>
        <v>0</v>
      </c>
      <c r="AI372" s="147">
        <f t="shared" si="141"/>
        <v>0</v>
      </c>
      <c r="AJ372" s="148">
        <f t="shared" si="142"/>
        <v>0</v>
      </c>
      <c r="AK372" s="149">
        <f t="shared" si="146"/>
        <v>0</v>
      </c>
      <c r="AL372" s="149">
        <f t="shared" si="147"/>
        <v>0</v>
      </c>
      <c r="AM372" s="149">
        <f t="shared" si="148"/>
        <v>0</v>
      </c>
      <c r="AN372" s="149">
        <f t="shared" si="149"/>
        <v>0</v>
      </c>
      <c r="AO372" s="150">
        <f t="shared" si="143"/>
        <v>0</v>
      </c>
      <c r="AQ372" s="151">
        <f t="shared" si="144"/>
        <v>0</v>
      </c>
    </row>
    <row r="373" spans="1:43" ht="15" customHeight="1">
      <c r="A373" s="82" t="e">
        <f t="shared" si="150"/>
        <v>#REF!</v>
      </c>
      <c r="B373" s="134">
        <v>104</v>
      </c>
      <c r="C373" s="135" t="s">
        <v>260</v>
      </c>
      <c r="D373" s="136" t="s">
        <v>274</v>
      </c>
      <c r="E373" s="137" t="s">
        <v>530</v>
      </c>
      <c r="F373" s="138" t="s">
        <v>636</v>
      </c>
      <c r="G373" s="139" t="s">
        <v>642</v>
      </c>
      <c r="H373" s="140" t="str">
        <f t="shared" si="130"/>
        <v>Niet van toepassing</v>
      </c>
      <c r="I373" s="138" t="s">
        <v>195</v>
      </c>
      <c r="J373" s="138" t="s">
        <v>1172</v>
      </c>
      <c r="K373" s="141" t="str">
        <f t="shared" si="131"/>
        <v>NVT</v>
      </c>
      <c r="L373" s="141" t="str">
        <f t="shared" si="132"/>
        <v>NVT</v>
      </c>
      <c r="M373" s="141" t="str">
        <f t="shared" si="133"/>
        <v>NVT</v>
      </c>
      <c r="N373" s="141" t="str">
        <f t="shared" si="134"/>
        <v>NVT</v>
      </c>
      <c r="O373" s="141" t="str">
        <f t="shared" si="135"/>
        <v>NVT</v>
      </c>
      <c r="P373" s="141" t="str">
        <f t="shared" si="136"/>
        <v>NVT</v>
      </c>
      <c r="Q373" s="141" t="str">
        <f t="shared" si="137"/>
        <v>NVT</v>
      </c>
      <c r="R373" s="63" t="s">
        <v>1221</v>
      </c>
      <c r="S373" s="142">
        <f t="shared" si="145"/>
        <v>0</v>
      </c>
      <c r="T373" s="143">
        <v>114.4</v>
      </c>
      <c r="U373" s="144"/>
      <c r="V373" s="144"/>
      <c r="W373" s="144"/>
      <c r="X373" s="144"/>
      <c r="Y373" s="144"/>
      <c r="Z373" s="145"/>
      <c r="AA373" s="145"/>
      <c r="AB373" s="145"/>
      <c r="AC373" s="145"/>
      <c r="AD373" s="146" t="s">
        <v>1258</v>
      </c>
      <c r="AE373" s="171">
        <v>1</v>
      </c>
      <c r="AF373" s="147">
        <f t="shared" si="138"/>
        <v>0</v>
      </c>
      <c r="AG373" s="147">
        <f t="shared" si="139"/>
        <v>0</v>
      </c>
      <c r="AH373" s="147">
        <f t="shared" si="140"/>
        <v>0</v>
      </c>
      <c r="AI373" s="147">
        <f t="shared" si="141"/>
        <v>0</v>
      </c>
      <c r="AJ373" s="148">
        <f t="shared" si="142"/>
        <v>0</v>
      </c>
      <c r="AK373" s="149">
        <f t="shared" si="146"/>
        <v>0</v>
      </c>
      <c r="AL373" s="149">
        <f t="shared" si="147"/>
        <v>0</v>
      </c>
      <c r="AM373" s="149">
        <f t="shared" si="148"/>
        <v>0</v>
      </c>
      <c r="AN373" s="149">
        <f t="shared" si="149"/>
        <v>0</v>
      </c>
      <c r="AO373" s="150">
        <f t="shared" si="143"/>
        <v>0</v>
      </c>
      <c r="AQ373" s="151">
        <f t="shared" si="144"/>
        <v>0</v>
      </c>
    </row>
    <row r="374" spans="1:43" ht="15" customHeight="1">
      <c r="A374" s="82" t="e">
        <f t="shared" si="150"/>
        <v>#REF!</v>
      </c>
      <c r="B374" s="134">
        <v>104</v>
      </c>
      <c r="C374" s="135" t="s">
        <v>260</v>
      </c>
      <c r="D374" s="136" t="s">
        <v>274</v>
      </c>
      <c r="E374" s="137" t="s">
        <v>530</v>
      </c>
      <c r="F374" s="138" t="s">
        <v>636</v>
      </c>
      <c r="G374" s="139" t="s">
        <v>643</v>
      </c>
      <c r="H374" s="140" t="str">
        <f t="shared" si="130"/>
        <v>Niet van toepassing</v>
      </c>
      <c r="I374" s="138" t="s">
        <v>195</v>
      </c>
      <c r="J374" s="138" t="s">
        <v>1172</v>
      </c>
      <c r="K374" s="141" t="str">
        <f t="shared" si="131"/>
        <v>NVT</v>
      </c>
      <c r="L374" s="141" t="str">
        <f t="shared" si="132"/>
        <v>NVT</v>
      </c>
      <c r="M374" s="141" t="str">
        <f t="shared" si="133"/>
        <v>NVT</v>
      </c>
      <c r="N374" s="141" t="str">
        <f t="shared" si="134"/>
        <v>NVT</v>
      </c>
      <c r="O374" s="141" t="str">
        <f t="shared" si="135"/>
        <v>NVT</v>
      </c>
      <c r="P374" s="141" t="str">
        <f t="shared" si="136"/>
        <v>NVT</v>
      </c>
      <c r="Q374" s="141" t="str">
        <f t="shared" si="137"/>
        <v>NVT</v>
      </c>
      <c r="R374" s="63" t="s">
        <v>1221</v>
      </c>
      <c r="S374" s="142">
        <f t="shared" si="145"/>
        <v>0</v>
      </c>
      <c r="T374" s="143">
        <v>28.6</v>
      </c>
      <c r="U374" s="144"/>
      <c r="V374" s="144"/>
      <c r="W374" s="144"/>
      <c r="X374" s="144"/>
      <c r="Y374" s="144"/>
      <c r="Z374" s="145"/>
      <c r="AA374" s="145"/>
      <c r="AB374" s="145"/>
      <c r="AC374" s="145"/>
      <c r="AD374" s="146" t="s">
        <v>1258</v>
      </c>
      <c r="AE374" s="171">
        <v>1</v>
      </c>
      <c r="AF374" s="147">
        <f t="shared" si="138"/>
        <v>0</v>
      </c>
      <c r="AG374" s="147">
        <f t="shared" si="139"/>
        <v>0</v>
      </c>
      <c r="AH374" s="147">
        <f t="shared" si="140"/>
        <v>0</v>
      </c>
      <c r="AI374" s="147">
        <f t="shared" si="141"/>
        <v>0</v>
      </c>
      <c r="AJ374" s="148">
        <f t="shared" si="142"/>
        <v>0</v>
      </c>
      <c r="AK374" s="149">
        <f t="shared" si="146"/>
        <v>0</v>
      </c>
      <c r="AL374" s="149">
        <f t="shared" si="147"/>
        <v>0</v>
      </c>
      <c r="AM374" s="149">
        <f t="shared" si="148"/>
        <v>0</v>
      </c>
      <c r="AN374" s="149">
        <f t="shared" si="149"/>
        <v>0</v>
      </c>
      <c r="AO374" s="150">
        <f t="shared" si="143"/>
        <v>0</v>
      </c>
      <c r="AQ374" s="151">
        <f t="shared" si="144"/>
        <v>0</v>
      </c>
    </row>
    <row r="375" spans="1:43" ht="15" customHeight="1">
      <c r="A375" s="82" t="e">
        <f t="shared" si="150"/>
        <v>#REF!</v>
      </c>
      <c r="B375" s="134">
        <v>104</v>
      </c>
      <c r="C375" s="135" t="s">
        <v>260</v>
      </c>
      <c r="D375" s="136" t="s">
        <v>274</v>
      </c>
      <c r="E375" s="137" t="s">
        <v>530</v>
      </c>
      <c r="F375" s="138" t="s">
        <v>636</v>
      </c>
      <c r="G375" s="139" t="s">
        <v>613</v>
      </c>
      <c r="H375" s="140" t="str">
        <f t="shared" si="130"/>
        <v>Niet van toepassing</v>
      </c>
      <c r="I375" s="138" t="s">
        <v>195</v>
      </c>
      <c r="J375" s="138" t="s">
        <v>1172</v>
      </c>
      <c r="K375" s="141" t="str">
        <f t="shared" si="131"/>
        <v>NVT</v>
      </c>
      <c r="L375" s="141" t="str">
        <f t="shared" si="132"/>
        <v>NVT</v>
      </c>
      <c r="M375" s="141" t="str">
        <f t="shared" si="133"/>
        <v>NVT</v>
      </c>
      <c r="N375" s="141" t="str">
        <f t="shared" si="134"/>
        <v>NVT</v>
      </c>
      <c r="O375" s="141" t="str">
        <f t="shared" si="135"/>
        <v>NVT</v>
      </c>
      <c r="P375" s="141" t="str">
        <f t="shared" si="136"/>
        <v>NVT</v>
      </c>
      <c r="Q375" s="141" t="str">
        <f t="shared" si="137"/>
        <v>NVT</v>
      </c>
      <c r="R375" s="63" t="s">
        <v>1221</v>
      </c>
      <c r="S375" s="142">
        <f t="shared" si="145"/>
        <v>0</v>
      </c>
      <c r="T375" s="143">
        <v>9.1</v>
      </c>
      <c r="U375" s="144"/>
      <c r="V375" s="144"/>
      <c r="W375" s="144"/>
      <c r="X375" s="144"/>
      <c r="Y375" s="144"/>
      <c r="Z375" s="145"/>
      <c r="AA375" s="145"/>
      <c r="AB375" s="145"/>
      <c r="AC375" s="145"/>
      <c r="AD375" s="146" t="s">
        <v>1258</v>
      </c>
      <c r="AE375" s="171">
        <v>1</v>
      </c>
      <c r="AF375" s="147">
        <f t="shared" si="138"/>
        <v>0</v>
      </c>
      <c r="AG375" s="147">
        <f t="shared" si="139"/>
        <v>0</v>
      </c>
      <c r="AH375" s="147">
        <f t="shared" si="140"/>
        <v>0</v>
      </c>
      <c r="AI375" s="147">
        <f t="shared" si="141"/>
        <v>0</v>
      </c>
      <c r="AJ375" s="148">
        <f t="shared" si="142"/>
        <v>0</v>
      </c>
      <c r="AK375" s="149">
        <f t="shared" si="146"/>
        <v>0</v>
      </c>
      <c r="AL375" s="149">
        <f t="shared" si="147"/>
        <v>0</v>
      </c>
      <c r="AM375" s="149">
        <f t="shared" si="148"/>
        <v>0</v>
      </c>
      <c r="AN375" s="149">
        <f t="shared" si="149"/>
        <v>0</v>
      </c>
      <c r="AO375" s="150">
        <f t="shared" si="143"/>
        <v>0</v>
      </c>
      <c r="AQ375" s="151">
        <f t="shared" si="144"/>
        <v>0</v>
      </c>
    </row>
    <row r="376" spans="1:43" ht="15" customHeight="1">
      <c r="A376" s="82" t="e">
        <f t="shared" si="150"/>
        <v>#REF!</v>
      </c>
      <c r="B376" s="134">
        <v>104</v>
      </c>
      <c r="C376" s="135" t="s">
        <v>260</v>
      </c>
      <c r="D376" s="136" t="s">
        <v>274</v>
      </c>
      <c r="E376" s="137" t="s">
        <v>530</v>
      </c>
      <c r="F376" s="138" t="s">
        <v>636</v>
      </c>
      <c r="G376" s="139" t="s">
        <v>615</v>
      </c>
      <c r="H376" s="140" t="str">
        <f t="shared" si="130"/>
        <v>Niet van toepassing</v>
      </c>
      <c r="I376" s="138" t="s">
        <v>677</v>
      </c>
      <c r="J376" s="138" t="s">
        <v>1172</v>
      </c>
      <c r="K376" s="141" t="str">
        <f t="shared" si="131"/>
        <v>NVT</v>
      </c>
      <c r="L376" s="141" t="str">
        <f t="shared" si="132"/>
        <v>NVT</v>
      </c>
      <c r="M376" s="141" t="str">
        <f t="shared" si="133"/>
        <v>NVT</v>
      </c>
      <c r="N376" s="141" t="str">
        <f t="shared" si="134"/>
        <v>NVT</v>
      </c>
      <c r="O376" s="141" t="str">
        <f t="shared" si="135"/>
        <v>NVT</v>
      </c>
      <c r="P376" s="141" t="str">
        <f t="shared" si="136"/>
        <v>NVT</v>
      </c>
      <c r="Q376" s="141" t="str">
        <f t="shared" si="137"/>
        <v>NVT</v>
      </c>
      <c r="R376" s="63" t="s">
        <v>1221</v>
      </c>
      <c r="S376" s="142">
        <f t="shared" si="145"/>
        <v>0</v>
      </c>
      <c r="T376" s="143">
        <f>(4.55*4.45-1.7*2.95)*1.3</f>
        <v>19.802249999999997</v>
      </c>
      <c r="U376" s="144"/>
      <c r="V376" s="144"/>
      <c r="W376" s="144">
        <v>42</v>
      </c>
      <c r="X376" s="144"/>
      <c r="Y376" s="144"/>
      <c r="Z376" s="145"/>
      <c r="AA376" s="145"/>
      <c r="AB376" s="145"/>
      <c r="AC376" s="145">
        <v>15</v>
      </c>
      <c r="AD376" s="146" t="s">
        <v>679</v>
      </c>
      <c r="AE376" s="171">
        <v>1</v>
      </c>
      <c r="AF376" s="147">
        <f t="shared" si="138"/>
        <v>0</v>
      </c>
      <c r="AG376" s="147">
        <f t="shared" si="139"/>
        <v>0</v>
      </c>
      <c r="AH376" s="147">
        <f t="shared" si="140"/>
        <v>0</v>
      </c>
      <c r="AI376" s="147">
        <f t="shared" si="141"/>
        <v>0</v>
      </c>
      <c r="AJ376" s="148">
        <f t="shared" si="142"/>
        <v>0</v>
      </c>
      <c r="AK376" s="149">
        <f t="shared" si="146"/>
        <v>0</v>
      </c>
      <c r="AL376" s="149">
        <f t="shared" si="147"/>
        <v>0</v>
      </c>
      <c r="AM376" s="149">
        <f t="shared" si="148"/>
        <v>0</v>
      </c>
      <c r="AN376" s="149">
        <f t="shared" si="149"/>
        <v>0</v>
      </c>
      <c r="AO376" s="150">
        <f t="shared" si="143"/>
        <v>0</v>
      </c>
      <c r="AQ376" s="151">
        <f t="shared" si="144"/>
        <v>0</v>
      </c>
    </row>
    <row r="377" spans="1:43" ht="15" customHeight="1">
      <c r="A377" s="82" t="e">
        <f t="shared" si="150"/>
        <v>#REF!</v>
      </c>
      <c r="B377" s="134">
        <v>104</v>
      </c>
      <c r="C377" s="135" t="s">
        <v>260</v>
      </c>
      <c r="D377" s="136" t="s">
        <v>274</v>
      </c>
      <c r="E377" s="137" t="s">
        <v>530</v>
      </c>
      <c r="F377" s="138" t="s">
        <v>636</v>
      </c>
      <c r="G377" s="139" t="s">
        <v>617</v>
      </c>
      <c r="H377" s="140" t="str">
        <f t="shared" si="130"/>
        <v>Niet van toepassing</v>
      </c>
      <c r="I377" s="138" t="s">
        <v>677</v>
      </c>
      <c r="J377" s="138" t="s">
        <v>1172</v>
      </c>
      <c r="K377" s="141" t="str">
        <f t="shared" si="131"/>
        <v>NVT</v>
      </c>
      <c r="L377" s="141" t="str">
        <f t="shared" si="132"/>
        <v>NVT</v>
      </c>
      <c r="M377" s="141" t="str">
        <f t="shared" si="133"/>
        <v>NVT</v>
      </c>
      <c r="N377" s="141" t="str">
        <f t="shared" si="134"/>
        <v>NVT</v>
      </c>
      <c r="O377" s="141" t="str">
        <f t="shared" si="135"/>
        <v>NVT</v>
      </c>
      <c r="P377" s="141" t="str">
        <f t="shared" si="136"/>
        <v>NVT</v>
      </c>
      <c r="Q377" s="141" t="str">
        <f t="shared" si="137"/>
        <v>NVT</v>
      </c>
      <c r="R377" s="63" t="s">
        <v>1221</v>
      </c>
      <c r="S377" s="142">
        <f t="shared" si="145"/>
        <v>0</v>
      </c>
      <c r="T377" s="143">
        <f>(6.05*3.45)*1.3</f>
        <v>27.134249999999998</v>
      </c>
      <c r="U377" s="144"/>
      <c r="V377" s="144">
        <v>3</v>
      </c>
      <c r="W377" s="144">
        <v>43</v>
      </c>
      <c r="X377" s="144"/>
      <c r="Y377" s="144"/>
      <c r="Z377" s="145"/>
      <c r="AA377" s="145"/>
      <c r="AB377" s="145"/>
      <c r="AC377" s="145">
        <v>21</v>
      </c>
      <c r="AD377" s="146" t="s">
        <v>679</v>
      </c>
      <c r="AE377" s="171">
        <v>1</v>
      </c>
      <c r="AF377" s="147">
        <f t="shared" si="138"/>
        <v>0</v>
      </c>
      <c r="AG377" s="147">
        <f t="shared" si="139"/>
        <v>0</v>
      </c>
      <c r="AH377" s="147">
        <f t="shared" si="140"/>
        <v>0</v>
      </c>
      <c r="AI377" s="147">
        <f t="shared" si="141"/>
        <v>0</v>
      </c>
      <c r="AJ377" s="148">
        <f t="shared" si="142"/>
        <v>0</v>
      </c>
      <c r="AK377" s="149">
        <f t="shared" si="146"/>
        <v>0</v>
      </c>
      <c r="AL377" s="149">
        <f t="shared" si="147"/>
        <v>0</v>
      </c>
      <c r="AM377" s="149">
        <f t="shared" si="148"/>
        <v>0</v>
      </c>
      <c r="AN377" s="149">
        <f t="shared" si="149"/>
        <v>0</v>
      </c>
      <c r="AO377" s="150">
        <f t="shared" si="143"/>
        <v>0</v>
      </c>
      <c r="AQ377" s="151">
        <f t="shared" si="144"/>
        <v>0</v>
      </c>
    </row>
    <row r="378" spans="1:43" ht="15" customHeight="1">
      <c r="A378" s="82" t="e">
        <f t="shared" si="150"/>
        <v>#REF!</v>
      </c>
      <c r="B378" s="134">
        <v>104</v>
      </c>
      <c r="C378" s="135" t="s">
        <v>260</v>
      </c>
      <c r="D378" s="136" t="s">
        <v>274</v>
      </c>
      <c r="E378" s="137" t="s">
        <v>530</v>
      </c>
      <c r="F378" s="138" t="s">
        <v>636</v>
      </c>
      <c r="G378" s="139" t="s">
        <v>645</v>
      </c>
      <c r="H378" s="140" t="str">
        <f t="shared" ref="H378:H429" si="151">VLOOKUP(R378,Kengetal,3,FALSE)</f>
        <v>Niet van toepassing</v>
      </c>
      <c r="I378" s="138" t="s">
        <v>677</v>
      </c>
      <c r="J378" s="138" t="s">
        <v>1172</v>
      </c>
      <c r="K378" s="141" t="str">
        <f t="shared" ref="K378:K429" si="152">IF($R378="",0,VLOOKUP($R378,Kengetal,14,FALSE))</f>
        <v>NVT</v>
      </c>
      <c r="L378" s="141" t="str">
        <f t="shared" ref="L378:L429" si="153">IF($R378="",0,VLOOKUP($R378,Kengetal,15,FALSE))</f>
        <v>NVT</v>
      </c>
      <c r="M378" s="141" t="str">
        <f t="shared" ref="M378:M429" si="154">IF($R378="",0,VLOOKUP($R378,Kengetal,16,FALSE))</f>
        <v>NVT</v>
      </c>
      <c r="N378" s="141" t="str">
        <f t="shared" ref="N378:N429" si="155">IF($R378="",0,VLOOKUP($R378,Kengetal,17,FALSE))</f>
        <v>NVT</v>
      </c>
      <c r="O378" s="141" t="str">
        <f t="shared" ref="O378:O429" si="156">IF($R378="",0,VLOOKUP($R378,Kengetal,18,FALSE))</f>
        <v>NVT</v>
      </c>
      <c r="P378" s="141" t="str">
        <f t="shared" ref="P378:P429" si="157">IF($R378="",0,VLOOKUP($R378,Kengetal,19,FALSE))</f>
        <v>NVT</v>
      </c>
      <c r="Q378" s="141" t="str">
        <f t="shared" ref="Q378:Q429" si="158">IF($R378="",0,VLOOKUP($R378,Kengetal,20,FALSE))</f>
        <v>NVT</v>
      </c>
      <c r="R378" s="63" t="s">
        <v>1221</v>
      </c>
      <c r="S378" s="142">
        <f t="shared" si="145"/>
        <v>0</v>
      </c>
      <c r="T378" s="143">
        <f>(6.05*3.45)*1.3</f>
        <v>27.134249999999998</v>
      </c>
      <c r="U378" s="144"/>
      <c r="V378" s="144">
        <v>3</v>
      </c>
      <c r="W378" s="144">
        <v>43</v>
      </c>
      <c r="X378" s="144"/>
      <c r="Y378" s="144"/>
      <c r="Z378" s="145"/>
      <c r="AA378" s="145"/>
      <c r="AB378" s="145"/>
      <c r="AC378" s="145">
        <v>21</v>
      </c>
      <c r="AD378" s="146" t="s">
        <v>679</v>
      </c>
      <c r="AE378" s="171">
        <v>1</v>
      </c>
      <c r="AF378" s="147">
        <f t="shared" ref="AF378:AF429" si="159">T378*AK378*AE378</f>
        <v>0</v>
      </c>
      <c r="AG378" s="147">
        <f t="shared" ref="AG378:AG429" si="160">T378*AL378*AE378</f>
        <v>0</v>
      </c>
      <c r="AH378" s="147">
        <f t="shared" ref="AH378:AH429" si="161">T378*AM378*AE378</f>
        <v>0</v>
      </c>
      <c r="AI378" s="147">
        <f t="shared" ref="AI378:AI429" si="162">T378*AN378*AE378</f>
        <v>0</v>
      </c>
      <c r="AJ378" s="148">
        <f t="shared" ref="AJ378:AJ429" si="163">IF($R378="",0,VLOOKUP($R378,Kengetal,12,FALSE))</f>
        <v>0</v>
      </c>
      <c r="AK378" s="149">
        <f t="shared" si="146"/>
        <v>0</v>
      </c>
      <c r="AL378" s="149">
        <f t="shared" si="147"/>
        <v>0</v>
      </c>
      <c r="AM378" s="149">
        <f t="shared" si="148"/>
        <v>0</v>
      </c>
      <c r="AN378" s="149">
        <f t="shared" si="149"/>
        <v>0</v>
      </c>
      <c r="AO378" s="150">
        <f t="shared" ref="AO378:AO429" si="164">IF($R378="",0,VLOOKUP($R378,Kengetal,13,FALSE))</f>
        <v>0</v>
      </c>
      <c r="AQ378" s="151">
        <f t="shared" ref="AQ378:AQ429" si="165">T378*S378</f>
        <v>0</v>
      </c>
    </row>
    <row r="379" spans="1:43" ht="15" customHeight="1">
      <c r="A379" s="82" t="e">
        <f t="shared" si="150"/>
        <v>#REF!</v>
      </c>
      <c r="B379" s="134">
        <v>104</v>
      </c>
      <c r="C379" s="135" t="s">
        <v>260</v>
      </c>
      <c r="D379" s="136" t="s">
        <v>274</v>
      </c>
      <c r="E379" s="137" t="s">
        <v>530</v>
      </c>
      <c r="F379" s="138" t="s">
        <v>646</v>
      </c>
      <c r="G379" s="139" t="s">
        <v>647</v>
      </c>
      <c r="H379" s="140" t="str">
        <f t="shared" si="151"/>
        <v>Niet van toepassing</v>
      </c>
      <c r="I379" s="138" t="s">
        <v>35</v>
      </c>
      <c r="J379" s="138" t="s">
        <v>1172</v>
      </c>
      <c r="K379" s="141" t="str">
        <f t="shared" si="152"/>
        <v>NVT</v>
      </c>
      <c r="L379" s="141" t="str">
        <f t="shared" si="153"/>
        <v>NVT</v>
      </c>
      <c r="M379" s="141" t="str">
        <f t="shared" si="154"/>
        <v>NVT</v>
      </c>
      <c r="N379" s="141" t="str">
        <f t="shared" si="155"/>
        <v>NVT</v>
      </c>
      <c r="O379" s="141" t="str">
        <f t="shared" si="156"/>
        <v>NVT</v>
      </c>
      <c r="P379" s="141" t="str">
        <f t="shared" si="157"/>
        <v>NVT</v>
      </c>
      <c r="Q379" s="141" t="str">
        <f t="shared" si="158"/>
        <v>NVT</v>
      </c>
      <c r="R379" s="63" t="s">
        <v>1221</v>
      </c>
      <c r="S379" s="142">
        <f t="shared" si="145"/>
        <v>0</v>
      </c>
      <c r="T379" s="143">
        <v>1.3</v>
      </c>
      <c r="U379" s="144"/>
      <c r="V379" s="144"/>
      <c r="W379" s="144"/>
      <c r="X379" s="144"/>
      <c r="Y379" s="144"/>
      <c r="Z379" s="145"/>
      <c r="AA379" s="145"/>
      <c r="AB379" s="145"/>
      <c r="AC379" s="145"/>
      <c r="AD379" s="146" t="s">
        <v>1260</v>
      </c>
      <c r="AE379" s="171">
        <v>1</v>
      </c>
      <c r="AF379" s="147">
        <f t="shared" si="159"/>
        <v>0</v>
      </c>
      <c r="AG379" s="147">
        <f t="shared" si="160"/>
        <v>0</v>
      </c>
      <c r="AH379" s="147">
        <f t="shared" si="161"/>
        <v>0</v>
      </c>
      <c r="AI379" s="147">
        <f t="shared" si="162"/>
        <v>0</v>
      </c>
      <c r="AJ379" s="148">
        <f t="shared" si="163"/>
        <v>0</v>
      </c>
      <c r="AK379" s="149">
        <f t="shared" si="146"/>
        <v>0</v>
      </c>
      <c r="AL379" s="149">
        <f t="shared" si="147"/>
        <v>0</v>
      </c>
      <c r="AM379" s="149">
        <f t="shared" si="148"/>
        <v>0</v>
      </c>
      <c r="AN379" s="149">
        <f t="shared" si="149"/>
        <v>0</v>
      </c>
      <c r="AO379" s="150">
        <f t="shared" si="164"/>
        <v>0</v>
      </c>
      <c r="AQ379" s="151">
        <f t="shared" si="165"/>
        <v>0</v>
      </c>
    </row>
    <row r="380" spans="1:43" ht="15" customHeight="1">
      <c r="A380" s="82" t="e">
        <f t="shared" si="150"/>
        <v>#REF!</v>
      </c>
      <c r="B380" s="134">
        <v>104</v>
      </c>
      <c r="C380" s="135" t="s">
        <v>260</v>
      </c>
      <c r="D380" s="136" t="s">
        <v>274</v>
      </c>
      <c r="E380" s="137" t="s">
        <v>530</v>
      </c>
      <c r="F380" s="138" t="s">
        <v>646</v>
      </c>
      <c r="G380" s="139" t="s">
        <v>649</v>
      </c>
      <c r="H380" s="140" t="str">
        <f t="shared" si="151"/>
        <v>Niet van toepassing</v>
      </c>
      <c r="I380" s="138" t="s">
        <v>195</v>
      </c>
      <c r="J380" s="138" t="s">
        <v>1172</v>
      </c>
      <c r="K380" s="141" t="str">
        <f t="shared" si="152"/>
        <v>NVT</v>
      </c>
      <c r="L380" s="141" t="str">
        <f t="shared" si="153"/>
        <v>NVT</v>
      </c>
      <c r="M380" s="141" t="str">
        <f t="shared" si="154"/>
        <v>NVT</v>
      </c>
      <c r="N380" s="141" t="str">
        <f t="shared" si="155"/>
        <v>NVT</v>
      </c>
      <c r="O380" s="141" t="str">
        <f t="shared" si="156"/>
        <v>NVT</v>
      </c>
      <c r="P380" s="141" t="str">
        <f t="shared" si="157"/>
        <v>NVT</v>
      </c>
      <c r="Q380" s="141" t="str">
        <f t="shared" si="158"/>
        <v>NVT</v>
      </c>
      <c r="R380" s="63" t="s">
        <v>1221</v>
      </c>
      <c r="S380" s="142">
        <f t="shared" si="145"/>
        <v>0</v>
      </c>
      <c r="T380" s="143">
        <f>(8.85*7.5-1.35*6.3-1*2.6)*1.3</f>
        <v>71.850999999999999</v>
      </c>
      <c r="U380" s="144"/>
      <c r="V380" s="144">
        <v>71</v>
      </c>
      <c r="W380" s="144">
        <v>25</v>
      </c>
      <c r="X380" s="144"/>
      <c r="Y380" s="144">
        <v>24</v>
      </c>
      <c r="Z380" s="145"/>
      <c r="AA380" s="145"/>
      <c r="AB380" s="145">
        <v>55</v>
      </c>
      <c r="AC380" s="145"/>
      <c r="AD380" s="146" t="s">
        <v>687</v>
      </c>
      <c r="AE380" s="171">
        <v>1</v>
      </c>
      <c r="AF380" s="147">
        <f t="shared" si="159"/>
        <v>0</v>
      </c>
      <c r="AG380" s="147">
        <f t="shared" si="160"/>
        <v>0</v>
      </c>
      <c r="AH380" s="147">
        <f t="shared" si="161"/>
        <v>0</v>
      </c>
      <c r="AI380" s="147">
        <f t="shared" si="162"/>
        <v>0</v>
      </c>
      <c r="AJ380" s="148">
        <f t="shared" si="163"/>
        <v>0</v>
      </c>
      <c r="AK380" s="149">
        <f t="shared" si="146"/>
        <v>0</v>
      </c>
      <c r="AL380" s="149">
        <f t="shared" si="147"/>
        <v>0</v>
      </c>
      <c r="AM380" s="149">
        <f t="shared" si="148"/>
        <v>0</v>
      </c>
      <c r="AN380" s="149">
        <f t="shared" si="149"/>
        <v>0</v>
      </c>
      <c r="AO380" s="150">
        <f t="shared" si="164"/>
        <v>0</v>
      </c>
      <c r="AQ380" s="151">
        <f t="shared" si="165"/>
        <v>0</v>
      </c>
    </row>
    <row r="381" spans="1:43" ht="15" customHeight="1">
      <c r="A381" s="82" t="e">
        <f t="shared" si="150"/>
        <v>#REF!</v>
      </c>
      <c r="B381" s="134">
        <v>104</v>
      </c>
      <c r="C381" s="135" t="s">
        <v>260</v>
      </c>
      <c r="D381" s="136" t="s">
        <v>274</v>
      </c>
      <c r="E381" s="137" t="s">
        <v>530</v>
      </c>
      <c r="F381" s="138" t="s">
        <v>646</v>
      </c>
      <c r="G381" s="139" t="s">
        <v>650</v>
      </c>
      <c r="H381" s="140" t="str">
        <f t="shared" si="151"/>
        <v>Niet van toepassing</v>
      </c>
      <c r="I381" s="138" t="s">
        <v>35</v>
      </c>
      <c r="J381" s="138" t="s">
        <v>1172</v>
      </c>
      <c r="K381" s="141" t="str">
        <f t="shared" si="152"/>
        <v>NVT</v>
      </c>
      <c r="L381" s="141" t="str">
        <f t="shared" si="153"/>
        <v>NVT</v>
      </c>
      <c r="M381" s="141" t="str">
        <f t="shared" si="154"/>
        <v>NVT</v>
      </c>
      <c r="N381" s="141" t="str">
        <f t="shared" si="155"/>
        <v>NVT</v>
      </c>
      <c r="O381" s="141" t="str">
        <f t="shared" si="156"/>
        <v>NVT</v>
      </c>
      <c r="P381" s="141" t="str">
        <f t="shared" si="157"/>
        <v>NVT</v>
      </c>
      <c r="Q381" s="141" t="str">
        <f t="shared" si="158"/>
        <v>NVT</v>
      </c>
      <c r="R381" s="63" t="s">
        <v>1221</v>
      </c>
      <c r="S381" s="142">
        <f t="shared" si="145"/>
        <v>0</v>
      </c>
      <c r="T381" s="143">
        <v>1.3</v>
      </c>
      <c r="U381" s="144"/>
      <c r="V381" s="144"/>
      <c r="W381" s="144"/>
      <c r="X381" s="144"/>
      <c r="Y381" s="144"/>
      <c r="Z381" s="145"/>
      <c r="AA381" s="145"/>
      <c r="AB381" s="145"/>
      <c r="AC381" s="145"/>
      <c r="AD381" s="146" t="s">
        <v>1260</v>
      </c>
      <c r="AE381" s="171">
        <v>1</v>
      </c>
      <c r="AF381" s="147">
        <f t="shared" si="159"/>
        <v>0</v>
      </c>
      <c r="AG381" s="147">
        <f t="shared" si="160"/>
        <v>0</v>
      </c>
      <c r="AH381" s="147">
        <f t="shared" si="161"/>
        <v>0</v>
      </c>
      <c r="AI381" s="147">
        <f t="shared" si="162"/>
        <v>0</v>
      </c>
      <c r="AJ381" s="148">
        <f t="shared" si="163"/>
        <v>0</v>
      </c>
      <c r="AK381" s="149">
        <f t="shared" si="146"/>
        <v>0</v>
      </c>
      <c r="AL381" s="149">
        <f t="shared" si="147"/>
        <v>0</v>
      </c>
      <c r="AM381" s="149">
        <f t="shared" si="148"/>
        <v>0</v>
      </c>
      <c r="AN381" s="149">
        <f t="shared" si="149"/>
        <v>0</v>
      </c>
      <c r="AO381" s="150">
        <f t="shared" si="164"/>
        <v>0</v>
      </c>
      <c r="AQ381" s="151">
        <f t="shared" si="165"/>
        <v>0</v>
      </c>
    </row>
    <row r="382" spans="1:43" ht="15" customHeight="1">
      <c r="A382" s="82" t="e">
        <f t="shared" si="150"/>
        <v>#REF!</v>
      </c>
      <c r="B382" s="134">
        <v>104</v>
      </c>
      <c r="C382" s="135" t="s">
        <v>260</v>
      </c>
      <c r="D382" s="136" t="s">
        <v>274</v>
      </c>
      <c r="E382" s="137" t="s">
        <v>530</v>
      </c>
      <c r="F382" s="138" t="s">
        <v>646</v>
      </c>
      <c r="G382" s="139" t="s">
        <v>564</v>
      </c>
      <c r="H382" s="140" t="str">
        <f t="shared" si="151"/>
        <v>Niet van toepassing</v>
      </c>
      <c r="I382" s="138" t="s">
        <v>195</v>
      </c>
      <c r="J382" s="138" t="s">
        <v>1172</v>
      </c>
      <c r="K382" s="141" t="str">
        <f t="shared" si="152"/>
        <v>NVT</v>
      </c>
      <c r="L382" s="141" t="str">
        <f t="shared" si="153"/>
        <v>NVT</v>
      </c>
      <c r="M382" s="141" t="str">
        <f t="shared" si="154"/>
        <v>NVT</v>
      </c>
      <c r="N382" s="141" t="str">
        <f t="shared" si="155"/>
        <v>NVT</v>
      </c>
      <c r="O382" s="141" t="str">
        <f t="shared" si="156"/>
        <v>NVT</v>
      </c>
      <c r="P382" s="141" t="str">
        <f t="shared" si="157"/>
        <v>NVT</v>
      </c>
      <c r="Q382" s="141" t="str">
        <f t="shared" si="158"/>
        <v>NVT</v>
      </c>
      <c r="R382" s="63" t="s">
        <v>1221</v>
      </c>
      <c r="S382" s="142">
        <f t="shared" si="145"/>
        <v>0</v>
      </c>
      <c r="T382" s="143">
        <f>(5.05*3.1-0.9*1.7)*1.3</f>
        <v>18.362500000000001</v>
      </c>
      <c r="U382" s="144">
        <v>2</v>
      </c>
      <c r="V382" s="144">
        <v>43</v>
      </c>
      <c r="W382" s="144"/>
      <c r="X382" s="144"/>
      <c r="Y382" s="144">
        <v>1</v>
      </c>
      <c r="Z382" s="145"/>
      <c r="AA382" s="145"/>
      <c r="AB382" s="145">
        <v>14</v>
      </c>
      <c r="AC382" s="145"/>
      <c r="AD382" s="146" t="s">
        <v>688</v>
      </c>
      <c r="AE382" s="171">
        <v>1</v>
      </c>
      <c r="AF382" s="147">
        <f t="shared" si="159"/>
        <v>0</v>
      </c>
      <c r="AG382" s="147">
        <f t="shared" si="160"/>
        <v>0</v>
      </c>
      <c r="AH382" s="147">
        <f t="shared" si="161"/>
        <v>0</v>
      </c>
      <c r="AI382" s="147">
        <f t="shared" si="162"/>
        <v>0</v>
      </c>
      <c r="AJ382" s="148">
        <f t="shared" si="163"/>
        <v>0</v>
      </c>
      <c r="AK382" s="149">
        <f t="shared" si="146"/>
        <v>0</v>
      </c>
      <c r="AL382" s="149">
        <f t="shared" si="147"/>
        <v>0</v>
      </c>
      <c r="AM382" s="149">
        <f t="shared" si="148"/>
        <v>0</v>
      </c>
      <c r="AN382" s="149">
        <f t="shared" si="149"/>
        <v>0</v>
      </c>
      <c r="AO382" s="150">
        <f t="shared" si="164"/>
        <v>0</v>
      </c>
      <c r="AQ382" s="151">
        <f t="shared" si="165"/>
        <v>0</v>
      </c>
    </row>
    <row r="383" spans="1:43" ht="15" customHeight="1">
      <c r="A383" s="82" t="e">
        <f t="shared" si="150"/>
        <v>#REF!</v>
      </c>
      <c r="B383" s="134">
        <v>104</v>
      </c>
      <c r="C383" s="135" t="s">
        <v>260</v>
      </c>
      <c r="D383" s="136" t="s">
        <v>274</v>
      </c>
      <c r="E383" s="137" t="s">
        <v>530</v>
      </c>
      <c r="F383" s="138" t="s">
        <v>646</v>
      </c>
      <c r="G383" s="139" t="s">
        <v>652</v>
      </c>
      <c r="H383" s="140" t="str">
        <f t="shared" si="151"/>
        <v>Niet van toepassing</v>
      </c>
      <c r="I383" s="138" t="s">
        <v>270</v>
      </c>
      <c r="J383" s="138" t="s">
        <v>1172</v>
      </c>
      <c r="K383" s="141" t="str">
        <f t="shared" si="152"/>
        <v>NVT</v>
      </c>
      <c r="L383" s="141" t="str">
        <f t="shared" si="153"/>
        <v>NVT</v>
      </c>
      <c r="M383" s="141" t="str">
        <f t="shared" si="154"/>
        <v>NVT</v>
      </c>
      <c r="N383" s="141" t="str">
        <f t="shared" si="155"/>
        <v>NVT</v>
      </c>
      <c r="O383" s="141" t="str">
        <f t="shared" si="156"/>
        <v>NVT</v>
      </c>
      <c r="P383" s="141" t="str">
        <f t="shared" si="157"/>
        <v>NVT</v>
      </c>
      <c r="Q383" s="141" t="str">
        <f t="shared" si="158"/>
        <v>NVT</v>
      </c>
      <c r="R383" s="63" t="s">
        <v>1221</v>
      </c>
      <c r="S383" s="142">
        <f t="shared" si="145"/>
        <v>0</v>
      </c>
      <c r="T383" s="143">
        <f>(2.1*2.55)*1.3</f>
        <v>6.9615</v>
      </c>
      <c r="U383" s="144">
        <v>1</v>
      </c>
      <c r="V383" s="144">
        <v>31</v>
      </c>
      <c r="W383" s="144"/>
      <c r="X383" s="144"/>
      <c r="Y383" s="144"/>
      <c r="Z383" s="145"/>
      <c r="AA383" s="145"/>
      <c r="AB383" s="145"/>
      <c r="AC383" s="145">
        <v>5</v>
      </c>
      <c r="AD383" s="146" t="s">
        <v>679</v>
      </c>
      <c r="AE383" s="171">
        <v>1</v>
      </c>
      <c r="AF383" s="147">
        <f t="shared" si="159"/>
        <v>0</v>
      </c>
      <c r="AG383" s="147">
        <f t="shared" si="160"/>
        <v>0</v>
      </c>
      <c r="AH383" s="147">
        <f t="shared" si="161"/>
        <v>0</v>
      </c>
      <c r="AI383" s="147">
        <f t="shared" si="162"/>
        <v>0</v>
      </c>
      <c r="AJ383" s="148">
        <f t="shared" si="163"/>
        <v>0</v>
      </c>
      <c r="AK383" s="149">
        <f t="shared" si="146"/>
        <v>0</v>
      </c>
      <c r="AL383" s="149">
        <f t="shared" si="147"/>
        <v>0</v>
      </c>
      <c r="AM383" s="149">
        <f t="shared" si="148"/>
        <v>0</v>
      </c>
      <c r="AN383" s="149">
        <f t="shared" si="149"/>
        <v>0</v>
      </c>
      <c r="AO383" s="150">
        <f t="shared" si="164"/>
        <v>0</v>
      </c>
      <c r="AQ383" s="151">
        <f t="shared" si="165"/>
        <v>0</v>
      </c>
    </row>
    <row r="384" spans="1:43" ht="15" customHeight="1">
      <c r="A384" s="82" t="e">
        <f t="shared" si="150"/>
        <v>#REF!</v>
      </c>
      <c r="B384" s="134">
        <v>104</v>
      </c>
      <c r="C384" s="135" t="s">
        <v>260</v>
      </c>
      <c r="D384" s="136" t="s">
        <v>274</v>
      </c>
      <c r="E384" s="137" t="s">
        <v>530</v>
      </c>
      <c r="F384" s="138" t="s">
        <v>646</v>
      </c>
      <c r="G384" s="139" t="s">
        <v>653</v>
      </c>
      <c r="H384" s="140" t="str">
        <f t="shared" si="151"/>
        <v>Niet van toepassing</v>
      </c>
      <c r="I384" s="138" t="s">
        <v>35</v>
      </c>
      <c r="J384" s="138" t="s">
        <v>1172</v>
      </c>
      <c r="K384" s="141" t="str">
        <f t="shared" si="152"/>
        <v>NVT</v>
      </c>
      <c r="L384" s="141" t="str">
        <f t="shared" si="153"/>
        <v>NVT</v>
      </c>
      <c r="M384" s="141" t="str">
        <f t="shared" si="154"/>
        <v>NVT</v>
      </c>
      <c r="N384" s="141" t="str">
        <f t="shared" si="155"/>
        <v>NVT</v>
      </c>
      <c r="O384" s="141" t="str">
        <f t="shared" si="156"/>
        <v>NVT</v>
      </c>
      <c r="P384" s="141" t="str">
        <f t="shared" si="157"/>
        <v>NVT</v>
      </c>
      <c r="Q384" s="141" t="str">
        <f t="shared" si="158"/>
        <v>NVT</v>
      </c>
      <c r="R384" s="63" t="s">
        <v>1221</v>
      </c>
      <c r="S384" s="142">
        <f t="shared" si="145"/>
        <v>0</v>
      </c>
      <c r="T384" s="143">
        <f>(2.05*1)*1.3</f>
        <v>2.665</v>
      </c>
      <c r="U384" s="144"/>
      <c r="V384" s="144"/>
      <c r="W384" s="144">
        <v>20</v>
      </c>
      <c r="X384" s="144"/>
      <c r="Y384" s="144"/>
      <c r="Z384" s="145"/>
      <c r="AA384" s="145"/>
      <c r="AB384" s="145">
        <v>2</v>
      </c>
      <c r="AC384" s="145"/>
      <c r="AD384" s="146" t="s">
        <v>679</v>
      </c>
      <c r="AE384" s="171">
        <v>1</v>
      </c>
      <c r="AF384" s="147">
        <f t="shared" si="159"/>
        <v>0</v>
      </c>
      <c r="AG384" s="147">
        <f t="shared" si="160"/>
        <v>0</v>
      </c>
      <c r="AH384" s="147">
        <f t="shared" si="161"/>
        <v>0</v>
      </c>
      <c r="AI384" s="147">
        <f t="shared" si="162"/>
        <v>0</v>
      </c>
      <c r="AJ384" s="148">
        <f t="shared" si="163"/>
        <v>0</v>
      </c>
      <c r="AK384" s="149">
        <f t="shared" si="146"/>
        <v>0</v>
      </c>
      <c r="AL384" s="149">
        <f t="shared" si="147"/>
        <v>0</v>
      </c>
      <c r="AM384" s="149">
        <f t="shared" si="148"/>
        <v>0</v>
      </c>
      <c r="AN384" s="149">
        <f t="shared" si="149"/>
        <v>0</v>
      </c>
      <c r="AO384" s="150">
        <f t="shared" si="164"/>
        <v>0</v>
      </c>
      <c r="AQ384" s="151">
        <f t="shared" si="165"/>
        <v>0</v>
      </c>
    </row>
    <row r="385" spans="1:43" ht="15" customHeight="1">
      <c r="A385" s="82" t="e">
        <f t="shared" si="150"/>
        <v>#REF!</v>
      </c>
      <c r="B385" s="134">
        <v>104</v>
      </c>
      <c r="C385" s="135" t="s">
        <v>260</v>
      </c>
      <c r="D385" s="136" t="s">
        <v>274</v>
      </c>
      <c r="E385" s="137" t="s">
        <v>530</v>
      </c>
      <c r="F385" s="138" t="s">
        <v>646</v>
      </c>
      <c r="G385" s="139" t="s">
        <v>654</v>
      </c>
      <c r="H385" s="140" t="str">
        <f t="shared" si="151"/>
        <v>Niet van toepassing</v>
      </c>
      <c r="I385" s="138" t="s">
        <v>35</v>
      </c>
      <c r="J385" s="138" t="s">
        <v>1172</v>
      </c>
      <c r="K385" s="141" t="str">
        <f t="shared" si="152"/>
        <v>NVT</v>
      </c>
      <c r="L385" s="141" t="str">
        <f t="shared" si="153"/>
        <v>NVT</v>
      </c>
      <c r="M385" s="141" t="str">
        <f t="shared" si="154"/>
        <v>NVT</v>
      </c>
      <c r="N385" s="141" t="str">
        <f t="shared" si="155"/>
        <v>NVT</v>
      </c>
      <c r="O385" s="141" t="str">
        <f t="shared" si="156"/>
        <v>NVT</v>
      </c>
      <c r="P385" s="141" t="str">
        <f t="shared" si="157"/>
        <v>NVT</v>
      </c>
      <c r="Q385" s="141" t="str">
        <f t="shared" si="158"/>
        <v>NVT</v>
      </c>
      <c r="R385" s="63" t="s">
        <v>1221</v>
      </c>
      <c r="S385" s="142">
        <f t="shared" si="145"/>
        <v>0</v>
      </c>
      <c r="T385" s="143">
        <f>(2.3*2.55)*1.3</f>
        <v>7.6244999999999994</v>
      </c>
      <c r="U385" s="144"/>
      <c r="V385" s="144"/>
      <c r="W385" s="144">
        <v>22</v>
      </c>
      <c r="X385" s="144"/>
      <c r="Y385" s="144"/>
      <c r="Z385" s="145"/>
      <c r="AA385" s="145"/>
      <c r="AB385" s="145"/>
      <c r="AC385" s="145">
        <v>6</v>
      </c>
      <c r="AD385" s="146" t="s">
        <v>679</v>
      </c>
      <c r="AE385" s="171">
        <v>1</v>
      </c>
      <c r="AF385" s="147">
        <f t="shared" si="159"/>
        <v>0</v>
      </c>
      <c r="AG385" s="147">
        <f t="shared" si="160"/>
        <v>0</v>
      </c>
      <c r="AH385" s="147">
        <f t="shared" si="161"/>
        <v>0</v>
      </c>
      <c r="AI385" s="147">
        <f t="shared" si="162"/>
        <v>0</v>
      </c>
      <c r="AJ385" s="148">
        <f t="shared" si="163"/>
        <v>0</v>
      </c>
      <c r="AK385" s="149">
        <f t="shared" si="146"/>
        <v>0</v>
      </c>
      <c r="AL385" s="149">
        <f t="shared" si="147"/>
        <v>0</v>
      </c>
      <c r="AM385" s="149">
        <f t="shared" si="148"/>
        <v>0</v>
      </c>
      <c r="AN385" s="149">
        <f t="shared" si="149"/>
        <v>0</v>
      </c>
      <c r="AO385" s="150">
        <f t="shared" si="164"/>
        <v>0</v>
      </c>
      <c r="AQ385" s="151">
        <f t="shared" si="165"/>
        <v>0</v>
      </c>
    </row>
    <row r="386" spans="1:43" ht="15" customHeight="1">
      <c r="A386" s="82" t="e">
        <f t="shared" si="150"/>
        <v>#REF!</v>
      </c>
      <c r="B386" s="134">
        <v>104</v>
      </c>
      <c r="C386" s="135" t="s">
        <v>260</v>
      </c>
      <c r="D386" s="136" t="s">
        <v>274</v>
      </c>
      <c r="E386" s="137" t="s">
        <v>530</v>
      </c>
      <c r="F386" s="138" t="s">
        <v>646</v>
      </c>
      <c r="G386" s="139" t="s">
        <v>655</v>
      </c>
      <c r="H386" s="140" t="str">
        <f t="shared" si="151"/>
        <v>Niet van toepassing</v>
      </c>
      <c r="I386" s="138" t="s">
        <v>35</v>
      </c>
      <c r="J386" s="138" t="s">
        <v>1172</v>
      </c>
      <c r="K386" s="141" t="str">
        <f t="shared" si="152"/>
        <v>NVT</v>
      </c>
      <c r="L386" s="141" t="str">
        <f t="shared" si="153"/>
        <v>NVT</v>
      </c>
      <c r="M386" s="141" t="str">
        <f t="shared" si="154"/>
        <v>NVT</v>
      </c>
      <c r="N386" s="141" t="str">
        <f t="shared" si="155"/>
        <v>NVT</v>
      </c>
      <c r="O386" s="141" t="str">
        <f t="shared" si="156"/>
        <v>NVT</v>
      </c>
      <c r="P386" s="141" t="str">
        <f t="shared" si="157"/>
        <v>NVT</v>
      </c>
      <c r="Q386" s="141" t="str">
        <f t="shared" si="158"/>
        <v>NVT</v>
      </c>
      <c r="R386" s="63" t="s">
        <v>1221</v>
      </c>
      <c r="S386" s="142">
        <f t="shared" si="145"/>
        <v>0</v>
      </c>
      <c r="T386" s="143">
        <f>(7*1.5)*1.3</f>
        <v>13.65</v>
      </c>
      <c r="U386" s="144"/>
      <c r="V386" s="144"/>
      <c r="W386" s="144">
        <v>26</v>
      </c>
      <c r="X386" s="144"/>
      <c r="Y386" s="144"/>
      <c r="Z386" s="145"/>
      <c r="AA386" s="145">
        <v>11</v>
      </c>
      <c r="AB386" s="145"/>
      <c r="AC386" s="145"/>
      <c r="AD386" s="146"/>
      <c r="AE386" s="171">
        <v>1</v>
      </c>
      <c r="AF386" s="147">
        <f t="shared" si="159"/>
        <v>0</v>
      </c>
      <c r="AG386" s="147">
        <f t="shared" si="160"/>
        <v>0</v>
      </c>
      <c r="AH386" s="147">
        <f t="shared" si="161"/>
        <v>0</v>
      </c>
      <c r="AI386" s="147">
        <f t="shared" si="162"/>
        <v>0</v>
      </c>
      <c r="AJ386" s="148">
        <f t="shared" si="163"/>
        <v>0</v>
      </c>
      <c r="AK386" s="149">
        <f t="shared" si="146"/>
        <v>0</v>
      </c>
      <c r="AL386" s="149">
        <f t="shared" si="147"/>
        <v>0</v>
      </c>
      <c r="AM386" s="149">
        <f t="shared" si="148"/>
        <v>0</v>
      </c>
      <c r="AN386" s="149">
        <f t="shared" si="149"/>
        <v>0</v>
      </c>
      <c r="AO386" s="150">
        <f t="shared" si="164"/>
        <v>0</v>
      </c>
      <c r="AQ386" s="151">
        <f t="shared" si="165"/>
        <v>0</v>
      </c>
    </row>
    <row r="387" spans="1:43" ht="15" customHeight="1">
      <c r="A387" s="82" t="e">
        <f t="shared" si="150"/>
        <v>#REF!</v>
      </c>
      <c r="B387" s="134">
        <v>104</v>
      </c>
      <c r="C387" s="135" t="s">
        <v>260</v>
      </c>
      <c r="D387" s="136" t="s">
        <v>274</v>
      </c>
      <c r="E387" s="137" t="s">
        <v>530</v>
      </c>
      <c r="F387" s="138" t="s">
        <v>646</v>
      </c>
      <c r="G387" s="139" t="s">
        <v>656</v>
      </c>
      <c r="H387" s="140" t="str">
        <f t="shared" si="151"/>
        <v>Niet van toepassing</v>
      </c>
      <c r="I387" s="138" t="s">
        <v>35</v>
      </c>
      <c r="J387" s="138" t="s">
        <v>1172</v>
      </c>
      <c r="K387" s="141" t="str">
        <f t="shared" si="152"/>
        <v>NVT</v>
      </c>
      <c r="L387" s="141" t="str">
        <f t="shared" si="153"/>
        <v>NVT</v>
      </c>
      <c r="M387" s="141" t="str">
        <f t="shared" si="154"/>
        <v>NVT</v>
      </c>
      <c r="N387" s="141" t="str">
        <f t="shared" si="155"/>
        <v>NVT</v>
      </c>
      <c r="O387" s="141" t="str">
        <f t="shared" si="156"/>
        <v>NVT</v>
      </c>
      <c r="P387" s="141" t="str">
        <f t="shared" si="157"/>
        <v>NVT</v>
      </c>
      <c r="Q387" s="141" t="str">
        <f t="shared" si="158"/>
        <v>NVT</v>
      </c>
      <c r="R387" s="63" t="s">
        <v>1221</v>
      </c>
      <c r="S387" s="142">
        <f t="shared" si="145"/>
        <v>0</v>
      </c>
      <c r="T387" s="143">
        <f>(3.25*1.15+4.5*2.6+1.15*2.6+(1.25+2.6)/2*1.2+4.95*8+1*6)*1.3</f>
        <v>86.23875000000001</v>
      </c>
      <c r="U387" s="144"/>
      <c r="V387" s="144">
        <v>112</v>
      </c>
      <c r="W387" s="144"/>
      <c r="X387" s="144"/>
      <c r="Y387" s="144"/>
      <c r="Z387" s="145"/>
      <c r="AA387" s="145"/>
      <c r="AB387" s="145">
        <v>53</v>
      </c>
      <c r="AC387" s="145"/>
      <c r="AD387" s="146"/>
      <c r="AE387" s="171">
        <v>1</v>
      </c>
      <c r="AF387" s="147">
        <f t="shared" si="159"/>
        <v>0</v>
      </c>
      <c r="AG387" s="147">
        <f t="shared" si="160"/>
        <v>0</v>
      </c>
      <c r="AH387" s="147">
        <f t="shared" si="161"/>
        <v>0</v>
      </c>
      <c r="AI387" s="147">
        <f t="shared" si="162"/>
        <v>0</v>
      </c>
      <c r="AJ387" s="148">
        <f t="shared" si="163"/>
        <v>0</v>
      </c>
      <c r="AK387" s="149">
        <f t="shared" si="146"/>
        <v>0</v>
      </c>
      <c r="AL387" s="149">
        <f t="shared" si="147"/>
        <v>0</v>
      </c>
      <c r="AM387" s="149">
        <f t="shared" si="148"/>
        <v>0</v>
      </c>
      <c r="AN387" s="149">
        <f t="shared" si="149"/>
        <v>0</v>
      </c>
      <c r="AO387" s="150">
        <f t="shared" si="164"/>
        <v>0</v>
      </c>
      <c r="AQ387" s="151">
        <f t="shared" si="165"/>
        <v>0</v>
      </c>
    </row>
    <row r="388" spans="1:43" ht="15" customHeight="1">
      <c r="A388" s="82" t="e">
        <f t="shared" si="150"/>
        <v>#REF!</v>
      </c>
      <c r="B388" s="134">
        <v>104</v>
      </c>
      <c r="C388" s="135" t="s">
        <v>260</v>
      </c>
      <c r="D388" s="136" t="s">
        <v>274</v>
      </c>
      <c r="E388" s="137" t="s">
        <v>530</v>
      </c>
      <c r="F388" s="138" t="s">
        <v>646</v>
      </c>
      <c r="G388" s="139" t="s">
        <v>657</v>
      </c>
      <c r="H388" s="140" t="str">
        <f t="shared" si="151"/>
        <v>Niet van toepassing</v>
      </c>
      <c r="I388" s="138" t="s">
        <v>35</v>
      </c>
      <c r="J388" s="138" t="s">
        <v>1172</v>
      </c>
      <c r="K388" s="141" t="str">
        <f t="shared" si="152"/>
        <v>NVT</v>
      </c>
      <c r="L388" s="141" t="str">
        <f t="shared" si="153"/>
        <v>NVT</v>
      </c>
      <c r="M388" s="141" t="str">
        <f t="shared" si="154"/>
        <v>NVT</v>
      </c>
      <c r="N388" s="141" t="str">
        <f t="shared" si="155"/>
        <v>NVT</v>
      </c>
      <c r="O388" s="141" t="str">
        <f t="shared" si="156"/>
        <v>NVT</v>
      </c>
      <c r="P388" s="141" t="str">
        <f t="shared" si="157"/>
        <v>NVT</v>
      </c>
      <c r="Q388" s="141" t="str">
        <f t="shared" si="158"/>
        <v>NVT</v>
      </c>
      <c r="R388" s="63" t="s">
        <v>1221</v>
      </c>
      <c r="S388" s="142">
        <f t="shared" si="145"/>
        <v>0</v>
      </c>
      <c r="T388" s="143">
        <f>(4*2-0.5*2*3.2)*1.3</f>
        <v>6.24</v>
      </c>
      <c r="U388" s="144"/>
      <c r="V388" s="144"/>
      <c r="W388" s="144">
        <v>40</v>
      </c>
      <c r="X388" s="144"/>
      <c r="Y388" s="144"/>
      <c r="Z388" s="145"/>
      <c r="AA388" s="145"/>
      <c r="AB388" s="145">
        <v>5</v>
      </c>
      <c r="AC388" s="145"/>
      <c r="AD388" s="146" t="s">
        <v>679</v>
      </c>
      <c r="AE388" s="171">
        <v>1</v>
      </c>
      <c r="AF388" s="147">
        <f t="shared" si="159"/>
        <v>0</v>
      </c>
      <c r="AG388" s="147">
        <f t="shared" si="160"/>
        <v>0</v>
      </c>
      <c r="AH388" s="147">
        <f t="shared" si="161"/>
        <v>0</v>
      </c>
      <c r="AI388" s="147">
        <f t="shared" si="162"/>
        <v>0</v>
      </c>
      <c r="AJ388" s="148">
        <f t="shared" si="163"/>
        <v>0</v>
      </c>
      <c r="AK388" s="149">
        <f t="shared" si="146"/>
        <v>0</v>
      </c>
      <c r="AL388" s="149">
        <f t="shared" si="147"/>
        <v>0</v>
      </c>
      <c r="AM388" s="149">
        <f t="shared" si="148"/>
        <v>0</v>
      </c>
      <c r="AN388" s="149">
        <f t="shared" si="149"/>
        <v>0</v>
      </c>
      <c r="AO388" s="150">
        <f t="shared" si="164"/>
        <v>0</v>
      </c>
      <c r="AQ388" s="151">
        <f t="shared" si="165"/>
        <v>0</v>
      </c>
    </row>
    <row r="389" spans="1:43" ht="15" customHeight="1">
      <c r="A389" s="82" t="e">
        <f t="shared" si="150"/>
        <v>#REF!</v>
      </c>
      <c r="B389" s="134">
        <v>104</v>
      </c>
      <c r="C389" s="135" t="s">
        <v>260</v>
      </c>
      <c r="D389" s="136" t="s">
        <v>274</v>
      </c>
      <c r="E389" s="137" t="s">
        <v>530</v>
      </c>
      <c r="F389" s="138" t="s">
        <v>646</v>
      </c>
      <c r="G389" s="139" t="s">
        <v>658</v>
      </c>
      <c r="H389" s="140" t="str">
        <f t="shared" si="151"/>
        <v>Niet van toepassing</v>
      </c>
      <c r="I389" s="138" t="s">
        <v>35</v>
      </c>
      <c r="J389" s="138" t="s">
        <v>1172</v>
      </c>
      <c r="K389" s="141" t="str">
        <f t="shared" si="152"/>
        <v>NVT</v>
      </c>
      <c r="L389" s="141" t="str">
        <f t="shared" si="153"/>
        <v>NVT</v>
      </c>
      <c r="M389" s="141" t="str">
        <f t="shared" si="154"/>
        <v>NVT</v>
      </c>
      <c r="N389" s="141" t="str">
        <f t="shared" si="155"/>
        <v>NVT</v>
      </c>
      <c r="O389" s="141" t="str">
        <f t="shared" si="156"/>
        <v>NVT</v>
      </c>
      <c r="P389" s="141" t="str">
        <f t="shared" si="157"/>
        <v>NVT</v>
      </c>
      <c r="Q389" s="141" t="str">
        <f t="shared" si="158"/>
        <v>NVT</v>
      </c>
      <c r="R389" s="63" t="s">
        <v>1221</v>
      </c>
      <c r="S389" s="142">
        <f t="shared" si="145"/>
        <v>0</v>
      </c>
      <c r="T389" s="143">
        <f>(6.35*6.1-0.5*0.9*1.3-1.1*1.1)*1.3</f>
        <v>48.021999999999991</v>
      </c>
      <c r="U389" s="144"/>
      <c r="V389" s="144"/>
      <c r="W389" s="144">
        <v>80</v>
      </c>
      <c r="X389" s="144"/>
      <c r="Y389" s="144"/>
      <c r="Z389" s="145"/>
      <c r="AA389" s="145">
        <v>37</v>
      </c>
      <c r="AB389" s="145"/>
      <c r="AC389" s="145"/>
      <c r="AD389" s="146"/>
      <c r="AE389" s="171">
        <v>1</v>
      </c>
      <c r="AF389" s="147">
        <f t="shared" si="159"/>
        <v>0</v>
      </c>
      <c r="AG389" s="147">
        <f t="shared" si="160"/>
        <v>0</v>
      </c>
      <c r="AH389" s="147">
        <f t="shared" si="161"/>
        <v>0</v>
      </c>
      <c r="AI389" s="147">
        <f t="shared" si="162"/>
        <v>0</v>
      </c>
      <c r="AJ389" s="148">
        <f t="shared" si="163"/>
        <v>0</v>
      </c>
      <c r="AK389" s="149">
        <f t="shared" si="146"/>
        <v>0</v>
      </c>
      <c r="AL389" s="149">
        <f t="shared" si="147"/>
        <v>0</v>
      </c>
      <c r="AM389" s="149">
        <f t="shared" si="148"/>
        <v>0</v>
      </c>
      <c r="AN389" s="149">
        <f t="shared" si="149"/>
        <v>0</v>
      </c>
      <c r="AO389" s="150">
        <f t="shared" si="164"/>
        <v>0</v>
      </c>
      <c r="AQ389" s="151">
        <f t="shared" si="165"/>
        <v>0</v>
      </c>
    </row>
    <row r="390" spans="1:43" ht="15" customHeight="1">
      <c r="A390" s="82" t="e">
        <f t="shared" si="150"/>
        <v>#REF!</v>
      </c>
      <c r="B390" s="134">
        <v>104</v>
      </c>
      <c r="C390" s="135" t="s">
        <v>260</v>
      </c>
      <c r="D390" s="136" t="s">
        <v>274</v>
      </c>
      <c r="E390" s="137" t="s">
        <v>530</v>
      </c>
      <c r="F390" s="138" t="s">
        <v>646</v>
      </c>
      <c r="G390" s="139" t="s">
        <v>659</v>
      </c>
      <c r="H390" s="140" t="str">
        <f t="shared" si="151"/>
        <v>Niet van toepassing</v>
      </c>
      <c r="I390" s="138" t="s">
        <v>35</v>
      </c>
      <c r="J390" s="138" t="s">
        <v>1172</v>
      </c>
      <c r="K390" s="141" t="str">
        <f t="shared" si="152"/>
        <v>NVT</v>
      </c>
      <c r="L390" s="141" t="str">
        <f t="shared" si="153"/>
        <v>NVT</v>
      </c>
      <c r="M390" s="141" t="str">
        <f t="shared" si="154"/>
        <v>NVT</v>
      </c>
      <c r="N390" s="141" t="str">
        <f t="shared" si="155"/>
        <v>NVT</v>
      </c>
      <c r="O390" s="141" t="str">
        <f t="shared" si="156"/>
        <v>NVT</v>
      </c>
      <c r="P390" s="141" t="str">
        <f t="shared" si="157"/>
        <v>NVT</v>
      </c>
      <c r="Q390" s="141" t="str">
        <f t="shared" si="158"/>
        <v>NVT</v>
      </c>
      <c r="R390" s="63" t="s">
        <v>1221</v>
      </c>
      <c r="S390" s="142">
        <f t="shared" si="145"/>
        <v>0</v>
      </c>
      <c r="T390" s="143">
        <f>(+(5.4+4.55)/2*2.05)*1.3</f>
        <v>13.258374999999999</v>
      </c>
      <c r="U390" s="144"/>
      <c r="V390" s="144"/>
      <c r="W390" s="144">
        <v>50</v>
      </c>
      <c r="X390" s="144"/>
      <c r="Y390" s="144"/>
      <c r="Z390" s="145"/>
      <c r="AA390" s="145"/>
      <c r="AB390" s="145">
        <v>10</v>
      </c>
      <c r="AC390" s="145"/>
      <c r="AD390" s="146" t="s">
        <v>679</v>
      </c>
      <c r="AE390" s="171">
        <v>1</v>
      </c>
      <c r="AF390" s="147">
        <f t="shared" si="159"/>
        <v>0</v>
      </c>
      <c r="AG390" s="147">
        <f t="shared" si="160"/>
        <v>0</v>
      </c>
      <c r="AH390" s="147">
        <f t="shared" si="161"/>
        <v>0</v>
      </c>
      <c r="AI390" s="147">
        <f t="shared" si="162"/>
        <v>0</v>
      </c>
      <c r="AJ390" s="148">
        <f t="shared" si="163"/>
        <v>0</v>
      </c>
      <c r="AK390" s="149">
        <f t="shared" si="146"/>
        <v>0</v>
      </c>
      <c r="AL390" s="149">
        <f t="shared" si="147"/>
        <v>0</v>
      </c>
      <c r="AM390" s="149">
        <f t="shared" si="148"/>
        <v>0</v>
      </c>
      <c r="AN390" s="149">
        <f t="shared" si="149"/>
        <v>0</v>
      </c>
      <c r="AO390" s="150">
        <f t="shared" si="164"/>
        <v>0</v>
      </c>
      <c r="AQ390" s="151">
        <f t="shared" si="165"/>
        <v>0</v>
      </c>
    </row>
    <row r="391" spans="1:43" ht="15" customHeight="1">
      <c r="A391" s="82" t="e">
        <f t="shared" si="150"/>
        <v>#REF!</v>
      </c>
      <c r="B391" s="134">
        <v>104</v>
      </c>
      <c r="C391" s="135" t="s">
        <v>260</v>
      </c>
      <c r="D391" s="136" t="s">
        <v>274</v>
      </c>
      <c r="E391" s="137" t="s">
        <v>530</v>
      </c>
      <c r="F391" s="138" t="s">
        <v>646</v>
      </c>
      <c r="G391" s="139" t="s">
        <v>660</v>
      </c>
      <c r="H391" s="140" t="str">
        <f t="shared" si="151"/>
        <v>Niet van toepassing</v>
      </c>
      <c r="I391" s="138" t="s">
        <v>195</v>
      </c>
      <c r="J391" s="138" t="s">
        <v>1172</v>
      </c>
      <c r="K391" s="141" t="str">
        <f t="shared" si="152"/>
        <v>NVT</v>
      </c>
      <c r="L391" s="141" t="str">
        <f t="shared" si="153"/>
        <v>NVT</v>
      </c>
      <c r="M391" s="141" t="str">
        <f t="shared" si="154"/>
        <v>NVT</v>
      </c>
      <c r="N391" s="141" t="str">
        <f t="shared" si="155"/>
        <v>NVT</v>
      </c>
      <c r="O391" s="141" t="str">
        <f t="shared" si="156"/>
        <v>NVT</v>
      </c>
      <c r="P391" s="141" t="str">
        <f t="shared" si="157"/>
        <v>NVT</v>
      </c>
      <c r="Q391" s="141" t="str">
        <f t="shared" si="158"/>
        <v>NVT</v>
      </c>
      <c r="R391" s="63" t="s">
        <v>1221</v>
      </c>
      <c r="S391" s="142">
        <f t="shared" si="145"/>
        <v>0</v>
      </c>
      <c r="T391" s="143">
        <f>(9.3*4.35)*1.3</f>
        <v>52.591499999999996</v>
      </c>
      <c r="U391" s="144">
        <v>30</v>
      </c>
      <c r="V391" s="144">
        <v>3</v>
      </c>
      <c r="W391" s="144"/>
      <c r="X391" s="144"/>
      <c r="Y391" s="144"/>
      <c r="Z391" s="145"/>
      <c r="AA391" s="145"/>
      <c r="AB391" s="145"/>
      <c r="AC391" s="145">
        <v>40</v>
      </c>
      <c r="AD391" s="146" t="s">
        <v>688</v>
      </c>
      <c r="AE391" s="171">
        <v>1</v>
      </c>
      <c r="AF391" s="147">
        <f t="shared" si="159"/>
        <v>0</v>
      </c>
      <c r="AG391" s="147">
        <f t="shared" si="160"/>
        <v>0</v>
      </c>
      <c r="AH391" s="147">
        <f t="shared" si="161"/>
        <v>0</v>
      </c>
      <c r="AI391" s="147">
        <f t="shared" si="162"/>
        <v>0</v>
      </c>
      <c r="AJ391" s="148">
        <f t="shared" si="163"/>
        <v>0</v>
      </c>
      <c r="AK391" s="149">
        <f t="shared" si="146"/>
        <v>0</v>
      </c>
      <c r="AL391" s="149">
        <f t="shared" si="147"/>
        <v>0</v>
      </c>
      <c r="AM391" s="149">
        <f t="shared" si="148"/>
        <v>0</v>
      </c>
      <c r="AN391" s="149">
        <f t="shared" si="149"/>
        <v>0</v>
      </c>
      <c r="AO391" s="150">
        <f t="shared" si="164"/>
        <v>0</v>
      </c>
      <c r="AQ391" s="151">
        <f t="shared" si="165"/>
        <v>0</v>
      </c>
    </row>
    <row r="392" spans="1:43" ht="15" customHeight="1">
      <c r="A392" s="82" t="e">
        <f t="shared" si="150"/>
        <v>#REF!</v>
      </c>
      <c r="B392" s="134">
        <v>104</v>
      </c>
      <c r="C392" s="135" t="s">
        <v>260</v>
      </c>
      <c r="D392" s="136" t="s">
        <v>274</v>
      </c>
      <c r="E392" s="137" t="s">
        <v>530</v>
      </c>
      <c r="F392" s="138" t="s">
        <v>646</v>
      </c>
      <c r="G392" s="139" t="s">
        <v>661</v>
      </c>
      <c r="H392" s="140" t="str">
        <f t="shared" si="151"/>
        <v>Niet van toepassing</v>
      </c>
      <c r="I392" s="138" t="s">
        <v>35</v>
      </c>
      <c r="J392" s="138" t="s">
        <v>1172</v>
      </c>
      <c r="K392" s="141" t="str">
        <f t="shared" si="152"/>
        <v>NVT</v>
      </c>
      <c r="L392" s="141" t="str">
        <f t="shared" si="153"/>
        <v>NVT</v>
      </c>
      <c r="M392" s="141" t="str">
        <f t="shared" si="154"/>
        <v>NVT</v>
      </c>
      <c r="N392" s="141" t="str">
        <f t="shared" si="155"/>
        <v>NVT</v>
      </c>
      <c r="O392" s="141" t="str">
        <f t="shared" si="156"/>
        <v>NVT</v>
      </c>
      <c r="P392" s="141" t="str">
        <f t="shared" si="157"/>
        <v>NVT</v>
      </c>
      <c r="Q392" s="141" t="str">
        <f t="shared" si="158"/>
        <v>NVT</v>
      </c>
      <c r="R392" s="63" t="s">
        <v>1221</v>
      </c>
      <c r="S392" s="142">
        <f t="shared" si="145"/>
        <v>0</v>
      </c>
      <c r="T392" s="143">
        <v>5.2</v>
      </c>
      <c r="U392" s="144"/>
      <c r="V392" s="144"/>
      <c r="W392" s="144">
        <v>22</v>
      </c>
      <c r="X392" s="144"/>
      <c r="Y392" s="144"/>
      <c r="Z392" s="145"/>
      <c r="AA392" s="145"/>
      <c r="AB392" s="145">
        <v>4</v>
      </c>
      <c r="AC392" s="145"/>
      <c r="AD392" s="146" t="s">
        <v>679</v>
      </c>
      <c r="AE392" s="171">
        <v>1</v>
      </c>
      <c r="AF392" s="147">
        <f t="shared" si="159"/>
        <v>0</v>
      </c>
      <c r="AG392" s="147">
        <f t="shared" si="160"/>
        <v>0</v>
      </c>
      <c r="AH392" s="147">
        <f t="shared" si="161"/>
        <v>0</v>
      </c>
      <c r="AI392" s="147">
        <f t="shared" si="162"/>
        <v>0</v>
      </c>
      <c r="AJ392" s="148">
        <f t="shared" si="163"/>
        <v>0</v>
      </c>
      <c r="AK392" s="149">
        <f t="shared" si="146"/>
        <v>0</v>
      </c>
      <c r="AL392" s="149">
        <f t="shared" si="147"/>
        <v>0</v>
      </c>
      <c r="AM392" s="149">
        <f t="shared" si="148"/>
        <v>0</v>
      </c>
      <c r="AN392" s="149">
        <f t="shared" si="149"/>
        <v>0</v>
      </c>
      <c r="AO392" s="150">
        <f t="shared" si="164"/>
        <v>0</v>
      </c>
      <c r="AQ392" s="151">
        <f t="shared" si="165"/>
        <v>0</v>
      </c>
    </row>
    <row r="393" spans="1:43" ht="15" customHeight="1">
      <c r="A393" s="82" t="e">
        <f t="shared" si="150"/>
        <v>#REF!</v>
      </c>
      <c r="B393" s="134">
        <v>104</v>
      </c>
      <c r="C393" s="135" t="s">
        <v>260</v>
      </c>
      <c r="D393" s="136" t="s">
        <v>274</v>
      </c>
      <c r="E393" s="137" t="s">
        <v>530</v>
      </c>
      <c r="F393" s="138" t="s">
        <v>646</v>
      </c>
      <c r="G393" s="139" t="s">
        <v>662</v>
      </c>
      <c r="H393" s="140" t="str">
        <f t="shared" si="151"/>
        <v>Niet van toepassing</v>
      </c>
      <c r="I393" s="138" t="s">
        <v>35</v>
      </c>
      <c r="J393" s="138" t="s">
        <v>1172</v>
      </c>
      <c r="K393" s="141" t="str">
        <f t="shared" si="152"/>
        <v>NVT</v>
      </c>
      <c r="L393" s="141" t="str">
        <f t="shared" si="153"/>
        <v>NVT</v>
      </c>
      <c r="M393" s="141" t="str">
        <f t="shared" si="154"/>
        <v>NVT</v>
      </c>
      <c r="N393" s="141" t="str">
        <f t="shared" si="155"/>
        <v>NVT</v>
      </c>
      <c r="O393" s="141" t="str">
        <f t="shared" si="156"/>
        <v>NVT</v>
      </c>
      <c r="P393" s="141" t="str">
        <f t="shared" si="157"/>
        <v>NVT</v>
      </c>
      <c r="Q393" s="141" t="str">
        <f t="shared" si="158"/>
        <v>NVT</v>
      </c>
      <c r="R393" s="63" t="s">
        <v>1221</v>
      </c>
      <c r="S393" s="142">
        <f t="shared" si="145"/>
        <v>0</v>
      </c>
      <c r="T393" s="143">
        <f>(2*3.5)*1.3</f>
        <v>9.1</v>
      </c>
      <c r="U393" s="144"/>
      <c r="V393" s="144"/>
      <c r="W393" s="144">
        <v>39</v>
      </c>
      <c r="X393" s="144"/>
      <c r="Y393" s="144"/>
      <c r="Z393" s="145"/>
      <c r="AA393" s="145"/>
      <c r="AB393" s="145">
        <v>7</v>
      </c>
      <c r="AC393" s="145"/>
      <c r="AD393" s="146" t="s">
        <v>679</v>
      </c>
      <c r="AE393" s="171">
        <v>1</v>
      </c>
      <c r="AF393" s="147">
        <f t="shared" si="159"/>
        <v>0</v>
      </c>
      <c r="AG393" s="147">
        <f t="shared" si="160"/>
        <v>0</v>
      </c>
      <c r="AH393" s="147">
        <f t="shared" si="161"/>
        <v>0</v>
      </c>
      <c r="AI393" s="147">
        <f t="shared" si="162"/>
        <v>0</v>
      </c>
      <c r="AJ393" s="148">
        <f t="shared" si="163"/>
        <v>0</v>
      </c>
      <c r="AK393" s="149">
        <f t="shared" si="146"/>
        <v>0</v>
      </c>
      <c r="AL393" s="149">
        <f t="shared" si="147"/>
        <v>0</v>
      </c>
      <c r="AM393" s="149">
        <f t="shared" si="148"/>
        <v>0</v>
      </c>
      <c r="AN393" s="149">
        <f t="shared" si="149"/>
        <v>0</v>
      </c>
      <c r="AO393" s="150">
        <f t="shared" si="164"/>
        <v>0</v>
      </c>
      <c r="AQ393" s="151">
        <f t="shared" si="165"/>
        <v>0</v>
      </c>
    </row>
    <row r="394" spans="1:43" ht="15" customHeight="1">
      <c r="A394" s="82" t="e">
        <f t="shared" si="150"/>
        <v>#REF!</v>
      </c>
      <c r="B394" s="134">
        <v>104</v>
      </c>
      <c r="C394" s="135" t="s">
        <v>260</v>
      </c>
      <c r="D394" s="136" t="s">
        <v>274</v>
      </c>
      <c r="E394" s="137" t="s">
        <v>530</v>
      </c>
      <c r="F394" s="138" t="s">
        <v>646</v>
      </c>
      <c r="G394" s="139" t="s">
        <v>663</v>
      </c>
      <c r="H394" s="140" t="str">
        <f t="shared" si="151"/>
        <v>Niet van toepassing</v>
      </c>
      <c r="I394" s="138" t="s">
        <v>35</v>
      </c>
      <c r="J394" s="138" t="s">
        <v>1172</v>
      </c>
      <c r="K394" s="141" t="str">
        <f t="shared" si="152"/>
        <v>NVT</v>
      </c>
      <c r="L394" s="141" t="str">
        <f t="shared" si="153"/>
        <v>NVT</v>
      </c>
      <c r="M394" s="141" t="str">
        <f t="shared" si="154"/>
        <v>NVT</v>
      </c>
      <c r="N394" s="141" t="str">
        <f t="shared" si="155"/>
        <v>NVT</v>
      </c>
      <c r="O394" s="141" t="str">
        <f t="shared" si="156"/>
        <v>NVT</v>
      </c>
      <c r="P394" s="141" t="str">
        <f t="shared" si="157"/>
        <v>NVT</v>
      </c>
      <c r="Q394" s="141" t="str">
        <f t="shared" si="158"/>
        <v>NVT</v>
      </c>
      <c r="R394" s="63" t="s">
        <v>1221</v>
      </c>
      <c r="S394" s="142">
        <f t="shared" si="145"/>
        <v>0</v>
      </c>
      <c r="T394" s="143">
        <f>(10.75*4+2*2)*1.3</f>
        <v>61.1</v>
      </c>
      <c r="U394" s="144"/>
      <c r="V394" s="144"/>
      <c r="W394" s="144">
        <v>120</v>
      </c>
      <c r="X394" s="144"/>
      <c r="Y394" s="144"/>
      <c r="Z394" s="145"/>
      <c r="AA394" s="145">
        <v>47</v>
      </c>
      <c r="AB394" s="145"/>
      <c r="AC394" s="145"/>
      <c r="AD394" s="146"/>
      <c r="AE394" s="171">
        <v>1</v>
      </c>
      <c r="AF394" s="147">
        <f t="shared" si="159"/>
        <v>0</v>
      </c>
      <c r="AG394" s="147">
        <f t="shared" si="160"/>
        <v>0</v>
      </c>
      <c r="AH394" s="147">
        <f t="shared" si="161"/>
        <v>0</v>
      </c>
      <c r="AI394" s="147">
        <f t="shared" si="162"/>
        <v>0</v>
      </c>
      <c r="AJ394" s="148">
        <f t="shared" si="163"/>
        <v>0</v>
      </c>
      <c r="AK394" s="149">
        <f t="shared" si="146"/>
        <v>0</v>
      </c>
      <c r="AL394" s="149">
        <f t="shared" si="147"/>
        <v>0</v>
      </c>
      <c r="AM394" s="149">
        <f t="shared" si="148"/>
        <v>0</v>
      </c>
      <c r="AN394" s="149">
        <f t="shared" si="149"/>
        <v>0</v>
      </c>
      <c r="AO394" s="150">
        <f t="shared" si="164"/>
        <v>0</v>
      </c>
      <c r="AQ394" s="151">
        <f t="shared" si="165"/>
        <v>0</v>
      </c>
    </row>
    <row r="395" spans="1:43" ht="15" customHeight="1">
      <c r="A395" s="82" t="e">
        <f t="shared" si="150"/>
        <v>#REF!</v>
      </c>
      <c r="B395" s="134">
        <v>104</v>
      </c>
      <c r="C395" s="135" t="s">
        <v>260</v>
      </c>
      <c r="D395" s="136" t="s">
        <v>274</v>
      </c>
      <c r="E395" s="137" t="s">
        <v>530</v>
      </c>
      <c r="F395" s="138" t="s">
        <v>646</v>
      </c>
      <c r="G395" s="139" t="s">
        <v>664</v>
      </c>
      <c r="H395" s="140" t="str">
        <f t="shared" si="151"/>
        <v>Niet van toepassing</v>
      </c>
      <c r="I395" s="138" t="s">
        <v>35</v>
      </c>
      <c r="J395" s="138" t="s">
        <v>1172</v>
      </c>
      <c r="K395" s="141" t="str">
        <f t="shared" si="152"/>
        <v>NVT</v>
      </c>
      <c r="L395" s="141" t="str">
        <f t="shared" si="153"/>
        <v>NVT</v>
      </c>
      <c r="M395" s="141" t="str">
        <f t="shared" si="154"/>
        <v>NVT</v>
      </c>
      <c r="N395" s="141" t="str">
        <f t="shared" si="155"/>
        <v>NVT</v>
      </c>
      <c r="O395" s="141" t="str">
        <f t="shared" si="156"/>
        <v>NVT</v>
      </c>
      <c r="P395" s="141" t="str">
        <f t="shared" si="157"/>
        <v>NVT</v>
      </c>
      <c r="Q395" s="141" t="str">
        <f t="shared" si="158"/>
        <v>NVT</v>
      </c>
      <c r="R395" s="63" t="s">
        <v>1221</v>
      </c>
      <c r="S395" s="142">
        <f t="shared" si="145"/>
        <v>0</v>
      </c>
      <c r="T395" s="143">
        <f>(5.7*2-0.5)*1.3</f>
        <v>14.170000000000002</v>
      </c>
      <c r="U395" s="144"/>
      <c r="V395" s="144"/>
      <c r="W395" s="144">
        <v>49</v>
      </c>
      <c r="X395" s="144"/>
      <c r="Y395" s="144"/>
      <c r="Z395" s="145"/>
      <c r="AA395" s="145"/>
      <c r="AB395" s="145">
        <v>11</v>
      </c>
      <c r="AC395" s="145"/>
      <c r="AD395" s="146" t="s">
        <v>679</v>
      </c>
      <c r="AE395" s="171">
        <v>1</v>
      </c>
      <c r="AF395" s="147">
        <f t="shared" si="159"/>
        <v>0</v>
      </c>
      <c r="AG395" s="147">
        <f t="shared" si="160"/>
        <v>0</v>
      </c>
      <c r="AH395" s="147">
        <f t="shared" si="161"/>
        <v>0</v>
      </c>
      <c r="AI395" s="147">
        <f t="shared" si="162"/>
        <v>0</v>
      </c>
      <c r="AJ395" s="148">
        <f t="shared" si="163"/>
        <v>0</v>
      </c>
      <c r="AK395" s="149">
        <f t="shared" si="146"/>
        <v>0</v>
      </c>
      <c r="AL395" s="149">
        <f t="shared" si="147"/>
        <v>0</v>
      </c>
      <c r="AM395" s="149">
        <f t="shared" si="148"/>
        <v>0</v>
      </c>
      <c r="AN395" s="149">
        <f t="shared" si="149"/>
        <v>0</v>
      </c>
      <c r="AO395" s="150">
        <f t="shared" si="164"/>
        <v>0</v>
      </c>
      <c r="AQ395" s="151">
        <f t="shared" si="165"/>
        <v>0</v>
      </c>
    </row>
    <row r="396" spans="1:43" ht="15" customHeight="1">
      <c r="A396" s="82" t="e">
        <f t="shared" si="150"/>
        <v>#REF!</v>
      </c>
      <c r="B396" s="134">
        <v>104</v>
      </c>
      <c r="C396" s="135" t="s">
        <v>260</v>
      </c>
      <c r="D396" s="136" t="s">
        <v>274</v>
      </c>
      <c r="E396" s="137" t="s">
        <v>530</v>
      </c>
      <c r="F396" s="138" t="s">
        <v>646</v>
      </c>
      <c r="G396" s="139" t="s">
        <v>665</v>
      </c>
      <c r="H396" s="140" t="str">
        <f t="shared" si="151"/>
        <v>Niet van toepassing</v>
      </c>
      <c r="I396" s="138" t="s">
        <v>35</v>
      </c>
      <c r="J396" s="138" t="s">
        <v>1172</v>
      </c>
      <c r="K396" s="141" t="str">
        <f t="shared" si="152"/>
        <v>NVT</v>
      </c>
      <c r="L396" s="141" t="str">
        <f t="shared" si="153"/>
        <v>NVT</v>
      </c>
      <c r="M396" s="141" t="str">
        <f t="shared" si="154"/>
        <v>NVT</v>
      </c>
      <c r="N396" s="141" t="str">
        <f t="shared" si="155"/>
        <v>NVT</v>
      </c>
      <c r="O396" s="141" t="str">
        <f t="shared" si="156"/>
        <v>NVT</v>
      </c>
      <c r="P396" s="141" t="str">
        <f t="shared" si="157"/>
        <v>NVT</v>
      </c>
      <c r="Q396" s="141" t="str">
        <f t="shared" si="158"/>
        <v>NVT</v>
      </c>
      <c r="R396" s="63" t="s">
        <v>1221</v>
      </c>
      <c r="S396" s="142">
        <f t="shared" ref="S396:S459" si="166">VLOOKUP(R396,Kengetal,2,FALSE)</f>
        <v>0</v>
      </c>
      <c r="T396" s="143">
        <f>(1.8+6.1)*1.3</f>
        <v>10.27</v>
      </c>
      <c r="U396" s="144">
        <v>1</v>
      </c>
      <c r="V396" s="144"/>
      <c r="W396" s="144">
        <v>48</v>
      </c>
      <c r="X396" s="144"/>
      <c r="Y396" s="144"/>
      <c r="Z396" s="145"/>
      <c r="AA396" s="145"/>
      <c r="AB396" s="145">
        <v>8</v>
      </c>
      <c r="AC396" s="145"/>
      <c r="AD396" s="146" t="s">
        <v>679</v>
      </c>
      <c r="AE396" s="171">
        <v>1</v>
      </c>
      <c r="AF396" s="147">
        <f t="shared" si="159"/>
        <v>0</v>
      </c>
      <c r="AG396" s="147">
        <f t="shared" si="160"/>
        <v>0</v>
      </c>
      <c r="AH396" s="147">
        <f t="shared" si="161"/>
        <v>0</v>
      </c>
      <c r="AI396" s="147">
        <f t="shared" si="162"/>
        <v>0</v>
      </c>
      <c r="AJ396" s="148">
        <f t="shared" si="163"/>
        <v>0</v>
      </c>
      <c r="AK396" s="149">
        <f t="shared" si="146"/>
        <v>0</v>
      </c>
      <c r="AL396" s="149">
        <f t="shared" si="147"/>
        <v>0</v>
      </c>
      <c r="AM396" s="149">
        <f t="shared" si="148"/>
        <v>0</v>
      </c>
      <c r="AN396" s="149">
        <f t="shared" si="149"/>
        <v>0</v>
      </c>
      <c r="AO396" s="150">
        <f t="shared" si="164"/>
        <v>0</v>
      </c>
      <c r="AQ396" s="151">
        <f t="shared" si="165"/>
        <v>0</v>
      </c>
    </row>
    <row r="397" spans="1:43" ht="15" customHeight="1">
      <c r="A397" s="82" t="e">
        <f t="shared" si="150"/>
        <v>#REF!</v>
      </c>
      <c r="B397" s="134">
        <v>104</v>
      </c>
      <c r="C397" s="135" t="s">
        <v>260</v>
      </c>
      <c r="D397" s="136" t="s">
        <v>274</v>
      </c>
      <c r="E397" s="137" t="s">
        <v>530</v>
      </c>
      <c r="F397" s="138" t="s">
        <v>646</v>
      </c>
      <c r="G397" s="139" t="s">
        <v>666</v>
      </c>
      <c r="H397" s="140" t="str">
        <f t="shared" si="151"/>
        <v>Niet van toepassing</v>
      </c>
      <c r="I397" s="138" t="s">
        <v>35</v>
      </c>
      <c r="J397" s="138" t="s">
        <v>1172</v>
      </c>
      <c r="K397" s="141" t="str">
        <f t="shared" si="152"/>
        <v>NVT</v>
      </c>
      <c r="L397" s="141" t="str">
        <f t="shared" si="153"/>
        <v>NVT</v>
      </c>
      <c r="M397" s="141" t="str">
        <f t="shared" si="154"/>
        <v>NVT</v>
      </c>
      <c r="N397" s="141" t="str">
        <f t="shared" si="155"/>
        <v>NVT</v>
      </c>
      <c r="O397" s="141" t="str">
        <f t="shared" si="156"/>
        <v>NVT</v>
      </c>
      <c r="P397" s="141" t="str">
        <f t="shared" si="157"/>
        <v>NVT</v>
      </c>
      <c r="Q397" s="141" t="str">
        <f t="shared" si="158"/>
        <v>NVT</v>
      </c>
      <c r="R397" s="63" t="s">
        <v>1221</v>
      </c>
      <c r="S397" s="142">
        <f t="shared" si="166"/>
        <v>0</v>
      </c>
      <c r="T397" s="143">
        <f>(1.4*0.95)*1.3</f>
        <v>1.7289999999999999</v>
      </c>
      <c r="U397" s="144"/>
      <c r="V397" s="144">
        <v>11</v>
      </c>
      <c r="W397" s="144"/>
      <c r="X397" s="144"/>
      <c r="Y397" s="144"/>
      <c r="Z397" s="145"/>
      <c r="AA397" s="145"/>
      <c r="AB397" s="145"/>
      <c r="AC397" s="145">
        <v>1</v>
      </c>
      <c r="AD397" s="146" t="s">
        <v>679</v>
      </c>
      <c r="AE397" s="171">
        <v>1</v>
      </c>
      <c r="AF397" s="147">
        <f t="shared" si="159"/>
        <v>0</v>
      </c>
      <c r="AG397" s="147">
        <f t="shared" si="160"/>
        <v>0</v>
      </c>
      <c r="AH397" s="147">
        <f t="shared" si="161"/>
        <v>0</v>
      </c>
      <c r="AI397" s="147">
        <f t="shared" si="162"/>
        <v>0</v>
      </c>
      <c r="AJ397" s="148">
        <f t="shared" si="163"/>
        <v>0</v>
      </c>
      <c r="AK397" s="149">
        <f t="shared" si="146"/>
        <v>0</v>
      </c>
      <c r="AL397" s="149">
        <f t="shared" si="147"/>
        <v>0</v>
      </c>
      <c r="AM397" s="149">
        <f t="shared" si="148"/>
        <v>0</v>
      </c>
      <c r="AN397" s="149">
        <f t="shared" si="149"/>
        <v>0</v>
      </c>
      <c r="AO397" s="150">
        <f t="shared" si="164"/>
        <v>0</v>
      </c>
      <c r="AQ397" s="151">
        <f t="shared" si="165"/>
        <v>0</v>
      </c>
    </row>
    <row r="398" spans="1:43" ht="15" customHeight="1">
      <c r="A398" s="82" t="e">
        <f t="shared" si="150"/>
        <v>#REF!</v>
      </c>
      <c r="B398" s="134">
        <v>104</v>
      </c>
      <c r="C398" s="135" t="s">
        <v>260</v>
      </c>
      <c r="D398" s="136" t="s">
        <v>274</v>
      </c>
      <c r="E398" s="137" t="s">
        <v>530</v>
      </c>
      <c r="F398" s="138" t="s">
        <v>646</v>
      </c>
      <c r="G398" s="139" t="s">
        <v>667</v>
      </c>
      <c r="H398" s="140" t="str">
        <f t="shared" si="151"/>
        <v>Niet van toepassing</v>
      </c>
      <c r="I398" s="138" t="s">
        <v>35</v>
      </c>
      <c r="J398" s="138" t="s">
        <v>1172</v>
      </c>
      <c r="K398" s="141" t="str">
        <f t="shared" si="152"/>
        <v>NVT</v>
      </c>
      <c r="L398" s="141" t="str">
        <f t="shared" si="153"/>
        <v>NVT</v>
      </c>
      <c r="M398" s="141" t="str">
        <f t="shared" si="154"/>
        <v>NVT</v>
      </c>
      <c r="N398" s="141" t="str">
        <f t="shared" si="155"/>
        <v>NVT</v>
      </c>
      <c r="O398" s="141" t="str">
        <f t="shared" si="156"/>
        <v>NVT</v>
      </c>
      <c r="P398" s="141" t="str">
        <f t="shared" si="157"/>
        <v>NVT</v>
      </c>
      <c r="Q398" s="141" t="str">
        <f t="shared" si="158"/>
        <v>NVT</v>
      </c>
      <c r="R398" s="63" t="s">
        <v>1221</v>
      </c>
      <c r="S398" s="142">
        <f t="shared" si="166"/>
        <v>0</v>
      </c>
      <c r="T398" s="143">
        <f>(8.2*2.35-1.05*1.2-0.5*1.2*1.2)*1.3</f>
        <v>22.477</v>
      </c>
      <c r="U398" s="144"/>
      <c r="V398" s="144"/>
      <c r="W398" s="144">
        <v>72</v>
      </c>
      <c r="X398" s="144"/>
      <c r="Y398" s="144"/>
      <c r="Z398" s="145"/>
      <c r="AA398" s="145">
        <v>17</v>
      </c>
      <c r="AB398" s="145"/>
      <c r="AC398" s="145"/>
      <c r="AD398" s="146"/>
      <c r="AE398" s="171">
        <v>1</v>
      </c>
      <c r="AF398" s="147">
        <f t="shared" si="159"/>
        <v>0</v>
      </c>
      <c r="AG398" s="147">
        <f t="shared" si="160"/>
        <v>0</v>
      </c>
      <c r="AH398" s="147">
        <f t="shared" si="161"/>
        <v>0</v>
      </c>
      <c r="AI398" s="147">
        <f t="shared" si="162"/>
        <v>0</v>
      </c>
      <c r="AJ398" s="148">
        <f t="shared" si="163"/>
        <v>0</v>
      </c>
      <c r="AK398" s="149">
        <f t="shared" si="146"/>
        <v>0</v>
      </c>
      <c r="AL398" s="149">
        <f t="shared" si="147"/>
        <v>0</v>
      </c>
      <c r="AM398" s="149">
        <f t="shared" si="148"/>
        <v>0</v>
      </c>
      <c r="AN398" s="149">
        <f t="shared" si="149"/>
        <v>0</v>
      </c>
      <c r="AO398" s="150">
        <f t="shared" si="164"/>
        <v>0</v>
      </c>
      <c r="AQ398" s="151">
        <f t="shared" si="165"/>
        <v>0</v>
      </c>
    </row>
    <row r="399" spans="1:43" ht="15" customHeight="1">
      <c r="A399" s="82" t="e">
        <f t="shared" si="150"/>
        <v>#REF!</v>
      </c>
      <c r="B399" s="134">
        <v>104</v>
      </c>
      <c r="C399" s="135" t="s">
        <v>260</v>
      </c>
      <c r="D399" s="136" t="s">
        <v>274</v>
      </c>
      <c r="E399" s="137" t="s">
        <v>530</v>
      </c>
      <c r="F399" s="138" t="s">
        <v>646</v>
      </c>
      <c r="G399" s="139" t="s">
        <v>668</v>
      </c>
      <c r="H399" s="140" t="str">
        <f t="shared" si="151"/>
        <v>Niet van toepassing</v>
      </c>
      <c r="I399" s="138" t="s">
        <v>35</v>
      </c>
      <c r="J399" s="138" t="s">
        <v>1172</v>
      </c>
      <c r="K399" s="141" t="str">
        <f t="shared" si="152"/>
        <v>NVT</v>
      </c>
      <c r="L399" s="141" t="str">
        <f t="shared" si="153"/>
        <v>NVT</v>
      </c>
      <c r="M399" s="141" t="str">
        <f t="shared" si="154"/>
        <v>NVT</v>
      </c>
      <c r="N399" s="141" t="str">
        <f t="shared" si="155"/>
        <v>NVT</v>
      </c>
      <c r="O399" s="141" t="str">
        <f t="shared" si="156"/>
        <v>NVT</v>
      </c>
      <c r="P399" s="141" t="str">
        <f t="shared" si="157"/>
        <v>NVT</v>
      </c>
      <c r="Q399" s="141" t="str">
        <f t="shared" si="158"/>
        <v>NVT</v>
      </c>
      <c r="R399" s="63" t="s">
        <v>1221</v>
      </c>
      <c r="S399" s="142">
        <f t="shared" si="166"/>
        <v>0</v>
      </c>
      <c r="T399" s="143">
        <f>(6.55*4.35-1.05*1.05)*1.3</f>
        <v>35.606999999999999</v>
      </c>
      <c r="U399" s="144"/>
      <c r="V399" s="144"/>
      <c r="W399" s="144">
        <v>74</v>
      </c>
      <c r="X399" s="144"/>
      <c r="Y399" s="144"/>
      <c r="Z399" s="145"/>
      <c r="AA399" s="145">
        <v>27</v>
      </c>
      <c r="AB399" s="145"/>
      <c r="AC399" s="145"/>
      <c r="AD399" s="146"/>
      <c r="AE399" s="171">
        <v>1</v>
      </c>
      <c r="AF399" s="147">
        <f t="shared" si="159"/>
        <v>0</v>
      </c>
      <c r="AG399" s="147">
        <f t="shared" si="160"/>
        <v>0</v>
      </c>
      <c r="AH399" s="147">
        <f t="shared" si="161"/>
        <v>0</v>
      </c>
      <c r="AI399" s="147">
        <f t="shared" si="162"/>
        <v>0</v>
      </c>
      <c r="AJ399" s="148">
        <f t="shared" si="163"/>
        <v>0</v>
      </c>
      <c r="AK399" s="149">
        <f t="shared" si="146"/>
        <v>0</v>
      </c>
      <c r="AL399" s="149">
        <f t="shared" si="147"/>
        <v>0</v>
      </c>
      <c r="AM399" s="149">
        <f t="shared" si="148"/>
        <v>0</v>
      </c>
      <c r="AN399" s="149">
        <f t="shared" si="149"/>
        <v>0</v>
      </c>
      <c r="AO399" s="150">
        <f t="shared" si="164"/>
        <v>0</v>
      </c>
      <c r="AQ399" s="151">
        <f t="shared" si="165"/>
        <v>0</v>
      </c>
    </row>
    <row r="400" spans="1:43" ht="15" customHeight="1">
      <c r="A400" s="82" t="e">
        <f t="shared" si="150"/>
        <v>#REF!</v>
      </c>
      <c r="B400" s="134">
        <v>104</v>
      </c>
      <c r="C400" s="135" t="s">
        <v>260</v>
      </c>
      <c r="D400" s="136" t="s">
        <v>274</v>
      </c>
      <c r="E400" s="137" t="s">
        <v>530</v>
      </c>
      <c r="F400" s="138" t="s">
        <v>646</v>
      </c>
      <c r="G400" s="139" t="s">
        <v>669</v>
      </c>
      <c r="H400" s="140" t="str">
        <f t="shared" si="151"/>
        <v>Niet van toepassing</v>
      </c>
      <c r="I400" s="138" t="s">
        <v>35</v>
      </c>
      <c r="J400" s="138" t="s">
        <v>1172</v>
      </c>
      <c r="K400" s="141" t="str">
        <f t="shared" si="152"/>
        <v>NVT</v>
      </c>
      <c r="L400" s="141" t="str">
        <f t="shared" si="153"/>
        <v>NVT</v>
      </c>
      <c r="M400" s="141" t="str">
        <f t="shared" si="154"/>
        <v>NVT</v>
      </c>
      <c r="N400" s="141" t="str">
        <f t="shared" si="155"/>
        <v>NVT</v>
      </c>
      <c r="O400" s="141" t="str">
        <f t="shared" si="156"/>
        <v>NVT</v>
      </c>
      <c r="P400" s="141" t="str">
        <f t="shared" si="157"/>
        <v>NVT</v>
      </c>
      <c r="Q400" s="141" t="str">
        <f t="shared" si="158"/>
        <v>NVT</v>
      </c>
      <c r="R400" s="63" t="s">
        <v>1221</v>
      </c>
      <c r="S400" s="142">
        <f t="shared" si="166"/>
        <v>0</v>
      </c>
      <c r="T400" s="143">
        <f>(2.6*4.35-2*0.22*0.22)*1.3</f>
        <v>14.577159999999999</v>
      </c>
      <c r="U400" s="144"/>
      <c r="V400" s="144"/>
      <c r="W400" s="144">
        <v>41</v>
      </c>
      <c r="X400" s="144"/>
      <c r="Y400" s="144"/>
      <c r="Z400" s="145"/>
      <c r="AA400" s="145"/>
      <c r="AB400" s="145">
        <v>11</v>
      </c>
      <c r="AC400" s="145"/>
      <c r="AD400" s="146" t="s">
        <v>679</v>
      </c>
      <c r="AE400" s="171">
        <v>1</v>
      </c>
      <c r="AF400" s="147">
        <f t="shared" si="159"/>
        <v>0</v>
      </c>
      <c r="AG400" s="147">
        <f t="shared" si="160"/>
        <v>0</v>
      </c>
      <c r="AH400" s="147">
        <f t="shared" si="161"/>
        <v>0</v>
      </c>
      <c r="AI400" s="147">
        <f t="shared" si="162"/>
        <v>0</v>
      </c>
      <c r="AJ400" s="148">
        <f t="shared" si="163"/>
        <v>0</v>
      </c>
      <c r="AK400" s="149">
        <f t="shared" si="146"/>
        <v>0</v>
      </c>
      <c r="AL400" s="149">
        <f t="shared" si="147"/>
        <v>0</v>
      </c>
      <c r="AM400" s="149">
        <f t="shared" si="148"/>
        <v>0</v>
      </c>
      <c r="AN400" s="149">
        <f t="shared" si="149"/>
        <v>0</v>
      </c>
      <c r="AO400" s="150">
        <f t="shared" si="164"/>
        <v>0</v>
      </c>
      <c r="AQ400" s="151">
        <f t="shared" si="165"/>
        <v>0</v>
      </c>
    </row>
    <row r="401" spans="1:43" ht="15" customHeight="1">
      <c r="A401" s="82" t="e">
        <f t="shared" si="150"/>
        <v>#REF!</v>
      </c>
      <c r="B401" s="134">
        <v>104</v>
      </c>
      <c r="C401" s="135" t="s">
        <v>260</v>
      </c>
      <c r="D401" s="136" t="s">
        <v>274</v>
      </c>
      <c r="E401" s="137" t="s">
        <v>530</v>
      </c>
      <c r="F401" s="138" t="s">
        <v>646</v>
      </c>
      <c r="G401" s="139" t="s">
        <v>671</v>
      </c>
      <c r="H401" s="140" t="str">
        <f t="shared" si="151"/>
        <v>Niet van toepassing</v>
      </c>
      <c r="I401" s="138" t="s">
        <v>677</v>
      </c>
      <c r="J401" s="138" t="s">
        <v>1172</v>
      </c>
      <c r="K401" s="141" t="str">
        <f t="shared" si="152"/>
        <v>NVT</v>
      </c>
      <c r="L401" s="141" t="str">
        <f t="shared" si="153"/>
        <v>NVT</v>
      </c>
      <c r="M401" s="141" t="str">
        <f t="shared" si="154"/>
        <v>NVT</v>
      </c>
      <c r="N401" s="141" t="str">
        <f t="shared" si="155"/>
        <v>NVT</v>
      </c>
      <c r="O401" s="141" t="str">
        <f t="shared" si="156"/>
        <v>NVT</v>
      </c>
      <c r="P401" s="141" t="str">
        <f t="shared" si="157"/>
        <v>NVT</v>
      </c>
      <c r="Q401" s="141" t="str">
        <f t="shared" si="158"/>
        <v>NVT</v>
      </c>
      <c r="R401" s="63" t="s">
        <v>1221</v>
      </c>
      <c r="S401" s="142">
        <f t="shared" si="166"/>
        <v>0</v>
      </c>
      <c r="T401" s="143">
        <f>(0.9*7.2+1.6*1.6-0.45*0.25)*1.3</f>
        <v>11.60575</v>
      </c>
      <c r="U401" s="144"/>
      <c r="V401" s="144"/>
      <c r="W401" s="144">
        <v>56</v>
      </c>
      <c r="X401" s="144"/>
      <c r="Y401" s="144"/>
      <c r="Z401" s="145"/>
      <c r="AA401" s="145">
        <v>9</v>
      </c>
      <c r="AB401" s="145"/>
      <c r="AC401" s="145"/>
      <c r="AD401" s="146"/>
      <c r="AE401" s="171">
        <v>1</v>
      </c>
      <c r="AF401" s="147">
        <f t="shared" si="159"/>
        <v>0</v>
      </c>
      <c r="AG401" s="147">
        <f t="shared" si="160"/>
        <v>0</v>
      </c>
      <c r="AH401" s="147">
        <f t="shared" si="161"/>
        <v>0</v>
      </c>
      <c r="AI401" s="147">
        <f t="shared" si="162"/>
        <v>0</v>
      </c>
      <c r="AJ401" s="148">
        <f t="shared" si="163"/>
        <v>0</v>
      </c>
      <c r="AK401" s="149">
        <f t="shared" si="146"/>
        <v>0</v>
      </c>
      <c r="AL401" s="149">
        <f t="shared" si="147"/>
        <v>0</v>
      </c>
      <c r="AM401" s="149">
        <f t="shared" si="148"/>
        <v>0</v>
      </c>
      <c r="AN401" s="149">
        <f t="shared" si="149"/>
        <v>0</v>
      </c>
      <c r="AO401" s="150">
        <f t="shared" si="164"/>
        <v>0</v>
      </c>
      <c r="AQ401" s="151">
        <f t="shared" si="165"/>
        <v>0</v>
      </c>
    </row>
    <row r="402" spans="1:43" ht="15" customHeight="1">
      <c r="A402" s="82" t="e">
        <f t="shared" si="150"/>
        <v>#REF!</v>
      </c>
      <c r="B402" s="134">
        <v>104</v>
      </c>
      <c r="C402" s="135" t="s">
        <v>260</v>
      </c>
      <c r="D402" s="136" t="s">
        <v>274</v>
      </c>
      <c r="E402" s="137" t="s">
        <v>530</v>
      </c>
      <c r="F402" s="138" t="s">
        <v>646</v>
      </c>
      <c r="G402" s="139" t="s">
        <v>672</v>
      </c>
      <c r="H402" s="140" t="str">
        <f t="shared" si="151"/>
        <v>Niet van toepassing</v>
      </c>
      <c r="I402" s="138" t="s">
        <v>35</v>
      </c>
      <c r="J402" s="138" t="s">
        <v>1172</v>
      </c>
      <c r="K402" s="141" t="str">
        <f t="shared" si="152"/>
        <v>NVT</v>
      </c>
      <c r="L402" s="141" t="str">
        <f t="shared" si="153"/>
        <v>NVT</v>
      </c>
      <c r="M402" s="141" t="str">
        <f t="shared" si="154"/>
        <v>NVT</v>
      </c>
      <c r="N402" s="141" t="str">
        <f t="shared" si="155"/>
        <v>NVT</v>
      </c>
      <c r="O402" s="141" t="str">
        <f t="shared" si="156"/>
        <v>NVT</v>
      </c>
      <c r="P402" s="141" t="str">
        <f t="shared" si="157"/>
        <v>NVT</v>
      </c>
      <c r="Q402" s="141" t="str">
        <f t="shared" si="158"/>
        <v>NVT</v>
      </c>
      <c r="R402" s="63" t="s">
        <v>1221</v>
      </c>
      <c r="S402" s="142">
        <f t="shared" si="166"/>
        <v>0</v>
      </c>
      <c r="T402" s="143">
        <v>126.10000000000001</v>
      </c>
      <c r="U402" s="144"/>
      <c r="V402" s="144">
        <v>113</v>
      </c>
      <c r="W402" s="144">
        <v>130</v>
      </c>
      <c r="X402" s="144"/>
      <c r="Y402" s="144"/>
      <c r="Z402" s="145"/>
      <c r="AA402" s="145"/>
      <c r="AB402" s="145">
        <v>97</v>
      </c>
      <c r="AC402" s="145"/>
      <c r="AD402" s="146" t="s">
        <v>679</v>
      </c>
      <c r="AE402" s="171">
        <v>1</v>
      </c>
      <c r="AF402" s="147">
        <f t="shared" si="159"/>
        <v>0</v>
      </c>
      <c r="AG402" s="147">
        <f t="shared" si="160"/>
        <v>0</v>
      </c>
      <c r="AH402" s="147">
        <f t="shared" si="161"/>
        <v>0</v>
      </c>
      <c r="AI402" s="147">
        <f t="shared" si="162"/>
        <v>0</v>
      </c>
      <c r="AJ402" s="148">
        <f t="shared" si="163"/>
        <v>0</v>
      </c>
      <c r="AK402" s="149">
        <f t="shared" si="146"/>
        <v>0</v>
      </c>
      <c r="AL402" s="149">
        <f t="shared" si="147"/>
        <v>0</v>
      </c>
      <c r="AM402" s="149">
        <f t="shared" si="148"/>
        <v>0</v>
      </c>
      <c r="AN402" s="149">
        <f t="shared" si="149"/>
        <v>0</v>
      </c>
      <c r="AO402" s="150">
        <f t="shared" si="164"/>
        <v>0</v>
      </c>
      <c r="AQ402" s="151">
        <f t="shared" si="165"/>
        <v>0</v>
      </c>
    </row>
    <row r="403" spans="1:43" ht="15" customHeight="1">
      <c r="A403" s="82" t="e">
        <f t="shared" si="150"/>
        <v>#REF!</v>
      </c>
      <c r="B403" s="134">
        <v>104</v>
      </c>
      <c r="C403" s="135" t="s">
        <v>260</v>
      </c>
      <c r="D403" s="136" t="s">
        <v>274</v>
      </c>
      <c r="E403" s="137" t="s">
        <v>530</v>
      </c>
      <c r="F403" s="138" t="s">
        <v>646</v>
      </c>
      <c r="G403" s="139" t="s">
        <v>673</v>
      </c>
      <c r="H403" s="140" t="str">
        <f t="shared" si="151"/>
        <v>Niet van toepassing</v>
      </c>
      <c r="I403" s="138" t="s">
        <v>35</v>
      </c>
      <c r="J403" s="138" t="s">
        <v>1172</v>
      </c>
      <c r="K403" s="141" t="str">
        <f t="shared" si="152"/>
        <v>NVT</v>
      </c>
      <c r="L403" s="141" t="str">
        <f t="shared" si="153"/>
        <v>NVT</v>
      </c>
      <c r="M403" s="141" t="str">
        <f t="shared" si="154"/>
        <v>NVT</v>
      </c>
      <c r="N403" s="141" t="str">
        <f t="shared" si="155"/>
        <v>NVT</v>
      </c>
      <c r="O403" s="141" t="str">
        <f t="shared" si="156"/>
        <v>NVT</v>
      </c>
      <c r="P403" s="141" t="str">
        <f t="shared" si="157"/>
        <v>NVT</v>
      </c>
      <c r="Q403" s="141" t="str">
        <f t="shared" si="158"/>
        <v>NVT</v>
      </c>
      <c r="R403" s="63" t="s">
        <v>1221</v>
      </c>
      <c r="S403" s="142">
        <f t="shared" si="166"/>
        <v>0</v>
      </c>
      <c r="T403" s="143">
        <f>(1.55*3.7)*1.3</f>
        <v>7.4555000000000007</v>
      </c>
      <c r="U403" s="144"/>
      <c r="V403" s="144">
        <v>30</v>
      </c>
      <c r="W403" s="144"/>
      <c r="X403" s="144"/>
      <c r="Y403" s="144"/>
      <c r="Z403" s="145"/>
      <c r="AA403" s="145"/>
      <c r="AB403" s="145">
        <v>6</v>
      </c>
      <c r="AC403" s="145"/>
      <c r="AD403" s="146"/>
      <c r="AE403" s="171">
        <v>1</v>
      </c>
      <c r="AF403" s="147">
        <f t="shared" si="159"/>
        <v>0</v>
      </c>
      <c r="AG403" s="147">
        <f t="shared" si="160"/>
        <v>0</v>
      </c>
      <c r="AH403" s="147">
        <f t="shared" si="161"/>
        <v>0</v>
      </c>
      <c r="AI403" s="147">
        <f t="shared" si="162"/>
        <v>0</v>
      </c>
      <c r="AJ403" s="148">
        <f t="shared" si="163"/>
        <v>0</v>
      </c>
      <c r="AK403" s="149">
        <f t="shared" si="146"/>
        <v>0</v>
      </c>
      <c r="AL403" s="149">
        <f t="shared" si="147"/>
        <v>0</v>
      </c>
      <c r="AM403" s="149">
        <f t="shared" si="148"/>
        <v>0</v>
      </c>
      <c r="AN403" s="149">
        <f t="shared" si="149"/>
        <v>0</v>
      </c>
      <c r="AO403" s="150">
        <f t="shared" si="164"/>
        <v>0</v>
      </c>
      <c r="AQ403" s="151">
        <f t="shared" si="165"/>
        <v>0</v>
      </c>
    </row>
    <row r="404" spans="1:43" ht="15" customHeight="1">
      <c r="A404" s="82" t="e">
        <f t="shared" si="150"/>
        <v>#REF!</v>
      </c>
      <c r="B404" s="134">
        <v>104</v>
      </c>
      <c r="C404" s="135" t="s">
        <v>260</v>
      </c>
      <c r="D404" s="136" t="s">
        <v>274</v>
      </c>
      <c r="E404" s="137" t="s">
        <v>530</v>
      </c>
      <c r="F404" s="138" t="s">
        <v>646</v>
      </c>
      <c r="G404" s="139" t="s">
        <v>264</v>
      </c>
      <c r="H404" s="140" t="str">
        <f t="shared" si="151"/>
        <v>Niet van toepassing</v>
      </c>
      <c r="I404" s="138" t="s">
        <v>35</v>
      </c>
      <c r="J404" s="138" t="s">
        <v>1172</v>
      </c>
      <c r="K404" s="141" t="str">
        <f t="shared" si="152"/>
        <v>NVT</v>
      </c>
      <c r="L404" s="141" t="str">
        <f t="shared" si="153"/>
        <v>NVT</v>
      </c>
      <c r="M404" s="141" t="str">
        <f t="shared" si="154"/>
        <v>NVT</v>
      </c>
      <c r="N404" s="141" t="str">
        <f t="shared" si="155"/>
        <v>NVT</v>
      </c>
      <c r="O404" s="141" t="str">
        <f t="shared" si="156"/>
        <v>NVT</v>
      </c>
      <c r="P404" s="141" t="str">
        <f t="shared" si="157"/>
        <v>NVT</v>
      </c>
      <c r="Q404" s="141" t="str">
        <f t="shared" si="158"/>
        <v>NVT</v>
      </c>
      <c r="R404" s="63" t="s">
        <v>1221</v>
      </c>
      <c r="S404" s="142">
        <f t="shared" si="166"/>
        <v>0</v>
      </c>
      <c r="T404" s="143">
        <f>(1.75*1.1)*1.3</f>
        <v>2.5025000000000004</v>
      </c>
      <c r="U404" s="144"/>
      <c r="V404" s="144"/>
      <c r="W404" s="144">
        <v>15</v>
      </c>
      <c r="X404" s="144"/>
      <c r="Y404" s="144"/>
      <c r="Z404" s="145"/>
      <c r="AA404" s="145"/>
      <c r="AB404" s="145"/>
      <c r="AC404" s="145"/>
      <c r="AD404" s="146"/>
      <c r="AE404" s="171">
        <v>1</v>
      </c>
      <c r="AF404" s="147">
        <f t="shared" si="159"/>
        <v>0</v>
      </c>
      <c r="AG404" s="147">
        <f t="shared" si="160"/>
        <v>0</v>
      </c>
      <c r="AH404" s="147">
        <f t="shared" si="161"/>
        <v>0</v>
      </c>
      <c r="AI404" s="147">
        <f t="shared" si="162"/>
        <v>0</v>
      </c>
      <c r="AJ404" s="148">
        <f t="shared" si="163"/>
        <v>0</v>
      </c>
      <c r="AK404" s="149">
        <f t="shared" si="146"/>
        <v>0</v>
      </c>
      <c r="AL404" s="149">
        <f t="shared" si="147"/>
        <v>0</v>
      </c>
      <c r="AM404" s="149">
        <f t="shared" si="148"/>
        <v>0</v>
      </c>
      <c r="AN404" s="149">
        <f t="shared" si="149"/>
        <v>0</v>
      </c>
      <c r="AO404" s="150">
        <f t="shared" si="164"/>
        <v>0</v>
      </c>
      <c r="AQ404" s="151">
        <f t="shared" si="165"/>
        <v>0</v>
      </c>
    </row>
    <row r="405" spans="1:43" ht="15" customHeight="1">
      <c r="A405" s="82" t="e">
        <f t="shared" si="150"/>
        <v>#REF!</v>
      </c>
      <c r="B405" s="134">
        <v>104</v>
      </c>
      <c r="C405" s="135" t="s">
        <v>260</v>
      </c>
      <c r="D405" s="136" t="s">
        <v>274</v>
      </c>
      <c r="E405" s="137" t="s">
        <v>530</v>
      </c>
      <c r="F405" s="138" t="s">
        <v>646</v>
      </c>
      <c r="G405" s="139" t="s">
        <v>264</v>
      </c>
      <c r="H405" s="140" t="str">
        <f t="shared" si="151"/>
        <v>Niet van toepassing</v>
      </c>
      <c r="I405" s="138" t="s">
        <v>35</v>
      </c>
      <c r="J405" s="138" t="s">
        <v>1172</v>
      </c>
      <c r="K405" s="141" t="str">
        <f t="shared" si="152"/>
        <v>NVT</v>
      </c>
      <c r="L405" s="141" t="str">
        <f t="shared" si="153"/>
        <v>NVT</v>
      </c>
      <c r="M405" s="141" t="str">
        <f t="shared" si="154"/>
        <v>NVT</v>
      </c>
      <c r="N405" s="141" t="str">
        <f t="shared" si="155"/>
        <v>NVT</v>
      </c>
      <c r="O405" s="141" t="str">
        <f t="shared" si="156"/>
        <v>NVT</v>
      </c>
      <c r="P405" s="141" t="str">
        <f t="shared" si="157"/>
        <v>NVT</v>
      </c>
      <c r="Q405" s="141" t="str">
        <f t="shared" si="158"/>
        <v>NVT</v>
      </c>
      <c r="R405" s="63" t="s">
        <v>1221</v>
      </c>
      <c r="S405" s="142">
        <f t="shared" si="166"/>
        <v>0</v>
      </c>
      <c r="T405" s="143">
        <f>(1*0.5)*1.3</f>
        <v>0.65</v>
      </c>
      <c r="U405" s="144"/>
      <c r="V405" s="144"/>
      <c r="W405" s="144">
        <v>7</v>
      </c>
      <c r="X405" s="144"/>
      <c r="Y405" s="144"/>
      <c r="Z405" s="145"/>
      <c r="AA405" s="145"/>
      <c r="AB405" s="145"/>
      <c r="AC405" s="145">
        <v>1</v>
      </c>
      <c r="AD405" s="146" t="s">
        <v>689</v>
      </c>
      <c r="AE405" s="171">
        <v>1</v>
      </c>
      <c r="AF405" s="147">
        <f t="shared" si="159"/>
        <v>0</v>
      </c>
      <c r="AG405" s="147">
        <f t="shared" si="160"/>
        <v>0</v>
      </c>
      <c r="AH405" s="147">
        <f t="shared" si="161"/>
        <v>0</v>
      </c>
      <c r="AI405" s="147">
        <f t="shared" si="162"/>
        <v>0</v>
      </c>
      <c r="AJ405" s="148">
        <f t="shared" si="163"/>
        <v>0</v>
      </c>
      <c r="AK405" s="149">
        <f t="shared" si="146"/>
        <v>0</v>
      </c>
      <c r="AL405" s="149">
        <f t="shared" si="147"/>
        <v>0</v>
      </c>
      <c r="AM405" s="149">
        <f t="shared" si="148"/>
        <v>0</v>
      </c>
      <c r="AN405" s="149">
        <f t="shared" si="149"/>
        <v>0</v>
      </c>
      <c r="AO405" s="150">
        <f t="shared" si="164"/>
        <v>0</v>
      </c>
      <c r="AQ405" s="151">
        <f t="shared" si="165"/>
        <v>0</v>
      </c>
    </row>
    <row r="406" spans="1:43" ht="15" customHeight="1">
      <c r="A406" s="82" t="e">
        <f t="shared" si="150"/>
        <v>#REF!</v>
      </c>
      <c r="B406" s="134">
        <v>104</v>
      </c>
      <c r="C406" s="135" t="s">
        <v>260</v>
      </c>
      <c r="D406" s="136" t="s">
        <v>274</v>
      </c>
      <c r="E406" s="137" t="s">
        <v>530</v>
      </c>
      <c r="F406" s="138" t="s">
        <v>674</v>
      </c>
      <c r="G406" s="139" t="s">
        <v>264</v>
      </c>
      <c r="H406" s="140" t="str">
        <f t="shared" si="151"/>
        <v>Niet van toepassing</v>
      </c>
      <c r="I406" s="138" t="s">
        <v>35</v>
      </c>
      <c r="J406" s="138" t="s">
        <v>1172</v>
      </c>
      <c r="K406" s="141" t="str">
        <f t="shared" si="152"/>
        <v>NVT</v>
      </c>
      <c r="L406" s="141" t="str">
        <f t="shared" si="153"/>
        <v>NVT</v>
      </c>
      <c r="M406" s="141" t="str">
        <f t="shared" si="154"/>
        <v>NVT</v>
      </c>
      <c r="N406" s="141" t="str">
        <f t="shared" si="155"/>
        <v>NVT</v>
      </c>
      <c r="O406" s="141" t="str">
        <f t="shared" si="156"/>
        <v>NVT</v>
      </c>
      <c r="P406" s="141" t="str">
        <f t="shared" si="157"/>
        <v>NVT</v>
      </c>
      <c r="Q406" s="141" t="str">
        <f t="shared" si="158"/>
        <v>NVT</v>
      </c>
      <c r="R406" s="63" t="s">
        <v>1221</v>
      </c>
      <c r="S406" s="142">
        <f t="shared" si="166"/>
        <v>0</v>
      </c>
      <c r="T406" s="143">
        <f>(1.85*1.1)*1.3</f>
        <v>2.6455000000000002</v>
      </c>
      <c r="U406" s="144"/>
      <c r="V406" s="144"/>
      <c r="W406" s="144">
        <v>15</v>
      </c>
      <c r="X406" s="144"/>
      <c r="Y406" s="144"/>
      <c r="Z406" s="145"/>
      <c r="AA406" s="145"/>
      <c r="AB406" s="145"/>
      <c r="AC406" s="145">
        <v>2</v>
      </c>
      <c r="AD406" s="146" t="s">
        <v>690</v>
      </c>
      <c r="AE406" s="171">
        <v>1</v>
      </c>
      <c r="AF406" s="147">
        <f t="shared" si="159"/>
        <v>0</v>
      </c>
      <c r="AG406" s="147">
        <f t="shared" si="160"/>
        <v>0</v>
      </c>
      <c r="AH406" s="147">
        <f t="shared" si="161"/>
        <v>0</v>
      </c>
      <c r="AI406" s="147">
        <f t="shared" si="162"/>
        <v>0</v>
      </c>
      <c r="AJ406" s="148">
        <f t="shared" si="163"/>
        <v>0</v>
      </c>
      <c r="AK406" s="149">
        <f t="shared" si="146"/>
        <v>0</v>
      </c>
      <c r="AL406" s="149">
        <f t="shared" si="147"/>
        <v>0</v>
      </c>
      <c r="AM406" s="149">
        <f t="shared" si="148"/>
        <v>0</v>
      </c>
      <c r="AN406" s="149">
        <f t="shared" si="149"/>
        <v>0</v>
      </c>
      <c r="AO406" s="150">
        <f t="shared" si="164"/>
        <v>0</v>
      </c>
      <c r="AQ406" s="151">
        <f t="shared" si="165"/>
        <v>0</v>
      </c>
    </row>
    <row r="407" spans="1:43" ht="15" customHeight="1">
      <c r="A407" s="82" t="e">
        <f t="shared" si="150"/>
        <v>#REF!</v>
      </c>
      <c r="B407" s="134">
        <v>104</v>
      </c>
      <c r="C407" s="135" t="s">
        <v>260</v>
      </c>
      <c r="D407" s="136" t="s">
        <v>274</v>
      </c>
      <c r="E407" s="137" t="s">
        <v>530</v>
      </c>
      <c r="F407" s="138" t="s">
        <v>675</v>
      </c>
      <c r="G407" s="139" t="s">
        <v>264</v>
      </c>
      <c r="H407" s="140" t="str">
        <f t="shared" si="151"/>
        <v>Niet van toepassing</v>
      </c>
      <c r="I407" s="138" t="s">
        <v>35</v>
      </c>
      <c r="J407" s="138" t="s">
        <v>1172</v>
      </c>
      <c r="K407" s="141" t="str">
        <f t="shared" si="152"/>
        <v>NVT</v>
      </c>
      <c r="L407" s="141" t="str">
        <f t="shared" si="153"/>
        <v>NVT</v>
      </c>
      <c r="M407" s="141" t="str">
        <f t="shared" si="154"/>
        <v>NVT</v>
      </c>
      <c r="N407" s="141" t="str">
        <f t="shared" si="155"/>
        <v>NVT</v>
      </c>
      <c r="O407" s="141" t="str">
        <f t="shared" si="156"/>
        <v>NVT</v>
      </c>
      <c r="P407" s="141" t="str">
        <f t="shared" si="157"/>
        <v>NVT</v>
      </c>
      <c r="Q407" s="141" t="str">
        <f t="shared" si="158"/>
        <v>NVT</v>
      </c>
      <c r="R407" s="63" t="s">
        <v>1221</v>
      </c>
      <c r="S407" s="142">
        <f t="shared" si="166"/>
        <v>0</v>
      </c>
      <c r="T407" s="143">
        <f>(7.3*1.85)*1.3</f>
        <v>17.556500000000003</v>
      </c>
      <c r="U407" s="144"/>
      <c r="V407" s="144"/>
      <c r="W407" s="144">
        <v>62</v>
      </c>
      <c r="X407" s="144"/>
      <c r="Y407" s="144"/>
      <c r="Z407" s="145"/>
      <c r="AA407" s="145">
        <v>14</v>
      </c>
      <c r="AB407" s="145"/>
      <c r="AC407" s="145"/>
      <c r="AD407" s="146"/>
      <c r="AE407" s="171">
        <v>1</v>
      </c>
      <c r="AF407" s="147">
        <f t="shared" si="159"/>
        <v>0</v>
      </c>
      <c r="AG407" s="147">
        <f t="shared" si="160"/>
        <v>0</v>
      </c>
      <c r="AH407" s="147">
        <f t="shared" si="161"/>
        <v>0</v>
      </c>
      <c r="AI407" s="147">
        <f t="shared" si="162"/>
        <v>0</v>
      </c>
      <c r="AJ407" s="148">
        <f t="shared" si="163"/>
        <v>0</v>
      </c>
      <c r="AK407" s="149">
        <f t="shared" si="146"/>
        <v>0</v>
      </c>
      <c r="AL407" s="149">
        <f t="shared" si="147"/>
        <v>0</v>
      </c>
      <c r="AM407" s="149">
        <f t="shared" si="148"/>
        <v>0</v>
      </c>
      <c r="AN407" s="149">
        <f t="shared" si="149"/>
        <v>0</v>
      </c>
      <c r="AO407" s="150">
        <f t="shared" si="164"/>
        <v>0</v>
      </c>
      <c r="AQ407" s="151">
        <f t="shared" si="165"/>
        <v>0</v>
      </c>
    </row>
    <row r="408" spans="1:43" ht="15" customHeight="1">
      <c r="A408" s="82" t="e">
        <f t="shared" si="150"/>
        <v>#REF!</v>
      </c>
      <c r="B408" s="134">
        <v>104</v>
      </c>
      <c r="C408" s="135" t="s">
        <v>260</v>
      </c>
      <c r="D408" s="136" t="s">
        <v>274</v>
      </c>
      <c r="E408" s="137" t="s">
        <v>101</v>
      </c>
      <c r="F408" s="138" t="s">
        <v>546</v>
      </c>
      <c r="G408" s="139" t="s">
        <v>691</v>
      </c>
      <c r="H408" s="140" t="str">
        <f t="shared" si="151"/>
        <v>Roltrappen(inclusief aangrenzende bouwdelen)</v>
      </c>
      <c r="I408" s="138" t="s">
        <v>264</v>
      </c>
      <c r="J408" s="138" t="s">
        <v>1171</v>
      </c>
      <c r="K408" s="141" t="str">
        <f t="shared" si="152"/>
        <v>Omde dag Vol/Nal.</v>
      </c>
      <c r="L408" s="141" t="str">
        <f t="shared" si="153"/>
        <v>Omde dag Nal./Vol</v>
      </c>
      <c r="M408" s="141" t="str">
        <f t="shared" si="154"/>
        <v>Omde dag Vol/Nal.</v>
      </c>
      <c r="N408" s="141" t="str">
        <f t="shared" si="155"/>
        <v>Omde dag Nal./Vol</v>
      </c>
      <c r="O408" s="141" t="str">
        <f t="shared" si="156"/>
        <v>Omde dag Vol/Nal.</v>
      </c>
      <c r="P408" s="141" t="str">
        <f t="shared" si="157"/>
        <v>Omde dag Nal./Vol</v>
      </c>
      <c r="Q408" s="141" t="str">
        <f t="shared" si="158"/>
        <v>Omde dag Vol/Nal.</v>
      </c>
      <c r="R408" s="63" t="s">
        <v>1481</v>
      </c>
      <c r="S408" s="142">
        <f t="shared" si="166"/>
        <v>365</v>
      </c>
      <c r="T408" s="143">
        <v>0</v>
      </c>
      <c r="U408" s="144"/>
      <c r="V408" s="144"/>
      <c r="W408" s="144"/>
      <c r="X408" s="144"/>
      <c r="Y408" s="144"/>
      <c r="Z408" s="145"/>
      <c r="AA408" s="145"/>
      <c r="AB408" s="145"/>
      <c r="AC408" s="145"/>
      <c r="AD408" s="146" t="s">
        <v>1235</v>
      </c>
      <c r="AE408" s="171">
        <v>1</v>
      </c>
      <c r="AF408" s="147">
        <f t="shared" si="159"/>
        <v>0</v>
      </c>
      <c r="AG408" s="147">
        <f t="shared" si="160"/>
        <v>0</v>
      </c>
      <c r="AH408" s="147">
        <f t="shared" si="161"/>
        <v>0</v>
      </c>
      <c r="AI408" s="147">
        <f t="shared" si="162"/>
        <v>0</v>
      </c>
      <c r="AJ408" s="148" t="str">
        <f t="shared" si="163"/>
        <v>ja</v>
      </c>
      <c r="AK408" s="149">
        <f t="shared" si="146"/>
        <v>0</v>
      </c>
      <c r="AL408" s="149">
        <f t="shared" si="147"/>
        <v>0</v>
      </c>
      <c r="AM408" s="149">
        <f t="shared" si="148"/>
        <v>0</v>
      </c>
      <c r="AN408" s="149">
        <f t="shared" si="149"/>
        <v>0</v>
      </c>
      <c r="AO408" s="150" t="str">
        <f t="shared" si="164"/>
        <v>V</v>
      </c>
      <c r="AQ408" s="151">
        <f t="shared" si="165"/>
        <v>0</v>
      </c>
    </row>
    <row r="409" spans="1:43" ht="15" customHeight="1">
      <c r="A409" s="82" t="e">
        <f t="shared" si="150"/>
        <v>#REF!</v>
      </c>
      <c r="B409" s="134">
        <v>104</v>
      </c>
      <c r="C409" s="135" t="s">
        <v>260</v>
      </c>
      <c r="D409" s="136" t="s">
        <v>274</v>
      </c>
      <c r="E409" s="137" t="s">
        <v>101</v>
      </c>
      <c r="F409" s="138" t="s">
        <v>548</v>
      </c>
      <c r="G409" s="139" t="s">
        <v>692</v>
      </c>
      <c r="H409" s="140" t="str">
        <f t="shared" si="151"/>
        <v>Trappen</v>
      </c>
      <c r="I409" s="138" t="s">
        <v>1250</v>
      </c>
      <c r="J409" s="138" t="s">
        <v>1171</v>
      </c>
      <c r="K409" s="141" t="str">
        <f t="shared" si="152"/>
        <v>Omde dag Vol/Nal.</v>
      </c>
      <c r="L409" s="141" t="str">
        <f t="shared" si="153"/>
        <v>Omde dag Nal./Vol</v>
      </c>
      <c r="M409" s="141" t="str">
        <f t="shared" si="154"/>
        <v>Omde dag Vol/Nal.</v>
      </c>
      <c r="N409" s="141" t="str">
        <f t="shared" si="155"/>
        <v>Omde dag Nal./Vol</v>
      </c>
      <c r="O409" s="141" t="str">
        <f t="shared" si="156"/>
        <v>Omde dag Vol/Nal.</v>
      </c>
      <c r="P409" s="141" t="str">
        <f t="shared" si="157"/>
        <v>Omde dag Nal./Vol</v>
      </c>
      <c r="Q409" s="141" t="str">
        <f t="shared" si="158"/>
        <v>Omde dag Vol/Nal.</v>
      </c>
      <c r="R409" s="63" t="s">
        <v>1477</v>
      </c>
      <c r="S409" s="142">
        <f t="shared" si="166"/>
        <v>365</v>
      </c>
      <c r="T409" s="143">
        <v>0</v>
      </c>
      <c r="U409" s="144"/>
      <c r="V409" s="144"/>
      <c r="W409" s="144"/>
      <c r="X409" s="144"/>
      <c r="Y409" s="144"/>
      <c r="Z409" s="145"/>
      <c r="AA409" s="145"/>
      <c r="AB409" s="145"/>
      <c r="AC409" s="145"/>
      <c r="AD409" s="146" t="s">
        <v>748</v>
      </c>
      <c r="AE409" s="171">
        <v>1</v>
      </c>
      <c r="AF409" s="147">
        <f t="shared" si="159"/>
        <v>0</v>
      </c>
      <c r="AG409" s="147">
        <f t="shared" si="160"/>
        <v>0</v>
      </c>
      <c r="AH409" s="147">
        <f t="shared" si="161"/>
        <v>0</v>
      </c>
      <c r="AI409" s="147">
        <f t="shared" si="162"/>
        <v>0</v>
      </c>
      <c r="AJ409" s="148" t="str">
        <f t="shared" si="163"/>
        <v>ja</v>
      </c>
      <c r="AK409" s="149">
        <f t="shared" si="146"/>
        <v>0</v>
      </c>
      <c r="AL409" s="149">
        <f t="shared" si="147"/>
        <v>0</v>
      </c>
      <c r="AM409" s="149">
        <f t="shared" si="148"/>
        <v>0</v>
      </c>
      <c r="AN409" s="149">
        <f t="shared" si="149"/>
        <v>0</v>
      </c>
      <c r="AO409" s="150" t="str">
        <f t="shared" si="164"/>
        <v>V</v>
      </c>
      <c r="AQ409" s="151">
        <f t="shared" si="165"/>
        <v>0</v>
      </c>
    </row>
    <row r="410" spans="1:43" ht="15" customHeight="1">
      <c r="A410" s="82" t="e">
        <f t="shared" si="150"/>
        <v>#REF!</v>
      </c>
      <c r="B410" s="134">
        <v>104</v>
      </c>
      <c r="C410" s="135" t="s">
        <v>260</v>
      </c>
      <c r="D410" s="136" t="s">
        <v>274</v>
      </c>
      <c r="E410" s="137" t="s">
        <v>101</v>
      </c>
      <c r="F410" s="138" t="s">
        <v>550</v>
      </c>
      <c r="G410" s="139" t="s">
        <v>693</v>
      </c>
      <c r="H410" s="140" t="str">
        <f t="shared" si="151"/>
        <v>Niet van toepassing</v>
      </c>
      <c r="I410" s="138" t="s">
        <v>261</v>
      </c>
      <c r="J410" s="138" t="s">
        <v>1172</v>
      </c>
      <c r="K410" s="141" t="str">
        <f t="shared" si="152"/>
        <v>NVT</v>
      </c>
      <c r="L410" s="141" t="str">
        <f t="shared" si="153"/>
        <v>NVT</v>
      </c>
      <c r="M410" s="141" t="str">
        <f t="shared" si="154"/>
        <v>NVT</v>
      </c>
      <c r="N410" s="141" t="str">
        <f t="shared" si="155"/>
        <v>NVT</v>
      </c>
      <c r="O410" s="141" t="str">
        <f t="shared" si="156"/>
        <v>NVT</v>
      </c>
      <c r="P410" s="141" t="str">
        <f t="shared" si="157"/>
        <v>NVT</v>
      </c>
      <c r="Q410" s="141" t="str">
        <f t="shared" si="158"/>
        <v>NVT</v>
      </c>
      <c r="R410" s="63" t="s">
        <v>1221</v>
      </c>
      <c r="S410" s="142">
        <f t="shared" si="166"/>
        <v>0</v>
      </c>
      <c r="T410" s="143">
        <v>0</v>
      </c>
      <c r="U410" s="144"/>
      <c r="V410" s="144"/>
      <c r="W410" s="144"/>
      <c r="X410" s="144"/>
      <c r="Y410" s="144"/>
      <c r="Z410" s="145"/>
      <c r="AA410" s="145"/>
      <c r="AB410" s="145"/>
      <c r="AC410" s="145"/>
      <c r="AD410" s="146" t="s">
        <v>749</v>
      </c>
      <c r="AE410" s="171">
        <v>1</v>
      </c>
      <c r="AF410" s="147">
        <f t="shared" si="159"/>
        <v>0</v>
      </c>
      <c r="AG410" s="147">
        <f t="shared" si="160"/>
        <v>0</v>
      </c>
      <c r="AH410" s="147">
        <f t="shared" si="161"/>
        <v>0</v>
      </c>
      <c r="AI410" s="147">
        <f t="shared" si="162"/>
        <v>0</v>
      </c>
      <c r="AJ410" s="148">
        <f t="shared" si="163"/>
        <v>0</v>
      </c>
      <c r="AK410" s="149">
        <f t="shared" si="146"/>
        <v>0</v>
      </c>
      <c r="AL410" s="149">
        <f t="shared" si="147"/>
        <v>0</v>
      </c>
      <c r="AM410" s="149">
        <f t="shared" si="148"/>
        <v>0</v>
      </c>
      <c r="AN410" s="149">
        <f t="shared" si="149"/>
        <v>0</v>
      </c>
      <c r="AO410" s="150">
        <f t="shared" si="164"/>
        <v>0</v>
      </c>
      <c r="AQ410" s="151">
        <f t="shared" si="165"/>
        <v>0</v>
      </c>
    </row>
    <row r="411" spans="1:43" ht="15" customHeight="1">
      <c r="A411" s="82" t="e">
        <f t="shared" si="150"/>
        <v>#REF!</v>
      </c>
      <c r="B411" s="134">
        <v>104</v>
      </c>
      <c r="C411" s="135" t="s">
        <v>260</v>
      </c>
      <c r="D411" s="136" t="s">
        <v>274</v>
      </c>
      <c r="E411" s="137" t="s">
        <v>101</v>
      </c>
      <c r="F411" s="138" t="s">
        <v>101</v>
      </c>
      <c r="G411" s="139" t="s">
        <v>694</v>
      </c>
      <c r="H411" s="140" t="str">
        <f t="shared" si="151"/>
        <v>Perrons</v>
      </c>
      <c r="I411" s="138" t="s">
        <v>195</v>
      </c>
      <c r="J411" s="138" t="s">
        <v>1171</v>
      </c>
      <c r="K411" s="141" t="str">
        <f t="shared" si="152"/>
        <v>Omde dag Vol/Nal.</v>
      </c>
      <c r="L411" s="141" t="str">
        <f t="shared" si="153"/>
        <v>Omde dag Nal./Vol</v>
      </c>
      <c r="M411" s="141" t="str">
        <f t="shared" si="154"/>
        <v>Omde dag Vol/Nal.</v>
      </c>
      <c r="N411" s="141" t="str">
        <f t="shared" si="155"/>
        <v>Omde dag Nal./Vol</v>
      </c>
      <c r="O411" s="141" t="str">
        <f t="shared" si="156"/>
        <v>Omde dag Vol/Nal.</v>
      </c>
      <c r="P411" s="141" t="str">
        <f t="shared" si="157"/>
        <v>Omde dag Nal./Vol</v>
      </c>
      <c r="Q411" s="141" t="str">
        <f t="shared" si="158"/>
        <v>Omde dag Vol/Nal.</v>
      </c>
      <c r="R411" s="63" t="s">
        <v>1473</v>
      </c>
      <c r="S411" s="142">
        <f t="shared" si="166"/>
        <v>365</v>
      </c>
      <c r="T411" s="143">
        <f>((6.5+2.8+32+23.8+74.8+15.5)*6.9-(32+2.8+6.5)*2.4-(2.8+6.5)*1.3-6.5*2.2-1.8*74.8-15.5*(3.6+2.4)+6*3+16.5*2.3+3.2*15+15*2)*1.3</f>
        <v>1108.9780000000001</v>
      </c>
      <c r="U411" s="144"/>
      <c r="V411" s="144">
        <v>526</v>
      </c>
      <c r="W411" s="144"/>
      <c r="X411" s="144">
        <v>6</v>
      </c>
      <c r="Y411" s="144">
        <v>47</v>
      </c>
      <c r="Z411" s="145"/>
      <c r="AA411" s="145"/>
      <c r="AB411" s="145">
        <v>853</v>
      </c>
      <c r="AC411" s="145"/>
      <c r="AD411" s="146" t="s">
        <v>679</v>
      </c>
      <c r="AE411" s="171">
        <v>1</v>
      </c>
      <c r="AF411" s="147">
        <f t="shared" si="159"/>
        <v>0</v>
      </c>
      <c r="AG411" s="147">
        <f t="shared" si="160"/>
        <v>0</v>
      </c>
      <c r="AH411" s="147">
        <f t="shared" si="161"/>
        <v>0</v>
      </c>
      <c r="AI411" s="147">
        <f t="shared" si="162"/>
        <v>0</v>
      </c>
      <c r="AJ411" s="148" t="str">
        <f t="shared" si="163"/>
        <v>ja</v>
      </c>
      <c r="AK411" s="149">
        <f t="shared" si="146"/>
        <v>0</v>
      </c>
      <c r="AL411" s="149">
        <f t="shared" si="147"/>
        <v>0</v>
      </c>
      <c r="AM411" s="149">
        <f t="shared" si="148"/>
        <v>0</v>
      </c>
      <c r="AN411" s="149">
        <f t="shared" si="149"/>
        <v>0</v>
      </c>
      <c r="AO411" s="150" t="str">
        <f t="shared" si="164"/>
        <v>V</v>
      </c>
      <c r="AQ411" s="151">
        <f t="shared" si="165"/>
        <v>404776.97000000003</v>
      </c>
    </row>
    <row r="412" spans="1:43" ht="15" customHeight="1">
      <c r="A412" s="82" t="e">
        <f t="shared" si="150"/>
        <v>#REF!</v>
      </c>
      <c r="B412" s="134">
        <v>104</v>
      </c>
      <c r="C412" s="135" t="s">
        <v>260</v>
      </c>
      <c r="D412" s="136" t="s">
        <v>274</v>
      </c>
      <c r="E412" s="137" t="s">
        <v>101</v>
      </c>
      <c r="F412" s="138" t="s">
        <v>546</v>
      </c>
      <c r="G412" s="139" t="s">
        <v>695</v>
      </c>
      <c r="H412" s="140" t="str">
        <f t="shared" si="151"/>
        <v>Roltrappen(inclusief aangrenzende bouwdelen)</v>
      </c>
      <c r="I412" s="138" t="s">
        <v>264</v>
      </c>
      <c r="J412" s="138" t="s">
        <v>1171</v>
      </c>
      <c r="K412" s="141" t="str">
        <f t="shared" si="152"/>
        <v>Omde dag Vol/Nal.</v>
      </c>
      <c r="L412" s="141" t="str">
        <f t="shared" si="153"/>
        <v>Omde dag Nal./Vol</v>
      </c>
      <c r="M412" s="141" t="str">
        <f t="shared" si="154"/>
        <v>Omde dag Vol/Nal.</v>
      </c>
      <c r="N412" s="141" t="str">
        <f t="shared" si="155"/>
        <v>Omde dag Nal./Vol</v>
      </c>
      <c r="O412" s="141" t="str">
        <f t="shared" si="156"/>
        <v>Omde dag Vol/Nal.</v>
      </c>
      <c r="P412" s="141" t="str">
        <f t="shared" si="157"/>
        <v>Omde dag Nal./Vol</v>
      </c>
      <c r="Q412" s="141" t="str">
        <f t="shared" si="158"/>
        <v>Omde dag Vol/Nal.</v>
      </c>
      <c r="R412" s="63" t="s">
        <v>1481</v>
      </c>
      <c r="S412" s="142">
        <f t="shared" si="166"/>
        <v>365</v>
      </c>
      <c r="T412" s="143">
        <v>0</v>
      </c>
      <c r="U412" s="144"/>
      <c r="V412" s="144"/>
      <c r="W412" s="144"/>
      <c r="X412" s="144"/>
      <c r="Y412" s="144"/>
      <c r="Z412" s="145"/>
      <c r="AA412" s="145"/>
      <c r="AB412" s="145"/>
      <c r="AC412" s="145"/>
      <c r="AD412" s="146" t="s">
        <v>1240</v>
      </c>
      <c r="AE412" s="171">
        <v>1</v>
      </c>
      <c r="AF412" s="147">
        <f t="shared" si="159"/>
        <v>0</v>
      </c>
      <c r="AG412" s="147">
        <f t="shared" si="160"/>
        <v>0</v>
      </c>
      <c r="AH412" s="147">
        <f t="shared" si="161"/>
        <v>0</v>
      </c>
      <c r="AI412" s="147">
        <f t="shared" si="162"/>
        <v>0</v>
      </c>
      <c r="AJ412" s="148" t="str">
        <f t="shared" si="163"/>
        <v>ja</v>
      </c>
      <c r="AK412" s="149">
        <f t="shared" si="146"/>
        <v>0</v>
      </c>
      <c r="AL412" s="149">
        <f t="shared" si="147"/>
        <v>0</v>
      </c>
      <c r="AM412" s="149">
        <f t="shared" si="148"/>
        <v>0</v>
      </c>
      <c r="AN412" s="149">
        <f t="shared" si="149"/>
        <v>0</v>
      </c>
      <c r="AO412" s="150" t="str">
        <f t="shared" si="164"/>
        <v>V</v>
      </c>
      <c r="AQ412" s="151">
        <f t="shared" si="165"/>
        <v>0</v>
      </c>
    </row>
    <row r="413" spans="1:43" ht="15" customHeight="1">
      <c r="A413" s="82" t="e">
        <f t="shared" si="150"/>
        <v>#REF!</v>
      </c>
      <c r="B413" s="134">
        <v>104</v>
      </c>
      <c r="C413" s="135" t="s">
        <v>260</v>
      </c>
      <c r="D413" s="136" t="s">
        <v>274</v>
      </c>
      <c r="E413" s="137" t="s">
        <v>101</v>
      </c>
      <c r="F413" s="138" t="s">
        <v>548</v>
      </c>
      <c r="G413" s="139" t="s">
        <v>696</v>
      </c>
      <c r="H413" s="140" t="str">
        <f t="shared" si="151"/>
        <v>Trappen</v>
      </c>
      <c r="I413" s="138" t="s">
        <v>1250</v>
      </c>
      <c r="J413" s="138" t="s">
        <v>1171</v>
      </c>
      <c r="K413" s="141" t="str">
        <f t="shared" si="152"/>
        <v>Omde dag Vol/Nal.</v>
      </c>
      <c r="L413" s="141" t="str">
        <f t="shared" si="153"/>
        <v>Omde dag Nal./Vol</v>
      </c>
      <c r="M413" s="141" t="str">
        <f t="shared" si="154"/>
        <v>Omde dag Vol/Nal.</v>
      </c>
      <c r="N413" s="141" t="str">
        <f t="shared" si="155"/>
        <v>Omde dag Nal./Vol</v>
      </c>
      <c r="O413" s="141" t="str">
        <f t="shared" si="156"/>
        <v>Omde dag Vol/Nal.</v>
      </c>
      <c r="P413" s="141" t="str">
        <f t="shared" si="157"/>
        <v>Omde dag Nal./Vol</v>
      </c>
      <c r="Q413" s="141" t="str">
        <f t="shared" si="158"/>
        <v>Omde dag Vol/Nal.</v>
      </c>
      <c r="R413" s="63" t="s">
        <v>1477</v>
      </c>
      <c r="S413" s="142">
        <f t="shared" si="166"/>
        <v>365</v>
      </c>
      <c r="T413" s="143">
        <v>0</v>
      </c>
      <c r="U413" s="144"/>
      <c r="V413" s="144"/>
      <c r="W413" s="144"/>
      <c r="X413" s="144"/>
      <c r="Y413" s="144"/>
      <c r="Z413" s="145"/>
      <c r="AA413" s="145"/>
      <c r="AB413" s="145"/>
      <c r="AC413" s="145"/>
      <c r="AD413" s="146" t="s">
        <v>750</v>
      </c>
      <c r="AE413" s="171">
        <v>1</v>
      </c>
      <c r="AF413" s="147">
        <f t="shared" si="159"/>
        <v>0</v>
      </c>
      <c r="AG413" s="147">
        <f t="shared" si="160"/>
        <v>0</v>
      </c>
      <c r="AH413" s="147">
        <f t="shared" si="161"/>
        <v>0</v>
      </c>
      <c r="AI413" s="147">
        <f t="shared" si="162"/>
        <v>0</v>
      </c>
      <c r="AJ413" s="148" t="str">
        <f t="shared" si="163"/>
        <v>ja</v>
      </c>
      <c r="AK413" s="149">
        <f t="shared" si="146"/>
        <v>0</v>
      </c>
      <c r="AL413" s="149">
        <f t="shared" si="147"/>
        <v>0</v>
      </c>
      <c r="AM413" s="149">
        <f t="shared" si="148"/>
        <v>0</v>
      </c>
      <c r="AN413" s="149">
        <f t="shared" si="149"/>
        <v>0</v>
      </c>
      <c r="AO413" s="150" t="str">
        <f t="shared" si="164"/>
        <v>V</v>
      </c>
      <c r="AQ413" s="151">
        <f t="shared" si="165"/>
        <v>0</v>
      </c>
    </row>
    <row r="414" spans="1:43" ht="15" customHeight="1">
      <c r="A414" s="82" t="e">
        <f t="shared" si="150"/>
        <v>#REF!</v>
      </c>
      <c r="B414" s="134">
        <v>104</v>
      </c>
      <c r="C414" s="135" t="s">
        <v>260</v>
      </c>
      <c r="D414" s="136" t="s">
        <v>274</v>
      </c>
      <c r="E414" s="137" t="s">
        <v>101</v>
      </c>
      <c r="F414" s="138" t="s">
        <v>550</v>
      </c>
      <c r="G414" s="139" t="s">
        <v>697</v>
      </c>
      <c r="H414" s="140" t="str">
        <f t="shared" si="151"/>
        <v>Niet van toepassing</v>
      </c>
      <c r="I414" s="138" t="s">
        <v>261</v>
      </c>
      <c r="J414" s="138" t="s">
        <v>1172</v>
      </c>
      <c r="K414" s="141" t="str">
        <f t="shared" si="152"/>
        <v>NVT</v>
      </c>
      <c r="L414" s="141" t="str">
        <f t="shared" si="153"/>
        <v>NVT</v>
      </c>
      <c r="M414" s="141" t="str">
        <f t="shared" si="154"/>
        <v>NVT</v>
      </c>
      <c r="N414" s="141" t="str">
        <f t="shared" si="155"/>
        <v>NVT</v>
      </c>
      <c r="O414" s="141" t="str">
        <f t="shared" si="156"/>
        <v>NVT</v>
      </c>
      <c r="P414" s="141" t="str">
        <f t="shared" si="157"/>
        <v>NVT</v>
      </c>
      <c r="Q414" s="141" t="str">
        <f t="shared" si="158"/>
        <v>NVT</v>
      </c>
      <c r="R414" s="63" t="s">
        <v>1221</v>
      </c>
      <c r="S414" s="142">
        <f t="shared" si="166"/>
        <v>0</v>
      </c>
      <c r="T414" s="143">
        <v>0</v>
      </c>
      <c r="U414" s="144"/>
      <c r="V414" s="144"/>
      <c r="W414" s="144"/>
      <c r="X414" s="144"/>
      <c r="Y414" s="144"/>
      <c r="Z414" s="145"/>
      <c r="AA414" s="145"/>
      <c r="AB414" s="145"/>
      <c r="AC414" s="145"/>
      <c r="AD414" s="146" t="s">
        <v>751</v>
      </c>
      <c r="AE414" s="171">
        <v>1</v>
      </c>
      <c r="AF414" s="147">
        <f t="shared" si="159"/>
        <v>0</v>
      </c>
      <c r="AG414" s="147">
        <f t="shared" si="160"/>
        <v>0</v>
      </c>
      <c r="AH414" s="147">
        <f t="shared" si="161"/>
        <v>0</v>
      </c>
      <c r="AI414" s="147">
        <f t="shared" si="162"/>
        <v>0</v>
      </c>
      <c r="AJ414" s="148">
        <f t="shared" si="163"/>
        <v>0</v>
      </c>
      <c r="AK414" s="149">
        <f t="shared" si="146"/>
        <v>0</v>
      </c>
      <c r="AL414" s="149">
        <f t="shared" si="147"/>
        <v>0</v>
      </c>
      <c r="AM414" s="149">
        <f t="shared" si="148"/>
        <v>0</v>
      </c>
      <c r="AN414" s="149">
        <f t="shared" si="149"/>
        <v>0</v>
      </c>
      <c r="AO414" s="150">
        <f t="shared" si="164"/>
        <v>0</v>
      </c>
      <c r="AQ414" s="151">
        <f t="shared" si="165"/>
        <v>0</v>
      </c>
    </row>
    <row r="415" spans="1:43" ht="15" customHeight="1">
      <c r="A415" s="82" t="e">
        <f t="shared" si="150"/>
        <v>#REF!</v>
      </c>
      <c r="B415" s="134">
        <v>104</v>
      </c>
      <c r="C415" s="135" t="s">
        <v>260</v>
      </c>
      <c r="D415" s="136" t="s">
        <v>274</v>
      </c>
      <c r="E415" s="137" t="s">
        <v>101</v>
      </c>
      <c r="F415" s="138" t="s">
        <v>101</v>
      </c>
      <c r="G415" s="139" t="s">
        <v>698</v>
      </c>
      <c r="H415" s="140" t="str">
        <f t="shared" si="151"/>
        <v>Perrons</v>
      </c>
      <c r="I415" s="138" t="s">
        <v>195</v>
      </c>
      <c r="J415" s="138" t="s">
        <v>1171</v>
      </c>
      <c r="K415" s="141" t="str">
        <f t="shared" si="152"/>
        <v>Omde dag Vol/Nal.</v>
      </c>
      <c r="L415" s="141" t="str">
        <f t="shared" si="153"/>
        <v>Omde dag Nal./Vol</v>
      </c>
      <c r="M415" s="141" t="str">
        <f t="shared" si="154"/>
        <v>Omde dag Vol/Nal.</v>
      </c>
      <c r="N415" s="141" t="str">
        <f t="shared" si="155"/>
        <v>Omde dag Nal./Vol</v>
      </c>
      <c r="O415" s="141" t="str">
        <f t="shared" si="156"/>
        <v>Omde dag Vol/Nal.</v>
      </c>
      <c r="P415" s="141" t="str">
        <f t="shared" si="157"/>
        <v>Omde dag Nal./Vol</v>
      </c>
      <c r="Q415" s="141" t="str">
        <f t="shared" si="158"/>
        <v>Omde dag Vol/Nal.</v>
      </c>
      <c r="R415" s="63" t="s">
        <v>1473</v>
      </c>
      <c r="S415" s="142">
        <f t="shared" si="166"/>
        <v>365</v>
      </c>
      <c r="T415" s="143">
        <f>(7.3*0.9+35.5*4.5+(2.5+4.5)*(2.6+6+2.4+14.5)+2.8*6+5.3*14.3+75*4.5+12.6*0.9)*1.3</f>
        <v>1022.1250000000002</v>
      </c>
      <c r="U415" s="144"/>
      <c r="V415" s="144">
        <v>504</v>
      </c>
      <c r="W415" s="144"/>
      <c r="X415" s="144">
        <v>6</v>
      </c>
      <c r="Y415" s="144">
        <v>47</v>
      </c>
      <c r="Z415" s="145"/>
      <c r="AA415" s="145"/>
      <c r="AB415" s="145">
        <v>786</v>
      </c>
      <c r="AC415" s="145"/>
      <c r="AD415" s="146" t="s">
        <v>679</v>
      </c>
      <c r="AE415" s="171">
        <v>1</v>
      </c>
      <c r="AF415" s="147">
        <f t="shared" si="159"/>
        <v>0</v>
      </c>
      <c r="AG415" s="147">
        <f t="shared" si="160"/>
        <v>0</v>
      </c>
      <c r="AH415" s="147">
        <f t="shared" si="161"/>
        <v>0</v>
      </c>
      <c r="AI415" s="147">
        <f t="shared" si="162"/>
        <v>0</v>
      </c>
      <c r="AJ415" s="148" t="str">
        <f t="shared" si="163"/>
        <v>ja</v>
      </c>
      <c r="AK415" s="149">
        <f t="shared" ref="AK415:AK459" si="167">IF($R415="",0,VLOOKUP($R415,Kengetal,5,FALSE))</f>
        <v>0</v>
      </c>
      <c r="AL415" s="149">
        <f t="shared" ref="AL415:AL459" si="168">IF($R415="",0,VLOOKUP($R415,Kengetal,6,FALSE))</f>
        <v>0</v>
      </c>
      <c r="AM415" s="149">
        <f t="shared" ref="AM415:AM459" si="169">IF($R415="",0,VLOOKUP($R415,Kengetal,7,FALSE))</f>
        <v>0</v>
      </c>
      <c r="AN415" s="149">
        <f t="shared" ref="AN415:AN459" si="170">IF($R415="",0,VLOOKUP($R415,Kengetal,8,FALSE))</f>
        <v>0</v>
      </c>
      <c r="AO415" s="150" t="str">
        <f t="shared" si="164"/>
        <v>V</v>
      </c>
      <c r="AQ415" s="151">
        <f t="shared" si="165"/>
        <v>373075.62500000006</v>
      </c>
    </row>
    <row r="416" spans="1:43" ht="15" customHeight="1">
      <c r="A416" s="82" t="e">
        <f t="shared" si="150"/>
        <v>#REF!</v>
      </c>
      <c r="B416" s="134">
        <v>104</v>
      </c>
      <c r="C416" s="135" t="s">
        <v>260</v>
      </c>
      <c r="D416" s="136" t="s">
        <v>274</v>
      </c>
      <c r="E416" s="137" t="s">
        <v>101</v>
      </c>
      <c r="F416" s="138" t="s">
        <v>558</v>
      </c>
      <c r="G416" s="139" t="s">
        <v>559</v>
      </c>
      <c r="H416" s="140" t="str">
        <f t="shared" si="151"/>
        <v>Liften</v>
      </c>
      <c r="I416" s="138" t="s">
        <v>457</v>
      </c>
      <c r="J416" s="138" t="s">
        <v>1171</v>
      </c>
      <c r="K416" s="141" t="str">
        <f t="shared" si="152"/>
        <v>Omde dag Vol/Nal.</v>
      </c>
      <c r="L416" s="141" t="str">
        <f t="shared" si="153"/>
        <v>Omde dag Nal./Vol</v>
      </c>
      <c r="M416" s="141" t="str">
        <f t="shared" si="154"/>
        <v>Omde dag Vol/Nal.</v>
      </c>
      <c r="N416" s="141" t="str">
        <f t="shared" si="155"/>
        <v>Omde dag Nal./Vol</v>
      </c>
      <c r="O416" s="141" t="str">
        <f t="shared" si="156"/>
        <v>Omde dag Vol/Nal.</v>
      </c>
      <c r="P416" s="141" t="str">
        <f t="shared" si="157"/>
        <v>Omde dag Nal./Vol</v>
      </c>
      <c r="Q416" s="141" t="str">
        <f t="shared" si="158"/>
        <v>Omde dag Vol/Nal.</v>
      </c>
      <c r="R416" s="63" t="s">
        <v>1475</v>
      </c>
      <c r="S416" s="142">
        <f t="shared" si="166"/>
        <v>365</v>
      </c>
      <c r="T416" s="143">
        <v>0</v>
      </c>
      <c r="U416" s="144"/>
      <c r="V416" s="144"/>
      <c r="W416" s="144"/>
      <c r="X416" s="144"/>
      <c r="Y416" s="144"/>
      <c r="Z416" s="145"/>
      <c r="AA416" s="145"/>
      <c r="AB416" s="145"/>
      <c r="AC416" s="145"/>
      <c r="AD416" s="146" t="s">
        <v>752</v>
      </c>
      <c r="AE416" s="171">
        <v>1</v>
      </c>
      <c r="AF416" s="147">
        <f t="shared" si="159"/>
        <v>0</v>
      </c>
      <c r="AG416" s="147">
        <f t="shared" si="160"/>
        <v>0</v>
      </c>
      <c r="AH416" s="147">
        <f t="shared" si="161"/>
        <v>0</v>
      </c>
      <c r="AI416" s="147">
        <f t="shared" si="162"/>
        <v>0</v>
      </c>
      <c r="AJ416" s="148" t="str">
        <f t="shared" si="163"/>
        <v>ja</v>
      </c>
      <c r="AK416" s="149">
        <f t="shared" si="167"/>
        <v>0</v>
      </c>
      <c r="AL416" s="149">
        <f t="shared" si="168"/>
        <v>0</v>
      </c>
      <c r="AM416" s="149">
        <f t="shared" si="169"/>
        <v>0</v>
      </c>
      <c r="AN416" s="149">
        <f t="shared" si="170"/>
        <v>0</v>
      </c>
      <c r="AO416" s="150" t="str">
        <f t="shared" si="164"/>
        <v>V</v>
      </c>
      <c r="AQ416" s="151">
        <f t="shared" si="165"/>
        <v>0</v>
      </c>
    </row>
    <row r="417" spans="1:43" ht="15" customHeight="1">
      <c r="A417" s="82" t="e">
        <f t="shared" si="150"/>
        <v>#REF!</v>
      </c>
      <c r="B417" s="134">
        <v>104</v>
      </c>
      <c r="C417" s="135" t="s">
        <v>260</v>
      </c>
      <c r="D417" s="136" t="s">
        <v>274</v>
      </c>
      <c r="E417" s="137" t="s">
        <v>101</v>
      </c>
      <c r="F417" s="138" t="s">
        <v>560</v>
      </c>
      <c r="G417" s="139" t="s">
        <v>561</v>
      </c>
      <c r="H417" s="140" t="str">
        <f t="shared" si="151"/>
        <v>Liften</v>
      </c>
      <c r="I417" s="138" t="s">
        <v>457</v>
      </c>
      <c r="J417" s="138" t="s">
        <v>1171</v>
      </c>
      <c r="K417" s="141" t="str">
        <f t="shared" si="152"/>
        <v>Omde dag Vol/Nal.</v>
      </c>
      <c r="L417" s="141" t="str">
        <f t="shared" si="153"/>
        <v>Omde dag Nal./Vol</v>
      </c>
      <c r="M417" s="141" t="str">
        <f t="shared" si="154"/>
        <v>Omde dag Vol/Nal.</v>
      </c>
      <c r="N417" s="141" t="str">
        <f t="shared" si="155"/>
        <v>Omde dag Nal./Vol</v>
      </c>
      <c r="O417" s="141" t="str">
        <f t="shared" si="156"/>
        <v>Omde dag Vol/Nal.</v>
      </c>
      <c r="P417" s="141" t="str">
        <f t="shared" si="157"/>
        <v>Omde dag Nal./Vol</v>
      </c>
      <c r="Q417" s="141" t="str">
        <f t="shared" si="158"/>
        <v>Omde dag Vol/Nal.</v>
      </c>
      <c r="R417" s="63" t="s">
        <v>1475</v>
      </c>
      <c r="S417" s="142">
        <f t="shared" si="166"/>
        <v>365</v>
      </c>
      <c r="T417" s="143">
        <v>0</v>
      </c>
      <c r="U417" s="144"/>
      <c r="V417" s="144"/>
      <c r="W417" s="144"/>
      <c r="X417" s="144"/>
      <c r="Y417" s="144"/>
      <c r="Z417" s="145"/>
      <c r="AA417" s="145"/>
      <c r="AB417" s="145"/>
      <c r="AC417" s="145"/>
      <c r="AD417" s="146" t="s">
        <v>752</v>
      </c>
      <c r="AE417" s="171">
        <v>1</v>
      </c>
      <c r="AF417" s="147">
        <f t="shared" si="159"/>
        <v>0</v>
      </c>
      <c r="AG417" s="147">
        <f t="shared" si="160"/>
        <v>0</v>
      </c>
      <c r="AH417" s="147">
        <f t="shared" si="161"/>
        <v>0</v>
      </c>
      <c r="AI417" s="147">
        <f t="shared" si="162"/>
        <v>0</v>
      </c>
      <c r="AJ417" s="148" t="str">
        <f t="shared" si="163"/>
        <v>ja</v>
      </c>
      <c r="AK417" s="149">
        <f t="shared" si="167"/>
        <v>0</v>
      </c>
      <c r="AL417" s="149">
        <f t="shared" si="168"/>
        <v>0</v>
      </c>
      <c r="AM417" s="149">
        <f t="shared" si="169"/>
        <v>0</v>
      </c>
      <c r="AN417" s="149">
        <f t="shared" si="170"/>
        <v>0</v>
      </c>
      <c r="AO417" s="150" t="str">
        <f t="shared" si="164"/>
        <v>V</v>
      </c>
      <c r="AQ417" s="151">
        <f t="shared" si="165"/>
        <v>0</v>
      </c>
    </row>
    <row r="418" spans="1:43" ht="15" customHeight="1">
      <c r="A418" s="82" t="e">
        <f>1+#REF!</f>
        <v>#REF!</v>
      </c>
      <c r="B418" s="134">
        <v>104</v>
      </c>
      <c r="C418" s="135" t="s">
        <v>260</v>
      </c>
      <c r="D418" s="136" t="s">
        <v>274</v>
      </c>
      <c r="E418" s="137" t="s">
        <v>101</v>
      </c>
      <c r="F418" s="138" t="s">
        <v>262</v>
      </c>
      <c r="G418" s="139" t="s">
        <v>699</v>
      </c>
      <c r="H418" s="140" t="str">
        <f t="shared" si="151"/>
        <v>Niet van toepassing</v>
      </c>
      <c r="I418" s="138" t="s">
        <v>82</v>
      </c>
      <c r="J418" s="138" t="s">
        <v>1172</v>
      </c>
      <c r="K418" s="141" t="str">
        <f t="shared" si="152"/>
        <v>NVT</v>
      </c>
      <c r="L418" s="141" t="str">
        <f t="shared" si="153"/>
        <v>NVT</v>
      </c>
      <c r="M418" s="141" t="str">
        <f t="shared" si="154"/>
        <v>NVT</v>
      </c>
      <c r="N418" s="141" t="str">
        <f t="shared" si="155"/>
        <v>NVT</v>
      </c>
      <c r="O418" s="141" t="str">
        <f t="shared" si="156"/>
        <v>NVT</v>
      </c>
      <c r="P418" s="141" t="str">
        <f t="shared" si="157"/>
        <v>NVT</v>
      </c>
      <c r="Q418" s="141" t="str">
        <f t="shared" si="158"/>
        <v>NVT</v>
      </c>
      <c r="R418" s="63" t="s">
        <v>1221</v>
      </c>
      <c r="S418" s="142">
        <f t="shared" si="166"/>
        <v>0</v>
      </c>
      <c r="T418" s="143">
        <f>(+(2.75+3.95)/2*7.15)*1.3</f>
        <v>31.138250000000003</v>
      </c>
      <c r="U418" s="144"/>
      <c r="V418" s="144"/>
      <c r="W418" s="144">
        <v>69</v>
      </c>
      <c r="X418" s="144"/>
      <c r="Y418" s="144"/>
      <c r="Z418" s="145"/>
      <c r="AA418" s="145"/>
      <c r="AB418" s="145">
        <v>24</v>
      </c>
      <c r="AC418" s="145"/>
      <c r="AD418" s="146" t="s">
        <v>679</v>
      </c>
      <c r="AE418" s="171">
        <v>1</v>
      </c>
      <c r="AF418" s="147">
        <f t="shared" si="159"/>
        <v>0</v>
      </c>
      <c r="AG418" s="147">
        <f t="shared" si="160"/>
        <v>0</v>
      </c>
      <c r="AH418" s="147">
        <f t="shared" si="161"/>
        <v>0</v>
      </c>
      <c r="AI418" s="147">
        <f t="shared" si="162"/>
        <v>0</v>
      </c>
      <c r="AJ418" s="148">
        <f t="shared" si="163"/>
        <v>0</v>
      </c>
      <c r="AK418" s="149">
        <f t="shared" si="167"/>
        <v>0</v>
      </c>
      <c r="AL418" s="149">
        <f t="shared" si="168"/>
        <v>0</v>
      </c>
      <c r="AM418" s="149">
        <f t="shared" si="169"/>
        <v>0</v>
      </c>
      <c r="AN418" s="149">
        <f t="shared" si="170"/>
        <v>0</v>
      </c>
      <c r="AO418" s="150">
        <f t="shared" si="164"/>
        <v>0</v>
      </c>
      <c r="AQ418" s="151">
        <f t="shared" si="165"/>
        <v>0</v>
      </c>
    </row>
    <row r="419" spans="1:43" ht="15" customHeight="1">
      <c r="A419" s="82" t="e">
        <f t="shared" si="150"/>
        <v>#REF!</v>
      </c>
      <c r="B419" s="134">
        <v>104</v>
      </c>
      <c r="C419" s="135" t="s">
        <v>260</v>
      </c>
      <c r="D419" s="136" t="s">
        <v>274</v>
      </c>
      <c r="E419" s="137" t="s">
        <v>101</v>
      </c>
      <c r="F419" s="138" t="s">
        <v>262</v>
      </c>
      <c r="G419" s="139" t="s">
        <v>700</v>
      </c>
      <c r="H419" s="140" t="str">
        <f t="shared" si="151"/>
        <v>Niet van toepassing</v>
      </c>
      <c r="I419" s="138" t="s">
        <v>746</v>
      </c>
      <c r="J419" s="138" t="s">
        <v>1172</v>
      </c>
      <c r="K419" s="141" t="str">
        <f t="shared" si="152"/>
        <v>NVT</v>
      </c>
      <c r="L419" s="141" t="str">
        <f t="shared" si="153"/>
        <v>NVT</v>
      </c>
      <c r="M419" s="141" t="str">
        <f t="shared" si="154"/>
        <v>NVT</v>
      </c>
      <c r="N419" s="141" t="str">
        <f t="shared" si="155"/>
        <v>NVT</v>
      </c>
      <c r="O419" s="141" t="str">
        <f t="shared" si="156"/>
        <v>NVT</v>
      </c>
      <c r="P419" s="141" t="str">
        <f t="shared" si="157"/>
        <v>NVT</v>
      </c>
      <c r="Q419" s="141" t="str">
        <f t="shared" si="158"/>
        <v>NVT</v>
      </c>
      <c r="R419" s="63" t="s">
        <v>1221</v>
      </c>
      <c r="S419" s="142">
        <f t="shared" si="166"/>
        <v>0</v>
      </c>
      <c r="T419" s="143">
        <f>(2*4+22*2.5+6.75*3.35+2.35*2.65)*1.3</f>
        <v>119.39200000000001</v>
      </c>
      <c r="U419" s="144"/>
      <c r="V419" s="144"/>
      <c r="W419" s="144">
        <v>244</v>
      </c>
      <c r="X419" s="144"/>
      <c r="Y419" s="144"/>
      <c r="Z419" s="145"/>
      <c r="AA419" s="145"/>
      <c r="AB419" s="145">
        <v>92</v>
      </c>
      <c r="AC419" s="145"/>
      <c r="AD419" s="146"/>
      <c r="AE419" s="171">
        <v>1</v>
      </c>
      <c r="AF419" s="147">
        <f t="shared" si="159"/>
        <v>0</v>
      </c>
      <c r="AG419" s="147">
        <f t="shared" si="160"/>
        <v>0</v>
      </c>
      <c r="AH419" s="147">
        <f t="shared" si="161"/>
        <v>0</v>
      </c>
      <c r="AI419" s="147">
        <f t="shared" si="162"/>
        <v>0</v>
      </c>
      <c r="AJ419" s="148">
        <f t="shared" si="163"/>
        <v>0</v>
      </c>
      <c r="AK419" s="149">
        <f t="shared" si="167"/>
        <v>0</v>
      </c>
      <c r="AL419" s="149">
        <f t="shared" si="168"/>
        <v>0</v>
      </c>
      <c r="AM419" s="149">
        <f t="shared" si="169"/>
        <v>0</v>
      </c>
      <c r="AN419" s="149">
        <f t="shared" si="170"/>
        <v>0</v>
      </c>
      <c r="AO419" s="150">
        <f t="shared" si="164"/>
        <v>0</v>
      </c>
      <c r="AQ419" s="151">
        <f t="shared" si="165"/>
        <v>0</v>
      </c>
    </row>
    <row r="420" spans="1:43" ht="15" customHeight="1">
      <c r="A420" s="82" t="e">
        <f>1+#REF!</f>
        <v>#REF!</v>
      </c>
      <c r="B420" s="134">
        <v>104</v>
      </c>
      <c r="C420" s="135" t="s">
        <v>260</v>
      </c>
      <c r="D420" s="136" t="s">
        <v>274</v>
      </c>
      <c r="E420" s="137" t="s">
        <v>101</v>
      </c>
      <c r="F420" s="138" t="s">
        <v>701</v>
      </c>
      <c r="G420" s="139" t="s">
        <v>702</v>
      </c>
      <c r="H420" s="140" t="str">
        <f t="shared" si="151"/>
        <v>Niet van toepassing</v>
      </c>
      <c r="I420" s="138" t="s">
        <v>261</v>
      </c>
      <c r="J420" s="138" t="s">
        <v>1172</v>
      </c>
      <c r="K420" s="141" t="str">
        <f t="shared" si="152"/>
        <v>NVT</v>
      </c>
      <c r="L420" s="141" t="str">
        <f t="shared" si="153"/>
        <v>NVT</v>
      </c>
      <c r="M420" s="141" t="str">
        <f t="shared" si="154"/>
        <v>NVT</v>
      </c>
      <c r="N420" s="141" t="str">
        <f t="shared" si="155"/>
        <v>NVT</v>
      </c>
      <c r="O420" s="141" t="str">
        <f t="shared" si="156"/>
        <v>NVT</v>
      </c>
      <c r="P420" s="141" t="str">
        <f t="shared" si="157"/>
        <v>NVT</v>
      </c>
      <c r="Q420" s="141" t="str">
        <f t="shared" si="158"/>
        <v>NVT</v>
      </c>
      <c r="R420" s="63" t="s">
        <v>1221</v>
      </c>
      <c r="S420" s="142">
        <f t="shared" si="166"/>
        <v>0</v>
      </c>
      <c r="T420" s="143">
        <v>0</v>
      </c>
      <c r="U420" s="144"/>
      <c r="V420" s="144"/>
      <c r="W420" s="144"/>
      <c r="X420" s="144"/>
      <c r="Y420" s="144"/>
      <c r="Z420" s="145"/>
      <c r="AA420" s="145"/>
      <c r="AB420" s="145"/>
      <c r="AC420" s="145"/>
      <c r="AD420" s="146" t="s">
        <v>753</v>
      </c>
      <c r="AE420" s="171">
        <v>1</v>
      </c>
      <c r="AF420" s="147">
        <f t="shared" si="159"/>
        <v>0</v>
      </c>
      <c r="AG420" s="147">
        <f t="shared" si="160"/>
        <v>0</v>
      </c>
      <c r="AH420" s="147">
        <f t="shared" si="161"/>
        <v>0</v>
      </c>
      <c r="AI420" s="147">
        <f t="shared" si="162"/>
        <v>0</v>
      </c>
      <c r="AJ420" s="148">
        <f t="shared" si="163"/>
        <v>0</v>
      </c>
      <c r="AK420" s="149">
        <f t="shared" si="167"/>
        <v>0</v>
      </c>
      <c r="AL420" s="149">
        <f t="shared" si="168"/>
        <v>0</v>
      </c>
      <c r="AM420" s="149">
        <f t="shared" si="169"/>
        <v>0</v>
      </c>
      <c r="AN420" s="149">
        <f t="shared" si="170"/>
        <v>0</v>
      </c>
      <c r="AO420" s="150">
        <f t="shared" si="164"/>
        <v>0</v>
      </c>
      <c r="AQ420" s="151">
        <f t="shared" si="165"/>
        <v>0</v>
      </c>
    </row>
    <row r="421" spans="1:43" ht="15" customHeight="1">
      <c r="A421" s="82" t="e">
        <f t="shared" si="150"/>
        <v>#REF!</v>
      </c>
      <c r="B421" s="134">
        <v>104</v>
      </c>
      <c r="C421" s="135" t="s">
        <v>260</v>
      </c>
      <c r="D421" s="136" t="s">
        <v>274</v>
      </c>
      <c r="E421" s="137" t="s">
        <v>101</v>
      </c>
      <c r="F421" s="138" t="s">
        <v>701</v>
      </c>
      <c r="G421" s="139" t="s">
        <v>703</v>
      </c>
      <c r="H421" s="140" t="str">
        <f t="shared" si="151"/>
        <v>Niet van toepassing</v>
      </c>
      <c r="I421" s="138" t="s">
        <v>261</v>
      </c>
      <c r="J421" s="138" t="s">
        <v>1172</v>
      </c>
      <c r="K421" s="141" t="str">
        <f t="shared" si="152"/>
        <v>NVT</v>
      </c>
      <c r="L421" s="141" t="str">
        <f t="shared" si="153"/>
        <v>NVT</v>
      </c>
      <c r="M421" s="141" t="str">
        <f t="shared" si="154"/>
        <v>NVT</v>
      </c>
      <c r="N421" s="141" t="str">
        <f t="shared" si="155"/>
        <v>NVT</v>
      </c>
      <c r="O421" s="141" t="str">
        <f t="shared" si="156"/>
        <v>NVT</v>
      </c>
      <c r="P421" s="141" t="str">
        <f t="shared" si="157"/>
        <v>NVT</v>
      </c>
      <c r="Q421" s="141" t="str">
        <f t="shared" si="158"/>
        <v>NVT</v>
      </c>
      <c r="R421" s="63" t="s">
        <v>1221</v>
      </c>
      <c r="S421" s="142">
        <f t="shared" si="166"/>
        <v>0</v>
      </c>
      <c r="T421" s="143">
        <v>0</v>
      </c>
      <c r="U421" s="144"/>
      <c r="V421" s="144"/>
      <c r="W421" s="144"/>
      <c r="X421" s="144"/>
      <c r="Y421" s="144"/>
      <c r="Z421" s="145"/>
      <c r="AA421" s="145"/>
      <c r="AB421" s="145"/>
      <c r="AC421" s="145"/>
      <c r="AD421" s="146" t="s">
        <v>754</v>
      </c>
      <c r="AE421" s="171">
        <v>1</v>
      </c>
      <c r="AF421" s="147">
        <f t="shared" si="159"/>
        <v>0</v>
      </c>
      <c r="AG421" s="147">
        <f t="shared" si="160"/>
        <v>0</v>
      </c>
      <c r="AH421" s="147">
        <f t="shared" si="161"/>
        <v>0</v>
      </c>
      <c r="AI421" s="147">
        <f t="shared" si="162"/>
        <v>0</v>
      </c>
      <c r="AJ421" s="148">
        <f t="shared" si="163"/>
        <v>0</v>
      </c>
      <c r="AK421" s="149">
        <f t="shared" si="167"/>
        <v>0</v>
      </c>
      <c r="AL421" s="149">
        <f t="shared" si="168"/>
        <v>0</v>
      </c>
      <c r="AM421" s="149">
        <f t="shared" si="169"/>
        <v>0</v>
      </c>
      <c r="AN421" s="149">
        <f t="shared" si="170"/>
        <v>0</v>
      </c>
      <c r="AO421" s="150">
        <f t="shared" si="164"/>
        <v>0</v>
      </c>
      <c r="AQ421" s="151">
        <f t="shared" si="165"/>
        <v>0</v>
      </c>
    </row>
    <row r="422" spans="1:43" ht="15" customHeight="1">
      <c r="A422" s="82" t="e">
        <f t="shared" si="150"/>
        <v>#REF!</v>
      </c>
      <c r="B422" s="134">
        <v>104</v>
      </c>
      <c r="C422" s="135" t="s">
        <v>260</v>
      </c>
      <c r="D422" s="136" t="s">
        <v>274</v>
      </c>
      <c r="E422" s="137" t="s">
        <v>101</v>
      </c>
      <c r="F422" s="138" t="s">
        <v>704</v>
      </c>
      <c r="G422" s="139" t="s">
        <v>705</v>
      </c>
      <c r="H422" s="140" t="str">
        <f t="shared" si="151"/>
        <v>Niet van toepassing</v>
      </c>
      <c r="I422" s="138" t="s">
        <v>261</v>
      </c>
      <c r="J422" s="138" t="s">
        <v>1172</v>
      </c>
      <c r="K422" s="141" t="str">
        <f t="shared" si="152"/>
        <v>NVT</v>
      </c>
      <c r="L422" s="141" t="str">
        <f t="shared" si="153"/>
        <v>NVT</v>
      </c>
      <c r="M422" s="141" t="str">
        <f t="shared" si="154"/>
        <v>NVT</v>
      </c>
      <c r="N422" s="141" t="str">
        <f t="shared" si="155"/>
        <v>NVT</v>
      </c>
      <c r="O422" s="141" t="str">
        <f t="shared" si="156"/>
        <v>NVT</v>
      </c>
      <c r="P422" s="141" t="str">
        <f t="shared" si="157"/>
        <v>NVT</v>
      </c>
      <c r="Q422" s="141" t="str">
        <f t="shared" si="158"/>
        <v>NVT</v>
      </c>
      <c r="R422" s="63" t="s">
        <v>1221</v>
      </c>
      <c r="S422" s="142">
        <f t="shared" si="166"/>
        <v>0</v>
      </c>
      <c r="T422" s="143">
        <v>2.6</v>
      </c>
      <c r="U422" s="144"/>
      <c r="V422" s="144"/>
      <c r="W422" s="144"/>
      <c r="X422" s="144"/>
      <c r="Y422" s="144"/>
      <c r="Z422" s="145"/>
      <c r="AA422" s="145"/>
      <c r="AB422" s="145"/>
      <c r="AC422" s="145"/>
      <c r="AD422" s="146"/>
      <c r="AE422" s="171">
        <v>1</v>
      </c>
      <c r="AF422" s="147">
        <f t="shared" si="159"/>
        <v>0</v>
      </c>
      <c r="AG422" s="147">
        <f t="shared" si="160"/>
        <v>0</v>
      </c>
      <c r="AH422" s="147">
        <f t="shared" si="161"/>
        <v>0</v>
      </c>
      <c r="AI422" s="147">
        <f t="shared" si="162"/>
        <v>0</v>
      </c>
      <c r="AJ422" s="148">
        <f t="shared" si="163"/>
        <v>0</v>
      </c>
      <c r="AK422" s="149">
        <f t="shared" si="167"/>
        <v>0</v>
      </c>
      <c r="AL422" s="149">
        <f t="shared" si="168"/>
        <v>0</v>
      </c>
      <c r="AM422" s="149">
        <f t="shared" si="169"/>
        <v>0</v>
      </c>
      <c r="AN422" s="149">
        <f t="shared" si="170"/>
        <v>0</v>
      </c>
      <c r="AO422" s="150">
        <f t="shared" si="164"/>
        <v>0</v>
      </c>
      <c r="AQ422" s="151">
        <f t="shared" si="165"/>
        <v>0</v>
      </c>
    </row>
    <row r="423" spans="1:43" ht="15" customHeight="1">
      <c r="A423" s="82" t="e">
        <f t="shared" si="150"/>
        <v>#REF!</v>
      </c>
      <c r="B423" s="134">
        <v>104</v>
      </c>
      <c r="C423" s="135" t="s">
        <v>260</v>
      </c>
      <c r="D423" s="136" t="s">
        <v>274</v>
      </c>
      <c r="E423" s="137" t="s">
        <v>101</v>
      </c>
      <c r="F423" s="138" t="s">
        <v>262</v>
      </c>
      <c r="G423" s="139" t="s">
        <v>706</v>
      </c>
      <c r="H423" s="140" t="str">
        <f t="shared" si="151"/>
        <v>Niet van toepassing</v>
      </c>
      <c r="I423" s="138" t="s">
        <v>35</v>
      </c>
      <c r="J423" s="138" t="s">
        <v>1172</v>
      </c>
      <c r="K423" s="141" t="str">
        <f t="shared" si="152"/>
        <v>NVT</v>
      </c>
      <c r="L423" s="141" t="str">
        <f t="shared" si="153"/>
        <v>NVT</v>
      </c>
      <c r="M423" s="141" t="str">
        <f t="shared" si="154"/>
        <v>NVT</v>
      </c>
      <c r="N423" s="141" t="str">
        <f t="shared" si="155"/>
        <v>NVT</v>
      </c>
      <c r="O423" s="141" t="str">
        <f t="shared" si="156"/>
        <v>NVT</v>
      </c>
      <c r="P423" s="141" t="str">
        <f t="shared" si="157"/>
        <v>NVT</v>
      </c>
      <c r="Q423" s="141" t="str">
        <f t="shared" si="158"/>
        <v>NVT</v>
      </c>
      <c r="R423" s="63" t="s">
        <v>1221</v>
      </c>
      <c r="S423" s="142">
        <f t="shared" si="166"/>
        <v>0</v>
      </c>
      <c r="T423" s="143">
        <v>13</v>
      </c>
      <c r="U423" s="144"/>
      <c r="V423" s="144"/>
      <c r="W423" s="144">
        <v>50</v>
      </c>
      <c r="X423" s="144"/>
      <c r="Y423" s="144"/>
      <c r="Z423" s="145"/>
      <c r="AA423" s="145"/>
      <c r="AB423" s="145"/>
      <c r="AC423" s="145">
        <v>7</v>
      </c>
      <c r="AD423" s="146" t="s">
        <v>755</v>
      </c>
      <c r="AE423" s="171">
        <v>1</v>
      </c>
      <c r="AF423" s="147">
        <f t="shared" si="159"/>
        <v>0</v>
      </c>
      <c r="AG423" s="147">
        <f t="shared" si="160"/>
        <v>0</v>
      </c>
      <c r="AH423" s="147">
        <f t="shared" si="161"/>
        <v>0</v>
      </c>
      <c r="AI423" s="147">
        <f t="shared" si="162"/>
        <v>0</v>
      </c>
      <c r="AJ423" s="148">
        <f t="shared" si="163"/>
        <v>0</v>
      </c>
      <c r="AK423" s="149">
        <f t="shared" si="167"/>
        <v>0</v>
      </c>
      <c r="AL423" s="149">
        <f t="shared" si="168"/>
        <v>0</v>
      </c>
      <c r="AM423" s="149">
        <f t="shared" si="169"/>
        <v>0</v>
      </c>
      <c r="AN423" s="149">
        <f t="shared" si="170"/>
        <v>0</v>
      </c>
      <c r="AO423" s="150">
        <f t="shared" si="164"/>
        <v>0</v>
      </c>
      <c r="AQ423" s="151">
        <f t="shared" si="165"/>
        <v>0</v>
      </c>
    </row>
    <row r="424" spans="1:43" ht="15" customHeight="1">
      <c r="A424" s="82" t="e">
        <f t="shared" si="150"/>
        <v>#REF!</v>
      </c>
      <c r="B424" s="134">
        <v>104</v>
      </c>
      <c r="C424" s="135" t="s">
        <v>260</v>
      </c>
      <c r="D424" s="136" t="s">
        <v>274</v>
      </c>
      <c r="E424" s="137" t="s">
        <v>101</v>
      </c>
      <c r="F424" s="138" t="s">
        <v>262</v>
      </c>
      <c r="G424" s="139" t="s">
        <v>707</v>
      </c>
      <c r="H424" s="140" t="str">
        <f t="shared" si="151"/>
        <v>Niet van toepassing</v>
      </c>
      <c r="I424" s="138" t="s">
        <v>82</v>
      </c>
      <c r="J424" s="138" t="s">
        <v>1172</v>
      </c>
      <c r="K424" s="141" t="str">
        <f t="shared" si="152"/>
        <v>NVT</v>
      </c>
      <c r="L424" s="141" t="str">
        <f t="shared" si="153"/>
        <v>NVT</v>
      </c>
      <c r="M424" s="141" t="str">
        <f t="shared" si="154"/>
        <v>NVT</v>
      </c>
      <c r="N424" s="141" t="str">
        <f t="shared" si="155"/>
        <v>NVT</v>
      </c>
      <c r="O424" s="141" t="str">
        <f t="shared" si="156"/>
        <v>NVT</v>
      </c>
      <c r="P424" s="141" t="str">
        <f t="shared" si="157"/>
        <v>NVT</v>
      </c>
      <c r="Q424" s="141" t="str">
        <f t="shared" si="158"/>
        <v>NVT</v>
      </c>
      <c r="R424" s="63" t="s">
        <v>1221</v>
      </c>
      <c r="S424" s="142">
        <f t="shared" si="166"/>
        <v>0</v>
      </c>
      <c r="T424" s="143">
        <v>32.5</v>
      </c>
      <c r="U424" s="144"/>
      <c r="V424" s="144"/>
      <c r="W424" s="144">
        <f>(4.25+9+3.15+0.2+9+1.15)*3.25</f>
        <v>86.937499999999986</v>
      </c>
      <c r="X424" s="144"/>
      <c r="Y424" s="144"/>
      <c r="Z424" s="145"/>
      <c r="AA424" s="145"/>
      <c r="AB424" s="145">
        <v>25</v>
      </c>
      <c r="AC424" s="145"/>
      <c r="AD424" s="146"/>
      <c r="AE424" s="171">
        <v>1</v>
      </c>
      <c r="AF424" s="147">
        <f t="shared" si="159"/>
        <v>0</v>
      </c>
      <c r="AG424" s="147">
        <f t="shared" si="160"/>
        <v>0</v>
      </c>
      <c r="AH424" s="147">
        <f t="shared" si="161"/>
        <v>0</v>
      </c>
      <c r="AI424" s="147">
        <f t="shared" si="162"/>
        <v>0</v>
      </c>
      <c r="AJ424" s="148">
        <f t="shared" si="163"/>
        <v>0</v>
      </c>
      <c r="AK424" s="149">
        <f t="shared" si="167"/>
        <v>0</v>
      </c>
      <c r="AL424" s="149">
        <f t="shared" si="168"/>
        <v>0</v>
      </c>
      <c r="AM424" s="149">
        <f t="shared" si="169"/>
        <v>0</v>
      </c>
      <c r="AN424" s="149">
        <f t="shared" si="170"/>
        <v>0</v>
      </c>
      <c r="AO424" s="150">
        <f t="shared" si="164"/>
        <v>0</v>
      </c>
      <c r="AQ424" s="151">
        <f t="shared" si="165"/>
        <v>0</v>
      </c>
    </row>
    <row r="425" spans="1:43" ht="15" customHeight="1">
      <c r="A425" s="82" t="e">
        <f>1+#REF!</f>
        <v>#REF!</v>
      </c>
      <c r="B425" s="134">
        <v>104</v>
      </c>
      <c r="C425" s="135" t="s">
        <v>260</v>
      </c>
      <c r="D425" s="136" t="s">
        <v>274</v>
      </c>
      <c r="E425" s="137" t="s">
        <v>101</v>
      </c>
      <c r="F425" s="138" t="s">
        <v>262</v>
      </c>
      <c r="G425" s="139" t="s">
        <v>708</v>
      </c>
      <c r="H425" s="140" t="str">
        <f t="shared" si="151"/>
        <v>Niet van toepassing</v>
      </c>
      <c r="I425" s="138" t="s">
        <v>677</v>
      </c>
      <c r="J425" s="138" t="s">
        <v>1172</v>
      </c>
      <c r="K425" s="141" t="str">
        <f t="shared" si="152"/>
        <v>NVT</v>
      </c>
      <c r="L425" s="141" t="str">
        <f t="shared" si="153"/>
        <v>NVT</v>
      </c>
      <c r="M425" s="141" t="str">
        <f t="shared" si="154"/>
        <v>NVT</v>
      </c>
      <c r="N425" s="141" t="str">
        <f t="shared" si="155"/>
        <v>NVT</v>
      </c>
      <c r="O425" s="141" t="str">
        <f t="shared" si="156"/>
        <v>NVT</v>
      </c>
      <c r="P425" s="141" t="str">
        <f t="shared" si="157"/>
        <v>NVT</v>
      </c>
      <c r="Q425" s="141" t="str">
        <f t="shared" si="158"/>
        <v>NVT</v>
      </c>
      <c r="R425" s="63" t="s">
        <v>1221</v>
      </c>
      <c r="S425" s="142">
        <f t="shared" si="166"/>
        <v>0</v>
      </c>
      <c r="T425" s="143">
        <v>74.100000000000009</v>
      </c>
      <c r="U425" s="144"/>
      <c r="V425" s="144"/>
      <c r="W425" s="144">
        <v>114</v>
      </c>
      <c r="X425" s="144"/>
      <c r="Y425" s="144"/>
      <c r="Z425" s="145"/>
      <c r="AA425" s="145"/>
      <c r="AB425" s="145">
        <v>57</v>
      </c>
      <c r="AC425" s="145"/>
      <c r="AD425" s="146" t="s">
        <v>679</v>
      </c>
      <c r="AE425" s="171">
        <v>1</v>
      </c>
      <c r="AF425" s="147">
        <f t="shared" si="159"/>
        <v>0</v>
      </c>
      <c r="AG425" s="147">
        <f t="shared" si="160"/>
        <v>0</v>
      </c>
      <c r="AH425" s="147">
        <f t="shared" si="161"/>
        <v>0</v>
      </c>
      <c r="AI425" s="147">
        <f t="shared" si="162"/>
        <v>0</v>
      </c>
      <c r="AJ425" s="148">
        <f t="shared" si="163"/>
        <v>0</v>
      </c>
      <c r="AK425" s="149">
        <f t="shared" si="167"/>
        <v>0</v>
      </c>
      <c r="AL425" s="149">
        <f t="shared" si="168"/>
        <v>0</v>
      </c>
      <c r="AM425" s="149">
        <f t="shared" si="169"/>
        <v>0</v>
      </c>
      <c r="AN425" s="149">
        <f t="shared" si="170"/>
        <v>0</v>
      </c>
      <c r="AO425" s="150">
        <f t="shared" si="164"/>
        <v>0</v>
      </c>
      <c r="AQ425" s="151">
        <f t="shared" si="165"/>
        <v>0</v>
      </c>
    </row>
    <row r="426" spans="1:43" ht="15" customHeight="1">
      <c r="A426" s="82" t="e">
        <f>1+#REF!</f>
        <v>#REF!</v>
      </c>
      <c r="B426" s="134">
        <v>104</v>
      </c>
      <c r="C426" s="135" t="s">
        <v>260</v>
      </c>
      <c r="D426" s="136" t="s">
        <v>274</v>
      </c>
      <c r="E426" s="137" t="s">
        <v>101</v>
      </c>
      <c r="F426" s="138" t="s">
        <v>262</v>
      </c>
      <c r="G426" s="139" t="s">
        <v>709</v>
      </c>
      <c r="H426" s="140" t="str">
        <f t="shared" si="151"/>
        <v>Niet van toepassing</v>
      </c>
      <c r="I426" s="138" t="s">
        <v>82</v>
      </c>
      <c r="J426" s="138" t="s">
        <v>1172</v>
      </c>
      <c r="K426" s="141" t="str">
        <f t="shared" si="152"/>
        <v>NVT</v>
      </c>
      <c r="L426" s="141" t="str">
        <f t="shared" si="153"/>
        <v>NVT</v>
      </c>
      <c r="M426" s="141" t="str">
        <f t="shared" si="154"/>
        <v>NVT</v>
      </c>
      <c r="N426" s="141" t="str">
        <f t="shared" si="155"/>
        <v>NVT</v>
      </c>
      <c r="O426" s="141" t="str">
        <f t="shared" si="156"/>
        <v>NVT</v>
      </c>
      <c r="P426" s="141" t="str">
        <f t="shared" si="157"/>
        <v>NVT</v>
      </c>
      <c r="Q426" s="141" t="str">
        <f t="shared" si="158"/>
        <v>NVT</v>
      </c>
      <c r="R426" s="63" t="s">
        <v>1221</v>
      </c>
      <c r="S426" s="142">
        <f t="shared" si="166"/>
        <v>0</v>
      </c>
      <c r="T426" s="143">
        <f>(2.35*6.9)*1.3</f>
        <v>21.079499999999999</v>
      </c>
      <c r="U426" s="144"/>
      <c r="V426" s="144"/>
      <c r="W426" s="144">
        <f>6.9*2*3.2+2*2.35*2</f>
        <v>53.56</v>
      </c>
      <c r="X426" s="144">
        <v>3</v>
      </c>
      <c r="Y426" s="144"/>
      <c r="Z426" s="145"/>
      <c r="AA426" s="145"/>
      <c r="AB426" s="145">
        <v>16</v>
      </c>
      <c r="AC426" s="145"/>
      <c r="AD426" s="146" t="s">
        <v>679</v>
      </c>
      <c r="AE426" s="171">
        <v>1</v>
      </c>
      <c r="AF426" s="147">
        <f t="shared" si="159"/>
        <v>0</v>
      </c>
      <c r="AG426" s="147">
        <f t="shared" si="160"/>
        <v>0</v>
      </c>
      <c r="AH426" s="147">
        <f t="shared" si="161"/>
        <v>0</v>
      </c>
      <c r="AI426" s="147">
        <f t="shared" si="162"/>
        <v>0</v>
      </c>
      <c r="AJ426" s="148">
        <f t="shared" si="163"/>
        <v>0</v>
      </c>
      <c r="AK426" s="149">
        <f t="shared" si="167"/>
        <v>0</v>
      </c>
      <c r="AL426" s="149">
        <f t="shared" si="168"/>
        <v>0</v>
      </c>
      <c r="AM426" s="149">
        <f t="shared" si="169"/>
        <v>0</v>
      </c>
      <c r="AN426" s="149">
        <f t="shared" si="170"/>
        <v>0</v>
      </c>
      <c r="AO426" s="150">
        <f t="shared" si="164"/>
        <v>0</v>
      </c>
      <c r="AQ426" s="151">
        <f t="shared" si="165"/>
        <v>0</v>
      </c>
    </row>
    <row r="427" spans="1:43" ht="15" customHeight="1">
      <c r="A427" s="82" t="e">
        <f t="shared" ref="A427:A475" si="171">1+A426</f>
        <v>#REF!</v>
      </c>
      <c r="B427" s="134">
        <v>104</v>
      </c>
      <c r="C427" s="135" t="s">
        <v>260</v>
      </c>
      <c r="D427" s="136" t="s">
        <v>274</v>
      </c>
      <c r="E427" s="137" t="s">
        <v>101</v>
      </c>
      <c r="F427" s="138" t="s">
        <v>262</v>
      </c>
      <c r="G427" s="139" t="s">
        <v>710</v>
      </c>
      <c r="H427" s="140" t="str">
        <f t="shared" si="151"/>
        <v>Niet van toepassing</v>
      </c>
      <c r="I427" s="138" t="s">
        <v>82</v>
      </c>
      <c r="J427" s="138" t="s">
        <v>1172</v>
      </c>
      <c r="K427" s="141" t="str">
        <f t="shared" si="152"/>
        <v>NVT</v>
      </c>
      <c r="L427" s="141" t="str">
        <f t="shared" si="153"/>
        <v>NVT</v>
      </c>
      <c r="M427" s="141" t="str">
        <f t="shared" si="154"/>
        <v>NVT</v>
      </c>
      <c r="N427" s="141" t="str">
        <f t="shared" si="155"/>
        <v>NVT</v>
      </c>
      <c r="O427" s="141" t="str">
        <f t="shared" si="156"/>
        <v>NVT</v>
      </c>
      <c r="P427" s="141" t="str">
        <f t="shared" si="157"/>
        <v>NVT</v>
      </c>
      <c r="Q427" s="141" t="str">
        <f t="shared" si="158"/>
        <v>NVT</v>
      </c>
      <c r="R427" s="63" t="s">
        <v>1221</v>
      </c>
      <c r="S427" s="142">
        <f t="shared" si="166"/>
        <v>0</v>
      </c>
      <c r="T427" s="143">
        <v>3.25</v>
      </c>
      <c r="U427" s="144"/>
      <c r="V427" s="144"/>
      <c r="W427" s="144">
        <f>2*2*3.25+1.2*3.25</f>
        <v>16.899999999999999</v>
      </c>
      <c r="X427" s="144"/>
      <c r="Y427" s="144"/>
      <c r="Z427" s="145"/>
      <c r="AA427" s="145">
        <v>3</v>
      </c>
      <c r="AB427" s="145"/>
      <c r="AC427" s="145"/>
      <c r="AD427" s="146"/>
      <c r="AE427" s="171">
        <v>1</v>
      </c>
      <c r="AF427" s="147">
        <f t="shared" si="159"/>
        <v>0</v>
      </c>
      <c r="AG427" s="147">
        <f t="shared" si="160"/>
        <v>0</v>
      </c>
      <c r="AH427" s="147">
        <f t="shared" si="161"/>
        <v>0</v>
      </c>
      <c r="AI427" s="147">
        <f t="shared" si="162"/>
        <v>0</v>
      </c>
      <c r="AJ427" s="148">
        <f t="shared" si="163"/>
        <v>0</v>
      </c>
      <c r="AK427" s="149">
        <f t="shared" si="167"/>
        <v>0</v>
      </c>
      <c r="AL427" s="149">
        <f t="shared" si="168"/>
        <v>0</v>
      </c>
      <c r="AM427" s="149">
        <f t="shared" si="169"/>
        <v>0</v>
      </c>
      <c r="AN427" s="149">
        <f t="shared" si="170"/>
        <v>0</v>
      </c>
      <c r="AO427" s="150">
        <f t="shared" si="164"/>
        <v>0</v>
      </c>
      <c r="AQ427" s="151">
        <f t="shared" si="165"/>
        <v>0</v>
      </c>
    </row>
    <row r="428" spans="1:43" ht="15" customHeight="1">
      <c r="A428" s="82" t="e">
        <f t="shared" si="171"/>
        <v>#REF!</v>
      </c>
      <c r="B428" s="134">
        <v>104</v>
      </c>
      <c r="C428" s="135" t="s">
        <v>260</v>
      </c>
      <c r="D428" s="136" t="s">
        <v>274</v>
      </c>
      <c r="E428" s="137" t="s">
        <v>101</v>
      </c>
      <c r="F428" s="138" t="s">
        <v>572</v>
      </c>
      <c r="G428" s="139" t="s">
        <v>711</v>
      </c>
      <c r="H428" s="140" t="str">
        <f t="shared" si="151"/>
        <v>Niet van toepassing</v>
      </c>
      <c r="I428" s="138" t="s">
        <v>261</v>
      </c>
      <c r="J428" s="138" t="s">
        <v>1172</v>
      </c>
      <c r="K428" s="141" t="str">
        <f t="shared" si="152"/>
        <v>NVT</v>
      </c>
      <c r="L428" s="141" t="str">
        <f t="shared" si="153"/>
        <v>NVT</v>
      </c>
      <c r="M428" s="141" t="str">
        <f t="shared" si="154"/>
        <v>NVT</v>
      </c>
      <c r="N428" s="141" t="str">
        <f t="shared" si="155"/>
        <v>NVT</v>
      </c>
      <c r="O428" s="141" t="str">
        <f t="shared" si="156"/>
        <v>NVT</v>
      </c>
      <c r="P428" s="141" t="str">
        <f t="shared" si="157"/>
        <v>NVT</v>
      </c>
      <c r="Q428" s="141" t="str">
        <f t="shared" si="158"/>
        <v>NVT</v>
      </c>
      <c r="R428" s="63" t="s">
        <v>1221</v>
      </c>
      <c r="S428" s="142">
        <f t="shared" si="166"/>
        <v>0</v>
      </c>
      <c r="T428" s="143">
        <v>0</v>
      </c>
      <c r="U428" s="144"/>
      <c r="V428" s="144"/>
      <c r="W428" s="144"/>
      <c r="X428" s="144"/>
      <c r="Y428" s="144"/>
      <c r="Z428" s="145"/>
      <c r="AA428" s="145"/>
      <c r="AB428" s="145"/>
      <c r="AC428" s="145"/>
      <c r="AD428" s="146" t="s">
        <v>756</v>
      </c>
      <c r="AE428" s="171">
        <v>1</v>
      </c>
      <c r="AF428" s="147">
        <f t="shared" si="159"/>
        <v>0</v>
      </c>
      <c r="AG428" s="147">
        <f t="shared" si="160"/>
        <v>0</v>
      </c>
      <c r="AH428" s="147">
        <f t="shared" si="161"/>
        <v>0</v>
      </c>
      <c r="AI428" s="147">
        <f t="shared" si="162"/>
        <v>0</v>
      </c>
      <c r="AJ428" s="148">
        <f t="shared" si="163"/>
        <v>0</v>
      </c>
      <c r="AK428" s="149">
        <f t="shared" si="167"/>
        <v>0</v>
      </c>
      <c r="AL428" s="149">
        <f t="shared" si="168"/>
        <v>0</v>
      </c>
      <c r="AM428" s="149">
        <f t="shared" si="169"/>
        <v>0</v>
      </c>
      <c r="AN428" s="149">
        <f t="shared" si="170"/>
        <v>0</v>
      </c>
      <c r="AO428" s="150">
        <f t="shared" si="164"/>
        <v>0</v>
      </c>
      <c r="AQ428" s="151">
        <f t="shared" si="165"/>
        <v>0</v>
      </c>
    </row>
    <row r="429" spans="1:43" ht="15" customHeight="1">
      <c r="A429" s="82" t="e">
        <f t="shared" si="171"/>
        <v>#REF!</v>
      </c>
      <c r="B429" s="134">
        <v>104</v>
      </c>
      <c r="C429" s="135" t="s">
        <v>260</v>
      </c>
      <c r="D429" s="136" t="s">
        <v>274</v>
      </c>
      <c r="E429" s="137" t="s">
        <v>101</v>
      </c>
      <c r="F429" s="138" t="s">
        <v>572</v>
      </c>
      <c r="G429" s="139" t="s">
        <v>712</v>
      </c>
      <c r="H429" s="140" t="str">
        <f t="shared" si="151"/>
        <v>Niet van toepassing</v>
      </c>
      <c r="I429" s="138" t="s">
        <v>261</v>
      </c>
      <c r="J429" s="138" t="s">
        <v>1172</v>
      </c>
      <c r="K429" s="141" t="str">
        <f t="shared" si="152"/>
        <v>NVT</v>
      </c>
      <c r="L429" s="141" t="str">
        <f t="shared" si="153"/>
        <v>NVT</v>
      </c>
      <c r="M429" s="141" t="str">
        <f t="shared" si="154"/>
        <v>NVT</v>
      </c>
      <c r="N429" s="141" t="str">
        <f t="shared" si="155"/>
        <v>NVT</v>
      </c>
      <c r="O429" s="141" t="str">
        <f t="shared" si="156"/>
        <v>NVT</v>
      </c>
      <c r="P429" s="141" t="str">
        <f t="shared" si="157"/>
        <v>NVT</v>
      </c>
      <c r="Q429" s="141" t="str">
        <f t="shared" si="158"/>
        <v>NVT</v>
      </c>
      <c r="R429" s="63" t="s">
        <v>1221</v>
      </c>
      <c r="S429" s="142">
        <f t="shared" si="166"/>
        <v>0</v>
      </c>
      <c r="T429" s="143">
        <v>0</v>
      </c>
      <c r="U429" s="144"/>
      <c r="V429" s="144"/>
      <c r="W429" s="144"/>
      <c r="X429" s="144"/>
      <c r="Y429" s="144"/>
      <c r="Z429" s="145"/>
      <c r="AA429" s="145"/>
      <c r="AB429" s="145"/>
      <c r="AC429" s="145"/>
      <c r="AD429" s="146" t="s">
        <v>757</v>
      </c>
      <c r="AE429" s="171">
        <v>1</v>
      </c>
      <c r="AF429" s="147">
        <f t="shared" si="159"/>
        <v>0</v>
      </c>
      <c r="AG429" s="147">
        <f t="shared" si="160"/>
        <v>0</v>
      </c>
      <c r="AH429" s="147">
        <f t="shared" si="161"/>
        <v>0</v>
      </c>
      <c r="AI429" s="147">
        <f t="shared" si="162"/>
        <v>0</v>
      </c>
      <c r="AJ429" s="148">
        <f t="shared" si="163"/>
        <v>0</v>
      </c>
      <c r="AK429" s="149">
        <f t="shared" si="167"/>
        <v>0</v>
      </c>
      <c r="AL429" s="149">
        <f t="shared" si="168"/>
        <v>0</v>
      </c>
      <c r="AM429" s="149">
        <f t="shared" si="169"/>
        <v>0</v>
      </c>
      <c r="AN429" s="149">
        <f t="shared" si="170"/>
        <v>0</v>
      </c>
      <c r="AO429" s="150">
        <f t="shared" si="164"/>
        <v>0</v>
      </c>
      <c r="AQ429" s="151">
        <f t="shared" si="165"/>
        <v>0</v>
      </c>
    </row>
    <row r="430" spans="1:43" ht="15" customHeight="1">
      <c r="A430" s="82" t="e">
        <f t="shared" si="171"/>
        <v>#REF!</v>
      </c>
      <c r="B430" s="134">
        <v>104</v>
      </c>
      <c r="C430" s="135" t="s">
        <v>260</v>
      </c>
      <c r="D430" s="136" t="s">
        <v>274</v>
      </c>
      <c r="E430" s="137" t="s">
        <v>101</v>
      </c>
      <c r="F430" s="138" t="s">
        <v>262</v>
      </c>
      <c r="G430" s="139" t="s">
        <v>713</v>
      </c>
      <c r="H430" s="140" t="str">
        <f t="shared" ref="H430:H482" si="172">VLOOKUP(R430,Kengetal,3,FALSE)</f>
        <v>Niet van toepassing</v>
      </c>
      <c r="I430" s="138" t="s">
        <v>82</v>
      </c>
      <c r="J430" s="138" t="s">
        <v>1172</v>
      </c>
      <c r="K430" s="141" t="str">
        <f t="shared" ref="K430:K482" si="173">IF($R430="",0,VLOOKUP($R430,Kengetal,14,FALSE))</f>
        <v>NVT</v>
      </c>
      <c r="L430" s="141" t="str">
        <f t="shared" ref="L430:L482" si="174">IF($R430="",0,VLOOKUP($R430,Kengetal,15,FALSE))</f>
        <v>NVT</v>
      </c>
      <c r="M430" s="141" t="str">
        <f t="shared" ref="M430:M482" si="175">IF($R430="",0,VLOOKUP($R430,Kengetal,16,FALSE))</f>
        <v>NVT</v>
      </c>
      <c r="N430" s="141" t="str">
        <f t="shared" ref="N430:N482" si="176">IF($R430="",0,VLOOKUP($R430,Kengetal,17,FALSE))</f>
        <v>NVT</v>
      </c>
      <c r="O430" s="141" t="str">
        <f t="shared" ref="O430:O482" si="177">IF($R430="",0,VLOOKUP($R430,Kengetal,18,FALSE))</f>
        <v>NVT</v>
      </c>
      <c r="P430" s="141" t="str">
        <f t="shared" ref="P430:P482" si="178">IF($R430="",0,VLOOKUP($R430,Kengetal,19,FALSE))</f>
        <v>NVT</v>
      </c>
      <c r="Q430" s="141" t="str">
        <f t="shared" ref="Q430:Q482" si="179">IF($R430="",0,VLOOKUP($R430,Kengetal,20,FALSE))</f>
        <v>NVT</v>
      </c>
      <c r="R430" s="63" t="s">
        <v>1221</v>
      </c>
      <c r="S430" s="142">
        <f t="shared" si="166"/>
        <v>0</v>
      </c>
      <c r="T430" s="143">
        <v>2.6</v>
      </c>
      <c r="U430" s="144"/>
      <c r="V430" s="144"/>
      <c r="W430" s="144">
        <v>15</v>
      </c>
      <c r="X430" s="144"/>
      <c r="Y430" s="144"/>
      <c r="Z430" s="145"/>
      <c r="AA430" s="145">
        <v>2</v>
      </c>
      <c r="AB430" s="145"/>
      <c r="AC430" s="145"/>
      <c r="AD430" s="146"/>
      <c r="AE430" s="171">
        <v>1</v>
      </c>
      <c r="AF430" s="147">
        <f t="shared" ref="AF430:AF482" si="180">T430*AK430*AE430</f>
        <v>0</v>
      </c>
      <c r="AG430" s="147">
        <f t="shared" ref="AG430:AG482" si="181">T430*AL430*AE430</f>
        <v>0</v>
      </c>
      <c r="AH430" s="147">
        <f t="shared" ref="AH430:AH482" si="182">T430*AM430*AE430</f>
        <v>0</v>
      </c>
      <c r="AI430" s="147">
        <f t="shared" ref="AI430:AI482" si="183">T430*AN430*AE430</f>
        <v>0</v>
      </c>
      <c r="AJ430" s="148">
        <f t="shared" ref="AJ430:AJ482" si="184">IF($R430="",0,VLOOKUP($R430,Kengetal,12,FALSE))</f>
        <v>0</v>
      </c>
      <c r="AK430" s="149">
        <f t="shared" si="167"/>
        <v>0</v>
      </c>
      <c r="AL430" s="149">
        <f t="shared" si="168"/>
        <v>0</v>
      </c>
      <c r="AM430" s="149">
        <f t="shared" si="169"/>
        <v>0</v>
      </c>
      <c r="AN430" s="149">
        <f t="shared" si="170"/>
        <v>0</v>
      </c>
      <c r="AO430" s="150">
        <f t="shared" ref="AO430:AO482" si="185">IF($R430="",0,VLOOKUP($R430,Kengetal,13,FALSE))</f>
        <v>0</v>
      </c>
      <c r="AQ430" s="151">
        <f t="shared" ref="AQ430:AQ482" si="186">T430*S430</f>
        <v>0</v>
      </c>
    </row>
    <row r="431" spans="1:43" ht="15" customHeight="1">
      <c r="A431" s="82" t="e">
        <f t="shared" si="171"/>
        <v>#REF!</v>
      </c>
      <c r="B431" s="134">
        <v>104</v>
      </c>
      <c r="C431" s="135" t="s">
        <v>260</v>
      </c>
      <c r="D431" s="136" t="s">
        <v>274</v>
      </c>
      <c r="E431" s="137" t="s">
        <v>101</v>
      </c>
      <c r="F431" s="138" t="s">
        <v>262</v>
      </c>
      <c r="G431" s="139" t="s">
        <v>714</v>
      </c>
      <c r="H431" s="140" t="str">
        <f t="shared" si="172"/>
        <v>Niet van toepassing</v>
      </c>
      <c r="I431" s="138" t="s">
        <v>82</v>
      </c>
      <c r="J431" s="138" t="s">
        <v>1172</v>
      </c>
      <c r="K431" s="141" t="str">
        <f t="shared" si="173"/>
        <v>NVT</v>
      </c>
      <c r="L431" s="141" t="str">
        <f t="shared" si="174"/>
        <v>NVT</v>
      </c>
      <c r="M431" s="141" t="str">
        <f t="shared" si="175"/>
        <v>NVT</v>
      </c>
      <c r="N431" s="141" t="str">
        <f t="shared" si="176"/>
        <v>NVT</v>
      </c>
      <c r="O431" s="141" t="str">
        <f t="shared" si="177"/>
        <v>NVT</v>
      </c>
      <c r="P431" s="141" t="str">
        <f t="shared" si="178"/>
        <v>NVT</v>
      </c>
      <c r="Q431" s="141" t="str">
        <f t="shared" si="179"/>
        <v>NVT</v>
      </c>
      <c r="R431" s="63" t="s">
        <v>1221</v>
      </c>
      <c r="S431" s="142">
        <f t="shared" si="166"/>
        <v>0</v>
      </c>
      <c r="T431" s="143">
        <f>(2.3*6.7)*1.3</f>
        <v>20.032999999999998</v>
      </c>
      <c r="U431" s="144"/>
      <c r="V431" s="144"/>
      <c r="W431" s="144">
        <f>(2.3+6.7)*2*3.2-1.3*3.2</f>
        <v>53.44</v>
      </c>
      <c r="X431" s="144">
        <f>1.3*3.2</f>
        <v>4.16</v>
      </c>
      <c r="Y431" s="144"/>
      <c r="Z431" s="145"/>
      <c r="AA431" s="145"/>
      <c r="AB431" s="145">
        <v>15</v>
      </c>
      <c r="AC431" s="145"/>
      <c r="AD431" s="146" t="s">
        <v>679</v>
      </c>
      <c r="AE431" s="171">
        <v>1</v>
      </c>
      <c r="AF431" s="147">
        <f t="shared" si="180"/>
        <v>0</v>
      </c>
      <c r="AG431" s="147">
        <f t="shared" si="181"/>
        <v>0</v>
      </c>
      <c r="AH431" s="147">
        <f t="shared" si="182"/>
        <v>0</v>
      </c>
      <c r="AI431" s="147">
        <f t="shared" si="183"/>
        <v>0</v>
      </c>
      <c r="AJ431" s="148">
        <f t="shared" si="184"/>
        <v>0</v>
      </c>
      <c r="AK431" s="149">
        <f t="shared" si="167"/>
        <v>0</v>
      </c>
      <c r="AL431" s="149">
        <f t="shared" si="168"/>
        <v>0</v>
      </c>
      <c r="AM431" s="149">
        <f t="shared" si="169"/>
        <v>0</v>
      </c>
      <c r="AN431" s="149">
        <f t="shared" si="170"/>
        <v>0</v>
      </c>
      <c r="AO431" s="150">
        <f t="shared" si="185"/>
        <v>0</v>
      </c>
      <c r="AQ431" s="151">
        <f t="shared" si="186"/>
        <v>0</v>
      </c>
    </row>
    <row r="432" spans="1:43" ht="15" customHeight="1">
      <c r="A432" s="82" t="e">
        <f>1+#REF!</f>
        <v>#REF!</v>
      </c>
      <c r="B432" s="134">
        <v>104</v>
      </c>
      <c r="C432" s="135" t="s">
        <v>260</v>
      </c>
      <c r="D432" s="136" t="s">
        <v>274</v>
      </c>
      <c r="E432" s="137" t="s">
        <v>101</v>
      </c>
      <c r="F432" s="138" t="s">
        <v>715</v>
      </c>
      <c r="G432" s="139" t="s">
        <v>716</v>
      </c>
      <c r="H432" s="140" t="str">
        <f t="shared" si="172"/>
        <v>Niet van toepassing</v>
      </c>
      <c r="I432" s="138" t="s">
        <v>747</v>
      </c>
      <c r="J432" s="138" t="s">
        <v>1172</v>
      </c>
      <c r="K432" s="141" t="str">
        <f t="shared" si="173"/>
        <v>NVT</v>
      </c>
      <c r="L432" s="141" t="str">
        <f t="shared" si="174"/>
        <v>NVT</v>
      </c>
      <c r="M432" s="141" t="str">
        <f t="shared" si="175"/>
        <v>NVT</v>
      </c>
      <c r="N432" s="141" t="str">
        <f t="shared" si="176"/>
        <v>NVT</v>
      </c>
      <c r="O432" s="141" t="str">
        <f t="shared" si="177"/>
        <v>NVT</v>
      </c>
      <c r="P432" s="141" t="str">
        <f t="shared" si="178"/>
        <v>NVT</v>
      </c>
      <c r="Q432" s="141" t="str">
        <f t="shared" si="179"/>
        <v>NVT</v>
      </c>
      <c r="R432" s="63" t="s">
        <v>1221</v>
      </c>
      <c r="S432" s="142">
        <f t="shared" si="166"/>
        <v>0</v>
      </c>
      <c r="T432" s="143">
        <f>(7.3*1.85)*1.3</f>
        <v>17.556500000000003</v>
      </c>
      <c r="U432" s="144"/>
      <c r="V432" s="144"/>
      <c r="W432" s="144">
        <v>62</v>
      </c>
      <c r="X432" s="144"/>
      <c r="Y432" s="144"/>
      <c r="Z432" s="145"/>
      <c r="AA432" s="145">
        <v>14</v>
      </c>
      <c r="AB432" s="145"/>
      <c r="AC432" s="145"/>
      <c r="AD432" s="146"/>
      <c r="AE432" s="171">
        <v>1</v>
      </c>
      <c r="AF432" s="147">
        <f t="shared" si="180"/>
        <v>0</v>
      </c>
      <c r="AG432" s="147">
        <f t="shared" si="181"/>
        <v>0</v>
      </c>
      <c r="AH432" s="147">
        <f t="shared" si="182"/>
        <v>0</v>
      </c>
      <c r="AI432" s="147">
        <f t="shared" si="183"/>
        <v>0</v>
      </c>
      <c r="AJ432" s="148">
        <f t="shared" si="184"/>
        <v>0</v>
      </c>
      <c r="AK432" s="149">
        <f t="shared" si="167"/>
        <v>0</v>
      </c>
      <c r="AL432" s="149">
        <f t="shared" si="168"/>
        <v>0</v>
      </c>
      <c r="AM432" s="149">
        <f t="shared" si="169"/>
        <v>0</v>
      </c>
      <c r="AN432" s="149">
        <f t="shared" si="170"/>
        <v>0</v>
      </c>
      <c r="AO432" s="150">
        <f t="shared" si="185"/>
        <v>0</v>
      </c>
      <c r="AQ432" s="151">
        <f t="shared" si="186"/>
        <v>0</v>
      </c>
    </row>
    <row r="433" spans="1:43" ht="15" customHeight="1">
      <c r="A433" s="82" t="e">
        <f t="shared" si="171"/>
        <v>#REF!</v>
      </c>
      <c r="B433" s="134">
        <v>104</v>
      </c>
      <c r="C433" s="135" t="s">
        <v>260</v>
      </c>
      <c r="D433" s="136" t="s">
        <v>274</v>
      </c>
      <c r="E433" s="137" t="s">
        <v>101</v>
      </c>
      <c r="F433" s="138" t="s">
        <v>271</v>
      </c>
      <c r="G433" s="139" t="s">
        <v>717</v>
      </c>
      <c r="H433" s="140" t="str">
        <f t="shared" si="172"/>
        <v>Niet van toepassing</v>
      </c>
      <c r="I433" s="138" t="s">
        <v>35</v>
      </c>
      <c r="J433" s="138" t="s">
        <v>1172</v>
      </c>
      <c r="K433" s="141" t="str">
        <f t="shared" si="173"/>
        <v>NVT</v>
      </c>
      <c r="L433" s="141" t="str">
        <f t="shared" si="174"/>
        <v>NVT</v>
      </c>
      <c r="M433" s="141" t="str">
        <f t="shared" si="175"/>
        <v>NVT</v>
      </c>
      <c r="N433" s="141" t="str">
        <f t="shared" si="176"/>
        <v>NVT</v>
      </c>
      <c r="O433" s="141" t="str">
        <f t="shared" si="177"/>
        <v>NVT</v>
      </c>
      <c r="P433" s="141" t="str">
        <f t="shared" si="178"/>
        <v>NVT</v>
      </c>
      <c r="Q433" s="141" t="str">
        <f t="shared" si="179"/>
        <v>NVT</v>
      </c>
      <c r="R433" s="63" t="s">
        <v>1221</v>
      </c>
      <c r="S433" s="142">
        <f t="shared" si="166"/>
        <v>0</v>
      </c>
      <c r="T433" s="143">
        <v>2.6</v>
      </c>
      <c r="U433" s="144">
        <v>2</v>
      </c>
      <c r="V433" s="144"/>
      <c r="W433" s="144">
        <v>11</v>
      </c>
      <c r="X433" s="144"/>
      <c r="Y433" s="144"/>
      <c r="Z433" s="145"/>
      <c r="AA433" s="145"/>
      <c r="AB433" s="145">
        <v>2</v>
      </c>
      <c r="AC433" s="145"/>
      <c r="AD433" s="146"/>
      <c r="AE433" s="171">
        <v>1</v>
      </c>
      <c r="AF433" s="147">
        <f t="shared" si="180"/>
        <v>0</v>
      </c>
      <c r="AG433" s="147">
        <f t="shared" si="181"/>
        <v>0</v>
      </c>
      <c r="AH433" s="147">
        <f t="shared" si="182"/>
        <v>0</v>
      </c>
      <c r="AI433" s="147">
        <f t="shared" si="183"/>
        <v>0</v>
      </c>
      <c r="AJ433" s="148">
        <f t="shared" si="184"/>
        <v>0</v>
      </c>
      <c r="AK433" s="149">
        <f t="shared" si="167"/>
        <v>0</v>
      </c>
      <c r="AL433" s="149">
        <f t="shared" si="168"/>
        <v>0</v>
      </c>
      <c r="AM433" s="149">
        <f t="shared" si="169"/>
        <v>0</v>
      </c>
      <c r="AN433" s="149">
        <f t="shared" si="170"/>
        <v>0</v>
      </c>
      <c r="AO433" s="150">
        <f t="shared" si="185"/>
        <v>0</v>
      </c>
      <c r="AQ433" s="151">
        <f t="shared" si="186"/>
        <v>0</v>
      </c>
    </row>
    <row r="434" spans="1:43" ht="15" customHeight="1">
      <c r="A434" s="82" t="e">
        <f t="shared" si="171"/>
        <v>#REF!</v>
      </c>
      <c r="B434" s="134">
        <v>104</v>
      </c>
      <c r="C434" s="135" t="s">
        <v>260</v>
      </c>
      <c r="D434" s="136" t="s">
        <v>274</v>
      </c>
      <c r="E434" s="137" t="s">
        <v>101</v>
      </c>
      <c r="F434" s="138" t="s">
        <v>271</v>
      </c>
      <c r="G434" s="139" t="s">
        <v>718</v>
      </c>
      <c r="H434" s="140" t="str">
        <f t="shared" si="172"/>
        <v>Niet van toepassing</v>
      </c>
      <c r="I434" s="138" t="s">
        <v>195</v>
      </c>
      <c r="J434" s="138" t="s">
        <v>1172</v>
      </c>
      <c r="K434" s="141" t="str">
        <f t="shared" si="173"/>
        <v>NVT</v>
      </c>
      <c r="L434" s="141" t="str">
        <f t="shared" si="174"/>
        <v>NVT</v>
      </c>
      <c r="M434" s="141" t="str">
        <f t="shared" si="175"/>
        <v>NVT</v>
      </c>
      <c r="N434" s="141" t="str">
        <f t="shared" si="176"/>
        <v>NVT</v>
      </c>
      <c r="O434" s="141" t="str">
        <f t="shared" si="177"/>
        <v>NVT</v>
      </c>
      <c r="P434" s="141" t="str">
        <f t="shared" si="178"/>
        <v>NVT</v>
      </c>
      <c r="Q434" s="141" t="str">
        <f t="shared" si="179"/>
        <v>NVT</v>
      </c>
      <c r="R434" s="63" t="s">
        <v>1221</v>
      </c>
      <c r="S434" s="142">
        <f t="shared" si="166"/>
        <v>0</v>
      </c>
      <c r="T434" s="143">
        <v>11.700000000000001</v>
      </c>
      <c r="U434" s="144"/>
      <c r="V434" s="144">
        <v>29</v>
      </c>
      <c r="W434" s="144">
        <v>19</v>
      </c>
      <c r="X434" s="144"/>
      <c r="Y434" s="144"/>
      <c r="Z434" s="145"/>
      <c r="AA434" s="145"/>
      <c r="AB434" s="145">
        <v>9</v>
      </c>
      <c r="AC434" s="145"/>
      <c r="AD434" s="146" t="s">
        <v>679</v>
      </c>
      <c r="AE434" s="171">
        <v>1</v>
      </c>
      <c r="AF434" s="147">
        <f t="shared" si="180"/>
        <v>0</v>
      </c>
      <c r="AG434" s="147">
        <f t="shared" si="181"/>
        <v>0</v>
      </c>
      <c r="AH434" s="147">
        <f t="shared" si="182"/>
        <v>0</v>
      </c>
      <c r="AI434" s="147">
        <f t="shared" si="183"/>
        <v>0</v>
      </c>
      <c r="AJ434" s="148">
        <f t="shared" si="184"/>
        <v>0</v>
      </c>
      <c r="AK434" s="149">
        <f t="shared" si="167"/>
        <v>0</v>
      </c>
      <c r="AL434" s="149">
        <f t="shared" si="168"/>
        <v>0</v>
      </c>
      <c r="AM434" s="149">
        <f t="shared" si="169"/>
        <v>0</v>
      </c>
      <c r="AN434" s="149">
        <f t="shared" si="170"/>
        <v>0</v>
      </c>
      <c r="AO434" s="150">
        <f t="shared" si="185"/>
        <v>0</v>
      </c>
      <c r="AQ434" s="151">
        <f t="shared" si="186"/>
        <v>0</v>
      </c>
    </row>
    <row r="435" spans="1:43" ht="15" customHeight="1">
      <c r="A435" s="82" t="e">
        <f t="shared" si="171"/>
        <v>#REF!</v>
      </c>
      <c r="B435" s="134">
        <v>104</v>
      </c>
      <c r="C435" s="135" t="s">
        <v>260</v>
      </c>
      <c r="D435" s="136" t="s">
        <v>274</v>
      </c>
      <c r="E435" s="137" t="s">
        <v>101</v>
      </c>
      <c r="F435" s="138" t="s">
        <v>271</v>
      </c>
      <c r="G435" s="139" t="s">
        <v>719</v>
      </c>
      <c r="H435" s="140" t="str">
        <f t="shared" si="172"/>
        <v>Niet van toepassing</v>
      </c>
      <c r="I435" s="138" t="s">
        <v>82</v>
      </c>
      <c r="J435" s="138" t="s">
        <v>1172</v>
      </c>
      <c r="K435" s="141" t="str">
        <f t="shared" si="173"/>
        <v>NVT</v>
      </c>
      <c r="L435" s="141" t="str">
        <f t="shared" si="174"/>
        <v>NVT</v>
      </c>
      <c r="M435" s="141" t="str">
        <f t="shared" si="175"/>
        <v>NVT</v>
      </c>
      <c r="N435" s="141" t="str">
        <f t="shared" si="176"/>
        <v>NVT</v>
      </c>
      <c r="O435" s="141" t="str">
        <f t="shared" si="177"/>
        <v>NVT</v>
      </c>
      <c r="P435" s="141" t="str">
        <f t="shared" si="178"/>
        <v>NVT</v>
      </c>
      <c r="Q435" s="141" t="str">
        <f t="shared" si="179"/>
        <v>NVT</v>
      </c>
      <c r="R435" s="63" t="s">
        <v>1221</v>
      </c>
      <c r="S435" s="142">
        <f t="shared" si="166"/>
        <v>0</v>
      </c>
      <c r="T435" s="143">
        <f>(4.05*(2.95+2.3)/2)*1.3</f>
        <v>13.820625</v>
      </c>
      <c r="U435" s="144"/>
      <c r="V435" s="144">
        <v>43</v>
      </c>
      <c r="W435" s="144"/>
      <c r="X435" s="144"/>
      <c r="Y435" s="144"/>
      <c r="Z435" s="145"/>
      <c r="AA435" s="145"/>
      <c r="AB435" s="145">
        <v>11</v>
      </c>
      <c r="AC435" s="145"/>
      <c r="AD435" s="146"/>
      <c r="AE435" s="171">
        <v>1</v>
      </c>
      <c r="AF435" s="147">
        <f t="shared" si="180"/>
        <v>0</v>
      </c>
      <c r="AG435" s="147">
        <f t="shared" si="181"/>
        <v>0</v>
      </c>
      <c r="AH435" s="147">
        <f t="shared" si="182"/>
        <v>0</v>
      </c>
      <c r="AI435" s="147">
        <f t="shared" si="183"/>
        <v>0</v>
      </c>
      <c r="AJ435" s="148">
        <f t="shared" si="184"/>
        <v>0</v>
      </c>
      <c r="AK435" s="149">
        <f t="shared" si="167"/>
        <v>0</v>
      </c>
      <c r="AL435" s="149">
        <f t="shared" si="168"/>
        <v>0</v>
      </c>
      <c r="AM435" s="149">
        <f t="shared" si="169"/>
        <v>0</v>
      </c>
      <c r="AN435" s="149">
        <f t="shared" si="170"/>
        <v>0</v>
      </c>
      <c r="AO435" s="150">
        <f t="shared" si="185"/>
        <v>0</v>
      </c>
      <c r="AQ435" s="151">
        <f t="shared" si="186"/>
        <v>0</v>
      </c>
    </row>
    <row r="436" spans="1:43" ht="15" customHeight="1">
      <c r="A436" s="82" t="e">
        <f t="shared" si="171"/>
        <v>#REF!</v>
      </c>
      <c r="B436" s="134">
        <v>104</v>
      </c>
      <c r="C436" s="135" t="s">
        <v>260</v>
      </c>
      <c r="D436" s="136" t="s">
        <v>274</v>
      </c>
      <c r="E436" s="137" t="s">
        <v>101</v>
      </c>
      <c r="F436" s="138" t="s">
        <v>271</v>
      </c>
      <c r="G436" s="139" t="s">
        <v>720</v>
      </c>
      <c r="H436" s="140" t="str">
        <f t="shared" si="172"/>
        <v>Niet van toepassing</v>
      </c>
      <c r="I436" s="138" t="s">
        <v>82</v>
      </c>
      <c r="J436" s="138" t="s">
        <v>1172</v>
      </c>
      <c r="K436" s="141" t="str">
        <f t="shared" si="173"/>
        <v>NVT</v>
      </c>
      <c r="L436" s="141" t="str">
        <f t="shared" si="174"/>
        <v>NVT</v>
      </c>
      <c r="M436" s="141" t="str">
        <f t="shared" si="175"/>
        <v>NVT</v>
      </c>
      <c r="N436" s="141" t="str">
        <f t="shared" si="176"/>
        <v>NVT</v>
      </c>
      <c r="O436" s="141" t="str">
        <f t="shared" si="177"/>
        <v>NVT</v>
      </c>
      <c r="P436" s="141" t="str">
        <f t="shared" si="178"/>
        <v>NVT</v>
      </c>
      <c r="Q436" s="141" t="str">
        <f t="shared" si="179"/>
        <v>NVT</v>
      </c>
      <c r="R436" s="63" t="s">
        <v>1221</v>
      </c>
      <c r="S436" s="142">
        <f t="shared" si="166"/>
        <v>0</v>
      </c>
      <c r="T436" s="143">
        <f>(+(1.15+1.1+2.5)*(3.85+3.1)/2-0.85*1.1)*1.3</f>
        <v>20.242625</v>
      </c>
      <c r="U436" s="144"/>
      <c r="V436" s="144">
        <v>59</v>
      </c>
      <c r="W436" s="144"/>
      <c r="X436" s="144"/>
      <c r="Y436" s="144"/>
      <c r="Z436" s="145"/>
      <c r="AA436" s="145"/>
      <c r="AB436" s="145">
        <v>16</v>
      </c>
      <c r="AC436" s="145"/>
      <c r="AD436" s="146"/>
      <c r="AE436" s="171">
        <v>1</v>
      </c>
      <c r="AF436" s="147">
        <f t="shared" si="180"/>
        <v>0</v>
      </c>
      <c r="AG436" s="147">
        <f t="shared" si="181"/>
        <v>0</v>
      </c>
      <c r="AH436" s="147">
        <f t="shared" si="182"/>
        <v>0</v>
      </c>
      <c r="AI436" s="147">
        <f t="shared" si="183"/>
        <v>0</v>
      </c>
      <c r="AJ436" s="148">
        <f t="shared" si="184"/>
        <v>0</v>
      </c>
      <c r="AK436" s="149">
        <f t="shared" si="167"/>
        <v>0</v>
      </c>
      <c r="AL436" s="149">
        <f t="shared" si="168"/>
        <v>0</v>
      </c>
      <c r="AM436" s="149">
        <f t="shared" si="169"/>
        <v>0</v>
      </c>
      <c r="AN436" s="149">
        <f t="shared" si="170"/>
        <v>0</v>
      </c>
      <c r="AO436" s="150">
        <f t="shared" si="185"/>
        <v>0</v>
      </c>
      <c r="AQ436" s="151">
        <f t="shared" si="186"/>
        <v>0</v>
      </c>
    </row>
    <row r="437" spans="1:43" ht="15" customHeight="1">
      <c r="A437" s="82" t="e">
        <f t="shared" si="171"/>
        <v>#REF!</v>
      </c>
      <c r="B437" s="134">
        <v>104</v>
      </c>
      <c r="C437" s="135" t="s">
        <v>260</v>
      </c>
      <c r="D437" s="136" t="s">
        <v>274</v>
      </c>
      <c r="E437" s="137" t="s">
        <v>101</v>
      </c>
      <c r="F437" s="138" t="s">
        <v>271</v>
      </c>
      <c r="G437" s="139" t="s">
        <v>721</v>
      </c>
      <c r="H437" s="140" t="str">
        <f t="shared" si="172"/>
        <v>Niet van toepassing</v>
      </c>
      <c r="I437" s="138" t="s">
        <v>82</v>
      </c>
      <c r="J437" s="138" t="s">
        <v>1172</v>
      </c>
      <c r="K437" s="141" t="str">
        <f t="shared" si="173"/>
        <v>NVT</v>
      </c>
      <c r="L437" s="141" t="str">
        <f t="shared" si="174"/>
        <v>NVT</v>
      </c>
      <c r="M437" s="141" t="str">
        <f t="shared" si="175"/>
        <v>NVT</v>
      </c>
      <c r="N437" s="141" t="str">
        <f t="shared" si="176"/>
        <v>NVT</v>
      </c>
      <c r="O437" s="141" t="str">
        <f t="shared" si="177"/>
        <v>NVT</v>
      </c>
      <c r="P437" s="141" t="str">
        <f t="shared" si="178"/>
        <v>NVT</v>
      </c>
      <c r="Q437" s="141" t="str">
        <f t="shared" si="179"/>
        <v>NVT</v>
      </c>
      <c r="R437" s="63" t="s">
        <v>1221</v>
      </c>
      <c r="S437" s="142">
        <f t="shared" si="166"/>
        <v>0</v>
      </c>
      <c r="T437" s="143">
        <f>(4.25*2.15)*1.3</f>
        <v>11.87875</v>
      </c>
      <c r="U437" s="144"/>
      <c r="V437" s="144">
        <v>45</v>
      </c>
      <c r="W437" s="144"/>
      <c r="X437" s="144"/>
      <c r="Y437" s="144"/>
      <c r="Z437" s="145"/>
      <c r="AA437" s="145"/>
      <c r="AB437" s="145">
        <v>9</v>
      </c>
      <c r="AC437" s="145"/>
      <c r="AD437" s="146"/>
      <c r="AE437" s="171">
        <v>1</v>
      </c>
      <c r="AF437" s="147">
        <f t="shared" si="180"/>
        <v>0</v>
      </c>
      <c r="AG437" s="147">
        <f t="shared" si="181"/>
        <v>0</v>
      </c>
      <c r="AH437" s="147">
        <f t="shared" si="182"/>
        <v>0</v>
      </c>
      <c r="AI437" s="147">
        <f t="shared" si="183"/>
        <v>0</v>
      </c>
      <c r="AJ437" s="148">
        <f t="shared" si="184"/>
        <v>0</v>
      </c>
      <c r="AK437" s="149">
        <f t="shared" si="167"/>
        <v>0</v>
      </c>
      <c r="AL437" s="149">
        <f t="shared" si="168"/>
        <v>0</v>
      </c>
      <c r="AM437" s="149">
        <f t="shared" si="169"/>
        <v>0</v>
      </c>
      <c r="AN437" s="149">
        <f t="shared" si="170"/>
        <v>0</v>
      </c>
      <c r="AO437" s="150">
        <f t="shared" si="185"/>
        <v>0</v>
      </c>
      <c r="AQ437" s="151">
        <f t="shared" si="186"/>
        <v>0</v>
      </c>
    </row>
    <row r="438" spans="1:43" ht="15" customHeight="1">
      <c r="A438" s="82" t="e">
        <f t="shared" si="171"/>
        <v>#REF!</v>
      </c>
      <c r="B438" s="134">
        <v>104</v>
      </c>
      <c r="C438" s="135" t="s">
        <v>260</v>
      </c>
      <c r="D438" s="136" t="s">
        <v>274</v>
      </c>
      <c r="E438" s="137" t="s">
        <v>101</v>
      </c>
      <c r="F438" s="138" t="s">
        <v>722</v>
      </c>
      <c r="G438" s="139" t="s">
        <v>723</v>
      </c>
      <c r="H438" s="140" t="str">
        <f t="shared" si="172"/>
        <v>Niet van toepassing</v>
      </c>
      <c r="I438" s="138" t="s">
        <v>270</v>
      </c>
      <c r="J438" s="138" t="s">
        <v>1172</v>
      </c>
      <c r="K438" s="141" t="str">
        <f t="shared" si="173"/>
        <v>NVT</v>
      </c>
      <c r="L438" s="141" t="str">
        <f t="shared" si="174"/>
        <v>NVT</v>
      </c>
      <c r="M438" s="141" t="str">
        <f t="shared" si="175"/>
        <v>NVT</v>
      </c>
      <c r="N438" s="141" t="str">
        <f t="shared" si="176"/>
        <v>NVT</v>
      </c>
      <c r="O438" s="141" t="str">
        <f t="shared" si="177"/>
        <v>NVT</v>
      </c>
      <c r="P438" s="141" t="str">
        <f t="shared" si="178"/>
        <v>NVT</v>
      </c>
      <c r="Q438" s="141" t="str">
        <f t="shared" si="179"/>
        <v>NVT</v>
      </c>
      <c r="R438" s="63" t="s">
        <v>1221</v>
      </c>
      <c r="S438" s="142">
        <f t="shared" si="166"/>
        <v>0</v>
      </c>
      <c r="T438" s="143">
        <f>(3.9*6.05)*1.3</f>
        <v>30.673500000000001</v>
      </c>
      <c r="U438" s="144"/>
      <c r="V438" s="144">
        <v>59</v>
      </c>
      <c r="W438" s="144"/>
      <c r="X438" s="144"/>
      <c r="Y438" s="144"/>
      <c r="Z438" s="145"/>
      <c r="AA438" s="145"/>
      <c r="AB438" s="145">
        <v>24</v>
      </c>
      <c r="AC438" s="145"/>
      <c r="AD438" s="146"/>
      <c r="AE438" s="171">
        <v>1</v>
      </c>
      <c r="AF438" s="147">
        <f t="shared" si="180"/>
        <v>0</v>
      </c>
      <c r="AG438" s="147">
        <f t="shared" si="181"/>
        <v>0</v>
      </c>
      <c r="AH438" s="147">
        <f t="shared" si="182"/>
        <v>0</v>
      </c>
      <c r="AI438" s="147">
        <f t="shared" si="183"/>
        <v>0</v>
      </c>
      <c r="AJ438" s="148">
        <f t="shared" si="184"/>
        <v>0</v>
      </c>
      <c r="AK438" s="149">
        <f t="shared" si="167"/>
        <v>0</v>
      </c>
      <c r="AL438" s="149">
        <f t="shared" si="168"/>
        <v>0</v>
      </c>
      <c r="AM438" s="149">
        <f t="shared" si="169"/>
        <v>0</v>
      </c>
      <c r="AN438" s="149">
        <f t="shared" si="170"/>
        <v>0</v>
      </c>
      <c r="AO438" s="150">
        <f t="shared" si="185"/>
        <v>0</v>
      </c>
      <c r="AQ438" s="151">
        <f t="shared" si="186"/>
        <v>0</v>
      </c>
    </row>
    <row r="439" spans="1:43" ht="15" customHeight="1">
      <c r="A439" s="82" t="e">
        <f t="shared" si="171"/>
        <v>#REF!</v>
      </c>
      <c r="B439" s="134">
        <v>104</v>
      </c>
      <c r="C439" s="135" t="s">
        <v>260</v>
      </c>
      <c r="D439" s="136" t="s">
        <v>274</v>
      </c>
      <c r="E439" s="137" t="s">
        <v>101</v>
      </c>
      <c r="F439" s="138" t="s">
        <v>272</v>
      </c>
      <c r="G439" s="139" t="s">
        <v>724</v>
      </c>
      <c r="H439" s="140" t="str">
        <f t="shared" si="172"/>
        <v>Niet van toepassing</v>
      </c>
      <c r="I439" s="138" t="s">
        <v>270</v>
      </c>
      <c r="J439" s="138" t="s">
        <v>1172</v>
      </c>
      <c r="K439" s="141" t="str">
        <f t="shared" si="173"/>
        <v>NVT</v>
      </c>
      <c r="L439" s="141" t="str">
        <f t="shared" si="174"/>
        <v>NVT</v>
      </c>
      <c r="M439" s="141" t="str">
        <f t="shared" si="175"/>
        <v>NVT</v>
      </c>
      <c r="N439" s="141" t="str">
        <f t="shared" si="176"/>
        <v>NVT</v>
      </c>
      <c r="O439" s="141" t="str">
        <f t="shared" si="177"/>
        <v>NVT</v>
      </c>
      <c r="P439" s="141" t="str">
        <f t="shared" si="178"/>
        <v>NVT</v>
      </c>
      <c r="Q439" s="141" t="str">
        <f t="shared" si="179"/>
        <v>NVT</v>
      </c>
      <c r="R439" s="63" t="s">
        <v>1221</v>
      </c>
      <c r="S439" s="142">
        <f t="shared" si="166"/>
        <v>0</v>
      </c>
      <c r="T439" s="143">
        <f>(4.05*15.75)*1.3</f>
        <v>82.923749999999998</v>
      </c>
      <c r="U439" s="144"/>
      <c r="V439" s="144">
        <v>129</v>
      </c>
      <c r="W439" s="144"/>
      <c r="X439" s="144"/>
      <c r="Y439" s="144"/>
      <c r="Z439" s="145"/>
      <c r="AA439" s="145"/>
      <c r="AB439" s="145">
        <v>64</v>
      </c>
      <c r="AC439" s="145"/>
      <c r="AD439" s="146"/>
      <c r="AE439" s="171">
        <v>1</v>
      </c>
      <c r="AF439" s="147">
        <f t="shared" si="180"/>
        <v>0</v>
      </c>
      <c r="AG439" s="147">
        <f t="shared" si="181"/>
        <v>0</v>
      </c>
      <c r="AH439" s="147">
        <f t="shared" si="182"/>
        <v>0</v>
      </c>
      <c r="AI439" s="147">
        <f t="shared" si="183"/>
        <v>0</v>
      </c>
      <c r="AJ439" s="148">
        <f t="shared" si="184"/>
        <v>0</v>
      </c>
      <c r="AK439" s="149">
        <f t="shared" si="167"/>
        <v>0</v>
      </c>
      <c r="AL439" s="149">
        <f t="shared" si="168"/>
        <v>0</v>
      </c>
      <c r="AM439" s="149">
        <f t="shared" si="169"/>
        <v>0</v>
      </c>
      <c r="AN439" s="149">
        <f t="shared" si="170"/>
        <v>0</v>
      </c>
      <c r="AO439" s="150">
        <f t="shared" si="185"/>
        <v>0</v>
      </c>
      <c r="AQ439" s="151">
        <f t="shared" si="186"/>
        <v>0</v>
      </c>
    </row>
    <row r="440" spans="1:43" ht="15" customHeight="1">
      <c r="A440" s="82" t="e">
        <f t="shared" si="171"/>
        <v>#REF!</v>
      </c>
      <c r="B440" s="134">
        <v>104</v>
      </c>
      <c r="C440" s="135" t="s">
        <v>260</v>
      </c>
      <c r="D440" s="136" t="s">
        <v>274</v>
      </c>
      <c r="E440" s="137" t="s">
        <v>101</v>
      </c>
      <c r="F440" s="138" t="s">
        <v>725</v>
      </c>
      <c r="G440" s="139" t="s">
        <v>726</v>
      </c>
      <c r="H440" s="140" t="str">
        <f t="shared" si="172"/>
        <v>Niet van toepassing</v>
      </c>
      <c r="I440" s="138" t="s">
        <v>35</v>
      </c>
      <c r="J440" s="138" t="s">
        <v>1172</v>
      </c>
      <c r="K440" s="141" t="str">
        <f t="shared" si="173"/>
        <v>NVT</v>
      </c>
      <c r="L440" s="141" t="str">
        <f t="shared" si="174"/>
        <v>NVT</v>
      </c>
      <c r="M440" s="141" t="str">
        <f t="shared" si="175"/>
        <v>NVT</v>
      </c>
      <c r="N440" s="141" t="str">
        <f t="shared" si="176"/>
        <v>NVT</v>
      </c>
      <c r="O440" s="141" t="str">
        <f t="shared" si="177"/>
        <v>NVT</v>
      </c>
      <c r="P440" s="141" t="str">
        <f t="shared" si="178"/>
        <v>NVT</v>
      </c>
      <c r="Q440" s="141" t="str">
        <f t="shared" si="179"/>
        <v>NVT</v>
      </c>
      <c r="R440" s="63" t="s">
        <v>1221</v>
      </c>
      <c r="S440" s="142">
        <f t="shared" si="166"/>
        <v>0</v>
      </c>
      <c r="T440" s="143">
        <v>14.3</v>
      </c>
      <c r="U440" s="144"/>
      <c r="V440" s="144"/>
      <c r="W440" s="144">
        <f>8*4.3</f>
        <v>34.4</v>
      </c>
      <c r="X440" s="144"/>
      <c r="Y440" s="144"/>
      <c r="Z440" s="145"/>
      <c r="AA440" s="145">
        <v>11</v>
      </c>
      <c r="AB440" s="145"/>
      <c r="AC440" s="145"/>
      <c r="AD440" s="146"/>
      <c r="AE440" s="171">
        <v>1</v>
      </c>
      <c r="AF440" s="147">
        <f t="shared" si="180"/>
        <v>0</v>
      </c>
      <c r="AG440" s="147">
        <f t="shared" si="181"/>
        <v>0</v>
      </c>
      <c r="AH440" s="147">
        <f t="shared" si="182"/>
        <v>0</v>
      </c>
      <c r="AI440" s="147">
        <f t="shared" si="183"/>
        <v>0</v>
      </c>
      <c r="AJ440" s="148">
        <f t="shared" si="184"/>
        <v>0</v>
      </c>
      <c r="AK440" s="149">
        <f t="shared" si="167"/>
        <v>0</v>
      </c>
      <c r="AL440" s="149">
        <f t="shared" si="168"/>
        <v>0</v>
      </c>
      <c r="AM440" s="149">
        <f t="shared" si="169"/>
        <v>0</v>
      </c>
      <c r="AN440" s="149">
        <f t="shared" si="170"/>
        <v>0</v>
      </c>
      <c r="AO440" s="150">
        <f t="shared" si="185"/>
        <v>0</v>
      </c>
      <c r="AQ440" s="151">
        <f t="shared" si="186"/>
        <v>0</v>
      </c>
    </row>
    <row r="441" spans="1:43" ht="15" customHeight="1">
      <c r="A441" s="82" t="e">
        <f t="shared" si="171"/>
        <v>#REF!</v>
      </c>
      <c r="B441" s="134">
        <v>104</v>
      </c>
      <c r="C441" s="135" t="s">
        <v>260</v>
      </c>
      <c r="D441" s="136" t="s">
        <v>274</v>
      </c>
      <c r="E441" s="137" t="s">
        <v>101</v>
      </c>
      <c r="F441" s="138" t="s">
        <v>727</v>
      </c>
      <c r="G441" s="139" t="s">
        <v>728</v>
      </c>
      <c r="H441" s="140" t="str">
        <f t="shared" si="172"/>
        <v>Niet van toepassing</v>
      </c>
      <c r="I441" s="138" t="s">
        <v>35</v>
      </c>
      <c r="J441" s="138" t="s">
        <v>1172</v>
      </c>
      <c r="K441" s="141" t="str">
        <f t="shared" si="173"/>
        <v>NVT</v>
      </c>
      <c r="L441" s="141" t="str">
        <f t="shared" si="174"/>
        <v>NVT</v>
      </c>
      <c r="M441" s="141" t="str">
        <f t="shared" si="175"/>
        <v>NVT</v>
      </c>
      <c r="N441" s="141" t="str">
        <f t="shared" si="176"/>
        <v>NVT</v>
      </c>
      <c r="O441" s="141" t="str">
        <f t="shared" si="177"/>
        <v>NVT</v>
      </c>
      <c r="P441" s="141" t="str">
        <f t="shared" si="178"/>
        <v>NVT</v>
      </c>
      <c r="Q441" s="141" t="str">
        <f t="shared" si="179"/>
        <v>NVT</v>
      </c>
      <c r="R441" s="63" t="s">
        <v>1221</v>
      </c>
      <c r="S441" s="142">
        <f t="shared" si="166"/>
        <v>0</v>
      </c>
      <c r="T441" s="143">
        <v>13</v>
      </c>
      <c r="U441" s="144"/>
      <c r="V441" s="144"/>
      <c r="W441" s="144">
        <f>4*4.3</f>
        <v>17.2</v>
      </c>
      <c r="X441" s="144"/>
      <c r="Y441" s="144"/>
      <c r="Z441" s="145"/>
      <c r="AA441" s="145">
        <v>10</v>
      </c>
      <c r="AB441" s="145"/>
      <c r="AC441" s="145"/>
      <c r="AD441" s="146"/>
      <c r="AE441" s="171">
        <v>1</v>
      </c>
      <c r="AF441" s="147">
        <f t="shared" si="180"/>
        <v>0</v>
      </c>
      <c r="AG441" s="147">
        <f t="shared" si="181"/>
        <v>0</v>
      </c>
      <c r="AH441" s="147">
        <f t="shared" si="182"/>
        <v>0</v>
      </c>
      <c r="AI441" s="147">
        <f t="shared" si="183"/>
        <v>0</v>
      </c>
      <c r="AJ441" s="148">
        <f t="shared" si="184"/>
        <v>0</v>
      </c>
      <c r="AK441" s="149">
        <f t="shared" si="167"/>
        <v>0</v>
      </c>
      <c r="AL441" s="149">
        <f t="shared" si="168"/>
        <v>0</v>
      </c>
      <c r="AM441" s="149">
        <f t="shared" si="169"/>
        <v>0</v>
      </c>
      <c r="AN441" s="149">
        <f t="shared" si="170"/>
        <v>0</v>
      </c>
      <c r="AO441" s="150">
        <f t="shared" si="185"/>
        <v>0</v>
      </c>
      <c r="AQ441" s="151">
        <f t="shared" si="186"/>
        <v>0</v>
      </c>
    </row>
    <row r="442" spans="1:43" ht="15" customHeight="1">
      <c r="A442" s="82" t="e">
        <f t="shared" si="171"/>
        <v>#REF!</v>
      </c>
      <c r="B442" s="134">
        <v>104</v>
      </c>
      <c r="C442" s="135" t="s">
        <v>260</v>
      </c>
      <c r="D442" s="136" t="s">
        <v>274</v>
      </c>
      <c r="E442" s="137" t="s">
        <v>101</v>
      </c>
      <c r="F442" s="138" t="s">
        <v>729</v>
      </c>
      <c r="G442" s="139" t="s">
        <v>730</v>
      </c>
      <c r="H442" s="140" t="str">
        <f t="shared" si="172"/>
        <v>Niet van toepassing</v>
      </c>
      <c r="I442" s="138" t="s">
        <v>35</v>
      </c>
      <c r="J442" s="138" t="s">
        <v>1172</v>
      </c>
      <c r="K442" s="141" t="str">
        <f t="shared" si="173"/>
        <v>NVT</v>
      </c>
      <c r="L442" s="141" t="str">
        <f t="shared" si="174"/>
        <v>NVT</v>
      </c>
      <c r="M442" s="141" t="str">
        <f t="shared" si="175"/>
        <v>NVT</v>
      </c>
      <c r="N442" s="141" t="str">
        <f t="shared" si="176"/>
        <v>NVT</v>
      </c>
      <c r="O442" s="141" t="str">
        <f t="shared" si="177"/>
        <v>NVT</v>
      </c>
      <c r="P442" s="141" t="str">
        <f t="shared" si="178"/>
        <v>NVT</v>
      </c>
      <c r="Q442" s="141" t="str">
        <f t="shared" si="179"/>
        <v>NVT</v>
      </c>
      <c r="R442" s="63" t="s">
        <v>1221</v>
      </c>
      <c r="S442" s="142">
        <f t="shared" si="166"/>
        <v>0</v>
      </c>
      <c r="T442" s="143">
        <v>11.700000000000001</v>
      </c>
      <c r="U442" s="144"/>
      <c r="V442" s="144"/>
      <c r="W442" s="144">
        <f>4*4.3</f>
        <v>17.2</v>
      </c>
      <c r="X442" s="144"/>
      <c r="Y442" s="144"/>
      <c r="Z442" s="145"/>
      <c r="AA442" s="145">
        <v>9</v>
      </c>
      <c r="AB442" s="145"/>
      <c r="AC442" s="145"/>
      <c r="AD442" s="146"/>
      <c r="AE442" s="171">
        <v>1</v>
      </c>
      <c r="AF442" s="147">
        <f t="shared" si="180"/>
        <v>0</v>
      </c>
      <c r="AG442" s="147">
        <f t="shared" si="181"/>
        <v>0</v>
      </c>
      <c r="AH442" s="147">
        <f t="shared" si="182"/>
        <v>0</v>
      </c>
      <c r="AI442" s="147">
        <f t="shared" si="183"/>
        <v>0</v>
      </c>
      <c r="AJ442" s="148">
        <f t="shared" si="184"/>
        <v>0</v>
      </c>
      <c r="AK442" s="149">
        <f t="shared" si="167"/>
        <v>0</v>
      </c>
      <c r="AL442" s="149">
        <f t="shared" si="168"/>
        <v>0</v>
      </c>
      <c r="AM442" s="149">
        <f t="shared" si="169"/>
        <v>0</v>
      </c>
      <c r="AN442" s="149">
        <f t="shared" si="170"/>
        <v>0</v>
      </c>
      <c r="AO442" s="150">
        <f t="shared" si="185"/>
        <v>0</v>
      </c>
      <c r="AQ442" s="151">
        <f t="shared" si="186"/>
        <v>0</v>
      </c>
    </row>
    <row r="443" spans="1:43" ht="15" customHeight="1">
      <c r="A443" s="82" t="e">
        <f t="shared" si="171"/>
        <v>#REF!</v>
      </c>
      <c r="B443" s="134">
        <v>104</v>
      </c>
      <c r="C443" s="135" t="s">
        <v>260</v>
      </c>
      <c r="D443" s="136" t="s">
        <v>274</v>
      </c>
      <c r="E443" s="137" t="s">
        <v>101</v>
      </c>
      <c r="F443" s="138" t="s">
        <v>731</v>
      </c>
      <c r="G443" s="139" t="s">
        <v>732</v>
      </c>
      <c r="H443" s="140" t="str">
        <f t="shared" si="172"/>
        <v>Niet van toepassing</v>
      </c>
      <c r="I443" s="138" t="s">
        <v>270</v>
      </c>
      <c r="J443" s="138" t="s">
        <v>1172</v>
      </c>
      <c r="K443" s="141" t="str">
        <f t="shared" si="173"/>
        <v>NVT</v>
      </c>
      <c r="L443" s="141" t="str">
        <f t="shared" si="174"/>
        <v>NVT</v>
      </c>
      <c r="M443" s="141" t="str">
        <f t="shared" si="175"/>
        <v>NVT</v>
      </c>
      <c r="N443" s="141" t="str">
        <f t="shared" si="176"/>
        <v>NVT</v>
      </c>
      <c r="O443" s="141" t="str">
        <f t="shared" si="177"/>
        <v>NVT</v>
      </c>
      <c r="P443" s="141" t="str">
        <f t="shared" si="178"/>
        <v>NVT</v>
      </c>
      <c r="Q443" s="141" t="str">
        <f t="shared" si="179"/>
        <v>NVT</v>
      </c>
      <c r="R443" s="63" t="s">
        <v>1221</v>
      </c>
      <c r="S443" s="142">
        <f t="shared" si="166"/>
        <v>0</v>
      </c>
      <c r="T443" s="143">
        <f>(3.2*6)*1.3</f>
        <v>24.960000000000004</v>
      </c>
      <c r="U443" s="144"/>
      <c r="V443" s="144">
        <v>79</v>
      </c>
      <c r="W443" s="144"/>
      <c r="X443" s="144"/>
      <c r="Y443" s="144"/>
      <c r="Z443" s="145"/>
      <c r="AA443" s="145">
        <v>19</v>
      </c>
      <c r="AB443" s="145"/>
      <c r="AC443" s="145"/>
      <c r="AD443" s="146"/>
      <c r="AE443" s="171">
        <v>1</v>
      </c>
      <c r="AF443" s="147">
        <f t="shared" si="180"/>
        <v>0</v>
      </c>
      <c r="AG443" s="147">
        <f t="shared" si="181"/>
        <v>0</v>
      </c>
      <c r="AH443" s="147">
        <f t="shared" si="182"/>
        <v>0</v>
      </c>
      <c r="AI443" s="147">
        <f t="shared" si="183"/>
        <v>0</v>
      </c>
      <c r="AJ443" s="148">
        <f t="shared" si="184"/>
        <v>0</v>
      </c>
      <c r="AK443" s="149">
        <f t="shared" si="167"/>
        <v>0</v>
      </c>
      <c r="AL443" s="149">
        <f t="shared" si="168"/>
        <v>0</v>
      </c>
      <c r="AM443" s="149">
        <f t="shared" si="169"/>
        <v>0</v>
      </c>
      <c r="AN443" s="149">
        <f t="shared" si="170"/>
        <v>0</v>
      </c>
      <c r="AO443" s="150">
        <f t="shared" si="185"/>
        <v>0</v>
      </c>
      <c r="AQ443" s="151">
        <f t="shared" si="186"/>
        <v>0</v>
      </c>
    </row>
    <row r="444" spans="1:43" ht="15" customHeight="1">
      <c r="A444" s="82" t="e">
        <f t="shared" si="171"/>
        <v>#REF!</v>
      </c>
      <c r="B444" s="134">
        <v>104</v>
      </c>
      <c r="C444" s="135" t="s">
        <v>260</v>
      </c>
      <c r="D444" s="136" t="s">
        <v>274</v>
      </c>
      <c r="E444" s="137" t="s">
        <v>101</v>
      </c>
      <c r="F444" s="138" t="s">
        <v>733</v>
      </c>
      <c r="G444" s="139" t="s">
        <v>734</v>
      </c>
      <c r="H444" s="140" t="str">
        <f t="shared" si="172"/>
        <v>Niet van toepassing</v>
      </c>
      <c r="I444" s="138" t="s">
        <v>35</v>
      </c>
      <c r="J444" s="138" t="s">
        <v>1172</v>
      </c>
      <c r="K444" s="141" t="str">
        <f t="shared" si="173"/>
        <v>NVT</v>
      </c>
      <c r="L444" s="141" t="str">
        <f t="shared" si="174"/>
        <v>NVT</v>
      </c>
      <c r="M444" s="141" t="str">
        <f t="shared" si="175"/>
        <v>NVT</v>
      </c>
      <c r="N444" s="141" t="str">
        <f t="shared" si="176"/>
        <v>NVT</v>
      </c>
      <c r="O444" s="141" t="str">
        <f t="shared" si="177"/>
        <v>NVT</v>
      </c>
      <c r="P444" s="141" t="str">
        <f t="shared" si="178"/>
        <v>NVT</v>
      </c>
      <c r="Q444" s="141" t="str">
        <f t="shared" si="179"/>
        <v>NVT</v>
      </c>
      <c r="R444" s="63" t="s">
        <v>1221</v>
      </c>
      <c r="S444" s="142">
        <f t="shared" si="166"/>
        <v>0</v>
      </c>
      <c r="T444" s="143">
        <f>(2.9*3)*1.3</f>
        <v>11.309999999999999</v>
      </c>
      <c r="U444" s="144"/>
      <c r="V444" s="144">
        <v>51</v>
      </c>
      <c r="W444" s="144"/>
      <c r="X444" s="144"/>
      <c r="Y444" s="144"/>
      <c r="Z444" s="145"/>
      <c r="AA444" s="145">
        <v>9</v>
      </c>
      <c r="AB444" s="145"/>
      <c r="AC444" s="145"/>
      <c r="AD444" s="146"/>
      <c r="AE444" s="171">
        <v>1</v>
      </c>
      <c r="AF444" s="147">
        <f t="shared" si="180"/>
        <v>0</v>
      </c>
      <c r="AG444" s="147">
        <f t="shared" si="181"/>
        <v>0</v>
      </c>
      <c r="AH444" s="147">
        <f t="shared" si="182"/>
        <v>0</v>
      </c>
      <c r="AI444" s="147">
        <f t="shared" si="183"/>
        <v>0</v>
      </c>
      <c r="AJ444" s="148">
        <f t="shared" si="184"/>
        <v>0</v>
      </c>
      <c r="AK444" s="149">
        <f t="shared" si="167"/>
        <v>0</v>
      </c>
      <c r="AL444" s="149">
        <f t="shared" si="168"/>
        <v>0</v>
      </c>
      <c r="AM444" s="149">
        <f t="shared" si="169"/>
        <v>0</v>
      </c>
      <c r="AN444" s="149">
        <f t="shared" si="170"/>
        <v>0</v>
      </c>
      <c r="AO444" s="150">
        <f t="shared" si="185"/>
        <v>0</v>
      </c>
      <c r="AQ444" s="151">
        <f t="shared" si="186"/>
        <v>0</v>
      </c>
    </row>
    <row r="445" spans="1:43" ht="15" customHeight="1">
      <c r="A445" s="82" t="e">
        <f t="shared" si="171"/>
        <v>#REF!</v>
      </c>
      <c r="B445" s="134">
        <v>104</v>
      </c>
      <c r="C445" s="135" t="s">
        <v>260</v>
      </c>
      <c r="D445" s="136" t="s">
        <v>274</v>
      </c>
      <c r="E445" s="137" t="s">
        <v>101</v>
      </c>
      <c r="F445" s="138" t="s">
        <v>597</v>
      </c>
      <c r="G445" s="139" t="s">
        <v>735</v>
      </c>
      <c r="H445" s="140" t="str">
        <f t="shared" si="172"/>
        <v>Niet van toepassing</v>
      </c>
      <c r="I445" s="138" t="s">
        <v>270</v>
      </c>
      <c r="J445" s="138" t="s">
        <v>1172</v>
      </c>
      <c r="K445" s="141" t="str">
        <f t="shared" si="173"/>
        <v>NVT</v>
      </c>
      <c r="L445" s="141" t="str">
        <f t="shared" si="174"/>
        <v>NVT</v>
      </c>
      <c r="M445" s="141" t="str">
        <f t="shared" si="175"/>
        <v>NVT</v>
      </c>
      <c r="N445" s="141" t="str">
        <f t="shared" si="176"/>
        <v>NVT</v>
      </c>
      <c r="O445" s="141" t="str">
        <f t="shared" si="177"/>
        <v>NVT</v>
      </c>
      <c r="P445" s="141" t="str">
        <f t="shared" si="178"/>
        <v>NVT</v>
      </c>
      <c r="Q445" s="141" t="str">
        <f t="shared" si="179"/>
        <v>NVT</v>
      </c>
      <c r="R445" s="63" t="s">
        <v>1221</v>
      </c>
      <c r="S445" s="142">
        <f t="shared" si="166"/>
        <v>0</v>
      </c>
      <c r="T445" s="143">
        <v>10.4</v>
      </c>
      <c r="U445" s="144"/>
      <c r="V445" s="144">
        <v>46</v>
      </c>
      <c r="W445" s="144"/>
      <c r="X445" s="144"/>
      <c r="Y445" s="144"/>
      <c r="Z445" s="145"/>
      <c r="AA445" s="145"/>
      <c r="AB445" s="145">
        <v>8</v>
      </c>
      <c r="AC445" s="145"/>
      <c r="AD445" s="146"/>
      <c r="AE445" s="171">
        <v>1</v>
      </c>
      <c r="AF445" s="147">
        <f t="shared" si="180"/>
        <v>0</v>
      </c>
      <c r="AG445" s="147">
        <f t="shared" si="181"/>
        <v>0</v>
      </c>
      <c r="AH445" s="147">
        <f t="shared" si="182"/>
        <v>0</v>
      </c>
      <c r="AI445" s="147">
        <f t="shared" si="183"/>
        <v>0</v>
      </c>
      <c r="AJ445" s="148">
        <f t="shared" si="184"/>
        <v>0</v>
      </c>
      <c r="AK445" s="149">
        <f t="shared" si="167"/>
        <v>0</v>
      </c>
      <c r="AL445" s="149">
        <f t="shared" si="168"/>
        <v>0</v>
      </c>
      <c r="AM445" s="149">
        <f t="shared" si="169"/>
        <v>0</v>
      </c>
      <c r="AN445" s="149">
        <f t="shared" si="170"/>
        <v>0</v>
      </c>
      <c r="AO445" s="150">
        <f t="shared" si="185"/>
        <v>0</v>
      </c>
      <c r="AQ445" s="151">
        <f t="shared" si="186"/>
        <v>0</v>
      </c>
    </row>
    <row r="446" spans="1:43" ht="15" customHeight="1">
      <c r="A446" s="82" t="e">
        <f t="shared" si="171"/>
        <v>#REF!</v>
      </c>
      <c r="B446" s="134">
        <v>104</v>
      </c>
      <c r="C446" s="135" t="s">
        <v>260</v>
      </c>
      <c r="D446" s="136" t="s">
        <v>274</v>
      </c>
      <c r="E446" s="137" t="s">
        <v>101</v>
      </c>
      <c r="F446" s="138" t="s">
        <v>736</v>
      </c>
      <c r="G446" s="139" t="s">
        <v>737</v>
      </c>
      <c r="H446" s="140" t="str">
        <f t="shared" si="172"/>
        <v>Niet van toepassing</v>
      </c>
      <c r="I446" s="138" t="s">
        <v>35</v>
      </c>
      <c r="J446" s="138" t="s">
        <v>1172</v>
      </c>
      <c r="K446" s="141" t="str">
        <f t="shared" si="173"/>
        <v>NVT</v>
      </c>
      <c r="L446" s="141" t="str">
        <f t="shared" si="174"/>
        <v>NVT</v>
      </c>
      <c r="M446" s="141" t="str">
        <f t="shared" si="175"/>
        <v>NVT</v>
      </c>
      <c r="N446" s="141" t="str">
        <f t="shared" si="176"/>
        <v>NVT</v>
      </c>
      <c r="O446" s="141" t="str">
        <f t="shared" si="177"/>
        <v>NVT</v>
      </c>
      <c r="P446" s="141" t="str">
        <f t="shared" si="178"/>
        <v>NVT</v>
      </c>
      <c r="Q446" s="141" t="str">
        <f t="shared" si="179"/>
        <v>NVT</v>
      </c>
      <c r="R446" s="63" t="s">
        <v>1221</v>
      </c>
      <c r="S446" s="142">
        <f t="shared" si="166"/>
        <v>0</v>
      </c>
      <c r="T446" s="143">
        <f>(2.8*3.8+1.5)*1.3</f>
        <v>15.781999999999998</v>
      </c>
      <c r="U446" s="144"/>
      <c r="V446" s="144"/>
      <c r="W446" s="144">
        <v>65</v>
      </c>
      <c r="X446" s="144"/>
      <c r="Y446" s="144"/>
      <c r="Z446" s="145"/>
      <c r="AA446" s="145"/>
      <c r="AB446" s="145">
        <v>12</v>
      </c>
      <c r="AC446" s="145"/>
      <c r="AD446" s="146" t="s">
        <v>679</v>
      </c>
      <c r="AE446" s="171">
        <v>1</v>
      </c>
      <c r="AF446" s="147">
        <f t="shared" si="180"/>
        <v>0</v>
      </c>
      <c r="AG446" s="147">
        <f t="shared" si="181"/>
        <v>0</v>
      </c>
      <c r="AH446" s="147">
        <f t="shared" si="182"/>
        <v>0</v>
      </c>
      <c r="AI446" s="147">
        <f t="shared" si="183"/>
        <v>0</v>
      </c>
      <c r="AJ446" s="148">
        <f t="shared" si="184"/>
        <v>0</v>
      </c>
      <c r="AK446" s="149">
        <f t="shared" si="167"/>
        <v>0</v>
      </c>
      <c r="AL446" s="149">
        <f t="shared" si="168"/>
        <v>0</v>
      </c>
      <c r="AM446" s="149">
        <f t="shared" si="169"/>
        <v>0</v>
      </c>
      <c r="AN446" s="149">
        <f t="shared" si="170"/>
        <v>0</v>
      </c>
      <c r="AO446" s="150">
        <f t="shared" si="185"/>
        <v>0</v>
      </c>
      <c r="AQ446" s="151">
        <f t="shared" si="186"/>
        <v>0</v>
      </c>
    </row>
    <row r="447" spans="1:43" ht="15" customHeight="1">
      <c r="A447" s="82" t="e">
        <f t="shared" si="171"/>
        <v>#REF!</v>
      </c>
      <c r="B447" s="134">
        <v>104</v>
      </c>
      <c r="C447" s="135" t="s">
        <v>260</v>
      </c>
      <c r="D447" s="136" t="s">
        <v>274</v>
      </c>
      <c r="E447" s="137" t="s">
        <v>101</v>
      </c>
      <c r="F447" s="138" t="s">
        <v>619</v>
      </c>
      <c r="G447" s="139" t="s">
        <v>738</v>
      </c>
      <c r="H447" s="140" t="str">
        <f t="shared" si="172"/>
        <v>Niet van toepassing</v>
      </c>
      <c r="I447" s="138" t="s">
        <v>270</v>
      </c>
      <c r="J447" s="138" t="s">
        <v>1172</v>
      </c>
      <c r="K447" s="141" t="str">
        <f t="shared" si="173"/>
        <v>NVT</v>
      </c>
      <c r="L447" s="141" t="str">
        <f t="shared" si="174"/>
        <v>NVT</v>
      </c>
      <c r="M447" s="141" t="str">
        <f t="shared" si="175"/>
        <v>NVT</v>
      </c>
      <c r="N447" s="141" t="str">
        <f t="shared" si="176"/>
        <v>NVT</v>
      </c>
      <c r="O447" s="141" t="str">
        <f t="shared" si="177"/>
        <v>NVT</v>
      </c>
      <c r="P447" s="141" t="str">
        <f t="shared" si="178"/>
        <v>NVT</v>
      </c>
      <c r="Q447" s="141" t="str">
        <f t="shared" si="179"/>
        <v>NVT</v>
      </c>
      <c r="R447" s="63" t="s">
        <v>1221</v>
      </c>
      <c r="S447" s="142">
        <f t="shared" si="166"/>
        <v>0</v>
      </c>
      <c r="T447" s="143">
        <f>(3.8*3.5)*1.3</f>
        <v>17.29</v>
      </c>
      <c r="U447" s="144"/>
      <c r="V447" s="144"/>
      <c r="W447" s="144">
        <v>47</v>
      </c>
      <c r="X447" s="144"/>
      <c r="Y447" s="144"/>
      <c r="Z447" s="145"/>
      <c r="AA447" s="145"/>
      <c r="AB447" s="145">
        <v>13</v>
      </c>
      <c r="AC447" s="145"/>
      <c r="AD447" s="146"/>
      <c r="AE447" s="171">
        <v>1</v>
      </c>
      <c r="AF447" s="147">
        <f t="shared" si="180"/>
        <v>0</v>
      </c>
      <c r="AG447" s="147">
        <f t="shared" si="181"/>
        <v>0</v>
      </c>
      <c r="AH447" s="147">
        <f t="shared" si="182"/>
        <v>0</v>
      </c>
      <c r="AI447" s="147">
        <f t="shared" si="183"/>
        <v>0</v>
      </c>
      <c r="AJ447" s="148">
        <f t="shared" si="184"/>
        <v>0</v>
      </c>
      <c r="AK447" s="149">
        <f t="shared" si="167"/>
        <v>0</v>
      </c>
      <c r="AL447" s="149">
        <f t="shared" si="168"/>
        <v>0</v>
      </c>
      <c r="AM447" s="149">
        <f t="shared" si="169"/>
        <v>0</v>
      </c>
      <c r="AN447" s="149">
        <f t="shared" si="170"/>
        <v>0</v>
      </c>
      <c r="AO447" s="150">
        <f t="shared" si="185"/>
        <v>0</v>
      </c>
      <c r="AQ447" s="151">
        <f t="shared" si="186"/>
        <v>0</v>
      </c>
    </row>
    <row r="448" spans="1:43" ht="15" customHeight="1">
      <c r="A448" s="82" t="e">
        <f t="shared" si="171"/>
        <v>#REF!</v>
      </c>
      <c r="B448" s="134">
        <v>104</v>
      </c>
      <c r="C448" s="135" t="s">
        <v>260</v>
      </c>
      <c r="D448" s="136" t="s">
        <v>274</v>
      </c>
      <c r="E448" s="137" t="s">
        <v>101</v>
      </c>
      <c r="F448" s="138" t="s">
        <v>619</v>
      </c>
      <c r="G448" s="139" t="s">
        <v>739</v>
      </c>
      <c r="H448" s="140" t="str">
        <f t="shared" si="172"/>
        <v>Niet van toepassing</v>
      </c>
      <c r="I448" s="138" t="s">
        <v>35</v>
      </c>
      <c r="J448" s="138" t="s">
        <v>1172</v>
      </c>
      <c r="K448" s="141" t="str">
        <f t="shared" si="173"/>
        <v>NVT</v>
      </c>
      <c r="L448" s="141" t="str">
        <f t="shared" si="174"/>
        <v>NVT</v>
      </c>
      <c r="M448" s="141" t="str">
        <f t="shared" si="175"/>
        <v>NVT</v>
      </c>
      <c r="N448" s="141" t="str">
        <f t="shared" si="176"/>
        <v>NVT</v>
      </c>
      <c r="O448" s="141" t="str">
        <f t="shared" si="177"/>
        <v>NVT</v>
      </c>
      <c r="P448" s="141" t="str">
        <f t="shared" si="178"/>
        <v>NVT</v>
      </c>
      <c r="Q448" s="141" t="str">
        <f t="shared" si="179"/>
        <v>NVT</v>
      </c>
      <c r="R448" s="63" t="s">
        <v>1221</v>
      </c>
      <c r="S448" s="142">
        <f t="shared" si="166"/>
        <v>0</v>
      </c>
      <c r="T448" s="143">
        <f>(5.2*2.25-0.5*3.3*1.15)*1.3</f>
        <v>12.743250000000003</v>
      </c>
      <c r="U448" s="144"/>
      <c r="V448" s="144"/>
      <c r="W448" s="144">
        <v>60</v>
      </c>
      <c r="X448" s="144"/>
      <c r="Y448" s="144"/>
      <c r="Z448" s="145"/>
      <c r="AA448" s="145">
        <v>10</v>
      </c>
      <c r="AB448" s="145"/>
      <c r="AC448" s="145"/>
      <c r="AD448" s="146"/>
      <c r="AE448" s="171">
        <v>1</v>
      </c>
      <c r="AF448" s="147">
        <f t="shared" si="180"/>
        <v>0</v>
      </c>
      <c r="AG448" s="147">
        <f t="shared" si="181"/>
        <v>0</v>
      </c>
      <c r="AH448" s="147">
        <f t="shared" si="182"/>
        <v>0</v>
      </c>
      <c r="AI448" s="147">
        <f t="shared" si="183"/>
        <v>0</v>
      </c>
      <c r="AJ448" s="148">
        <f t="shared" si="184"/>
        <v>0</v>
      </c>
      <c r="AK448" s="149">
        <f t="shared" si="167"/>
        <v>0</v>
      </c>
      <c r="AL448" s="149">
        <f t="shared" si="168"/>
        <v>0</v>
      </c>
      <c r="AM448" s="149">
        <f t="shared" si="169"/>
        <v>0</v>
      </c>
      <c r="AN448" s="149">
        <f t="shared" si="170"/>
        <v>0</v>
      </c>
      <c r="AO448" s="150">
        <f t="shared" si="185"/>
        <v>0</v>
      </c>
      <c r="AQ448" s="151">
        <f t="shared" si="186"/>
        <v>0</v>
      </c>
    </row>
    <row r="449" spans="1:43" ht="15" customHeight="1">
      <c r="A449" s="82" t="e">
        <f t="shared" si="171"/>
        <v>#REF!</v>
      </c>
      <c r="B449" s="134">
        <v>104</v>
      </c>
      <c r="C449" s="135" t="s">
        <v>260</v>
      </c>
      <c r="D449" s="136" t="s">
        <v>274</v>
      </c>
      <c r="E449" s="137" t="s">
        <v>101</v>
      </c>
      <c r="F449" s="138" t="s">
        <v>263</v>
      </c>
      <c r="G449" s="139" t="s">
        <v>740</v>
      </c>
      <c r="H449" s="140" t="str">
        <f t="shared" si="172"/>
        <v>Niet van toepassing</v>
      </c>
      <c r="I449" s="138" t="s">
        <v>746</v>
      </c>
      <c r="J449" s="138" t="s">
        <v>1172</v>
      </c>
      <c r="K449" s="141" t="str">
        <f t="shared" si="173"/>
        <v>NVT</v>
      </c>
      <c r="L449" s="141" t="str">
        <f t="shared" si="174"/>
        <v>NVT</v>
      </c>
      <c r="M449" s="141" t="str">
        <f t="shared" si="175"/>
        <v>NVT</v>
      </c>
      <c r="N449" s="141" t="str">
        <f t="shared" si="176"/>
        <v>NVT</v>
      </c>
      <c r="O449" s="141" t="str">
        <f t="shared" si="177"/>
        <v>NVT</v>
      </c>
      <c r="P449" s="141" t="str">
        <f t="shared" si="178"/>
        <v>NVT</v>
      </c>
      <c r="Q449" s="141" t="str">
        <f t="shared" si="179"/>
        <v>NVT</v>
      </c>
      <c r="R449" s="63" t="s">
        <v>1221</v>
      </c>
      <c r="S449" s="142">
        <f t="shared" si="166"/>
        <v>0</v>
      </c>
      <c r="T449" s="143">
        <f>(6.2*9.65+(3.8*5.5-0.55*1))*1.3</f>
        <v>104.23400000000001</v>
      </c>
      <c r="U449" s="144"/>
      <c r="V449" s="144">
        <v>100</v>
      </c>
      <c r="W449" s="144"/>
      <c r="X449" s="144"/>
      <c r="Y449" s="144"/>
      <c r="Z449" s="145"/>
      <c r="AA449" s="145"/>
      <c r="AB449" s="145">
        <v>60</v>
      </c>
      <c r="AC449" s="145"/>
      <c r="AD449" s="146" t="s">
        <v>758</v>
      </c>
      <c r="AE449" s="171">
        <v>1</v>
      </c>
      <c r="AF449" s="147">
        <f t="shared" si="180"/>
        <v>0</v>
      </c>
      <c r="AG449" s="147">
        <f t="shared" si="181"/>
        <v>0</v>
      </c>
      <c r="AH449" s="147">
        <f t="shared" si="182"/>
        <v>0</v>
      </c>
      <c r="AI449" s="147">
        <f t="shared" si="183"/>
        <v>0</v>
      </c>
      <c r="AJ449" s="148">
        <f t="shared" si="184"/>
        <v>0</v>
      </c>
      <c r="AK449" s="149">
        <f t="shared" si="167"/>
        <v>0</v>
      </c>
      <c r="AL449" s="149">
        <f t="shared" si="168"/>
        <v>0</v>
      </c>
      <c r="AM449" s="149">
        <f t="shared" si="169"/>
        <v>0</v>
      </c>
      <c r="AN449" s="149">
        <f t="shared" si="170"/>
        <v>0</v>
      </c>
      <c r="AO449" s="150">
        <f t="shared" si="185"/>
        <v>0</v>
      </c>
      <c r="AQ449" s="151">
        <f t="shared" si="186"/>
        <v>0</v>
      </c>
    </row>
    <row r="450" spans="1:43" ht="15" customHeight="1">
      <c r="A450" s="82" t="e">
        <f t="shared" si="171"/>
        <v>#REF!</v>
      </c>
      <c r="B450" s="134">
        <v>104</v>
      </c>
      <c r="C450" s="135" t="s">
        <v>260</v>
      </c>
      <c r="D450" s="136" t="s">
        <v>274</v>
      </c>
      <c r="E450" s="137" t="s">
        <v>101</v>
      </c>
      <c r="F450" s="138" t="s">
        <v>263</v>
      </c>
      <c r="G450" s="139" t="s">
        <v>741</v>
      </c>
      <c r="H450" s="140" t="str">
        <f t="shared" si="172"/>
        <v>Niet van toepassing</v>
      </c>
      <c r="I450" s="138" t="s">
        <v>746</v>
      </c>
      <c r="J450" s="138" t="s">
        <v>1172</v>
      </c>
      <c r="K450" s="141" t="str">
        <f t="shared" si="173"/>
        <v>NVT</v>
      </c>
      <c r="L450" s="141" t="str">
        <f t="shared" si="174"/>
        <v>NVT</v>
      </c>
      <c r="M450" s="141" t="str">
        <f t="shared" si="175"/>
        <v>NVT</v>
      </c>
      <c r="N450" s="141" t="str">
        <f t="shared" si="176"/>
        <v>NVT</v>
      </c>
      <c r="O450" s="141" t="str">
        <f t="shared" si="177"/>
        <v>NVT</v>
      </c>
      <c r="P450" s="141" t="str">
        <f t="shared" si="178"/>
        <v>NVT</v>
      </c>
      <c r="Q450" s="141" t="str">
        <f t="shared" si="179"/>
        <v>NVT</v>
      </c>
      <c r="R450" s="63" t="s">
        <v>1221</v>
      </c>
      <c r="S450" s="142">
        <f t="shared" si="166"/>
        <v>0</v>
      </c>
      <c r="T450" s="143">
        <f>(3.4*4.6+6.2*9.65)*1.3</f>
        <v>98.111000000000004</v>
      </c>
      <c r="U450" s="144"/>
      <c r="V450" s="144">
        <v>110</v>
      </c>
      <c r="W450" s="144"/>
      <c r="X450" s="144"/>
      <c r="Y450" s="144"/>
      <c r="Z450" s="145"/>
      <c r="AA450" s="145"/>
      <c r="AB450" s="145">
        <v>57</v>
      </c>
      <c r="AC450" s="145"/>
      <c r="AD450" s="146"/>
      <c r="AE450" s="171">
        <v>1</v>
      </c>
      <c r="AF450" s="147">
        <f t="shared" si="180"/>
        <v>0</v>
      </c>
      <c r="AG450" s="147">
        <f t="shared" si="181"/>
        <v>0</v>
      </c>
      <c r="AH450" s="147">
        <f t="shared" si="182"/>
        <v>0</v>
      </c>
      <c r="AI450" s="147">
        <f t="shared" si="183"/>
        <v>0</v>
      </c>
      <c r="AJ450" s="148">
        <f t="shared" si="184"/>
        <v>0</v>
      </c>
      <c r="AK450" s="149">
        <f t="shared" si="167"/>
        <v>0</v>
      </c>
      <c r="AL450" s="149">
        <f t="shared" si="168"/>
        <v>0</v>
      </c>
      <c r="AM450" s="149">
        <f t="shared" si="169"/>
        <v>0</v>
      </c>
      <c r="AN450" s="149">
        <f t="shared" si="170"/>
        <v>0</v>
      </c>
      <c r="AO450" s="150">
        <f t="shared" si="185"/>
        <v>0</v>
      </c>
      <c r="AQ450" s="151">
        <f t="shared" si="186"/>
        <v>0</v>
      </c>
    </row>
    <row r="451" spans="1:43" ht="15" customHeight="1">
      <c r="A451" s="82" t="e">
        <f t="shared" si="171"/>
        <v>#REF!</v>
      </c>
      <c r="B451" s="134">
        <v>104</v>
      </c>
      <c r="C451" s="135" t="s">
        <v>260</v>
      </c>
      <c r="D451" s="136" t="s">
        <v>274</v>
      </c>
      <c r="E451" s="137" t="s">
        <v>101</v>
      </c>
      <c r="F451" s="138" t="s">
        <v>646</v>
      </c>
      <c r="G451" s="139" t="s">
        <v>743</v>
      </c>
      <c r="H451" s="140" t="str">
        <f t="shared" si="172"/>
        <v>Niet van toepassing</v>
      </c>
      <c r="I451" s="138" t="s">
        <v>35</v>
      </c>
      <c r="J451" s="138" t="s">
        <v>1172</v>
      </c>
      <c r="K451" s="141" t="str">
        <f t="shared" si="173"/>
        <v>NVT</v>
      </c>
      <c r="L451" s="141" t="str">
        <f t="shared" si="174"/>
        <v>NVT</v>
      </c>
      <c r="M451" s="141" t="str">
        <f t="shared" si="175"/>
        <v>NVT</v>
      </c>
      <c r="N451" s="141" t="str">
        <f t="shared" si="176"/>
        <v>NVT</v>
      </c>
      <c r="O451" s="141" t="str">
        <f t="shared" si="177"/>
        <v>NVT</v>
      </c>
      <c r="P451" s="141" t="str">
        <f t="shared" si="178"/>
        <v>NVT</v>
      </c>
      <c r="Q451" s="141" t="str">
        <f t="shared" si="179"/>
        <v>NVT</v>
      </c>
      <c r="R451" s="63" t="s">
        <v>1221</v>
      </c>
      <c r="S451" s="142">
        <f t="shared" si="166"/>
        <v>0</v>
      </c>
      <c r="T451" s="143">
        <v>9.1</v>
      </c>
      <c r="U451" s="144"/>
      <c r="V451" s="144"/>
      <c r="W451" s="144">
        <v>24</v>
      </c>
      <c r="X451" s="144"/>
      <c r="Y451" s="144"/>
      <c r="Z451" s="145"/>
      <c r="AA451" s="145"/>
      <c r="AB451" s="145"/>
      <c r="AC451" s="145"/>
      <c r="AD451" s="146"/>
      <c r="AE451" s="171">
        <v>1</v>
      </c>
      <c r="AF451" s="147">
        <f t="shared" si="180"/>
        <v>0</v>
      </c>
      <c r="AG451" s="147">
        <f t="shared" si="181"/>
        <v>0</v>
      </c>
      <c r="AH451" s="147">
        <f t="shared" si="182"/>
        <v>0</v>
      </c>
      <c r="AI451" s="147">
        <f t="shared" si="183"/>
        <v>0</v>
      </c>
      <c r="AJ451" s="148">
        <f t="shared" si="184"/>
        <v>0</v>
      </c>
      <c r="AK451" s="149">
        <f t="shared" si="167"/>
        <v>0</v>
      </c>
      <c r="AL451" s="149">
        <f t="shared" si="168"/>
        <v>0</v>
      </c>
      <c r="AM451" s="149">
        <f t="shared" si="169"/>
        <v>0</v>
      </c>
      <c r="AN451" s="149">
        <f t="shared" si="170"/>
        <v>0</v>
      </c>
      <c r="AO451" s="150">
        <f t="shared" si="185"/>
        <v>0</v>
      </c>
      <c r="AQ451" s="151">
        <f t="shared" si="186"/>
        <v>0</v>
      </c>
    </row>
    <row r="452" spans="1:43" ht="15" customHeight="1">
      <c r="A452" s="82" t="e">
        <f t="shared" si="171"/>
        <v>#REF!</v>
      </c>
      <c r="B452" s="134">
        <v>104</v>
      </c>
      <c r="C452" s="135" t="s">
        <v>260</v>
      </c>
      <c r="D452" s="136" t="s">
        <v>274</v>
      </c>
      <c r="E452" s="137" t="s">
        <v>101</v>
      </c>
      <c r="F452" s="138" t="s">
        <v>646</v>
      </c>
      <c r="G452" s="139" t="s">
        <v>745</v>
      </c>
      <c r="H452" s="140" t="str">
        <f t="shared" si="172"/>
        <v>Niet van toepassing</v>
      </c>
      <c r="I452" s="138" t="s">
        <v>35</v>
      </c>
      <c r="J452" s="138" t="s">
        <v>1172</v>
      </c>
      <c r="K452" s="141" t="str">
        <f t="shared" si="173"/>
        <v>NVT</v>
      </c>
      <c r="L452" s="141" t="str">
        <f t="shared" si="174"/>
        <v>NVT</v>
      </c>
      <c r="M452" s="141" t="str">
        <f t="shared" si="175"/>
        <v>NVT</v>
      </c>
      <c r="N452" s="141" t="str">
        <f t="shared" si="176"/>
        <v>NVT</v>
      </c>
      <c r="O452" s="141" t="str">
        <f t="shared" si="177"/>
        <v>NVT</v>
      </c>
      <c r="P452" s="141" t="str">
        <f t="shared" si="178"/>
        <v>NVT</v>
      </c>
      <c r="Q452" s="141" t="str">
        <f t="shared" si="179"/>
        <v>NVT</v>
      </c>
      <c r="R452" s="63" t="s">
        <v>1221</v>
      </c>
      <c r="S452" s="142">
        <f t="shared" si="166"/>
        <v>0</v>
      </c>
      <c r="T452" s="143">
        <v>9.1</v>
      </c>
      <c r="U452" s="144"/>
      <c r="V452" s="144"/>
      <c r="W452" s="144">
        <v>24</v>
      </c>
      <c r="X452" s="144"/>
      <c r="Y452" s="144"/>
      <c r="Z452" s="145"/>
      <c r="AA452" s="145"/>
      <c r="AB452" s="145"/>
      <c r="AC452" s="145"/>
      <c r="AD452" s="146"/>
      <c r="AE452" s="171">
        <v>1</v>
      </c>
      <c r="AF452" s="147">
        <f t="shared" si="180"/>
        <v>0</v>
      </c>
      <c r="AG452" s="147">
        <f t="shared" si="181"/>
        <v>0</v>
      </c>
      <c r="AH452" s="147">
        <f t="shared" si="182"/>
        <v>0</v>
      </c>
      <c r="AI452" s="147">
        <f t="shared" si="183"/>
        <v>0</v>
      </c>
      <c r="AJ452" s="148">
        <f t="shared" si="184"/>
        <v>0</v>
      </c>
      <c r="AK452" s="149">
        <f t="shared" si="167"/>
        <v>0</v>
      </c>
      <c r="AL452" s="149">
        <f t="shared" si="168"/>
        <v>0</v>
      </c>
      <c r="AM452" s="149">
        <f t="shared" si="169"/>
        <v>0</v>
      </c>
      <c r="AN452" s="149">
        <f t="shared" si="170"/>
        <v>0</v>
      </c>
      <c r="AO452" s="150">
        <f t="shared" si="185"/>
        <v>0</v>
      </c>
      <c r="AQ452" s="151">
        <f t="shared" si="186"/>
        <v>0</v>
      </c>
    </row>
    <row r="453" spans="1:43" ht="15" customHeight="1">
      <c r="A453" s="82" t="e">
        <f t="shared" si="171"/>
        <v>#REF!</v>
      </c>
      <c r="B453" s="134">
        <v>104</v>
      </c>
      <c r="C453" s="135" t="s">
        <v>260</v>
      </c>
      <c r="D453" s="136" t="s">
        <v>274</v>
      </c>
      <c r="E453" s="137" t="s">
        <v>759</v>
      </c>
      <c r="F453" s="138" t="s">
        <v>760</v>
      </c>
      <c r="G453" s="139" t="s">
        <v>559</v>
      </c>
      <c r="H453" s="140" t="str">
        <f t="shared" si="172"/>
        <v>Niet van toepassing</v>
      </c>
      <c r="I453" s="138" t="s">
        <v>457</v>
      </c>
      <c r="J453" s="138" t="s">
        <v>1172</v>
      </c>
      <c r="K453" s="141" t="str">
        <f t="shared" si="173"/>
        <v>NVT</v>
      </c>
      <c r="L453" s="141" t="str">
        <f t="shared" si="174"/>
        <v>NVT</v>
      </c>
      <c r="M453" s="141" t="str">
        <f t="shared" si="175"/>
        <v>NVT</v>
      </c>
      <c r="N453" s="141" t="str">
        <f t="shared" si="176"/>
        <v>NVT</v>
      </c>
      <c r="O453" s="141" t="str">
        <f t="shared" si="177"/>
        <v>NVT</v>
      </c>
      <c r="P453" s="141" t="str">
        <f t="shared" si="178"/>
        <v>NVT</v>
      </c>
      <c r="Q453" s="141" t="str">
        <f t="shared" si="179"/>
        <v>NVT</v>
      </c>
      <c r="R453" s="63" t="s">
        <v>1221</v>
      </c>
      <c r="S453" s="142">
        <f t="shared" si="166"/>
        <v>0</v>
      </c>
      <c r="T453" s="143">
        <v>0</v>
      </c>
      <c r="U453" s="144"/>
      <c r="V453" s="144"/>
      <c r="W453" s="144"/>
      <c r="X453" s="144"/>
      <c r="Y453" s="144"/>
      <c r="Z453" s="145"/>
      <c r="AA453" s="145"/>
      <c r="AB453" s="145"/>
      <c r="AC453" s="145"/>
      <c r="AD453" s="146" t="s">
        <v>752</v>
      </c>
      <c r="AE453" s="171">
        <v>1</v>
      </c>
      <c r="AF453" s="147">
        <f t="shared" si="180"/>
        <v>0</v>
      </c>
      <c r="AG453" s="147">
        <f t="shared" si="181"/>
        <v>0</v>
      </c>
      <c r="AH453" s="147">
        <f t="shared" si="182"/>
        <v>0</v>
      </c>
      <c r="AI453" s="147">
        <f t="shared" si="183"/>
        <v>0</v>
      </c>
      <c r="AJ453" s="148">
        <f t="shared" si="184"/>
        <v>0</v>
      </c>
      <c r="AK453" s="149">
        <f t="shared" si="167"/>
        <v>0</v>
      </c>
      <c r="AL453" s="149">
        <f t="shared" si="168"/>
        <v>0</v>
      </c>
      <c r="AM453" s="149">
        <f t="shared" si="169"/>
        <v>0</v>
      </c>
      <c r="AN453" s="149">
        <f t="shared" si="170"/>
        <v>0</v>
      </c>
      <c r="AO453" s="150">
        <f t="shared" si="185"/>
        <v>0</v>
      </c>
      <c r="AQ453" s="151">
        <f t="shared" si="186"/>
        <v>0</v>
      </c>
    </row>
    <row r="454" spans="1:43" ht="15" customHeight="1">
      <c r="A454" s="82" t="e">
        <f t="shared" si="171"/>
        <v>#REF!</v>
      </c>
      <c r="B454" s="134">
        <v>104</v>
      </c>
      <c r="C454" s="135" t="s">
        <v>260</v>
      </c>
      <c r="D454" s="136" t="s">
        <v>274</v>
      </c>
      <c r="E454" s="137" t="s">
        <v>759</v>
      </c>
      <c r="F454" s="138" t="s">
        <v>761</v>
      </c>
      <c r="G454" s="139" t="s">
        <v>561</v>
      </c>
      <c r="H454" s="140" t="str">
        <f t="shared" si="172"/>
        <v>Niet van toepassing</v>
      </c>
      <c r="I454" s="138" t="s">
        <v>457</v>
      </c>
      <c r="J454" s="138" t="s">
        <v>1172</v>
      </c>
      <c r="K454" s="141" t="str">
        <f t="shared" si="173"/>
        <v>NVT</v>
      </c>
      <c r="L454" s="141" t="str">
        <f t="shared" si="174"/>
        <v>NVT</v>
      </c>
      <c r="M454" s="141" t="str">
        <f t="shared" si="175"/>
        <v>NVT</v>
      </c>
      <c r="N454" s="141" t="str">
        <f t="shared" si="176"/>
        <v>NVT</v>
      </c>
      <c r="O454" s="141" t="str">
        <f t="shared" si="177"/>
        <v>NVT</v>
      </c>
      <c r="P454" s="141" t="str">
        <f t="shared" si="178"/>
        <v>NVT</v>
      </c>
      <c r="Q454" s="141" t="str">
        <f t="shared" si="179"/>
        <v>NVT</v>
      </c>
      <c r="R454" s="63" t="s">
        <v>1221</v>
      </c>
      <c r="S454" s="142">
        <f t="shared" si="166"/>
        <v>0</v>
      </c>
      <c r="T454" s="143">
        <v>0</v>
      </c>
      <c r="U454" s="144"/>
      <c r="V454" s="144"/>
      <c r="W454" s="144"/>
      <c r="X454" s="144"/>
      <c r="Y454" s="144"/>
      <c r="Z454" s="145"/>
      <c r="AA454" s="145"/>
      <c r="AB454" s="145"/>
      <c r="AC454" s="145"/>
      <c r="AD454" s="146" t="s">
        <v>752</v>
      </c>
      <c r="AE454" s="171">
        <v>1</v>
      </c>
      <c r="AF454" s="147">
        <f t="shared" si="180"/>
        <v>0</v>
      </c>
      <c r="AG454" s="147">
        <f t="shared" si="181"/>
        <v>0</v>
      </c>
      <c r="AH454" s="147">
        <f t="shared" si="182"/>
        <v>0</v>
      </c>
      <c r="AI454" s="147">
        <f t="shared" si="183"/>
        <v>0</v>
      </c>
      <c r="AJ454" s="148">
        <f t="shared" si="184"/>
        <v>0</v>
      </c>
      <c r="AK454" s="149">
        <f t="shared" si="167"/>
        <v>0</v>
      </c>
      <c r="AL454" s="149">
        <f t="shared" si="168"/>
        <v>0</v>
      </c>
      <c r="AM454" s="149">
        <f t="shared" si="169"/>
        <v>0</v>
      </c>
      <c r="AN454" s="149">
        <f t="shared" si="170"/>
        <v>0</v>
      </c>
      <c r="AO454" s="150">
        <f t="shared" si="185"/>
        <v>0</v>
      </c>
      <c r="AQ454" s="151">
        <f t="shared" si="186"/>
        <v>0</v>
      </c>
    </row>
    <row r="455" spans="1:43" ht="15" customHeight="1">
      <c r="A455" s="82" t="e">
        <f>1+#REF!</f>
        <v>#REF!</v>
      </c>
      <c r="B455" s="134">
        <v>104</v>
      </c>
      <c r="C455" s="135" t="s">
        <v>260</v>
      </c>
      <c r="D455" s="136" t="s">
        <v>274</v>
      </c>
      <c r="E455" s="137" t="s">
        <v>759</v>
      </c>
      <c r="F455" s="138" t="s">
        <v>762</v>
      </c>
      <c r="G455" s="139" t="s">
        <v>763</v>
      </c>
      <c r="H455" s="140" t="str">
        <f t="shared" si="172"/>
        <v>Niet van toepassing</v>
      </c>
      <c r="I455" s="138" t="s">
        <v>35</v>
      </c>
      <c r="J455" s="138" t="s">
        <v>1172</v>
      </c>
      <c r="K455" s="141" t="str">
        <f t="shared" si="173"/>
        <v>NVT</v>
      </c>
      <c r="L455" s="141" t="str">
        <f t="shared" si="174"/>
        <v>NVT</v>
      </c>
      <c r="M455" s="141" t="str">
        <f t="shared" si="175"/>
        <v>NVT</v>
      </c>
      <c r="N455" s="141" t="str">
        <f t="shared" si="176"/>
        <v>NVT</v>
      </c>
      <c r="O455" s="141" t="str">
        <f t="shared" si="177"/>
        <v>NVT</v>
      </c>
      <c r="P455" s="141" t="str">
        <f t="shared" si="178"/>
        <v>NVT</v>
      </c>
      <c r="Q455" s="141" t="str">
        <f t="shared" si="179"/>
        <v>NVT</v>
      </c>
      <c r="R455" s="63" t="s">
        <v>1221</v>
      </c>
      <c r="S455" s="142">
        <f t="shared" si="166"/>
        <v>0</v>
      </c>
      <c r="T455" s="143">
        <v>94</v>
      </c>
      <c r="U455" s="144"/>
      <c r="V455" s="144"/>
      <c r="W455" s="144">
        <v>330</v>
      </c>
      <c r="X455" s="144"/>
      <c r="Y455" s="144"/>
      <c r="Z455" s="145"/>
      <c r="AA455" s="145">
        <v>94</v>
      </c>
      <c r="AB455" s="145"/>
      <c r="AC455" s="145"/>
      <c r="AD455" s="146"/>
      <c r="AE455" s="171">
        <v>1</v>
      </c>
      <c r="AF455" s="147">
        <f t="shared" si="180"/>
        <v>0</v>
      </c>
      <c r="AG455" s="147">
        <f t="shared" si="181"/>
        <v>0</v>
      </c>
      <c r="AH455" s="147">
        <f t="shared" si="182"/>
        <v>0</v>
      </c>
      <c r="AI455" s="147">
        <f t="shared" si="183"/>
        <v>0</v>
      </c>
      <c r="AJ455" s="148">
        <f t="shared" si="184"/>
        <v>0</v>
      </c>
      <c r="AK455" s="149">
        <f t="shared" si="167"/>
        <v>0</v>
      </c>
      <c r="AL455" s="149">
        <f t="shared" si="168"/>
        <v>0</v>
      </c>
      <c r="AM455" s="149">
        <f t="shared" si="169"/>
        <v>0</v>
      </c>
      <c r="AN455" s="149">
        <f t="shared" si="170"/>
        <v>0</v>
      </c>
      <c r="AO455" s="150">
        <f t="shared" si="185"/>
        <v>0</v>
      </c>
      <c r="AQ455" s="151">
        <f t="shared" si="186"/>
        <v>0</v>
      </c>
    </row>
    <row r="456" spans="1:43" ht="15" customHeight="1">
      <c r="A456" s="82" t="e">
        <f t="shared" si="171"/>
        <v>#REF!</v>
      </c>
      <c r="B456" s="134">
        <v>104</v>
      </c>
      <c r="C456" s="135" t="s">
        <v>260</v>
      </c>
      <c r="D456" s="136" t="s">
        <v>274</v>
      </c>
      <c r="E456" s="137" t="s">
        <v>759</v>
      </c>
      <c r="F456" s="138" t="s">
        <v>762</v>
      </c>
      <c r="G456" s="139" t="s">
        <v>764</v>
      </c>
      <c r="H456" s="140" t="str">
        <f t="shared" si="172"/>
        <v>Niet van toepassing</v>
      </c>
      <c r="I456" s="138" t="s">
        <v>35</v>
      </c>
      <c r="J456" s="138" t="s">
        <v>1172</v>
      </c>
      <c r="K456" s="141" t="str">
        <f t="shared" si="173"/>
        <v>NVT</v>
      </c>
      <c r="L456" s="141" t="str">
        <f t="shared" si="174"/>
        <v>NVT</v>
      </c>
      <c r="M456" s="141" t="str">
        <f t="shared" si="175"/>
        <v>NVT</v>
      </c>
      <c r="N456" s="141" t="str">
        <f t="shared" si="176"/>
        <v>NVT</v>
      </c>
      <c r="O456" s="141" t="str">
        <f t="shared" si="177"/>
        <v>NVT</v>
      </c>
      <c r="P456" s="141" t="str">
        <f t="shared" si="178"/>
        <v>NVT</v>
      </c>
      <c r="Q456" s="141" t="str">
        <f t="shared" si="179"/>
        <v>NVT</v>
      </c>
      <c r="R456" s="63" t="s">
        <v>1221</v>
      </c>
      <c r="S456" s="142">
        <f t="shared" si="166"/>
        <v>0</v>
      </c>
      <c r="T456" s="143">
        <v>9</v>
      </c>
      <c r="U456" s="144"/>
      <c r="V456" s="144"/>
      <c r="W456" s="144">
        <v>32</v>
      </c>
      <c r="X456" s="144"/>
      <c r="Y456" s="144"/>
      <c r="Z456" s="145"/>
      <c r="AA456" s="145">
        <v>9</v>
      </c>
      <c r="AB456" s="145"/>
      <c r="AC456" s="145"/>
      <c r="AD456" s="146"/>
      <c r="AE456" s="171">
        <v>1</v>
      </c>
      <c r="AF456" s="147">
        <f t="shared" si="180"/>
        <v>0</v>
      </c>
      <c r="AG456" s="147">
        <f t="shared" si="181"/>
        <v>0</v>
      </c>
      <c r="AH456" s="147">
        <f t="shared" si="182"/>
        <v>0</v>
      </c>
      <c r="AI456" s="147">
        <f t="shared" si="183"/>
        <v>0</v>
      </c>
      <c r="AJ456" s="148">
        <f t="shared" si="184"/>
        <v>0</v>
      </c>
      <c r="AK456" s="149">
        <f t="shared" si="167"/>
        <v>0</v>
      </c>
      <c r="AL456" s="149">
        <f t="shared" si="168"/>
        <v>0</v>
      </c>
      <c r="AM456" s="149">
        <f t="shared" si="169"/>
        <v>0</v>
      </c>
      <c r="AN456" s="149">
        <f t="shared" si="170"/>
        <v>0</v>
      </c>
      <c r="AO456" s="150">
        <f t="shared" si="185"/>
        <v>0</v>
      </c>
      <c r="AQ456" s="151">
        <f t="shared" si="186"/>
        <v>0</v>
      </c>
    </row>
    <row r="457" spans="1:43" ht="15" customHeight="1">
      <c r="A457" s="82" t="e">
        <f t="shared" si="171"/>
        <v>#REF!</v>
      </c>
      <c r="B457" s="134">
        <v>104</v>
      </c>
      <c r="C457" s="135" t="s">
        <v>260</v>
      </c>
      <c r="D457" s="136" t="s">
        <v>274</v>
      </c>
      <c r="E457" s="137" t="s">
        <v>759</v>
      </c>
      <c r="F457" s="138" t="s">
        <v>765</v>
      </c>
      <c r="G457" s="139" t="s">
        <v>766</v>
      </c>
      <c r="H457" s="140" t="str">
        <f t="shared" si="172"/>
        <v>Niet van toepassing</v>
      </c>
      <c r="I457" s="138" t="s">
        <v>35</v>
      </c>
      <c r="J457" s="138" t="s">
        <v>1172</v>
      </c>
      <c r="K457" s="141" t="str">
        <f t="shared" si="173"/>
        <v>NVT</v>
      </c>
      <c r="L457" s="141" t="str">
        <f t="shared" si="174"/>
        <v>NVT</v>
      </c>
      <c r="M457" s="141" t="str">
        <f t="shared" si="175"/>
        <v>NVT</v>
      </c>
      <c r="N457" s="141" t="str">
        <f t="shared" si="176"/>
        <v>NVT</v>
      </c>
      <c r="O457" s="141" t="str">
        <f t="shared" si="177"/>
        <v>NVT</v>
      </c>
      <c r="P457" s="141" t="str">
        <f t="shared" si="178"/>
        <v>NVT</v>
      </c>
      <c r="Q457" s="141" t="str">
        <f t="shared" si="179"/>
        <v>NVT</v>
      </c>
      <c r="R457" s="63" t="s">
        <v>1221</v>
      </c>
      <c r="S457" s="142">
        <f t="shared" si="166"/>
        <v>0</v>
      </c>
      <c r="T457" s="143">
        <v>237</v>
      </c>
      <c r="U457" s="144"/>
      <c r="V457" s="144"/>
      <c r="W457" s="144">
        <v>355</v>
      </c>
      <c r="X457" s="144"/>
      <c r="Y457" s="144"/>
      <c r="Z457" s="145"/>
      <c r="AA457" s="145">
        <v>237</v>
      </c>
      <c r="AB457" s="145"/>
      <c r="AC457" s="145"/>
      <c r="AD457" s="146"/>
      <c r="AE457" s="171">
        <v>1</v>
      </c>
      <c r="AF457" s="147">
        <f t="shared" si="180"/>
        <v>0</v>
      </c>
      <c r="AG457" s="147">
        <f t="shared" si="181"/>
        <v>0</v>
      </c>
      <c r="AH457" s="147">
        <f t="shared" si="182"/>
        <v>0</v>
      </c>
      <c r="AI457" s="147">
        <f t="shared" si="183"/>
        <v>0</v>
      </c>
      <c r="AJ457" s="148">
        <f t="shared" si="184"/>
        <v>0</v>
      </c>
      <c r="AK457" s="149">
        <f t="shared" si="167"/>
        <v>0</v>
      </c>
      <c r="AL457" s="149">
        <f t="shared" si="168"/>
        <v>0</v>
      </c>
      <c r="AM457" s="149">
        <f t="shared" si="169"/>
        <v>0</v>
      </c>
      <c r="AN457" s="149">
        <f t="shared" si="170"/>
        <v>0</v>
      </c>
      <c r="AO457" s="150">
        <f t="shared" si="185"/>
        <v>0</v>
      </c>
      <c r="AQ457" s="151">
        <f t="shared" si="186"/>
        <v>0</v>
      </c>
    </row>
    <row r="458" spans="1:43" ht="15" customHeight="1">
      <c r="A458" s="82" t="e">
        <f>1+#REF!</f>
        <v>#REF!</v>
      </c>
      <c r="B458" s="134">
        <v>104</v>
      </c>
      <c r="C458" s="135" t="s">
        <v>260</v>
      </c>
      <c r="D458" s="136" t="s">
        <v>274</v>
      </c>
      <c r="E458" s="137" t="s">
        <v>759</v>
      </c>
      <c r="F458" s="138" t="s">
        <v>762</v>
      </c>
      <c r="G458" s="139" t="s">
        <v>767</v>
      </c>
      <c r="H458" s="140" t="str">
        <f t="shared" si="172"/>
        <v>Niet van toepassing</v>
      </c>
      <c r="I458" s="138" t="s">
        <v>35</v>
      </c>
      <c r="J458" s="138" t="s">
        <v>1172</v>
      </c>
      <c r="K458" s="141" t="str">
        <f t="shared" si="173"/>
        <v>NVT</v>
      </c>
      <c r="L458" s="141" t="str">
        <f t="shared" si="174"/>
        <v>NVT</v>
      </c>
      <c r="M458" s="141" t="str">
        <f t="shared" si="175"/>
        <v>NVT</v>
      </c>
      <c r="N458" s="141" t="str">
        <f t="shared" si="176"/>
        <v>NVT</v>
      </c>
      <c r="O458" s="141" t="str">
        <f t="shared" si="177"/>
        <v>NVT</v>
      </c>
      <c r="P458" s="141" t="str">
        <f t="shared" si="178"/>
        <v>NVT</v>
      </c>
      <c r="Q458" s="141" t="str">
        <f t="shared" si="179"/>
        <v>NVT</v>
      </c>
      <c r="R458" s="63" t="s">
        <v>1221</v>
      </c>
      <c r="S458" s="142">
        <f t="shared" si="166"/>
        <v>0</v>
      </c>
      <c r="T458" s="143">
        <v>11</v>
      </c>
      <c r="U458" s="144"/>
      <c r="V458" s="144"/>
      <c r="W458" s="144">
        <v>15</v>
      </c>
      <c r="X458" s="144"/>
      <c r="Y458" s="144"/>
      <c r="Z458" s="145"/>
      <c r="AA458" s="145"/>
      <c r="AB458" s="145"/>
      <c r="AC458" s="145"/>
      <c r="AD458" s="146"/>
      <c r="AE458" s="171">
        <v>1</v>
      </c>
      <c r="AF458" s="147">
        <f t="shared" si="180"/>
        <v>0</v>
      </c>
      <c r="AG458" s="147">
        <f t="shared" si="181"/>
        <v>0</v>
      </c>
      <c r="AH458" s="147">
        <f t="shared" si="182"/>
        <v>0</v>
      </c>
      <c r="AI458" s="147">
        <f t="shared" si="183"/>
        <v>0</v>
      </c>
      <c r="AJ458" s="148">
        <f t="shared" si="184"/>
        <v>0</v>
      </c>
      <c r="AK458" s="149">
        <f t="shared" si="167"/>
        <v>0</v>
      </c>
      <c r="AL458" s="149">
        <f t="shared" si="168"/>
        <v>0</v>
      </c>
      <c r="AM458" s="149">
        <f t="shared" si="169"/>
        <v>0</v>
      </c>
      <c r="AN458" s="149">
        <f t="shared" si="170"/>
        <v>0</v>
      </c>
      <c r="AO458" s="150">
        <f t="shared" si="185"/>
        <v>0</v>
      </c>
      <c r="AQ458" s="151">
        <f t="shared" si="186"/>
        <v>0</v>
      </c>
    </row>
    <row r="459" spans="1:43" ht="15" customHeight="1">
      <c r="A459" s="82" t="e">
        <f t="shared" si="171"/>
        <v>#REF!</v>
      </c>
      <c r="B459" s="134">
        <v>104</v>
      </c>
      <c r="C459" s="135" t="s">
        <v>260</v>
      </c>
      <c r="D459" s="136" t="s">
        <v>274</v>
      </c>
      <c r="E459" s="137" t="s">
        <v>759</v>
      </c>
      <c r="F459" s="138" t="s">
        <v>762</v>
      </c>
      <c r="G459" s="139" t="s">
        <v>768</v>
      </c>
      <c r="H459" s="140" t="str">
        <f t="shared" si="172"/>
        <v>Niet van toepassing</v>
      </c>
      <c r="I459" s="138" t="s">
        <v>35</v>
      </c>
      <c r="J459" s="138" t="s">
        <v>1172</v>
      </c>
      <c r="K459" s="141" t="str">
        <f t="shared" si="173"/>
        <v>NVT</v>
      </c>
      <c r="L459" s="141" t="str">
        <f t="shared" si="174"/>
        <v>NVT</v>
      </c>
      <c r="M459" s="141" t="str">
        <f t="shared" si="175"/>
        <v>NVT</v>
      </c>
      <c r="N459" s="141" t="str">
        <f t="shared" si="176"/>
        <v>NVT</v>
      </c>
      <c r="O459" s="141" t="str">
        <f t="shared" si="177"/>
        <v>NVT</v>
      </c>
      <c r="P459" s="141" t="str">
        <f t="shared" si="178"/>
        <v>NVT</v>
      </c>
      <c r="Q459" s="141" t="str">
        <f t="shared" si="179"/>
        <v>NVT</v>
      </c>
      <c r="R459" s="63" t="s">
        <v>1221</v>
      </c>
      <c r="S459" s="142">
        <f t="shared" si="166"/>
        <v>0</v>
      </c>
      <c r="T459" s="143">
        <v>115</v>
      </c>
      <c r="U459" s="144"/>
      <c r="V459" s="144"/>
      <c r="W459" s="144">
        <v>368</v>
      </c>
      <c r="X459" s="144"/>
      <c r="Y459" s="144"/>
      <c r="Z459" s="145"/>
      <c r="AA459" s="145">
        <v>115</v>
      </c>
      <c r="AB459" s="145"/>
      <c r="AC459" s="145"/>
      <c r="AD459" s="146"/>
      <c r="AE459" s="171">
        <v>1</v>
      </c>
      <c r="AF459" s="147">
        <f t="shared" si="180"/>
        <v>0</v>
      </c>
      <c r="AG459" s="147">
        <f t="shared" si="181"/>
        <v>0</v>
      </c>
      <c r="AH459" s="147">
        <f t="shared" si="182"/>
        <v>0</v>
      </c>
      <c r="AI459" s="147">
        <f t="shared" si="183"/>
        <v>0</v>
      </c>
      <c r="AJ459" s="148">
        <f t="shared" si="184"/>
        <v>0</v>
      </c>
      <c r="AK459" s="149">
        <f t="shared" si="167"/>
        <v>0</v>
      </c>
      <c r="AL459" s="149">
        <f t="shared" si="168"/>
        <v>0</v>
      </c>
      <c r="AM459" s="149">
        <f t="shared" si="169"/>
        <v>0</v>
      </c>
      <c r="AN459" s="149">
        <f t="shared" si="170"/>
        <v>0</v>
      </c>
      <c r="AO459" s="150">
        <f t="shared" si="185"/>
        <v>0</v>
      </c>
      <c r="AQ459" s="151">
        <f t="shared" si="186"/>
        <v>0</v>
      </c>
    </row>
    <row r="460" spans="1:43" ht="15" customHeight="1">
      <c r="A460" s="82" t="e">
        <f>1+#REF!</f>
        <v>#REF!</v>
      </c>
      <c r="B460" s="134">
        <v>104</v>
      </c>
      <c r="C460" s="135" t="s">
        <v>260</v>
      </c>
      <c r="D460" s="136" t="s">
        <v>274</v>
      </c>
      <c r="E460" s="137" t="s">
        <v>759</v>
      </c>
      <c r="F460" s="138" t="s">
        <v>762</v>
      </c>
      <c r="G460" s="139" t="s">
        <v>769</v>
      </c>
      <c r="H460" s="140" t="str">
        <f t="shared" si="172"/>
        <v>Niet van toepassing</v>
      </c>
      <c r="I460" s="138" t="s">
        <v>35</v>
      </c>
      <c r="J460" s="138" t="s">
        <v>1172</v>
      </c>
      <c r="K460" s="141" t="str">
        <f t="shared" si="173"/>
        <v>NVT</v>
      </c>
      <c r="L460" s="141" t="str">
        <f t="shared" si="174"/>
        <v>NVT</v>
      </c>
      <c r="M460" s="141" t="str">
        <f t="shared" si="175"/>
        <v>NVT</v>
      </c>
      <c r="N460" s="141" t="str">
        <f t="shared" si="176"/>
        <v>NVT</v>
      </c>
      <c r="O460" s="141" t="str">
        <f t="shared" si="177"/>
        <v>NVT</v>
      </c>
      <c r="P460" s="141" t="str">
        <f t="shared" si="178"/>
        <v>NVT</v>
      </c>
      <c r="Q460" s="141" t="str">
        <f t="shared" si="179"/>
        <v>NVT</v>
      </c>
      <c r="R460" s="63" t="s">
        <v>1221</v>
      </c>
      <c r="S460" s="142">
        <f t="shared" ref="S460:S523" si="187">VLOOKUP(R460,Kengetal,2,FALSE)</f>
        <v>0</v>
      </c>
      <c r="T460" s="143">
        <v>68.900000000000006</v>
      </c>
      <c r="U460" s="144"/>
      <c r="V460" s="144"/>
      <c r="W460" s="144"/>
      <c r="X460" s="144"/>
      <c r="Y460" s="144"/>
      <c r="Z460" s="145"/>
      <c r="AA460" s="145"/>
      <c r="AB460" s="145"/>
      <c r="AC460" s="145"/>
      <c r="AD460" s="146" t="s">
        <v>1261</v>
      </c>
      <c r="AE460" s="171">
        <v>1</v>
      </c>
      <c r="AF460" s="147">
        <f t="shared" si="180"/>
        <v>0</v>
      </c>
      <c r="AG460" s="147">
        <f t="shared" si="181"/>
        <v>0</v>
      </c>
      <c r="AH460" s="147">
        <f t="shared" si="182"/>
        <v>0</v>
      </c>
      <c r="AI460" s="147">
        <f t="shared" si="183"/>
        <v>0</v>
      </c>
      <c r="AJ460" s="148">
        <f t="shared" si="184"/>
        <v>0</v>
      </c>
      <c r="AK460" s="149">
        <f t="shared" ref="AK460:AK515" si="188">IF($R460="",0,VLOOKUP($R460,Kengetal,5,FALSE))</f>
        <v>0</v>
      </c>
      <c r="AL460" s="149">
        <f t="shared" ref="AL460:AL515" si="189">IF($R460="",0,VLOOKUP($R460,Kengetal,6,FALSE))</f>
        <v>0</v>
      </c>
      <c r="AM460" s="149">
        <f t="shared" ref="AM460:AM515" si="190">IF($R460="",0,VLOOKUP($R460,Kengetal,7,FALSE))</f>
        <v>0</v>
      </c>
      <c r="AN460" s="149">
        <f t="shared" ref="AN460:AN515" si="191">IF($R460="",0,VLOOKUP($R460,Kengetal,8,FALSE))</f>
        <v>0</v>
      </c>
      <c r="AO460" s="150">
        <f t="shared" si="185"/>
        <v>0</v>
      </c>
      <c r="AQ460" s="151">
        <f t="shared" si="186"/>
        <v>0</v>
      </c>
    </row>
    <row r="461" spans="1:43" ht="15" customHeight="1">
      <c r="A461" s="82" t="e">
        <f t="shared" si="171"/>
        <v>#REF!</v>
      </c>
      <c r="B461" s="134">
        <v>104</v>
      </c>
      <c r="C461" s="135" t="s">
        <v>260</v>
      </c>
      <c r="D461" s="136" t="s">
        <v>274</v>
      </c>
      <c r="E461" s="137" t="s">
        <v>759</v>
      </c>
      <c r="F461" s="138" t="s">
        <v>762</v>
      </c>
      <c r="G461" s="139" t="s">
        <v>770</v>
      </c>
      <c r="H461" s="140" t="str">
        <f t="shared" si="172"/>
        <v>Niet van toepassing</v>
      </c>
      <c r="I461" s="138" t="s">
        <v>35</v>
      </c>
      <c r="J461" s="138" t="s">
        <v>1172</v>
      </c>
      <c r="K461" s="141" t="str">
        <f t="shared" si="173"/>
        <v>NVT</v>
      </c>
      <c r="L461" s="141" t="str">
        <f t="shared" si="174"/>
        <v>NVT</v>
      </c>
      <c r="M461" s="141" t="str">
        <f t="shared" si="175"/>
        <v>NVT</v>
      </c>
      <c r="N461" s="141" t="str">
        <f t="shared" si="176"/>
        <v>NVT</v>
      </c>
      <c r="O461" s="141" t="str">
        <f t="shared" si="177"/>
        <v>NVT</v>
      </c>
      <c r="P461" s="141" t="str">
        <f t="shared" si="178"/>
        <v>NVT</v>
      </c>
      <c r="Q461" s="141" t="str">
        <f t="shared" si="179"/>
        <v>NVT</v>
      </c>
      <c r="R461" s="63" t="s">
        <v>1221</v>
      </c>
      <c r="S461" s="142">
        <f t="shared" si="187"/>
        <v>0</v>
      </c>
      <c r="T461" s="143">
        <v>55.9</v>
      </c>
      <c r="U461" s="144"/>
      <c r="V461" s="144"/>
      <c r="W461" s="144"/>
      <c r="X461" s="144"/>
      <c r="Y461" s="144"/>
      <c r="Z461" s="145"/>
      <c r="AA461" s="145"/>
      <c r="AB461" s="145"/>
      <c r="AC461" s="145"/>
      <c r="AD461" s="146" t="s">
        <v>1261</v>
      </c>
      <c r="AE461" s="171">
        <v>1</v>
      </c>
      <c r="AF461" s="147">
        <f t="shared" si="180"/>
        <v>0</v>
      </c>
      <c r="AG461" s="147">
        <f t="shared" si="181"/>
        <v>0</v>
      </c>
      <c r="AH461" s="147">
        <f t="shared" si="182"/>
        <v>0</v>
      </c>
      <c r="AI461" s="147">
        <f t="shared" si="183"/>
        <v>0</v>
      </c>
      <c r="AJ461" s="148">
        <f t="shared" si="184"/>
        <v>0</v>
      </c>
      <c r="AK461" s="149">
        <f t="shared" si="188"/>
        <v>0</v>
      </c>
      <c r="AL461" s="149">
        <f t="shared" si="189"/>
        <v>0</v>
      </c>
      <c r="AM461" s="149">
        <f t="shared" si="190"/>
        <v>0</v>
      </c>
      <c r="AN461" s="149">
        <f t="shared" si="191"/>
        <v>0</v>
      </c>
      <c r="AO461" s="150">
        <f t="shared" si="185"/>
        <v>0</v>
      </c>
      <c r="AQ461" s="151">
        <f t="shared" si="186"/>
        <v>0</v>
      </c>
    </row>
    <row r="462" spans="1:43" ht="15" customHeight="1">
      <c r="A462" s="82" t="e">
        <f t="shared" si="171"/>
        <v>#REF!</v>
      </c>
      <c r="B462" s="134">
        <v>104</v>
      </c>
      <c r="C462" s="135" t="s">
        <v>260</v>
      </c>
      <c r="D462" s="136" t="s">
        <v>274</v>
      </c>
      <c r="E462" s="137" t="s">
        <v>759</v>
      </c>
      <c r="F462" s="138" t="s">
        <v>271</v>
      </c>
      <c r="G462" s="139" t="s">
        <v>771</v>
      </c>
      <c r="H462" s="140" t="str">
        <f t="shared" si="172"/>
        <v>Niet van toepassing</v>
      </c>
      <c r="I462" s="138" t="s">
        <v>35</v>
      </c>
      <c r="J462" s="138" t="s">
        <v>1172</v>
      </c>
      <c r="K462" s="141" t="str">
        <f t="shared" si="173"/>
        <v>NVT</v>
      </c>
      <c r="L462" s="141" t="str">
        <f t="shared" si="174"/>
        <v>NVT</v>
      </c>
      <c r="M462" s="141" t="str">
        <f t="shared" si="175"/>
        <v>NVT</v>
      </c>
      <c r="N462" s="141" t="str">
        <f t="shared" si="176"/>
        <v>NVT</v>
      </c>
      <c r="O462" s="141" t="str">
        <f t="shared" si="177"/>
        <v>NVT</v>
      </c>
      <c r="P462" s="141" t="str">
        <f t="shared" si="178"/>
        <v>NVT</v>
      </c>
      <c r="Q462" s="141" t="str">
        <f t="shared" si="179"/>
        <v>NVT</v>
      </c>
      <c r="R462" s="63" t="s">
        <v>1221</v>
      </c>
      <c r="S462" s="142">
        <f t="shared" si="187"/>
        <v>0</v>
      </c>
      <c r="T462" s="143">
        <v>0</v>
      </c>
      <c r="U462" s="144"/>
      <c r="V462" s="144"/>
      <c r="W462" s="144"/>
      <c r="X462" s="144"/>
      <c r="Y462" s="144"/>
      <c r="Z462" s="145"/>
      <c r="AA462" s="145"/>
      <c r="AB462" s="145"/>
      <c r="AC462" s="145"/>
      <c r="AD462" s="146" t="s">
        <v>1277</v>
      </c>
      <c r="AE462" s="171">
        <v>1</v>
      </c>
      <c r="AF462" s="147">
        <f t="shared" si="180"/>
        <v>0</v>
      </c>
      <c r="AG462" s="147">
        <f t="shared" si="181"/>
        <v>0</v>
      </c>
      <c r="AH462" s="147">
        <f t="shared" si="182"/>
        <v>0</v>
      </c>
      <c r="AI462" s="147">
        <f t="shared" si="183"/>
        <v>0</v>
      </c>
      <c r="AJ462" s="148">
        <f t="shared" si="184"/>
        <v>0</v>
      </c>
      <c r="AK462" s="149">
        <f t="shared" si="188"/>
        <v>0</v>
      </c>
      <c r="AL462" s="149">
        <f t="shared" si="189"/>
        <v>0</v>
      </c>
      <c r="AM462" s="149">
        <f t="shared" si="190"/>
        <v>0</v>
      </c>
      <c r="AN462" s="149">
        <f t="shared" si="191"/>
        <v>0</v>
      </c>
      <c r="AO462" s="150">
        <f t="shared" si="185"/>
        <v>0</v>
      </c>
      <c r="AQ462" s="151">
        <f t="shared" si="186"/>
        <v>0</v>
      </c>
    </row>
    <row r="463" spans="1:43" ht="15" customHeight="1">
      <c r="A463" s="82" t="e">
        <f t="shared" si="171"/>
        <v>#REF!</v>
      </c>
      <c r="B463" s="134">
        <v>104</v>
      </c>
      <c r="C463" s="135" t="s">
        <v>260</v>
      </c>
      <c r="D463" s="136" t="s">
        <v>274</v>
      </c>
      <c r="E463" s="137" t="s">
        <v>759</v>
      </c>
      <c r="F463" s="138" t="s">
        <v>772</v>
      </c>
      <c r="G463" s="139" t="s">
        <v>773</v>
      </c>
      <c r="H463" s="140" t="str">
        <f t="shared" si="172"/>
        <v>Niet van toepassing</v>
      </c>
      <c r="I463" s="138" t="s">
        <v>35</v>
      </c>
      <c r="J463" s="138" t="s">
        <v>1172</v>
      </c>
      <c r="K463" s="141" t="str">
        <f t="shared" si="173"/>
        <v>NVT</v>
      </c>
      <c r="L463" s="141" t="str">
        <f t="shared" si="174"/>
        <v>NVT</v>
      </c>
      <c r="M463" s="141" t="str">
        <f t="shared" si="175"/>
        <v>NVT</v>
      </c>
      <c r="N463" s="141" t="str">
        <f t="shared" si="176"/>
        <v>NVT</v>
      </c>
      <c r="O463" s="141" t="str">
        <f t="shared" si="177"/>
        <v>NVT</v>
      </c>
      <c r="P463" s="141" t="str">
        <f t="shared" si="178"/>
        <v>NVT</v>
      </c>
      <c r="Q463" s="141" t="str">
        <f t="shared" si="179"/>
        <v>NVT</v>
      </c>
      <c r="R463" s="63" t="s">
        <v>1221</v>
      </c>
      <c r="S463" s="142">
        <f t="shared" si="187"/>
        <v>0</v>
      </c>
      <c r="T463" s="143">
        <v>63</v>
      </c>
      <c r="U463" s="144"/>
      <c r="V463" s="144"/>
      <c r="W463" s="144">
        <v>82</v>
      </c>
      <c r="X463" s="144"/>
      <c r="Y463" s="144"/>
      <c r="Z463" s="145"/>
      <c r="AA463" s="145">
        <v>63</v>
      </c>
      <c r="AB463" s="145"/>
      <c r="AC463" s="145"/>
      <c r="AD463" s="146"/>
      <c r="AE463" s="171">
        <v>1</v>
      </c>
      <c r="AF463" s="147">
        <f t="shared" si="180"/>
        <v>0</v>
      </c>
      <c r="AG463" s="147">
        <f t="shared" si="181"/>
        <v>0</v>
      </c>
      <c r="AH463" s="147">
        <f t="shared" si="182"/>
        <v>0</v>
      </c>
      <c r="AI463" s="147">
        <f t="shared" si="183"/>
        <v>0</v>
      </c>
      <c r="AJ463" s="148">
        <f t="shared" si="184"/>
        <v>0</v>
      </c>
      <c r="AK463" s="149">
        <f t="shared" si="188"/>
        <v>0</v>
      </c>
      <c r="AL463" s="149">
        <f t="shared" si="189"/>
        <v>0</v>
      </c>
      <c r="AM463" s="149">
        <f t="shared" si="190"/>
        <v>0</v>
      </c>
      <c r="AN463" s="149">
        <f t="shared" si="191"/>
        <v>0</v>
      </c>
      <c r="AO463" s="150">
        <f t="shared" si="185"/>
        <v>0</v>
      </c>
      <c r="AQ463" s="151">
        <f t="shared" si="186"/>
        <v>0</v>
      </c>
    </row>
    <row r="464" spans="1:43" ht="15" customHeight="1">
      <c r="A464" s="82" t="e">
        <f t="shared" si="171"/>
        <v>#REF!</v>
      </c>
      <c r="B464" s="134">
        <v>104</v>
      </c>
      <c r="C464" s="135" t="s">
        <v>260</v>
      </c>
      <c r="D464" s="136" t="s">
        <v>274</v>
      </c>
      <c r="E464" s="137" t="s">
        <v>759</v>
      </c>
      <c r="F464" s="138" t="s">
        <v>736</v>
      </c>
      <c r="G464" s="139" t="s">
        <v>774</v>
      </c>
      <c r="H464" s="140" t="str">
        <f t="shared" si="172"/>
        <v>Niet van toepassing</v>
      </c>
      <c r="I464" s="138" t="s">
        <v>82</v>
      </c>
      <c r="J464" s="138" t="s">
        <v>1172</v>
      </c>
      <c r="K464" s="141" t="str">
        <f t="shared" si="173"/>
        <v>NVT</v>
      </c>
      <c r="L464" s="141" t="str">
        <f t="shared" si="174"/>
        <v>NVT</v>
      </c>
      <c r="M464" s="141" t="str">
        <f t="shared" si="175"/>
        <v>NVT</v>
      </c>
      <c r="N464" s="141" t="str">
        <f t="shared" si="176"/>
        <v>NVT</v>
      </c>
      <c r="O464" s="141" t="str">
        <f t="shared" si="177"/>
        <v>NVT</v>
      </c>
      <c r="P464" s="141" t="str">
        <f t="shared" si="178"/>
        <v>NVT</v>
      </c>
      <c r="Q464" s="141" t="str">
        <f t="shared" si="179"/>
        <v>NVT</v>
      </c>
      <c r="R464" s="63" t="s">
        <v>1221</v>
      </c>
      <c r="S464" s="142">
        <f t="shared" si="187"/>
        <v>0</v>
      </c>
      <c r="T464" s="143">
        <v>0</v>
      </c>
      <c r="U464" s="144"/>
      <c r="V464" s="144"/>
      <c r="W464" s="144"/>
      <c r="X464" s="144"/>
      <c r="Y464" s="144"/>
      <c r="Z464" s="145"/>
      <c r="AA464" s="145"/>
      <c r="AB464" s="145"/>
      <c r="AC464" s="145"/>
      <c r="AD464" s="146" t="s">
        <v>796</v>
      </c>
      <c r="AE464" s="171">
        <v>1</v>
      </c>
      <c r="AF464" s="147">
        <f t="shared" si="180"/>
        <v>0</v>
      </c>
      <c r="AG464" s="147">
        <f t="shared" si="181"/>
        <v>0</v>
      </c>
      <c r="AH464" s="147">
        <f t="shared" si="182"/>
        <v>0</v>
      </c>
      <c r="AI464" s="147">
        <f t="shared" si="183"/>
        <v>0</v>
      </c>
      <c r="AJ464" s="148">
        <f t="shared" si="184"/>
        <v>0</v>
      </c>
      <c r="AK464" s="149">
        <f t="shared" si="188"/>
        <v>0</v>
      </c>
      <c r="AL464" s="149">
        <f t="shared" si="189"/>
        <v>0</v>
      </c>
      <c r="AM464" s="149">
        <f t="shared" si="190"/>
        <v>0</v>
      </c>
      <c r="AN464" s="149">
        <f t="shared" si="191"/>
        <v>0</v>
      </c>
      <c r="AO464" s="150">
        <f t="shared" si="185"/>
        <v>0</v>
      </c>
      <c r="AQ464" s="151">
        <f t="shared" si="186"/>
        <v>0</v>
      </c>
    </row>
    <row r="465" spans="1:43" ht="15" customHeight="1">
      <c r="A465" s="82" t="e">
        <f t="shared" si="171"/>
        <v>#REF!</v>
      </c>
      <c r="B465" s="134">
        <v>104</v>
      </c>
      <c r="C465" s="135" t="s">
        <v>260</v>
      </c>
      <c r="D465" s="136" t="s">
        <v>274</v>
      </c>
      <c r="E465" s="137" t="s">
        <v>759</v>
      </c>
      <c r="F465" s="138" t="s">
        <v>775</v>
      </c>
      <c r="G465" s="139" t="s">
        <v>776</v>
      </c>
      <c r="H465" s="140" t="str">
        <f t="shared" si="172"/>
        <v>Niet van toepassing</v>
      </c>
      <c r="I465" s="138" t="s">
        <v>35</v>
      </c>
      <c r="J465" s="138" t="s">
        <v>1172</v>
      </c>
      <c r="K465" s="141" t="str">
        <f t="shared" si="173"/>
        <v>NVT</v>
      </c>
      <c r="L465" s="141" t="str">
        <f t="shared" si="174"/>
        <v>NVT</v>
      </c>
      <c r="M465" s="141" t="str">
        <f t="shared" si="175"/>
        <v>NVT</v>
      </c>
      <c r="N465" s="141" t="str">
        <f t="shared" si="176"/>
        <v>NVT</v>
      </c>
      <c r="O465" s="141" t="str">
        <f t="shared" si="177"/>
        <v>NVT</v>
      </c>
      <c r="P465" s="141" t="str">
        <f t="shared" si="178"/>
        <v>NVT</v>
      </c>
      <c r="Q465" s="141" t="str">
        <f t="shared" si="179"/>
        <v>NVT</v>
      </c>
      <c r="R465" s="63" t="s">
        <v>1221</v>
      </c>
      <c r="S465" s="142">
        <f t="shared" si="187"/>
        <v>0</v>
      </c>
      <c r="T465" s="143">
        <v>7</v>
      </c>
      <c r="U465" s="144"/>
      <c r="V465" s="144"/>
      <c r="W465" s="144">
        <v>19</v>
      </c>
      <c r="X465" s="144"/>
      <c r="Y465" s="144"/>
      <c r="Z465" s="145"/>
      <c r="AA465" s="145">
        <v>7</v>
      </c>
      <c r="AB465" s="145"/>
      <c r="AC465" s="145"/>
      <c r="AD465" s="146" t="s">
        <v>1241</v>
      </c>
      <c r="AE465" s="171">
        <v>1</v>
      </c>
      <c r="AF465" s="147">
        <f t="shared" si="180"/>
        <v>0</v>
      </c>
      <c r="AG465" s="147">
        <f t="shared" si="181"/>
        <v>0</v>
      </c>
      <c r="AH465" s="147">
        <f t="shared" si="182"/>
        <v>0</v>
      </c>
      <c r="AI465" s="147">
        <f t="shared" si="183"/>
        <v>0</v>
      </c>
      <c r="AJ465" s="148">
        <f t="shared" si="184"/>
        <v>0</v>
      </c>
      <c r="AK465" s="149">
        <f t="shared" si="188"/>
        <v>0</v>
      </c>
      <c r="AL465" s="149">
        <f t="shared" si="189"/>
        <v>0</v>
      </c>
      <c r="AM465" s="149">
        <f t="shared" si="190"/>
        <v>0</v>
      </c>
      <c r="AN465" s="149">
        <f t="shared" si="191"/>
        <v>0</v>
      </c>
      <c r="AO465" s="150">
        <f t="shared" si="185"/>
        <v>0</v>
      </c>
      <c r="AQ465" s="151">
        <f t="shared" si="186"/>
        <v>0</v>
      </c>
    </row>
    <row r="466" spans="1:43" ht="15" customHeight="1">
      <c r="A466" s="82" t="e">
        <f t="shared" si="171"/>
        <v>#REF!</v>
      </c>
      <c r="B466" s="134">
        <v>104</v>
      </c>
      <c r="C466" s="135" t="s">
        <v>260</v>
      </c>
      <c r="D466" s="136" t="s">
        <v>274</v>
      </c>
      <c r="E466" s="137" t="s">
        <v>759</v>
      </c>
      <c r="F466" s="138" t="s">
        <v>619</v>
      </c>
      <c r="G466" s="139" t="s">
        <v>777</v>
      </c>
      <c r="H466" s="140" t="str">
        <f t="shared" si="172"/>
        <v>Niet van toepassing</v>
      </c>
      <c r="I466" s="138" t="s">
        <v>35</v>
      </c>
      <c r="J466" s="138" t="s">
        <v>1172</v>
      </c>
      <c r="K466" s="141" t="str">
        <f t="shared" si="173"/>
        <v>NVT</v>
      </c>
      <c r="L466" s="141" t="str">
        <f t="shared" si="174"/>
        <v>NVT</v>
      </c>
      <c r="M466" s="141" t="str">
        <f t="shared" si="175"/>
        <v>NVT</v>
      </c>
      <c r="N466" s="141" t="str">
        <f t="shared" si="176"/>
        <v>NVT</v>
      </c>
      <c r="O466" s="141" t="str">
        <f t="shared" si="177"/>
        <v>NVT</v>
      </c>
      <c r="P466" s="141" t="str">
        <f t="shared" si="178"/>
        <v>NVT</v>
      </c>
      <c r="Q466" s="141" t="str">
        <f t="shared" si="179"/>
        <v>NVT</v>
      </c>
      <c r="R466" s="63" t="s">
        <v>1221</v>
      </c>
      <c r="S466" s="142">
        <f t="shared" si="187"/>
        <v>0</v>
      </c>
      <c r="T466" s="143">
        <v>0</v>
      </c>
      <c r="U466" s="144"/>
      <c r="V466" s="144"/>
      <c r="W466" s="144"/>
      <c r="X466" s="144"/>
      <c r="Y466" s="144"/>
      <c r="Z466" s="145"/>
      <c r="AA466" s="145"/>
      <c r="AB466" s="145"/>
      <c r="AC466" s="145"/>
      <c r="AD466" s="146" t="s">
        <v>1242</v>
      </c>
      <c r="AE466" s="171">
        <v>1</v>
      </c>
      <c r="AF466" s="147">
        <f t="shared" si="180"/>
        <v>0</v>
      </c>
      <c r="AG466" s="147">
        <f t="shared" si="181"/>
        <v>0</v>
      </c>
      <c r="AH466" s="147">
        <f t="shared" si="182"/>
        <v>0</v>
      </c>
      <c r="AI466" s="147">
        <f t="shared" si="183"/>
        <v>0</v>
      </c>
      <c r="AJ466" s="148">
        <f t="shared" si="184"/>
        <v>0</v>
      </c>
      <c r="AK466" s="149">
        <f t="shared" si="188"/>
        <v>0</v>
      </c>
      <c r="AL466" s="149">
        <f t="shared" si="189"/>
        <v>0</v>
      </c>
      <c r="AM466" s="149">
        <f t="shared" si="190"/>
        <v>0</v>
      </c>
      <c r="AN466" s="149">
        <f t="shared" si="191"/>
        <v>0</v>
      </c>
      <c r="AO466" s="150">
        <f t="shared" si="185"/>
        <v>0</v>
      </c>
      <c r="AQ466" s="151">
        <f t="shared" si="186"/>
        <v>0</v>
      </c>
    </row>
    <row r="467" spans="1:43" ht="15" customHeight="1">
      <c r="A467" s="82" t="e">
        <f t="shared" si="171"/>
        <v>#REF!</v>
      </c>
      <c r="B467" s="134">
        <v>104</v>
      </c>
      <c r="C467" s="135" t="s">
        <v>260</v>
      </c>
      <c r="D467" s="136" t="s">
        <v>274</v>
      </c>
      <c r="E467" s="137" t="s">
        <v>759</v>
      </c>
      <c r="F467" s="138" t="s">
        <v>778</v>
      </c>
      <c r="G467" s="139" t="s">
        <v>779</v>
      </c>
      <c r="H467" s="140" t="str">
        <f t="shared" si="172"/>
        <v>Niet van toepassing</v>
      </c>
      <c r="I467" s="138" t="s">
        <v>35</v>
      </c>
      <c r="J467" s="138" t="s">
        <v>1172</v>
      </c>
      <c r="K467" s="141" t="str">
        <f t="shared" si="173"/>
        <v>NVT</v>
      </c>
      <c r="L467" s="141" t="str">
        <f t="shared" si="174"/>
        <v>NVT</v>
      </c>
      <c r="M467" s="141" t="str">
        <f t="shared" si="175"/>
        <v>NVT</v>
      </c>
      <c r="N467" s="141" t="str">
        <f t="shared" si="176"/>
        <v>NVT</v>
      </c>
      <c r="O467" s="141" t="str">
        <f t="shared" si="177"/>
        <v>NVT</v>
      </c>
      <c r="P467" s="141" t="str">
        <f t="shared" si="178"/>
        <v>NVT</v>
      </c>
      <c r="Q467" s="141" t="str">
        <f t="shared" si="179"/>
        <v>NVT</v>
      </c>
      <c r="R467" s="63" t="s">
        <v>1221</v>
      </c>
      <c r="S467" s="142">
        <f t="shared" si="187"/>
        <v>0</v>
      </c>
      <c r="T467" s="143">
        <v>72.8</v>
      </c>
      <c r="U467" s="144"/>
      <c r="V467" s="144"/>
      <c r="W467" s="144"/>
      <c r="X467" s="144"/>
      <c r="Y467" s="144"/>
      <c r="Z467" s="145"/>
      <c r="AA467" s="145"/>
      <c r="AB467" s="145"/>
      <c r="AC467" s="145"/>
      <c r="AD467" s="146" t="s">
        <v>1261</v>
      </c>
      <c r="AE467" s="171">
        <v>1</v>
      </c>
      <c r="AF467" s="147">
        <f t="shared" si="180"/>
        <v>0</v>
      </c>
      <c r="AG467" s="147">
        <f t="shared" si="181"/>
        <v>0</v>
      </c>
      <c r="AH467" s="147">
        <f t="shared" si="182"/>
        <v>0</v>
      </c>
      <c r="AI467" s="147">
        <f t="shared" si="183"/>
        <v>0</v>
      </c>
      <c r="AJ467" s="148">
        <f t="shared" si="184"/>
        <v>0</v>
      </c>
      <c r="AK467" s="149">
        <f t="shared" si="188"/>
        <v>0</v>
      </c>
      <c r="AL467" s="149">
        <f t="shared" si="189"/>
        <v>0</v>
      </c>
      <c r="AM467" s="149">
        <f t="shared" si="190"/>
        <v>0</v>
      </c>
      <c r="AN467" s="149">
        <f t="shared" si="191"/>
        <v>0</v>
      </c>
      <c r="AO467" s="150">
        <f t="shared" si="185"/>
        <v>0</v>
      </c>
      <c r="AQ467" s="151">
        <f t="shared" si="186"/>
        <v>0</v>
      </c>
    </row>
    <row r="468" spans="1:43" ht="15" customHeight="1">
      <c r="A468" s="82" t="e">
        <f t="shared" si="171"/>
        <v>#REF!</v>
      </c>
      <c r="B468" s="134">
        <v>104</v>
      </c>
      <c r="C468" s="135" t="s">
        <v>260</v>
      </c>
      <c r="D468" s="136" t="s">
        <v>274</v>
      </c>
      <c r="E468" s="137" t="s">
        <v>759</v>
      </c>
      <c r="F468" s="138" t="s">
        <v>778</v>
      </c>
      <c r="G468" s="139" t="s">
        <v>780</v>
      </c>
      <c r="H468" s="140" t="str">
        <f t="shared" si="172"/>
        <v>Niet van toepassing</v>
      </c>
      <c r="I468" s="138" t="s">
        <v>35</v>
      </c>
      <c r="J468" s="138" t="s">
        <v>1172</v>
      </c>
      <c r="K468" s="141" t="str">
        <f t="shared" si="173"/>
        <v>NVT</v>
      </c>
      <c r="L468" s="141" t="str">
        <f t="shared" si="174"/>
        <v>NVT</v>
      </c>
      <c r="M468" s="141" t="str">
        <f t="shared" si="175"/>
        <v>NVT</v>
      </c>
      <c r="N468" s="141" t="str">
        <f t="shared" si="176"/>
        <v>NVT</v>
      </c>
      <c r="O468" s="141" t="str">
        <f t="shared" si="177"/>
        <v>NVT</v>
      </c>
      <c r="P468" s="141" t="str">
        <f t="shared" si="178"/>
        <v>NVT</v>
      </c>
      <c r="Q468" s="141" t="str">
        <f t="shared" si="179"/>
        <v>NVT</v>
      </c>
      <c r="R468" s="63" t="s">
        <v>1221</v>
      </c>
      <c r="S468" s="142">
        <f t="shared" si="187"/>
        <v>0</v>
      </c>
      <c r="T468" s="143">
        <v>115.7</v>
      </c>
      <c r="U468" s="144"/>
      <c r="V468" s="144"/>
      <c r="W468" s="144"/>
      <c r="X468" s="144"/>
      <c r="Y468" s="144"/>
      <c r="Z468" s="145"/>
      <c r="AA468" s="145"/>
      <c r="AB468" s="145"/>
      <c r="AC468" s="145"/>
      <c r="AD468" s="146" t="s">
        <v>1261</v>
      </c>
      <c r="AE468" s="171">
        <v>1</v>
      </c>
      <c r="AF468" s="147">
        <f t="shared" si="180"/>
        <v>0</v>
      </c>
      <c r="AG468" s="147">
        <f t="shared" si="181"/>
        <v>0</v>
      </c>
      <c r="AH468" s="147">
        <f t="shared" si="182"/>
        <v>0</v>
      </c>
      <c r="AI468" s="147">
        <f t="shared" si="183"/>
        <v>0</v>
      </c>
      <c r="AJ468" s="148">
        <f t="shared" si="184"/>
        <v>0</v>
      </c>
      <c r="AK468" s="149">
        <f t="shared" si="188"/>
        <v>0</v>
      </c>
      <c r="AL468" s="149">
        <f t="shared" si="189"/>
        <v>0</v>
      </c>
      <c r="AM468" s="149">
        <f t="shared" si="190"/>
        <v>0</v>
      </c>
      <c r="AN468" s="149">
        <f t="shared" si="191"/>
        <v>0</v>
      </c>
      <c r="AO468" s="150">
        <f t="shared" si="185"/>
        <v>0</v>
      </c>
      <c r="AQ468" s="151">
        <f t="shared" si="186"/>
        <v>0</v>
      </c>
    </row>
    <row r="469" spans="1:43" ht="15" customHeight="1">
      <c r="A469" s="82" t="e">
        <f t="shared" si="171"/>
        <v>#REF!</v>
      </c>
      <c r="B469" s="134">
        <v>104</v>
      </c>
      <c r="C469" s="135" t="s">
        <v>260</v>
      </c>
      <c r="D469" s="136" t="s">
        <v>274</v>
      </c>
      <c r="E469" s="137" t="s">
        <v>759</v>
      </c>
      <c r="F469" s="138" t="s">
        <v>778</v>
      </c>
      <c r="G469" s="139" t="s">
        <v>781</v>
      </c>
      <c r="H469" s="140" t="str">
        <f t="shared" si="172"/>
        <v>Niet van toepassing</v>
      </c>
      <c r="I469" s="138" t="s">
        <v>35</v>
      </c>
      <c r="J469" s="138" t="s">
        <v>1172</v>
      </c>
      <c r="K469" s="141" t="str">
        <f t="shared" si="173"/>
        <v>NVT</v>
      </c>
      <c r="L469" s="141" t="str">
        <f t="shared" si="174"/>
        <v>NVT</v>
      </c>
      <c r="M469" s="141" t="str">
        <f t="shared" si="175"/>
        <v>NVT</v>
      </c>
      <c r="N469" s="141" t="str">
        <f t="shared" si="176"/>
        <v>NVT</v>
      </c>
      <c r="O469" s="141" t="str">
        <f t="shared" si="177"/>
        <v>NVT</v>
      </c>
      <c r="P469" s="141" t="str">
        <f t="shared" si="178"/>
        <v>NVT</v>
      </c>
      <c r="Q469" s="141" t="str">
        <f t="shared" si="179"/>
        <v>NVT</v>
      </c>
      <c r="R469" s="63" t="s">
        <v>1221</v>
      </c>
      <c r="S469" s="142">
        <f t="shared" si="187"/>
        <v>0</v>
      </c>
      <c r="T469" s="143">
        <v>0</v>
      </c>
      <c r="U469" s="144"/>
      <c r="V469" s="144"/>
      <c r="W469" s="144"/>
      <c r="X469" s="144"/>
      <c r="Y469" s="144"/>
      <c r="Z469" s="145"/>
      <c r="AA469" s="145"/>
      <c r="AB469" s="145"/>
      <c r="AC469" s="145"/>
      <c r="AD469" s="146" t="s">
        <v>1261</v>
      </c>
      <c r="AE469" s="171">
        <v>1</v>
      </c>
      <c r="AF469" s="147">
        <f t="shared" si="180"/>
        <v>0</v>
      </c>
      <c r="AG469" s="147">
        <f t="shared" si="181"/>
        <v>0</v>
      </c>
      <c r="AH469" s="147">
        <f t="shared" si="182"/>
        <v>0</v>
      </c>
      <c r="AI469" s="147">
        <f t="shared" si="183"/>
        <v>0</v>
      </c>
      <c r="AJ469" s="148">
        <f t="shared" si="184"/>
        <v>0</v>
      </c>
      <c r="AK469" s="149">
        <f t="shared" si="188"/>
        <v>0</v>
      </c>
      <c r="AL469" s="149">
        <f t="shared" si="189"/>
        <v>0</v>
      </c>
      <c r="AM469" s="149">
        <f t="shared" si="190"/>
        <v>0</v>
      </c>
      <c r="AN469" s="149">
        <f t="shared" si="191"/>
        <v>0</v>
      </c>
      <c r="AO469" s="150">
        <f t="shared" si="185"/>
        <v>0</v>
      </c>
      <c r="AQ469" s="151">
        <f t="shared" si="186"/>
        <v>0</v>
      </c>
    </row>
    <row r="470" spans="1:43" ht="15" customHeight="1">
      <c r="A470" s="82" t="e">
        <f t="shared" si="171"/>
        <v>#REF!</v>
      </c>
      <c r="B470" s="134">
        <v>104</v>
      </c>
      <c r="C470" s="135" t="s">
        <v>260</v>
      </c>
      <c r="D470" s="136" t="s">
        <v>274</v>
      </c>
      <c r="E470" s="137" t="s">
        <v>759</v>
      </c>
      <c r="F470" s="138" t="s">
        <v>778</v>
      </c>
      <c r="G470" s="139" t="s">
        <v>782</v>
      </c>
      <c r="H470" s="140" t="str">
        <f t="shared" si="172"/>
        <v>Niet van toepassing</v>
      </c>
      <c r="I470" s="138" t="s">
        <v>35</v>
      </c>
      <c r="J470" s="138" t="s">
        <v>1172</v>
      </c>
      <c r="K470" s="141" t="str">
        <f t="shared" si="173"/>
        <v>NVT</v>
      </c>
      <c r="L470" s="141" t="str">
        <f t="shared" si="174"/>
        <v>NVT</v>
      </c>
      <c r="M470" s="141" t="str">
        <f t="shared" si="175"/>
        <v>NVT</v>
      </c>
      <c r="N470" s="141" t="str">
        <f t="shared" si="176"/>
        <v>NVT</v>
      </c>
      <c r="O470" s="141" t="str">
        <f t="shared" si="177"/>
        <v>NVT</v>
      </c>
      <c r="P470" s="141" t="str">
        <f t="shared" si="178"/>
        <v>NVT</v>
      </c>
      <c r="Q470" s="141" t="str">
        <f t="shared" si="179"/>
        <v>NVT</v>
      </c>
      <c r="R470" s="63" t="s">
        <v>1221</v>
      </c>
      <c r="S470" s="142">
        <f t="shared" si="187"/>
        <v>0</v>
      </c>
      <c r="T470" s="143">
        <v>0</v>
      </c>
      <c r="U470" s="144"/>
      <c r="V470" s="144"/>
      <c r="W470" s="144"/>
      <c r="X470" s="144"/>
      <c r="Y470" s="144"/>
      <c r="Z470" s="145"/>
      <c r="AA470" s="145"/>
      <c r="AB470" s="145"/>
      <c r="AC470" s="145"/>
      <c r="AD470" s="146" t="s">
        <v>1261</v>
      </c>
      <c r="AE470" s="171">
        <v>1</v>
      </c>
      <c r="AF470" s="147">
        <f t="shared" si="180"/>
        <v>0</v>
      </c>
      <c r="AG470" s="147">
        <f t="shared" si="181"/>
        <v>0</v>
      </c>
      <c r="AH470" s="147">
        <f t="shared" si="182"/>
        <v>0</v>
      </c>
      <c r="AI470" s="147">
        <f t="shared" si="183"/>
        <v>0</v>
      </c>
      <c r="AJ470" s="148">
        <f t="shared" si="184"/>
        <v>0</v>
      </c>
      <c r="AK470" s="149">
        <f t="shared" si="188"/>
        <v>0</v>
      </c>
      <c r="AL470" s="149">
        <f t="shared" si="189"/>
        <v>0</v>
      </c>
      <c r="AM470" s="149">
        <f t="shared" si="190"/>
        <v>0</v>
      </c>
      <c r="AN470" s="149">
        <f t="shared" si="191"/>
        <v>0</v>
      </c>
      <c r="AO470" s="150">
        <f t="shared" si="185"/>
        <v>0</v>
      </c>
      <c r="AQ470" s="151">
        <f t="shared" si="186"/>
        <v>0</v>
      </c>
    </row>
    <row r="471" spans="1:43" ht="15" customHeight="1">
      <c r="A471" s="82" t="e">
        <f t="shared" si="171"/>
        <v>#REF!</v>
      </c>
      <c r="B471" s="134">
        <v>104</v>
      </c>
      <c r="C471" s="135" t="s">
        <v>260</v>
      </c>
      <c r="D471" s="136" t="s">
        <v>274</v>
      </c>
      <c r="E471" s="137" t="s">
        <v>759</v>
      </c>
      <c r="F471" s="138" t="s">
        <v>778</v>
      </c>
      <c r="G471" s="139" t="s">
        <v>783</v>
      </c>
      <c r="H471" s="140" t="str">
        <f t="shared" si="172"/>
        <v>Niet van toepassing</v>
      </c>
      <c r="I471" s="138" t="s">
        <v>35</v>
      </c>
      <c r="J471" s="138" t="s">
        <v>1172</v>
      </c>
      <c r="K471" s="141" t="str">
        <f t="shared" si="173"/>
        <v>NVT</v>
      </c>
      <c r="L471" s="141" t="str">
        <f t="shared" si="174"/>
        <v>NVT</v>
      </c>
      <c r="M471" s="141" t="str">
        <f t="shared" si="175"/>
        <v>NVT</v>
      </c>
      <c r="N471" s="141" t="str">
        <f t="shared" si="176"/>
        <v>NVT</v>
      </c>
      <c r="O471" s="141" t="str">
        <f t="shared" si="177"/>
        <v>NVT</v>
      </c>
      <c r="P471" s="141" t="str">
        <f t="shared" si="178"/>
        <v>NVT</v>
      </c>
      <c r="Q471" s="141" t="str">
        <f t="shared" si="179"/>
        <v>NVT</v>
      </c>
      <c r="R471" s="63" t="s">
        <v>1221</v>
      </c>
      <c r="S471" s="142">
        <f t="shared" si="187"/>
        <v>0</v>
      </c>
      <c r="T471" s="143">
        <v>105.3</v>
      </c>
      <c r="U471" s="144"/>
      <c r="V471" s="144"/>
      <c r="W471" s="144"/>
      <c r="X471" s="144"/>
      <c r="Y471" s="144"/>
      <c r="Z471" s="145"/>
      <c r="AA471" s="145"/>
      <c r="AB471" s="145"/>
      <c r="AC471" s="145"/>
      <c r="AD471" s="146" t="s">
        <v>1261</v>
      </c>
      <c r="AE471" s="171">
        <v>1</v>
      </c>
      <c r="AF471" s="147">
        <f t="shared" si="180"/>
        <v>0</v>
      </c>
      <c r="AG471" s="147">
        <f t="shared" si="181"/>
        <v>0</v>
      </c>
      <c r="AH471" s="147">
        <f t="shared" si="182"/>
        <v>0</v>
      </c>
      <c r="AI471" s="147">
        <f t="shared" si="183"/>
        <v>0</v>
      </c>
      <c r="AJ471" s="148">
        <f t="shared" si="184"/>
        <v>0</v>
      </c>
      <c r="AK471" s="149">
        <f t="shared" si="188"/>
        <v>0</v>
      </c>
      <c r="AL471" s="149">
        <f t="shared" si="189"/>
        <v>0</v>
      </c>
      <c r="AM471" s="149">
        <f t="shared" si="190"/>
        <v>0</v>
      </c>
      <c r="AN471" s="149">
        <f t="shared" si="191"/>
        <v>0</v>
      </c>
      <c r="AO471" s="150">
        <f t="shared" si="185"/>
        <v>0</v>
      </c>
      <c r="AQ471" s="151">
        <f t="shared" si="186"/>
        <v>0</v>
      </c>
    </row>
    <row r="472" spans="1:43" ht="15" customHeight="1">
      <c r="A472" s="82" t="e">
        <f t="shared" si="171"/>
        <v>#REF!</v>
      </c>
      <c r="B472" s="134">
        <v>104</v>
      </c>
      <c r="C472" s="135" t="s">
        <v>260</v>
      </c>
      <c r="D472" s="136" t="s">
        <v>274</v>
      </c>
      <c r="E472" s="137" t="s">
        <v>759</v>
      </c>
      <c r="F472" s="138" t="s">
        <v>778</v>
      </c>
      <c r="G472" s="139" t="s">
        <v>784</v>
      </c>
      <c r="H472" s="140" t="str">
        <f t="shared" si="172"/>
        <v>Niet van toepassing</v>
      </c>
      <c r="I472" s="138" t="s">
        <v>35</v>
      </c>
      <c r="J472" s="138" t="s">
        <v>1172</v>
      </c>
      <c r="K472" s="141" t="str">
        <f t="shared" si="173"/>
        <v>NVT</v>
      </c>
      <c r="L472" s="141" t="str">
        <f t="shared" si="174"/>
        <v>NVT</v>
      </c>
      <c r="M472" s="141" t="str">
        <f t="shared" si="175"/>
        <v>NVT</v>
      </c>
      <c r="N472" s="141" t="str">
        <f t="shared" si="176"/>
        <v>NVT</v>
      </c>
      <c r="O472" s="141" t="str">
        <f t="shared" si="177"/>
        <v>NVT</v>
      </c>
      <c r="P472" s="141" t="str">
        <f t="shared" si="178"/>
        <v>NVT</v>
      </c>
      <c r="Q472" s="141" t="str">
        <f t="shared" si="179"/>
        <v>NVT</v>
      </c>
      <c r="R472" s="63" t="s">
        <v>1221</v>
      </c>
      <c r="S472" s="142">
        <f t="shared" si="187"/>
        <v>0</v>
      </c>
      <c r="T472" s="143">
        <v>0</v>
      </c>
      <c r="U472" s="144"/>
      <c r="V472" s="144"/>
      <c r="W472" s="144"/>
      <c r="X472" s="144"/>
      <c r="Y472" s="144"/>
      <c r="Z472" s="145"/>
      <c r="AA472" s="145"/>
      <c r="AB472" s="145"/>
      <c r="AC472" s="145"/>
      <c r="AD472" s="146" t="s">
        <v>1261</v>
      </c>
      <c r="AE472" s="171">
        <v>1</v>
      </c>
      <c r="AF472" s="147">
        <f t="shared" si="180"/>
        <v>0</v>
      </c>
      <c r="AG472" s="147">
        <f t="shared" si="181"/>
        <v>0</v>
      </c>
      <c r="AH472" s="147">
        <f t="shared" si="182"/>
        <v>0</v>
      </c>
      <c r="AI472" s="147">
        <f t="shared" si="183"/>
        <v>0</v>
      </c>
      <c r="AJ472" s="148">
        <f t="shared" si="184"/>
        <v>0</v>
      </c>
      <c r="AK472" s="149">
        <f t="shared" si="188"/>
        <v>0</v>
      </c>
      <c r="AL472" s="149">
        <f t="shared" si="189"/>
        <v>0</v>
      </c>
      <c r="AM472" s="149">
        <f t="shared" si="190"/>
        <v>0</v>
      </c>
      <c r="AN472" s="149">
        <f t="shared" si="191"/>
        <v>0</v>
      </c>
      <c r="AO472" s="150">
        <f t="shared" si="185"/>
        <v>0</v>
      </c>
      <c r="AQ472" s="151">
        <f t="shared" si="186"/>
        <v>0</v>
      </c>
    </row>
    <row r="473" spans="1:43" ht="15" customHeight="1">
      <c r="A473" s="82" t="e">
        <f t="shared" si="171"/>
        <v>#REF!</v>
      </c>
      <c r="B473" s="134">
        <v>104</v>
      </c>
      <c r="C473" s="135" t="s">
        <v>260</v>
      </c>
      <c r="D473" s="136" t="s">
        <v>274</v>
      </c>
      <c r="E473" s="137" t="s">
        <v>759</v>
      </c>
      <c r="F473" s="138" t="s">
        <v>263</v>
      </c>
      <c r="G473" s="139" t="s">
        <v>785</v>
      </c>
      <c r="H473" s="140" t="str">
        <f t="shared" si="172"/>
        <v>Niet van toepassing</v>
      </c>
      <c r="I473" s="138" t="s">
        <v>82</v>
      </c>
      <c r="J473" s="138" t="s">
        <v>1172</v>
      </c>
      <c r="K473" s="141" t="str">
        <f t="shared" si="173"/>
        <v>NVT</v>
      </c>
      <c r="L473" s="141" t="str">
        <f t="shared" si="174"/>
        <v>NVT</v>
      </c>
      <c r="M473" s="141" t="str">
        <f t="shared" si="175"/>
        <v>NVT</v>
      </c>
      <c r="N473" s="141" t="str">
        <f t="shared" si="176"/>
        <v>NVT</v>
      </c>
      <c r="O473" s="141" t="str">
        <f t="shared" si="177"/>
        <v>NVT</v>
      </c>
      <c r="P473" s="141" t="str">
        <f t="shared" si="178"/>
        <v>NVT</v>
      </c>
      <c r="Q473" s="141" t="str">
        <f t="shared" si="179"/>
        <v>NVT</v>
      </c>
      <c r="R473" s="63" t="s">
        <v>1221</v>
      </c>
      <c r="S473" s="142">
        <f t="shared" si="187"/>
        <v>0</v>
      </c>
      <c r="T473" s="143">
        <v>0</v>
      </c>
      <c r="U473" s="144"/>
      <c r="V473" s="144"/>
      <c r="W473" s="144"/>
      <c r="X473" s="144"/>
      <c r="Y473" s="144"/>
      <c r="Z473" s="145"/>
      <c r="AA473" s="145"/>
      <c r="AB473" s="145"/>
      <c r="AC473" s="145"/>
      <c r="AD473" s="146" t="s">
        <v>797</v>
      </c>
      <c r="AE473" s="171">
        <v>1</v>
      </c>
      <c r="AF473" s="147">
        <f t="shared" si="180"/>
        <v>0</v>
      </c>
      <c r="AG473" s="147">
        <f t="shared" si="181"/>
        <v>0</v>
      </c>
      <c r="AH473" s="147">
        <f t="shared" si="182"/>
        <v>0</v>
      </c>
      <c r="AI473" s="147">
        <f t="shared" si="183"/>
        <v>0</v>
      </c>
      <c r="AJ473" s="148">
        <f t="shared" si="184"/>
        <v>0</v>
      </c>
      <c r="AK473" s="149">
        <f t="shared" si="188"/>
        <v>0</v>
      </c>
      <c r="AL473" s="149">
        <f t="shared" si="189"/>
        <v>0</v>
      </c>
      <c r="AM473" s="149">
        <f t="shared" si="190"/>
        <v>0</v>
      </c>
      <c r="AN473" s="149">
        <f t="shared" si="191"/>
        <v>0</v>
      </c>
      <c r="AO473" s="150">
        <f t="shared" si="185"/>
        <v>0</v>
      </c>
      <c r="AQ473" s="151">
        <f t="shared" si="186"/>
        <v>0</v>
      </c>
    </row>
    <row r="474" spans="1:43" ht="15" customHeight="1">
      <c r="A474" s="82" t="e">
        <f t="shared" si="171"/>
        <v>#REF!</v>
      </c>
      <c r="B474" s="134">
        <v>104</v>
      </c>
      <c r="C474" s="135" t="s">
        <v>260</v>
      </c>
      <c r="D474" s="136" t="s">
        <v>274</v>
      </c>
      <c r="E474" s="137" t="s">
        <v>759</v>
      </c>
      <c r="F474" s="138" t="s">
        <v>263</v>
      </c>
      <c r="G474" s="139" t="s">
        <v>786</v>
      </c>
      <c r="H474" s="140" t="str">
        <f t="shared" si="172"/>
        <v>Niet van toepassing</v>
      </c>
      <c r="I474" s="138" t="s">
        <v>82</v>
      </c>
      <c r="J474" s="138" t="s">
        <v>1172</v>
      </c>
      <c r="K474" s="141" t="str">
        <f t="shared" si="173"/>
        <v>NVT</v>
      </c>
      <c r="L474" s="141" t="str">
        <f t="shared" si="174"/>
        <v>NVT</v>
      </c>
      <c r="M474" s="141" t="str">
        <f t="shared" si="175"/>
        <v>NVT</v>
      </c>
      <c r="N474" s="141" t="str">
        <f t="shared" si="176"/>
        <v>NVT</v>
      </c>
      <c r="O474" s="141" t="str">
        <f t="shared" si="177"/>
        <v>NVT</v>
      </c>
      <c r="P474" s="141" t="str">
        <f t="shared" si="178"/>
        <v>NVT</v>
      </c>
      <c r="Q474" s="141" t="str">
        <f t="shared" si="179"/>
        <v>NVT</v>
      </c>
      <c r="R474" s="63" t="s">
        <v>1221</v>
      </c>
      <c r="S474" s="142">
        <f t="shared" si="187"/>
        <v>0</v>
      </c>
      <c r="T474" s="143">
        <v>0</v>
      </c>
      <c r="U474" s="144"/>
      <c r="V474" s="144"/>
      <c r="W474" s="144"/>
      <c r="X474" s="144"/>
      <c r="Y474" s="144"/>
      <c r="Z474" s="145"/>
      <c r="AA474" s="145"/>
      <c r="AB474" s="145"/>
      <c r="AC474" s="145"/>
      <c r="AD474" s="146" t="s">
        <v>798</v>
      </c>
      <c r="AE474" s="171">
        <v>1</v>
      </c>
      <c r="AF474" s="147">
        <f t="shared" si="180"/>
        <v>0</v>
      </c>
      <c r="AG474" s="147">
        <f t="shared" si="181"/>
        <v>0</v>
      </c>
      <c r="AH474" s="147">
        <f t="shared" si="182"/>
        <v>0</v>
      </c>
      <c r="AI474" s="147">
        <f t="shared" si="183"/>
        <v>0</v>
      </c>
      <c r="AJ474" s="148">
        <f t="shared" si="184"/>
        <v>0</v>
      </c>
      <c r="AK474" s="149">
        <f t="shared" si="188"/>
        <v>0</v>
      </c>
      <c r="AL474" s="149">
        <f t="shared" si="189"/>
        <v>0</v>
      </c>
      <c r="AM474" s="149">
        <f t="shared" si="190"/>
        <v>0</v>
      </c>
      <c r="AN474" s="149">
        <f t="shared" si="191"/>
        <v>0</v>
      </c>
      <c r="AO474" s="150">
        <f t="shared" si="185"/>
        <v>0</v>
      </c>
      <c r="AQ474" s="151">
        <f t="shared" si="186"/>
        <v>0</v>
      </c>
    </row>
    <row r="475" spans="1:43" ht="15" customHeight="1">
      <c r="A475" s="82" t="e">
        <f t="shared" si="171"/>
        <v>#REF!</v>
      </c>
      <c r="B475" s="134">
        <v>104</v>
      </c>
      <c r="C475" s="135" t="s">
        <v>260</v>
      </c>
      <c r="D475" s="136" t="s">
        <v>274</v>
      </c>
      <c r="E475" s="137" t="s">
        <v>759</v>
      </c>
      <c r="F475" s="138" t="s">
        <v>787</v>
      </c>
      <c r="G475" s="139" t="s">
        <v>788</v>
      </c>
      <c r="H475" s="140" t="str">
        <f t="shared" si="172"/>
        <v>Niet van toepassing</v>
      </c>
      <c r="I475" s="138" t="s">
        <v>35</v>
      </c>
      <c r="J475" s="138" t="s">
        <v>1172</v>
      </c>
      <c r="K475" s="141" t="str">
        <f t="shared" si="173"/>
        <v>NVT</v>
      </c>
      <c r="L475" s="141" t="str">
        <f t="shared" si="174"/>
        <v>NVT</v>
      </c>
      <c r="M475" s="141" t="str">
        <f t="shared" si="175"/>
        <v>NVT</v>
      </c>
      <c r="N475" s="141" t="str">
        <f t="shared" si="176"/>
        <v>NVT</v>
      </c>
      <c r="O475" s="141" t="str">
        <f t="shared" si="177"/>
        <v>NVT</v>
      </c>
      <c r="P475" s="141" t="str">
        <f t="shared" si="178"/>
        <v>NVT</v>
      </c>
      <c r="Q475" s="141" t="str">
        <f t="shared" si="179"/>
        <v>NVT</v>
      </c>
      <c r="R475" s="63" t="s">
        <v>1221</v>
      </c>
      <c r="S475" s="142">
        <f t="shared" si="187"/>
        <v>0</v>
      </c>
      <c r="T475" s="143">
        <f>(3.7*2.4)*1.3</f>
        <v>11.544000000000002</v>
      </c>
      <c r="U475" s="144"/>
      <c r="V475" s="144"/>
      <c r="W475" s="144">
        <v>30</v>
      </c>
      <c r="X475" s="144"/>
      <c r="Y475" s="144"/>
      <c r="Z475" s="145"/>
      <c r="AA475" s="145">
        <v>9</v>
      </c>
      <c r="AB475" s="145"/>
      <c r="AC475" s="145"/>
      <c r="AD475" s="146"/>
      <c r="AE475" s="171">
        <v>1</v>
      </c>
      <c r="AF475" s="147">
        <f t="shared" si="180"/>
        <v>0</v>
      </c>
      <c r="AG475" s="147">
        <f t="shared" si="181"/>
        <v>0</v>
      </c>
      <c r="AH475" s="147">
        <f t="shared" si="182"/>
        <v>0</v>
      </c>
      <c r="AI475" s="147">
        <f t="shared" si="183"/>
        <v>0</v>
      </c>
      <c r="AJ475" s="148">
        <f t="shared" si="184"/>
        <v>0</v>
      </c>
      <c r="AK475" s="149">
        <f t="shared" si="188"/>
        <v>0</v>
      </c>
      <c r="AL475" s="149">
        <f t="shared" si="189"/>
        <v>0</v>
      </c>
      <c r="AM475" s="149">
        <f t="shared" si="190"/>
        <v>0</v>
      </c>
      <c r="AN475" s="149">
        <f t="shared" si="191"/>
        <v>0</v>
      </c>
      <c r="AO475" s="150">
        <f t="shared" si="185"/>
        <v>0</v>
      </c>
      <c r="AQ475" s="151">
        <f t="shared" si="186"/>
        <v>0</v>
      </c>
    </row>
    <row r="476" spans="1:43" ht="15" customHeight="1">
      <c r="A476" s="82" t="e">
        <f t="shared" ref="A476:A530" si="192">1+A475</f>
        <v>#REF!</v>
      </c>
      <c r="B476" s="134">
        <v>104</v>
      </c>
      <c r="C476" s="135" t="s">
        <v>260</v>
      </c>
      <c r="D476" s="136" t="s">
        <v>274</v>
      </c>
      <c r="E476" s="137" t="s">
        <v>759</v>
      </c>
      <c r="F476" s="138" t="s">
        <v>787</v>
      </c>
      <c r="G476" s="139" t="s">
        <v>789</v>
      </c>
      <c r="H476" s="140" t="str">
        <f t="shared" si="172"/>
        <v>Niet van toepassing</v>
      </c>
      <c r="I476" s="138" t="s">
        <v>35</v>
      </c>
      <c r="J476" s="138" t="s">
        <v>1172</v>
      </c>
      <c r="K476" s="141" t="str">
        <f t="shared" si="173"/>
        <v>NVT</v>
      </c>
      <c r="L476" s="141" t="str">
        <f t="shared" si="174"/>
        <v>NVT</v>
      </c>
      <c r="M476" s="141" t="str">
        <f t="shared" si="175"/>
        <v>NVT</v>
      </c>
      <c r="N476" s="141" t="str">
        <f t="shared" si="176"/>
        <v>NVT</v>
      </c>
      <c r="O476" s="141" t="str">
        <f t="shared" si="177"/>
        <v>NVT</v>
      </c>
      <c r="P476" s="141" t="str">
        <f t="shared" si="178"/>
        <v>NVT</v>
      </c>
      <c r="Q476" s="141" t="str">
        <f t="shared" si="179"/>
        <v>NVT</v>
      </c>
      <c r="R476" s="63" t="s">
        <v>1221</v>
      </c>
      <c r="S476" s="142">
        <f t="shared" si="187"/>
        <v>0</v>
      </c>
      <c r="T476" s="143">
        <f>2.1*4+1.2*1.2</f>
        <v>9.84</v>
      </c>
      <c r="U476" s="144"/>
      <c r="V476" s="144"/>
      <c r="W476" s="144">
        <v>37</v>
      </c>
      <c r="X476" s="144"/>
      <c r="Y476" s="144"/>
      <c r="Z476" s="145"/>
      <c r="AA476" s="145">
        <v>10</v>
      </c>
      <c r="AB476" s="145"/>
      <c r="AC476" s="145"/>
      <c r="AD476" s="146"/>
      <c r="AE476" s="171">
        <v>1</v>
      </c>
      <c r="AF476" s="147">
        <f t="shared" si="180"/>
        <v>0</v>
      </c>
      <c r="AG476" s="147">
        <f t="shared" si="181"/>
        <v>0</v>
      </c>
      <c r="AH476" s="147">
        <f t="shared" si="182"/>
        <v>0</v>
      </c>
      <c r="AI476" s="147">
        <f t="shared" si="183"/>
        <v>0</v>
      </c>
      <c r="AJ476" s="148">
        <f t="shared" si="184"/>
        <v>0</v>
      </c>
      <c r="AK476" s="149">
        <f t="shared" si="188"/>
        <v>0</v>
      </c>
      <c r="AL476" s="149">
        <f t="shared" si="189"/>
        <v>0</v>
      </c>
      <c r="AM476" s="149">
        <f t="shared" si="190"/>
        <v>0</v>
      </c>
      <c r="AN476" s="149">
        <f t="shared" si="191"/>
        <v>0</v>
      </c>
      <c r="AO476" s="150">
        <f t="shared" si="185"/>
        <v>0</v>
      </c>
      <c r="AQ476" s="151">
        <f t="shared" si="186"/>
        <v>0</v>
      </c>
    </row>
    <row r="477" spans="1:43" ht="15" customHeight="1">
      <c r="A477" s="82" t="e">
        <f t="shared" si="192"/>
        <v>#REF!</v>
      </c>
      <c r="B477" s="134">
        <v>104</v>
      </c>
      <c r="C477" s="135" t="s">
        <v>260</v>
      </c>
      <c r="D477" s="136" t="s">
        <v>274</v>
      </c>
      <c r="E477" s="137" t="s">
        <v>759</v>
      </c>
      <c r="F477" s="138" t="s">
        <v>646</v>
      </c>
      <c r="G477" s="139" t="s">
        <v>790</v>
      </c>
      <c r="H477" s="140" t="str">
        <f t="shared" si="172"/>
        <v>Niet van toepassing</v>
      </c>
      <c r="I477" s="138" t="s">
        <v>35</v>
      </c>
      <c r="J477" s="138" t="s">
        <v>1172</v>
      </c>
      <c r="K477" s="141" t="str">
        <f t="shared" si="173"/>
        <v>NVT</v>
      </c>
      <c r="L477" s="141" t="str">
        <f t="shared" si="174"/>
        <v>NVT</v>
      </c>
      <c r="M477" s="141" t="str">
        <f t="shared" si="175"/>
        <v>NVT</v>
      </c>
      <c r="N477" s="141" t="str">
        <f t="shared" si="176"/>
        <v>NVT</v>
      </c>
      <c r="O477" s="141" t="str">
        <f t="shared" si="177"/>
        <v>NVT</v>
      </c>
      <c r="P477" s="141" t="str">
        <f t="shared" si="178"/>
        <v>NVT</v>
      </c>
      <c r="Q477" s="141" t="str">
        <f t="shared" si="179"/>
        <v>NVT</v>
      </c>
      <c r="R477" s="63" t="s">
        <v>1221</v>
      </c>
      <c r="S477" s="142">
        <f t="shared" si="187"/>
        <v>0</v>
      </c>
      <c r="T477" s="143">
        <v>0</v>
      </c>
      <c r="U477" s="144"/>
      <c r="V477" s="144"/>
      <c r="W477" s="144"/>
      <c r="X477" s="144"/>
      <c r="Y477" s="144"/>
      <c r="Z477" s="145"/>
      <c r="AA477" s="145"/>
      <c r="AB477" s="145"/>
      <c r="AC477" s="145"/>
      <c r="AD477" s="146" t="s">
        <v>1277</v>
      </c>
      <c r="AE477" s="171">
        <v>1</v>
      </c>
      <c r="AF477" s="147">
        <f t="shared" si="180"/>
        <v>0</v>
      </c>
      <c r="AG477" s="147">
        <f t="shared" si="181"/>
        <v>0</v>
      </c>
      <c r="AH477" s="147">
        <f t="shared" si="182"/>
        <v>0</v>
      </c>
      <c r="AI477" s="147">
        <f t="shared" si="183"/>
        <v>0</v>
      </c>
      <c r="AJ477" s="148">
        <f t="shared" si="184"/>
        <v>0</v>
      </c>
      <c r="AK477" s="149">
        <f t="shared" si="188"/>
        <v>0</v>
      </c>
      <c r="AL477" s="149">
        <f t="shared" si="189"/>
        <v>0</v>
      </c>
      <c r="AM477" s="149">
        <f t="shared" si="190"/>
        <v>0</v>
      </c>
      <c r="AN477" s="149">
        <f t="shared" si="191"/>
        <v>0</v>
      </c>
      <c r="AO477" s="150">
        <f t="shared" si="185"/>
        <v>0</v>
      </c>
      <c r="AQ477" s="151">
        <f t="shared" si="186"/>
        <v>0</v>
      </c>
    </row>
    <row r="478" spans="1:43" ht="15" customHeight="1">
      <c r="A478" s="82" t="e">
        <f t="shared" si="192"/>
        <v>#REF!</v>
      </c>
      <c r="B478" s="134">
        <v>104</v>
      </c>
      <c r="C478" s="135" t="s">
        <v>260</v>
      </c>
      <c r="D478" s="136" t="s">
        <v>274</v>
      </c>
      <c r="E478" s="137" t="s">
        <v>759</v>
      </c>
      <c r="F478" s="138" t="s">
        <v>646</v>
      </c>
      <c r="G478" s="139" t="s">
        <v>791</v>
      </c>
      <c r="H478" s="140" t="str">
        <f t="shared" si="172"/>
        <v>Niet van toepassing</v>
      </c>
      <c r="I478" s="138" t="s">
        <v>35</v>
      </c>
      <c r="J478" s="138" t="s">
        <v>1172</v>
      </c>
      <c r="K478" s="141" t="str">
        <f t="shared" si="173"/>
        <v>NVT</v>
      </c>
      <c r="L478" s="141" t="str">
        <f t="shared" si="174"/>
        <v>NVT</v>
      </c>
      <c r="M478" s="141" t="str">
        <f t="shared" si="175"/>
        <v>NVT</v>
      </c>
      <c r="N478" s="141" t="str">
        <f t="shared" si="176"/>
        <v>NVT</v>
      </c>
      <c r="O478" s="141" t="str">
        <f t="shared" si="177"/>
        <v>NVT</v>
      </c>
      <c r="P478" s="141" t="str">
        <f t="shared" si="178"/>
        <v>NVT</v>
      </c>
      <c r="Q478" s="141" t="str">
        <f t="shared" si="179"/>
        <v>NVT</v>
      </c>
      <c r="R478" s="63" t="s">
        <v>1221</v>
      </c>
      <c r="S478" s="142">
        <f t="shared" si="187"/>
        <v>0</v>
      </c>
      <c r="T478" s="143">
        <v>317</v>
      </c>
      <c r="U478" s="144"/>
      <c r="V478" s="144"/>
      <c r="W478" s="144">
        <v>145</v>
      </c>
      <c r="X478" s="144"/>
      <c r="Y478" s="144"/>
      <c r="Z478" s="145"/>
      <c r="AA478" s="145">
        <v>317</v>
      </c>
      <c r="AB478" s="145"/>
      <c r="AC478" s="145"/>
      <c r="AD478" s="146"/>
      <c r="AE478" s="171">
        <v>1</v>
      </c>
      <c r="AF478" s="147">
        <f t="shared" si="180"/>
        <v>0</v>
      </c>
      <c r="AG478" s="147">
        <f t="shared" si="181"/>
        <v>0</v>
      </c>
      <c r="AH478" s="147">
        <f t="shared" si="182"/>
        <v>0</v>
      </c>
      <c r="AI478" s="147">
        <f t="shared" si="183"/>
        <v>0</v>
      </c>
      <c r="AJ478" s="148">
        <f t="shared" si="184"/>
        <v>0</v>
      </c>
      <c r="AK478" s="149">
        <f t="shared" si="188"/>
        <v>0</v>
      </c>
      <c r="AL478" s="149">
        <f t="shared" si="189"/>
        <v>0</v>
      </c>
      <c r="AM478" s="149">
        <f t="shared" si="190"/>
        <v>0</v>
      </c>
      <c r="AN478" s="149">
        <f t="shared" si="191"/>
        <v>0</v>
      </c>
      <c r="AO478" s="150">
        <f t="shared" si="185"/>
        <v>0</v>
      </c>
      <c r="AQ478" s="151">
        <f t="shared" si="186"/>
        <v>0</v>
      </c>
    </row>
    <row r="479" spans="1:43" ht="15" customHeight="1">
      <c r="A479" s="82" t="e">
        <f t="shared" si="192"/>
        <v>#REF!</v>
      </c>
      <c r="B479" s="134">
        <v>104</v>
      </c>
      <c r="C479" s="135" t="s">
        <v>260</v>
      </c>
      <c r="D479" s="136" t="s">
        <v>274</v>
      </c>
      <c r="E479" s="137" t="s">
        <v>759</v>
      </c>
      <c r="F479" s="138" t="s">
        <v>646</v>
      </c>
      <c r="G479" s="139" t="s">
        <v>792</v>
      </c>
      <c r="H479" s="140" t="str">
        <f t="shared" si="172"/>
        <v>Niet van toepassing</v>
      </c>
      <c r="I479" s="138" t="s">
        <v>35</v>
      </c>
      <c r="J479" s="138" t="s">
        <v>1172</v>
      </c>
      <c r="K479" s="141" t="str">
        <f t="shared" si="173"/>
        <v>NVT</v>
      </c>
      <c r="L479" s="141" t="str">
        <f t="shared" si="174"/>
        <v>NVT</v>
      </c>
      <c r="M479" s="141" t="str">
        <f t="shared" si="175"/>
        <v>NVT</v>
      </c>
      <c r="N479" s="141" t="str">
        <f t="shared" si="176"/>
        <v>NVT</v>
      </c>
      <c r="O479" s="141" t="str">
        <f t="shared" si="177"/>
        <v>NVT</v>
      </c>
      <c r="P479" s="141" t="str">
        <f t="shared" si="178"/>
        <v>NVT</v>
      </c>
      <c r="Q479" s="141" t="str">
        <f t="shared" si="179"/>
        <v>NVT</v>
      </c>
      <c r="R479" s="63" t="s">
        <v>1221</v>
      </c>
      <c r="S479" s="142">
        <f t="shared" si="187"/>
        <v>0</v>
      </c>
      <c r="T479" s="143">
        <v>309</v>
      </c>
      <c r="U479" s="144"/>
      <c r="V479" s="144"/>
      <c r="W479" s="144">
        <v>143</v>
      </c>
      <c r="X479" s="144"/>
      <c r="Y479" s="144"/>
      <c r="Z479" s="145"/>
      <c r="AA479" s="145"/>
      <c r="AB479" s="145"/>
      <c r="AC479" s="145"/>
      <c r="AD479" s="146"/>
      <c r="AE479" s="171">
        <v>1</v>
      </c>
      <c r="AF479" s="147">
        <f t="shared" si="180"/>
        <v>0</v>
      </c>
      <c r="AG479" s="147">
        <f t="shared" si="181"/>
        <v>0</v>
      </c>
      <c r="AH479" s="147">
        <f t="shared" si="182"/>
        <v>0</v>
      </c>
      <c r="AI479" s="147">
        <f t="shared" si="183"/>
        <v>0</v>
      </c>
      <c r="AJ479" s="148">
        <f t="shared" si="184"/>
        <v>0</v>
      </c>
      <c r="AK479" s="149">
        <f t="shared" si="188"/>
        <v>0</v>
      </c>
      <c r="AL479" s="149">
        <f t="shared" si="189"/>
        <v>0</v>
      </c>
      <c r="AM479" s="149">
        <f t="shared" si="190"/>
        <v>0</v>
      </c>
      <c r="AN479" s="149">
        <f t="shared" si="191"/>
        <v>0</v>
      </c>
      <c r="AO479" s="150">
        <f t="shared" si="185"/>
        <v>0</v>
      </c>
      <c r="AQ479" s="151">
        <f t="shared" si="186"/>
        <v>0</v>
      </c>
    </row>
    <row r="480" spans="1:43" ht="15" customHeight="1">
      <c r="A480" s="82" t="e">
        <f t="shared" si="192"/>
        <v>#REF!</v>
      </c>
      <c r="B480" s="134">
        <v>104</v>
      </c>
      <c r="C480" s="135" t="s">
        <v>260</v>
      </c>
      <c r="D480" s="136" t="s">
        <v>274</v>
      </c>
      <c r="E480" s="137" t="s">
        <v>759</v>
      </c>
      <c r="F480" s="138" t="s">
        <v>646</v>
      </c>
      <c r="G480" s="139" t="s">
        <v>793</v>
      </c>
      <c r="H480" s="140" t="str">
        <f t="shared" si="172"/>
        <v>Niet van toepassing</v>
      </c>
      <c r="I480" s="138" t="s">
        <v>35</v>
      </c>
      <c r="J480" s="138" t="s">
        <v>1172</v>
      </c>
      <c r="K480" s="141" t="str">
        <f t="shared" si="173"/>
        <v>NVT</v>
      </c>
      <c r="L480" s="141" t="str">
        <f t="shared" si="174"/>
        <v>NVT</v>
      </c>
      <c r="M480" s="141" t="str">
        <f t="shared" si="175"/>
        <v>NVT</v>
      </c>
      <c r="N480" s="141" t="str">
        <f t="shared" si="176"/>
        <v>NVT</v>
      </c>
      <c r="O480" s="141" t="str">
        <f t="shared" si="177"/>
        <v>NVT</v>
      </c>
      <c r="P480" s="141" t="str">
        <f t="shared" si="178"/>
        <v>NVT</v>
      </c>
      <c r="Q480" s="141" t="str">
        <f t="shared" si="179"/>
        <v>NVT</v>
      </c>
      <c r="R480" s="63" t="s">
        <v>1221</v>
      </c>
      <c r="S480" s="142">
        <f t="shared" si="187"/>
        <v>0</v>
      </c>
      <c r="T480" s="143">
        <f>2.7*2.7+1.5*3.3</f>
        <v>12.24</v>
      </c>
      <c r="U480" s="144"/>
      <c r="V480" s="144"/>
      <c r="W480" s="144">
        <v>26</v>
      </c>
      <c r="X480" s="144"/>
      <c r="Y480" s="144"/>
      <c r="Z480" s="145"/>
      <c r="AA480" s="145">
        <v>12</v>
      </c>
      <c r="AB480" s="145"/>
      <c r="AC480" s="145"/>
      <c r="AD480" s="146"/>
      <c r="AE480" s="171">
        <v>1</v>
      </c>
      <c r="AF480" s="147">
        <f t="shared" si="180"/>
        <v>0</v>
      </c>
      <c r="AG480" s="147">
        <f t="shared" si="181"/>
        <v>0</v>
      </c>
      <c r="AH480" s="147">
        <f t="shared" si="182"/>
        <v>0</v>
      </c>
      <c r="AI480" s="147">
        <f t="shared" si="183"/>
        <v>0</v>
      </c>
      <c r="AJ480" s="148">
        <f t="shared" si="184"/>
        <v>0</v>
      </c>
      <c r="AK480" s="149">
        <f t="shared" si="188"/>
        <v>0</v>
      </c>
      <c r="AL480" s="149">
        <f t="shared" si="189"/>
        <v>0</v>
      </c>
      <c r="AM480" s="149">
        <f t="shared" si="190"/>
        <v>0</v>
      </c>
      <c r="AN480" s="149">
        <f t="shared" si="191"/>
        <v>0</v>
      </c>
      <c r="AO480" s="150">
        <f t="shared" si="185"/>
        <v>0</v>
      </c>
      <c r="AQ480" s="151">
        <f t="shared" si="186"/>
        <v>0</v>
      </c>
    </row>
    <row r="481" spans="1:43" ht="15" customHeight="1">
      <c r="A481" s="82" t="e">
        <f t="shared" si="192"/>
        <v>#REF!</v>
      </c>
      <c r="B481" s="134">
        <v>104</v>
      </c>
      <c r="C481" s="135" t="s">
        <v>260</v>
      </c>
      <c r="D481" s="136" t="s">
        <v>274</v>
      </c>
      <c r="E481" s="137" t="s">
        <v>759</v>
      </c>
      <c r="F481" s="138" t="s">
        <v>646</v>
      </c>
      <c r="G481" s="139" t="s">
        <v>794</v>
      </c>
      <c r="H481" s="140" t="str">
        <f t="shared" si="172"/>
        <v>Niet van toepassing</v>
      </c>
      <c r="I481" s="138" t="s">
        <v>35</v>
      </c>
      <c r="J481" s="138" t="s">
        <v>1172</v>
      </c>
      <c r="K481" s="141" t="str">
        <f t="shared" si="173"/>
        <v>NVT</v>
      </c>
      <c r="L481" s="141" t="str">
        <f t="shared" si="174"/>
        <v>NVT</v>
      </c>
      <c r="M481" s="141" t="str">
        <f t="shared" si="175"/>
        <v>NVT</v>
      </c>
      <c r="N481" s="141" t="str">
        <f t="shared" si="176"/>
        <v>NVT</v>
      </c>
      <c r="O481" s="141" t="str">
        <f t="shared" si="177"/>
        <v>NVT</v>
      </c>
      <c r="P481" s="141" t="str">
        <f t="shared" si="178"/>
        <v>NVT</v>
      </c>
      <c r="Q481" s="141" t="str">
        <f t="shared" si="179"/>
        <v>NVT</v>
      </c>
      <c r="R481" s="63" t="s">
        <v>1221</v>
      </c>
      <c r="S481" s="142">
        <f t="shared" si="187"/>
        <v>0</v>
      </c>
      <c r="T481" s="143">
        <v>7</v>
      </c>
      <c r="U481" s="144"/>
      <c r="V481" s="144"/>
      <c r="W481" s="144">
        <v>27</v>
      </c>
      <c r="X481" s="144"/>
      <c r="Y481" s="144"/>
      <c r="Z481" s="145"/>
      <c r="AA481" s="145"/>
      <c r="AB481" s="145"/>
      <c r="AC481" s="145"/>
      <c r="AD481" s="146"/>
      <c r="AE481" s="171">
        <v>1</v>
      </c>
      <c r="AF481" s="147">
        <f t="shared" si="180"/>
        <v>0</v>
      </c>
      <c r="AG481" s="147">
        <f t="shared" si="181"/>
        <v>0</v>
      </c>
      <c r="AH481" s="147">
        <f t="shared" si="182"/>
        <v>0</v>
      </c>
      <c r="AI481" s="147">
        <f t="shared" si="183"/>
        <v>0</v>
      </c>
      <c r="AJ481" s="148">
        <f t="shared" si="184"/>
        <v>0</v>
      </c>
      <c r="AK481" s="149">
        <f t="shared" si="188"/>
        <v>0</v>
      </c>
      <c r="AL481" s="149">
        <f t="shared" si="189"/>
        <v>0</v>
      </c>
      <c r="AM481" s="149">
        <f t="shared" si="190"/>
        <v>0</v>
      </c>
      <c r="AN481" s="149">
        <f t="shared" si="191"/>
        <v>0</v>
      </c>
      <c r="AO481" s="150">
        <f t="shared" si="185"/>
        <v>0</v>
      </c>
      <c r="AQ481" s="151">
        <f t="shared" si="186"/>
        <v>0</v>
      </c>
    </row>
    <row r="482" spans="1:43" ht="15" customHeight="1">
      <c r="A482" s="82" t="e">
        <f t="shared" si="192"/>
        <v>#REF!</v>
      </c>
      <c r="B482" s="134">
        <v>104</v>
      </c>
      <c r="C482" s="135" t="s">
        <v>260</v>
      </c>
      <c r="D482" s="136" t="s">
        <v>274</v>
      </c>
      <c r="E482" s="137" t="s">
        <v>759</v>
      </c>
      <c r="F482" s="138" t="s">
        <v>646</v>
      </c>
      <c r="G482" s="139" t="s">
        <v>795</v>
      </c>
      <c r="H482" s="140" t="str">
        <f t="shared" si="172"/>
        <v>Niet van toepassing</v>
      </c>
      <c r="I482" s="138" t="s">
        <v>35</v>
      </c>
      <c r="J482" s="138" t="s">
        <v>1172</v>
      </c>
      <c r="K482" s="141" t="str">
        <f t="shared" si="173"/>
        <v>NVT</v>
      </c>
      <c r="L482" s="141" t="str">
        <f t="shared" si="174"/>
        <v>NVT</v>
      </c>
      <c r="M482" s="141" t="str">
        <f t="shared" si="175"/>
        <v>NVT</v>
      </c>
      <c r="N482" s="141" t="str">
        <f t="shared" si="176"/>
        <v>NVT</v>
      </c>
      <c r="O482" s="141" t="str">
        <f t="shared" si="177"/>
        <v>NVT</v>
      </c>
      <c r="P482" s="141" t="str">
        <f t="shared" si="178"/>
        <v>NVT</v>
      </c>
      <c r="Q482" s="141" t="str">
        <f t="shared" si="179"/>
        <v>NVT</v>
      </c>
      <c r="R482" s="63" t="s">
        <v>1221</v>
      </c>
      <c r="S482" s="142">
        <f t="shared" si="187"/>
        <v>0</v>
      </c>
      <c r="T482" s="143">
        <v>7</v>
      </c>
      <c r="U482" s="144"/>
      <c r="V482" s="144"/>
      <c r="W482" s="144">
        <v>27</v>
      </c>
      <c r="X482" s="144"/>
      <c r="Y482" s="144"/>
      <c r="Z482" s="145"/>
      <c r="AA482" s="145"/>
      <c r="AB482" s="145"/>
      <c r="AC482" s="145"/>
      <c r="AD482" s="146"/>
      <c r="AE482" s="171">
        <v>1</v>
      </c>
      <c r="AF482" s="147">
        <f t="shared" si="180"/>
        <v>0</v>
      </c>
      <c r="AG482" s="147">
        <f t="shared" si="181"/>
        <v>0</v>
      </c>
      <c r="AH482" s="147">
        <f t="shared" si="182"/>
        <v>0</v>
      </c>
      <c r="AI482" s="147">
        <f t="shared" si="183"/>
        <v>0</v>
      </c>
      <c r="AJ482" s="148">
        <f t="shared" si="184"/>
        <v>0</v>
      </c>
      <c r="AK482" s="149">
        <f t="shared" si="188"/>
        <v>0</v>
      </c>
      <c r="AL482" s="149">
        <f t="shared" si="189"/>
        <v>0</v>
      </c>
      <c r="AM482" s="149">
        <f t="shared" si="190"/>
        <v>0</v>
      </c>
      <c r="AN482" s="149">
        <f t="shared" si="191"/>
        <v>0</v>
      </c>
      <c r="AO482" s="150">
        <f t="shared" si="185"/>
        <v>0</v>
      </c>
      <c r="AQ482" s="151">
        <f t="shared" si="186"/>
        <v>0</v>
      </c>
    </row>
    <row r="483" spans="1:43" ht="15" customHeight="1">
      <c r="A483" s="82" t="e">
        <f>1+#REF!</f>
        <v>#REF!</v>
      </c>
      <c r="B483" s="134">
        <v>104</v>
      </c>
      <c r="C483" s="135" t="s">
        <v>260</v>
      </c>
      <c r="D483" s="136" t="s">
        <v>274</v>
      </c>
      <c r="E483" s="137" t="s">
        <v>799</v>
      </c>
      <c r="F483" s="138" t="s">
        <v>736</v>
      </c>
      <c r="G483" s="139" t="s">
        <v>801</v>
      </c>
      <c r="H483" s="140" t="str">
        <f t="shared" ref="H483:H536" si="193">VLOOKUP(R483,Kengetal,3,FALSE)</f>
        <v>Niet van toepassing</v>
      </c>
      <c r="I483" s="138" t="s">
        <v>82</v>
      </c>
      <c r="J483" s="138" t="s">
        <v>1172</v>
      </c>
      <c r="K483" s="141" t="str">
        <f t="shared" ref="K483:K536" si="194">IF($R483="",0,VLOOKUP($R483,Kengetal,14,FALSE))</f>
        <v>NVT</v>
      </c>
      <c r="L483" s="141" t="str">
        <f t="shared" ref="L483:L536" si="195">IF($R483="",0,VLOOKUP($R483,Kengetal,15,FALSE))</f>
        <v>NVT</v>
      </c>
      <c r="M483" s="141" t="str">
        <f t="shared" ref="M483:M536" si="196">IF($R483="",0,VLOOKUP($R483,Kengetal,16,FALSE))</f>
        <v>NVT</v>
      </c>
      <c r="N483" s="141" t="str">
        <f t="shared" ref="N483:N536" si="197">IF($R483="",0,VLOOKUP($R483,Kengetal,17,FALSE))</f>
        <v>NVT</v>
      </c>
      <c r="O483" s="141" t="str">
        <f t="shared" ref="O483:O536" si="198">IF($R483="",0,VLOOKUP($R483,Kengetal,18,FALSE))</f>
        <v>NVT</v>
      </c>
      <c r="P483" s="141" t="str">
        <f t="shared" ref="P483:P536" si="199">IF($R483="",0,VLOOKUP($R483,Kengetal,19,FALSE))</f>
        <v>NVT</v>
      </c>
      <c r="Q483" s="141" t="str">
        <f t="shared" ref="Q483:Q536" si="200">IF($R483="",0,VLOOKUP($R483,Kengetal,20,FALSE))</f>
        <v>NVT</v>
      </c>
      <c r="R483" s="63" t="s">
        <v>1221</v>
      </c>
      <c r="S483" s="142">
        <f t="shared" si="187"/>
        <v>0</v>
      </c>
      <c r="T483" s="143">
        <f>(8.5*3)*1.3</f>
        <v>33.15</v>
      </c>
      <c r="U483" s="144"/>
      <c r="V483" s="144">
        <v>115</v>
      </c>
      <c r="W483" s="144"/>
      <c r="X483" s="144"/>
      <c r="Y483" s="144"/>
      <c r="Z483" s="145"/>
      <c r="AA483" s="145">
        <v>26</v>
      </c>
      <c r="AB483" s="145"/>
      <c r="AC483" s="145"/>
      <c r="AD483" s="146" t="s">
        <v>832</v>
      </c>
      <c r="AE483" s="171">
        <v>1</v>
      </c>
      <c r="AF483" s="147">
        <f t="shared" ref="AF483:AF536" si="201">T483*AK483*AE483</f>
        <v>0</v>
      </c>
      <c r="AG483" s="147">
        <f t="shared" ref="AG483:AG536" si="202">T483*AL483*AE483</f>
        <v>0</v>
      </c>
      <c r="AH483" s="147">
        <f t="shared" ref="AH483:AH536" si="203">T483*AM483*AE483</f>
        <v>0</v>
      </c>
      <c r="AI483" s="147">
        <f t="shared" ref="AI483:AI536" si="204">T483*AN483*AE483</f>
        <v>0</v>
      </c>
      <c r="AJ483" s="148">
        <f t="shared" ref="AJ483:AJ536" si="205">IF($R483="",0,VLOOKUP($R483,Kengetal,12,FALSE))</f>
        <v>0</v>
      </c>
      <c r="AK483" s="149">
        <f t="shared" si="188"/>
        <v>0</v>
      </c>
      <c r="AL483" s="149">
        <f t="shared" si="189"/>
        <v>0</v>
      </c>
      <c r="AM483" s="149">
        <f t="shared" si="190"/>
        <v>0</v>
      </c>
      <c r="AN483" s="149">
        <f t="shared" si="191"/>
        <v>0</v>
      </c>
      <c r="AO483" s="150">
        <f t="shared" ref="AO483:AO536" si="206">IF($R483="",0,VLOOKUP($R483,Kengetal,13,FALSE))</f>
        <v>0</v>
      </c>
      <c r="AQ483" s="151">
        <f t="shared" ref="AQ483:AQ536" si="207">T483*S483</f>
        <v>0</v>
      </c>
    </row>
    <row r="484" spans="1:43" ht="15" customHeight="1">
      <c r="A484" s="82" t="e">
        <f t="shared" si="192"/>
        <v>#REF!</v>
      </c>
      <c r="B484" s="134">
        <v>104</v>
      </c>
      <c r="C484" s="135" t="s">
        <v>260</v>
      </c>
      <c r="D484" s="136" t="s">
        <v>274</v>
      </c>
      <c r="E484" s="137" t="s">
        <v>799</v>
      </c>
      <c r="F484" s="138" t="s">
        <v>736</v>
      </c>
      <c r="G484" s="139" t="s">
        <v>802</v>
      </c>
      <c r="H484" s="140" t="str">
        <f t="shared" si="193"/>
        <v>Niet van toepassing</v>
      </c>
      <c r="I484" s="138" t="s">
        <v>82</v>
      </c>
      <c r="J484" s="138" t="s">
        <v>1172</v>
      </c>
      <c r="K484" s="141" t="str">
        <f t="shared" si="194"/>
        <v>NVT</v>
      </c>
      <c r="L484" s="141" t="str">
        <f t="shared" si="195"/>
        <v>NVT</v>
      </c>
      <c r="M484" s="141" t="str">
        <f t="shared" si="196"/>
        <v>NVT</v>
      </c>
      <c r="N484" s="141" t="str">
        <f t="shared" si="197"/>
        <v>NVT</v>
      </c>
      <c r="O484" s="141" t="str">
        <f t="shared" si="198"/>
        <v>NVT</v>
      </c>
      <c r="P484" s="141" t="str">
        <f t="shared" si="199"/>
        <v>NVT</v>
      </c>
      <c r="Q484" s="141" t="str">
        <f t="shared" si="200"/>
        <v>NVT</v>
      </c>
      <c r="R484" s="63" t="s">
        <v>1221</v>
      </c>
      <c r="S484" s="142">
        <f t="shared" si="187"/>
        <v>0</v>
      </c>
      <c r="T484" s="143">
        <v>20.8</v>
      </c>
      <c r="U484" s="144"/>
      <c r="V484" s="144"/>
      <c r="W484" s="144">
        <f>+(0.7+6.3+0.6+4.3+5.7)*3.2</f>
        <v>56.319999999999993</v>
      </c>
      <c r="X484" s="144"/>
      <c r="Y484" s="144"/>
      <c r="Z484" s="145"/>
      <c r="AA484" s="145"/>
      <c r="AB484" s="145">
        <v>16</v>
      </c>
      <c r="AC484" s="145"/>
      <c r="AD484" s="146"/>
      <c r="AE484" s="171">
        <v>1</v>
      </c>
      <c r="AF484" s="147">
        <f t="shared" si="201"/>
        <v>0</v>
      </c>
      <c r="AG484" s="147">
        <f t="shared" si="202"/>
        <v>0</v>
      </c>
      <c r="AH484" s="147">
        <f t="shared" si="203"/>
        <v>0</v>
      </c>
      <c r="AI484" s="147">
        <f t="shared" si="204"/>
        <v>0</v>
      </c>
      <c r="AJ484" s="148">
        <f t="shared" si="205"/>
        <v>0</v>
      </c>
      <c r="AK484" s="149">
        <f t="shared" si="188"/>
        <v>0</v>
      </c>
      <c r="AL484" s="149">
        <f t="shared" si="189"/>
        <v>0</v>
      </c>
      <c r="AM484" s="149">
        <f t="shared" si="190"/>
        <v>0</v>
      </c>
      <c r="AN484" s="149">
        <f t="shared" si="191"/>
        <v>0</v>
      </c>
      <c r="AO484" s="150">
        <f t="shared" si="206"/>
        <v>0</v>
      </c>
      <c r="AQ484" s="151">
        <f t="shared" si="207"/>
        <v>0</v>
      </c>
    </row>
    <row r="485" spans="1:43" ht="15" customHeight="1">
      <c r="A485" s="82" t="e">
        <f t="shared" si="192"/>
        <v>#REF!</v>
      </c>
      <c r="B485" s="134">
        <v>104</v>
      </c>
      <c r="C485" s="135" t="s">
        <v>260</v>
      </c>
      <c r="D485" s="136" t="s">
        <v>274</v>
      </c>
      <c r="E485" s="137" t="s">
        <v>799</v>
      </c>
      <c r="F485" s="138" t="s">
        <v>505</v>
      </c>
      <c r="G485" s="139" t="s">
        <v>803</v>
      </c>
      <c r="H485" s="140" t="str">
        <f t="shared" si="193"/>
        <v>Niet van toepassing</v>
      </c>
      <c r="I485" s="138" t="s">
        <v>82</v>
      </c>
      <c r="J485" s="138" t="s">
        <v>1172</v>
      </c>
      <c r="K485" s="141" t="str">
        <f t="shared" si="194"/>
        <v>NVT</v>
      </c>
      <c r="L485" s="141" t="str">
        <f t="shared" si="195"/>
        <v>NVT</v>
      </c>
      <c r="M485" s="141" t="str">
        <f t="shared" si="196"/>
        <v>NVT</v>
      </c>
      <c r="N485" s="141" t="str">
        <f t="shared" si="197"/>
        <v>NVT</v>
      </c>
      <c r="O485" s="141" t="str">
        <f t="shared" si="198"/>
        <v>NVT</v>
      </c>
      <c r="P485" s="141" t="str">
        <f t="shared" si="199"/>
        <v>NVT</v>
      </c>
      <c r="Q485" s="141" t="str">
        <f t="shared" si="200"/>
        <v>NVT</v>
      </c>
      <c r="R485" s="63" t="s">
        <v>1221</v>
      </c>
      <c r="S485" s="142">
        <f t="shared" si="187"/>
        <v>0</v>
      </c>
      <c r="T485" s="143">
        <v>347.1</v>
      </c>
      <c r="U485" s="144"/>
      <c r="V485" s="144"/>
      <c r="W485" s="144">
        <v>975</v>
      </c>
      <c r="X485" s="144"/>
      <c r="Y485" s="144"/>
      <c r="Z485" s="145"/>
      <c r="AA485" s="145">
        <v>267</v>
      </c>
      <c r="AB485" s="145"/>
      <c r="AC485" s="145"/>
      <c r="AD485" s="146"/>
      <c r="AE485" s="171">
        <v>1</v>
      </c>
      <c r="AF485" s="147">
        <f t="shared" si="201"/>
        <v>0</v>
      </c>
      <c r="AG485" s="147">
        <f t="shared" si="202"/>
        <v>0</v>
      </c>
      <c r="AH485" s="147">
        <f t="shared" si="203"/>
        <v>0</v>
      </c>
      <c r="AI485" s="147">
        <f t="shared" si="204"/>
        <v>0</v>
      </c>
      <c r="AJ485" s="148">
        <f t="shared" si="205"/>
        <v>0</v>
      </c>
      <c r="AK485" s="149">
        <f t="shared" si="188"/>
        <v>0</v>
      </c>
      <c r="AL485" s="149">
        <f t="shared" si="189"/>
        <v>0</v>
      </c>
      <c r="AM485" s="149">
        <f t="shared" si="190"/>
        <v>0</v>
      </c>
      <c r="AN485" s="149">
        <f t="shared" si="191"/>
        <v>0</v>
      </c>
      <c r="AO485" s="150">
        <f t="shared" si="206"/>
        <v>0</v>
      </c>
      <c r="AQ485" s="151">
        <f t="shared" si="207"/>
        <v>0</v>
      </c>
    </row>
    <row r="486" spans="1:43" ht="15" customHeight="1">
      <c r="A486" s="82" t="e">
        <f t="shared" si="192"/>
        <v>#REF!</v>
      </c>
      <c r="B486" s="134">
        <v>104</v>
      </c>
      <c r="C486" s="135" t="s">
        <v>260</v>
      </c>
      <c r="D486" s="136" t="s">
        <v>274</v>
      </c>
      <c r="E486" s="137" t="s">
        <v>799</v>
      </c>
      <c r="F486" s="138" t="s">
        <v>505</v>
      </c>
      <c r="G486" s="139" t="s">
        <v>804</v>
      </c>
      <c r="H486" s="140" t="str">
        <f t="shared" si="193"/>
        <v>Niet van toepassing</v>
      </c>
      <c r="I486" s="138" t="s">
        <v>82</v>
      </c>
      <c r="J486" s="138" t="s">
        <v>1172</v>
      </c>
      <c r="K486" s="141" t="str">
        <f t="shared" si="194"/>
        <v>NVT</v>
      </c>
      <c r="L486" s="141" t="str">
        <f t="shared" si="195"/>
        <v>NVT</v>
      </c>
      <c r="M486" s="141" t="str">
        <f t="shared" si="196"/>
        <v>NVT</v>
      </c>
      <c r="N486" s="141" t="str">
        <f t="shared" si="197"/>
        <v>NVT</v>
      </c>
      <c r="O486" s="141" t="str">
        <f t="shared" si="198"/>
        <v>NVT</v>
      </c>
      <c r="P486" s="141" t="str">
        <f t="shared" si="199"/>
        <v>NVT</v>
      </c>
      <c r="Q486" s="141" t="str">
        <f t="shared" si="200"/>
        <v>NVT</v>
      </c>
      <c r="R486" s="63" t="s">
        <v>1221</v>
      </c>
      <c r="S486" s="142">
        <f t="shared" si="187"/>
        <v>0</v>
      </c>
      <c r="T486" s="143">
        <v>7.8000000000000007</v>
      </c>
      <c r="U486" s="144"/>
      <c r="V486" s="144"/>
      <c r="W486" s="144">
        <v>35</v>
      </c>
      <c r="X486" s="144"/>
      <c r="Y486" s="144"/>
      <c r="Z486" s="145"/>
      <c r="AA486" s="145">
        <v>6</v>
      </c>
      <c r="AB486" s="145"/>
      <c r="AC486" s="145"/>
      <c r="AD486" s="146"/>
      <c r="AE486" s="171">
        <v>1</v>
      </c>
      <c r="AF486" s="147">
        <f t="shared" si="201"/>
        <v>0</v>
      </c>
      <c r="AG486" s="147">
        <f t="shared" si="202"/>
        <v>0</v>
      </c>
      <c r="AH486" s="147">
        <f t="shared" si="203"/>
        <v>0</v>
      </c>
      <c r="AI486" s="147">
        <f t="shared" si="204"/>
        <v>0</v>
      </c>
      <c r="AJ486" s="148">
        <f t="shared" si="205"/>
        <v>0</v>
      </c>
      <c r="AK486" s="149">
        <f t="shared" si="188"/>
        <v>0</v>
      </c>
      <c r="AL486" s="149">
        <f t="shared" si="189"/>
        <v>0</v>
      </c>
      <c r="AM486" s="149">
        <f t="shared" si="190"/>
        <v>0</v>
      </c>
      <c r="AN486" s="149">
        <f t="shared" si="191"/>
        <v>0</v>
      </c>
      <c r="AO486" s="150">
        <f t="shared" si="206"/>
        <v>0</v>
      </c>
      <c r="AQ486" s="151">
        <f t="shared" si="207"/>
        <v>0</v>
      </c>
    </row>
    <row r="487" spans="1:43" ht="15" customHeight="1">
      <c r="A487" s="82" t="e">
        <f t="shared" si="192"/>
        <v>#REF!</v>
      </c>
      <c r="B487" s="134">
        <v>104</v>
      </c>
      <c r="C487" s="135" t="s">
        <v>260</v>
      </c>
      <c r="D487" s="136" t="s">
        <v>274</v>
      </c>
      <c r="E487" s="137" t="s">
        <v>799</v>
      </c>
      <c r="F487" s="138" t="s">
        <v>503</v>
      </c>
      <c r="G487" s="139" t="s">
        <v>805</v>
      </c>
      <c r="H487" s="140" t="str">
        <f t="shared" si="193"/>
        <v>Niet van toepassing</v>
      </c>
      <c r="I487" s="138" t="s">
        <v>82</v>
      </c>
      <c r="J487" s="138" t="s">
        <v>1172</v>
      </c>
      <c r="K487" s="141" t="str">
        <f t="shared" si="194"/>
        <v>NVT</v>
      </c>
      <c r="L487" s="141" t="str">
        <f t="shared" si="195"/>
        <v>NVT</v>
      </c>
      <c r="M487" s="141" t="str">
        <f t="shared" si="196"/>
        <v>NVT</v>
      </c>
      <c r="N487" s="141" t="str">
        <f t="shared" si="197"/>
        <v>NVT</v>
      </c>
      <c r="O487" s="141" t="str">
        <f t="shared" si="198"/>
        <v>NVT</v>
      </c>
      <c r="P487" s="141" t="str">
        <f t="shared" si="199"/>
        <v>NVT</v>
      </c>
      <c r="Q487" s="141" t="str">
        <f t="shared" si="200"/>
        <v>NVT</v>
      </c>
      <c r="R487" s="63" t="s">
        <v>1221</v>
      </c>
      <c r="S487" s="142">
        <f t="shared" si="187"/>
        <v>0</v>
      </c>
      <c r="T487" s="143">
        <v>16.900000000000002</v>
      </c>
      <c r="U487" s="144"/>
      <c r="V487" s="144"/>
      <c r="W487" s="144">
        <v>51</v>
      </c>
      <c r="X487" s="144"/>
      <c r="Y487" s="144"/>
      <c r="Z487" s="145"/>
      <c r="AA487" s="145"/>
      <c r="AB487" s="145"/>
      <c r="AC487" s="145">
        <v>13</v>
      </c>
      <c r="AD487" s="146" t="s">
        <v>833</v>
      </c>
      <c r="AE487" s="171">
        <v>1</v>
      </c>
      <c r="AF487" s="147">
        <f t="shared" si="201"/>
        <v>0</v>
      </c>
      <c r="AG487" s="147">
        <f t="shared" si="202"/>
        <v>0</v>
      </c>
      <c r="AH487" s="147">
        <f t="shared" si="203"/>
        <v>0</v>
      </c>
      <c r="AI487" s="147">
        <f t="shared" si="204"/>
        <v>0</v>
      </c>
      <c r="AJ487" s="148">
        <f t="shared" si="205"/>
        <v>0</v>
      </c>
      <c r="AK487" s="149">
        <f t="shared" si="188"/>
        <v>0</v>
      </c>
      <c r="AL487" s="149">
        <f t="shared" si="189"/>
        <v>0</v>
      </c>
      <c r="AM487" s="149">
        <f t="shared" si="190"/>
        <v>0</v>
      </c>
      <c r="AN487" s="149">
        <f t="shared" si="191"/>
        <v>0</v>
      </c>
      <c r="AO487" s="150">
        <f t="shared" si="206"/>
        <v>0</v>
      </c>
      <c r="AQ487" s="151">
        <f t="shared" si="207"/>
        <v>0</v>
      </c>
    </row>
    <row r="488" spans="1:43" ht="15" customHeight="1">
      <c r="A488" s="82" t="e">
        <f t="shared" si="192"/>
        <v>#REF!</v>
      </c>
      <c r="B488" s="134">
        <v>104</v>
      </c>
      <c r="C488" s="135" t="s">
        <v>260</v>
      </c>
      <c r="D488" s="136" t="s">
        <v>274</v>
      </c>
      <c r="E488" s="137" t="s">
        <v>799</v>
      </c>
      <c r="F488" s="138" t="s">
        <v>505</v>
      </c>
      <c r="G488" s="139" t="s">
        <v>806</v>
      </c>
      <c r="H488" s="140" t="str">
        <f t="shared" si="193"/>
        <v>Niet van toepassing</v>
      </c>
      <c r="I488" s="138" t="s">
        <v>82</v>
      </c>
      <c r="J488" s="138" t="s">
        <v>1172</v>
      </c>
      <c r="K488" s="141" t="str">
        <f t="shared" si="194"/>
        <v>NVT</v>
      </c>
      <c r="L488" s="141" t="str">
        <f t="shared" si="195"/>
        <v>NVT</v>
      </c>
      <c r="M488" s="141" t="str">
        <f t="shared" si="196"/>
        <v>NVT</v>
      </c>
      <c r="N488" s="141" t="str">
        <f t="shared" si="197"/>
        <v>NVT</v>
      </c>
      <c r="O488" s="141" t="str">
        <f t="shared" si="198"/>
        <v>NVT</v>
      </c>
      <c r="P488" s="141" t="str">
        <f t="shared" si="199"/>
        <v>NVT</v>
      </c>
      <c r="Q488" s="141" t="str">
        <f t="shared" si="200"/>
        <v>NVT</v>
      </c>
      <c r="R488" s="63" t="s">
        <v>1221</v>
      </c>
      <c r="S488" s="142">
        <f t="shared" si="187"/>
        <v>0</v>
      </c>
      <c r="T488" s="143">
        <v>16.900000000000002</v>
      </c>
      <c r="U488" s="144"/>
      <c r="V488" s="144"/>
      <c r="W488" s="144">
        <v>50</v>
      </c>
      <c r="X488" s="144"/>
      <c r="Y488" s="144"/>
      <c r="Z488" s="145"/>
      <c r="AA488" s="145"/>
      <c r="AB488" s="145"/>
      <c r="AC488" s="145">
        <v>13</v>
      </c>
      <c r="AD488" s="146" t="s">
        <v>833</v>
      </c>
      <c r="AE488" s="171">
        <v>1</v>
      </c>
      <c r="AF488" s="147">
        <f t="shared" si="201"/>
        <v>0</v>
      </c>
      <c r="AG488" s="147">
        <f t="shared" si="202"/>
        <v>0</v>
      </c>
      <c r="AH488" s="147">
        <f t="shared" si="203"/>
        <v>0</v>
      </c>
      <c r="AI488" s="147">
        <f t="shared" si="204"/>
        <v>0</v>
      </c>
      <c r="AJ488" s="148">
        <f t="shared" si="205"/>
        <v>0</v>
      </c>
      <c r="AK488" s="149">
        <f t="shared" si="188"/>
        <v>0</v>
      </c>
      <c r="AL488" s="149">
        <f t="shared" si="189"/>
        <v>0</v>
      </c>
      <c r="AM488" s="149">
        <f t="shared" si="190"/>
        <v>0</v>
      </c>
      <c r="AN488" s="149">
        <f t="shared" si="191"/>
        <v>0</v>
      </c>
      <c r="AO488" s="150">
        <f t="shared" si="206"/>
        <v>0</v>
      </c>
      <c r="AQ488" s="151">
        <f t="shared" si="207"/>
        <v>0</v>
      </c>
    </row>
    <row r="489" spans="1:43" ht="15" customHeight="1">
      <c r="A489" s="82" t="e">
        <f t="shared" si="192"/>
        <v>#REF!</v>
      </c>
      <c r="B489" s="134">
        <v>104</v>
      </c>
      <c r="C489" s="135" t="s">
        <v>260</v>
      </c>
      <c r="D489" s="136" t="s">
        <v>274</v>
      </c>
      <c r="E489" s="137" t="s">
        <v>799</v>
      </c>
      <c r="F489" s="138" t="s">
        <v>503</v>
      </c>
      <c r="G489" s="139" t="s">
        <v>807</v>
      </c>
      <c r="H489" s="140" t="str">
        <f t="shared" si="193"/>
        <v>Niet van toepassing</v>
      </c>
      <c r="I489" s="138" t="s">
        <v>82</v>
      </c>
      <c r="J489" s="138" t="s">
        <v>1172</v>
      </c>
      <c r="K489" s="141" t="str">
        <f t="shared" si="194"/>
        <v>NVT</v>
      </c>
      <c r="L489" s="141" t="str">
        <f t="shared" si="195"/>
        <v>NVT</v>
      </c>
      <c r="M489" s="141" t="str">
        <f t="shared" si="196"/>
        <v>NVT</v>
      </c>
      <c r="N489" s="141" t="str">
        <f t="shared" si="197"/>
        <v>NVT</v>
      </c>
      <c r="O489" s="141" t="str">
        <f t="shared" si="198"/>
        <v>NVT</v>
      </c>
      <c r="P489" s="141" t="str">
        <f t="shared" si="199"/>
        <v>NVT</v>
      </c>
      <c r="Q489" s="141" t="str">
        <f t="shared" si="200"/>
        <v>NVT</v>
      </c>
      <c r="R489" s="63" t="s">
        <v>1221</v>
      </c>
      <c r="S489" s="142">
        <f t="shared" si="187"/>
        <v>0</v>
      </c>
      <c r="T489" s="143">
        <v>41.6</v>
      </c>
      <c r="U489" s="144"/>
      <c r="V489" s="144"/>
      <c r="W489" s="144">
        <v>85</v>
      </c>
      <c r="X489" s="144"/>
      <c r="Y489" s="144"/>
      <c r="Z489" s="145"/>
      <c r="AA489" s="145">
        <v>32</v>
      </c>
      <c r="AB489" s="145"/>
      <c r="AC489" s="145"/>
      <c r="AD489" s="146"/>
      <c r="AE489" s="171">
        <v>1</v>
      </c>
      <c r="AF489" s="147">
        <f t="shared" si="201"/>
        <v>0</v>
      </c>
      <c r="AG489" s="147">
        <f t="shared" si="202"/>
        <v>0</v>
      </c>
      <c r="AH489" s="147">
        <f t="shared" si="203"/>
        <v>0</v>
      </c>
      <c r="AI489" s="147">
        <f t="shared" si="204"/>
        <v>0</v>
      </c>
      <c r="AJ489" s="148">
        <f t="shared" si="205"/>
        <v>0</v>
      </c>
      <c r="AK489" s="149">
        <f t="shared" si="188"/>
        <v>0</v>
      </c>
      <c r="AL489" s="149">
        <f t="shared" si="189"/>
        <v>0</v>
      </c>
      <c r="AM489" s="149">
        <f t="shared" si="190"/>
        <v>0</v>
      </c>
      <c r="AN489" s="149">
        <f t="shared" si="191"/>
        <v>0</v>
      </c>
      <c r="AO489" s="150">
        <f t="shared" si="206"/>
        <v>0</v>
      </c>
      <c r="AQ489" s="151">
        <f t="shared" si="207"/>
        <v>0</v>
      </c>
    </row>
    <row r="490" spans="1:43" ht="15" customHeight="1">
      <c r="A490" s="82" t="e">
        <f t="shared" si="192"/>
        <v>#REF!</v>
      </c>
      <c r="B490" s="134">
        <v>104</v>
      </c>
      <c r="C490" s="135" t="s">
        <v>260</v>
      </c>
      <c r="D490" s="136" t="s">
        <v>274</v>
      </c>
      <c r="E490" s="137" t="s">
        <v>799</v>
      </c>
      <c r="F490" s="138" t="s">
        <v>505</v>
      </c>
      <c r="G490" s="139" t="s">
        <v>808</v>
      </c>
      <c r="H490" s="140" t="str">
        <f t="shared" si="193"/>
        <v>Niet van toepassing</v>
      </c>
      <c r="I490" s="138" t="s">
        <v>82</v>
      </c>
      <c r="J490" s="138" t="s">
        <v>1172</v>
      </c>
      <c r="K490" s="141" t="str">
        <f t="shared" si="194"/>
        <v>NVT</v>
      </c>
      <c r="L490" s="141" t="str">
        <f t="shared" si="195"/>
        <v>NVT</v>
      </c>
      <c r="M490" s="141" t="str">
        <f t="shared" si="196"/>
        <v>NVT</v>
      </c>
      <c r="N490" s="141" t="str">
        <f t="shared" si="197"/>
        <v>NVT</v>
      </c>
      <c r="O490" s="141" t="str">
        <f t="shared" si="198"/>
        <v>NVT</v>
      </c>
      <c r="P490" s="141" t="str">
        <f t="shared" si="199"/>
        <v>NVT</v>
      </c>
      <c r="Q490" s="141" t="str">
        <f t="shared" si="200"/>
        <v>NVT</v>
      </c>
      <c r="R490" s="63" t="s">
        <v>1221</v>
      </c>
      <c r="S490" s="142">
        <f t="shared" si="187"/>
        <v>0</v>
      </c>
      <c r="T490" s="143">
        <v>13</v>
      </c>
      <c r="U490" s="144"/>
      <c r="V490" s="144"/>
      <c r="W490" s="144">
        <v>45</v>
      </c>
      <c r="X490" s="144"/>
      <c r="Y490" s="144"/>
      <c r="Z490" s="145"/>
      <c r="AA490" s="145"/>
      <c r="AB490" s="145"/>
      <c r="AC490" s="145">
        <v>10</v>
      </c>
      <c r="AD490" s="146" t="s">
        <v>833</v>
      </c>
      <c r="AE490" s="171">
        <v>1</v>
      </c>
      <c r="AF490" s="147">
        <f t="shared" si="201"/>
        <v>0</v>
      </c>
      <c r="AG490" s="147">
        <f t="shared" si="202"/>
        <v>0</v>
      </c>
      <c r="AH490" s="147">
        <f t="shared" si="203"/>
        <v>0</v>
      </c>
      <c r="AI490" s="147">
        <f t="shared" si="204"/>
        <v>0</v>
      </c>
      <c r="AJ490" s="148">
        <f t="shared" si="205"/>
        <v>0</v>
      </c>
      <c r="AK490" s="149">
        <f t="shared" si="188"/>
        <v>0</v>
      </c>
      <c r="AL490" s="149">
        <f t="shared" si="189"/>
        <v>0</v>
      </c>
      <c r="AM490" s="149">
        <f t="shared" si="190"/>
        <v>0</v>
      </c>
      <c r="AN490" s="149">
        <f t="shared" si="191"/>
        <v>0</v>
      </c>
      <c r="AO490" s="150">
        <f t="shared" si="206"/>
        <v>0</v>
      </c>
      <c r="AQ490" s="151">
        <f t="shared" si="207"/>
        <v>0</v>
      </c>
    </row>
    <row r="491" spans="1:43" ht="15" customHeight="1">
      <c r="A491" s="82" t="e">
        <f t="shared" si="192"/>
        <v>#REF!</v>
      </c>
      <c r="B491" s="134">
        <v>104</v>
      </c>
      <c r="C491" s="135" t="s">
        <v>260</v>
      </c>
      <c r="D491" s="136" t="s">
        <v>274</v>
      </c>
      <c r="E491" s="137" t="s">
        <v>799</v>
      </c>
      <c r="F491" s="138" t="s">
        <v>210</v>
      </c>
      <c r="G491" s="139" t="s">
        <v>809</v>
      </c>
      <c r="H491" s="140" t="str">
        <f t="shared" si="193"/>
        <v>Niet van toepassing</v>
      </c>
      <c r="I491" s="138" t="s">
        <v>82</v>
      </c>
      <c r="J491" s="138" t="s">
        <v>1172</v>
      </c>
      <c r="K491" s="141" t="str">
        <f t="shared" si="194"/>
        <v>NVT</v>
      </c>
      <c r="L491" s="141" t="str">
        <f t="shared" si="195"/>
        <v>NVT</v>
      </c>
      <c r="M491" s="141" t="str">
        <f t="shared" si="196"/>
        <v>NVT</v>
      </c>
      <c r="N491" s="141" t="str">
        <f t="shared" si="197"/>
        <v>NVT</v>
      </c>
      <c r="O491" s="141" t="str">
        <f t="shared" si="198"/>
        <v>NVT</v>
      </c>
      <c r="P491" s="141" t="str">
        <f t="shared" si="199"/>
        <v>NVT</v>
      </c>
      <c r="Q491" s="141" t="str">
        <f t="shared" si="200"/>
        <v>NVT</v>
      </c>
      <c r="R491" s="63" t="s">
        <v>1221</v>
      </c>
      <c r="S491" s="142">
        <f t="shared" si="187"/>
        <v>0</v>
      </c>
      <c r="T491" s="143">
        <f>(4.3*3.6)*1.3</f>
        <v>20.124000000000002</v>
      </c>
      <c r="U491" s="144"/>
      <c r="V491" s="144">
        <v>40</v>
      </c>
      <c r="W491" s="144"/>
      <c r="X491" s="144"/>
      <c r="Y491" s="144"/>
      <c r="Z491" s="145"/>
      <c r="AA491" s="145"/>
      <c r="AB491" s="145">
        <v>15</v>
      </c>
      <c r="AC491" s="145"/>
      <c r="AD491" s="146"/>
      <c r="AE491" s="171">
        <v>1</v>
      </c>
      <c r="AF491" s="147">
        <f t="shared" si="201"/>
        <v>0</v>
      </c>
      <c r="AG491" s="147">
        <f t="shared" si="202"/>
        <v>0</v>
      </c>
      <c r="AH491" s="147">
        <f t="shared" si="203"/>
        <v>0</v>
      </c>
      <c r="AI491" s="147">
        <f t="shared" si="204"/>
        <v>0</v>
      </c>
      <c r="AJ491" s="148">
        <f t="shared" si="205"/>
        <v>0</v>
      </c>
      <c r="AK491" s="149">
        <f t="shared" si="188"/>
        <v>0</v>
      </c>
      <c r="AL491" s="149">
        <f t="shared" si="189"/>
        <v>0</v>
      </c>
      <c r="AM491" s="149">
        <f t="shared" si="190"/>
        <v>0</v>
      </c>
      <c r="AN491" s="149">
        <f t="shared" si="191"/>
        <v>0</v>
      </c>
      <c r="AO491" s="150">
        <f t="shared" si="206"/>
        <v>0</v>
      </c>
      <c r="AQ491" s="151">
        <f t="shared" si="207"/>
        <v>0</v>
      </c>
    </row>
    <row r="492" spans="1:43" ht="15" customHeight="1">
      <c r="A492" s="82" t="e">
        <f t="shared" si="192"/>
        <v>#REF!</v>
      </c>
      <c r="B492" s="134">
        <v>104</v>
      </c>
      <c r="C492" s="135" t="s">
        <v>260</v>
      </c>
      <c r="D492" s="136" t="s">
        <v>274</v>
      </c>
      <c r="E492" s="137" t="s">
        <v>799</v>
      </c>
      <c r="F492" s="138" t="s">
        <v>210</v>
      </c>
      <c r="G492" s="139" t="s">
        <v>810</v>
      </c>
      <c r="H492" s="140" t="str">
        <f t="shared" si="193"/>
        <v>Niet van toepassing</v>
      </c>
      <c r="I492" s="138" t="s">
        <v>82</v>
      </c>
      <c r="J492" s="138" t="s">
        <v>1172</v>
      </c>
      <c r="K492" s="141" t="str">
        <f t="shared" si="194"/>
        <v>NVT</v>
      </c>
      <c r="L492" s="141" t="str">
        <f t="shared" si="195"/>
        <v>NVT</v>
      </c>
      <c r="M492" s="141" t="str">
        <f t="shared" si="196"/>
        <v>NVT</v>
      </c>
      <c r="N492" s="141" t="str">
        <f t="shared" si="197"/>
        <v>NVT</v>
      </c>
      <c r="O492" s="141" t="str">
        <f t="shared" si="198"/>
        <v>NVT</v>
      </c>
      <c r="P492" s="141" t="str">
        <f t="shared" si="199"/>
        <v>NVT</v>
      </c>
      <c r="Q492" s="141" t="str">
        <f t="shared" si="200"/>
        <v>NVT</v>
      </c>
      <c r="R492" s="63" t="s">
        <v>1221</v>
      </c>
      <c r="S492" s="142">
        <f t="shared" si="187"/>
        <v>0</v>
      </c>
      <c r="T492" s="143">
        <f>(4.3*3.6)*1.3</f>
        <v>20.124000000000002</v>
      </c>
      <c r="U492" s="144"/>
      <c r="V492" s="144">
        <v>40</v>
      </c>
      <c r="W492" s="144"/>
      <c r="X492" s="144"/>
      <c r="Y492" s="144"/>
      <c r="Z492" s="145"/>
      <c r="AA492" s="145"/>
      <c r="AB492" s="145">
        <v>15</v>
      </c>
      <c r="AC492" s="145"/>
      <c r="AD492" s="146"/>
      <c r="AE492" s="171">
        <v>1</v>
      </c>
      <c r="AF492" s="147">
        <f t="shared" si="201"/>
        <v>0</v>
      </c>
      <c r="AG492" s="147">
        <f t="shared" si="202"/>
        <v>0</v>
      </c>
      <c r="AH492" s="147">
        <f t="shared" si="203"/>
        <v>0</v>
      </c>
      <c r="AI492" s="147">
        <f t="shared" si="204"/>
        <v>0</v>
      </c>
      <c r="AJ492" s="148">
        <f t="shared" si="205"/>
        <v>0</v>
      </c>
      <c r="AK492" s="149">
        <f t="shared" si="188"/>
        <v>0</v>
      </c>
      <c r="AL492" s="149">
        <f t="shared" si="189"/>
        <v>0</v>
      </c>
      <c r="AM492" s="149">
        <f t="shared" si="190"/>
        <v>0</v>
      </c>
      <c r="AN492" s="149">
        <f t="shared" si="191"/>
        <v>0</v>
      </c>
      <c r="AO492" s="150">
        <f t="shared" si="206"/>
        <v>0</v>
      </c>
      <c r="AQ492" s="151">
        <f t="shared" si="207"/>
        <v>0</v>
      </c>
    </row>
    <row r="493" spans="1:43" ht="15" customHeight="1">
      <c r="A493" s="82" t="e">
        <f t="shared" si="192"/>
        <v>#REF!</v>
      </c>
      <c r="B493" s="134">
        <v>104</v>
      </c>
      <c r="C493" s="135" t="s">
        <v>260</v>
      </c>
      <c r="D493" s="136" t="s">
        <v>274</v>
      </c>
      <c r="E493" s="137" t="s">
        <v>799</v>
      </c>
      <c r="F493" s="138" t="s">
        <v>646</v>
      </c>
      <c r="G493" s="139" t="s">
        <v>811</v>
      </c>
      <c r="H493" s="140" t="str">
        <f t="shared" si="193"/>
        <v>Niet van toepassing</v>
      </c>
      <c r="I493" s="138" t="s">
        <v>35</v>
      </c>
      <c r="J493" s="138" t="s">
        <v>1172</v>
      </c>
      <c r="K493" s="141" t="str">
        <f t="shared" si="194"/>
        <v>NVT</v>
      </c>
      <c r="L493" s="141" t="str">
        <f t="shared" si="195"/>
        <v>NVT</v>
      </c>
      <c r="M493" s="141" t="str">
        <f t="shared" si="196"/>
        <v>NVT</v>
      </c>
      <c r="N493" s="141" t="str">
        <f t="shared" si="197"/>
        <v>NVT</v>
      </c>
      <c r="O493" s="141" t="str">
        <f t="shared" si="198"/>
        <v>NVT</v>
      </c>
      <c r="P493" s="141" t="str">
        <f t="shared" si="199"/>
        <v>NVT</v>
      </c>
      <c r="Q493" s="141" t="str">
        <f t="shared" si="200"/>
        <v>NVT</v>
      </c>
      <c r="R493" s="63" t="s">
        <v>1221</v>
      </c>
      <c r="S493" s="142">
        <f t="shared" si="187"/>
        <v>0</v>
      </c>
      <c r="T493" s="143">
        <f>(6*3)*1.3</f>
        <v>23.400000000000002</v>
      </c>
      <c r="U493" s="144"/>
      <c r="V493" s="144"/>
      <c r="W493" s="144">
        <v>57</v>
      </c>
      <c r="X493" s="144"/>
      <c r="Y493" s="144"/>
      <c r="Z493" s="145"/>
      <c r="AA493" s="145">
        <v>18</v>
      </c>
      <c r="AB493" s="145"/>
      <c r="AC493" s="145"/>
      <c r="AD493" s="146"/>
      <c r="AE493" s="171">
        <v>1</v>
      </c>
      <c r="AF493" s="147">
        <f t="shared" si="201"/>
        <v>0</v>
      </c>
      <c r="AG493" s="147">
        <f t="shared" si="202"/>
        <v>0</v>
      </c>
      <c r="AH493" s="147">
        <f t="shared" si="203"/>
        <v>0</v>
      </c>
      <c r="AI493" s="147">
        <f t="shared" si="204"/>
        <v>0</v>
      </c>
      <c r="AJ493" s="148">
        <f t="shared" si="205"/>
        <v>0</v>
      </c>
      <c r="AK493" s="149">
        <f t="shared" si="188"/>
        <v>0</v>
      </c>
      <c r="AL493" s="149">
        <f t="shared" si="189"/>
        <v>0</v>
      </c>
      <c r="AM493" s="149">
        <f t="shared" si="190"/>
        <v>0</v>
      </c>
      <c r="AN493" s="149">
        <f t="shared" si="191"/>
        <v>0</v>
      </c>
      <c r="AO493" s="150">
        <f t="shared" si="206"/>
        <v>0</v>
      </c>
      <c r="AQ493" s="151">
        <f t="shared" si="207"/>
        <v>0</v>
      </c>
    </row>
    <row r="494" spans="1:43" ht="15" customHeight="1">
      <c r="A494" s="82" t="e">
        <f t="shared" si="192"/>
        <v>#REF!</v>
      </c>
      <c r="B494" s="134">
        <v>104</v>
      </c>
      <c r="C494" s="135" t="s">
        <v>260</v>
      </c>
      <c r="D494" s="136" t="s">
        <v>274</v>
      </c>
      <c r="E494" s="137" t="s">
        <v>799</v>
      </c>
      <c r="F494" s="138" t="s">
        <v>646</v>
      </c>
      <c r="G494" s="139" t="s">
        <v>812</v>
      </c>
      <c r="H494" s="140" t="str">
        <f t="shared" si="193"/>
        <v>Niet van toepassing</v>
      </c>
      <c r="I494" s="138" t="s">
        <v>82</v>
      </c>
      <c r="J494" s="138" t="s">
        <v>1172</v>
      </c>
      <c r="K494" s="141" t="str">
        <f t="shared" si="194"/>
        <v>NVT</v>
      </c>
      <c r="L494" s="141" t="str">
        <f t="shared" si="195"/>
        <v>NVT</v>
      </c>
      <c r="M494" s="141" t="str">
        <f t="shared" si="196"/>
        <v>NVT</v>
      </c>
      <c r="N494" s="141" t="str">
        <f t="shared" si="197"/>
        <v>NVT</v>
      </c>
      <c r="O494" s="141" t="str">
        <f t="shared" si="198"/>
        <v>NVT</v>
      </c>
      <c r="P494" s="141" t="str">
        <f t="shared" si="199"/>
        <v>NVT</v>
      </c>
      <c r="Q494" s="141" t="str">
        <f t="shared" si="200"/>
        <v>NVT</v>
      </c>
      <c r="R494" s="63" t="s">
        <v>1221</v>
      </c>
      <c r="S494" s="142">
        <f t="shared" si="187"/>
        <v>0</v>
      </c>
      <c r="T494" s="143">
        <f>(6.7*8.9)*1.3</f>
        <v>77.519000000000005</v>
      </c>
      <c r="U494" s="144"/>
      <c r="V494" s="144">
        <v>100</v>
      </c>
      <c r="W494" s="144"/>
      <c r="X494" s="144"/>
      <c r="Y494" s="144"/>
      <c r="Z494" s="145"/>
      <c r="AA494" s="145"/>
      <c r="AB494" s="145">
        <v>60</v>
      </c>
      <c r="AC494" s="145"/>
      <c r="AD494" s="146"/>
      <c r="AE494" s="171">
        <v>1</v>
      </c>
      <c r="AF494" s="147">
        <f t="shared" si="201"/>
        <v>0</v>
      </c>
      <c r="AG494" s="147">
        <f t="shared" si="202"/>
        <v>0</v>
      </c>
      <c r="AH494" s="147">
        <f t="shared" si="203"/>
        <v>0</v>
      </c>
      <c r="AI494" s="147">
        <f t="shared" si="204"/>
        <v>0</v>
      </c>
      <c r="AJ494" s="148">
        <f t="shared" si="205"/>
        <v>0</v>
      </c>
      <c r="AK494" s="149">
        <f t="shared" si="188"/>
        <v>0</v>
      </c>
      <c r="AL494" s="149">
        <f t="shared" si="189"/>
        <v>0</v>
      </c>
      <c r="AM494" s="149">
        <f t="shared" si="190"/>
        <v>0</v>
      </c>
      <c r="AN494" s="149">
        <f t="shared" si="191"/>
        <v>0</v>
      </c>
      <c r="AO494" s="150">
        <f t="shared" si="206"/>
        <v>0</v>
      </c>
      <c r="AQ494" s="151">
        <f t="shared" si="207"/>
        <v>0</v>
      </c>
    </row>
    <row r="495" spans="1:43" ht="15" customHeight="1">
      <c r="A495" s="82" t="e">
        <f t="shared" si="192"/>
        <v>#REF!</v>
      </c>
      <c r="B495" s="134">
        <v>104</v>
      </c>
      <c r="C495" s="135" t="s">
        <v>260</v>
      </c>
      <c r="D495" s="136" t="s">
        <v>274</v>
      </c>
      <c r="E495" s="137" t="s">
        <v>799</v>
      </c>
      <c r="F495" s="138" t="s">
        <v>646</v>
      </c>
      <c r="G495" s="139" t="s">
        <v>813</v>
      </c>
      <c r="H495" s="140" t="str">
        <f t="shared" si="193"/>
        <v>Niet van toepassing</v>
      </c>
      <c r="I495" s="138" t="s">
        <v>35</v>
      </c>
      <c r="J495" s="138" t="s">
        <v>1172</v>
      </c>
      <c r="K495" s="141" t="str">
        <f t="shared" si="194"/>
        <v>NVT</v>
      </c>
      <c r="L495" s="141" t="str">
        <f t="shared" si="195"/>
        <v>NVT</v>
      </c>
      <c r="M495" s="141" t="str">
        <f t="shared" si="196"/>
        <v>NVT</v>
      </c>
      <c r="N495" s="141" t="str">
        <f t="shared" si="197"/>
        <v>NVT</v>
      </c>
      <c r="O495" s="141" t="str">
        <f t="shared" si="198"/>
        <v>NVT</v>
      </c>
      <c r="P495" s="141" t="str">
        <f t="shared" si="199"/>
        <v>NVT</v>
      </c>
      <c r="Q495" s="141" t="str">
        <f t="shared" si="200"/>
        <v>NVT</v>
      </c>
      <c r="R495" s="63" t="s">
        <v>1221</v>
      </c>
      <c r="S495" s="142">
        <f t="shared" si="187"/>
        <v>0</v>
      </c>
      <c r="T495" s="143">
        <f>(6.7*8.9)*1.3</f>
        <v>77.519000000000005</v>
      </c>
      <c r="U495" s="144"/>
      <c r="V495" s="144"/>
      <c r="W495" s="144">
        <v>100</v>
      </c>
      <c r="X495" s="144"/>
      <c r="Y495" s="144"/>
      <c r="Z495" s="145"/>
      <c r="AA495" s="145">
        <v>60</v>
      </c>
      <c r="AB495" s="145"/>
      <c r="AC495" s="145"/>
      <c r="AD495" s="146"/>
      <c r="AE495" s="171">
        <v>1</v>
      </c>
      <c r="AF495" s="147">
        <f t="shared" si="201"/>
        <v>0</v>
      </c>
      <c r="AG495" s="147">
        <f t="shared" si="202"/>
        <v>0</v>
      </c>
      <c r="AH495" s="147">
        <f t="shared" si="203"/>
        <v>0</v>
      </c>
      <c r="AI495" s="147">
        <f t="shared" si="204"/>
        <v>0</v>
      </c>
      <c r="AJ495" s="148">
        <f t="shared" si="205"/>
        <v>0</v>
      </c>
      <c r="AK495" s="149">
        <f t="shared" si="188"/>
        <v>0</v>
      </c>
      <c r="AL495" s="149">
        <f t="shared" si="189"/>
        <v>0</v>
      </c>
      <c r="AM495" s="149">
        <f t="shared" si="190"/>
        <v>0</v>
      </c>
      <c r="AN495" s="149">
        <f t="shared" si="191"/>
        <v>0</v>
      </c>
      <c r="AO495" s="150">
        <f t="shared" si="206"/>
        <v>0</v>
      </c>
      <c r="AQ495" s="151">
        <f t="shared" si="207"/>
        <v>0</v>
      </c>
    </row>
    <row r="496" spans="1:43" ht="15" customHeight="1">
      <c r="A496" s="82" t="e">
        <f t="shared" si="192"/>
        <v>#REF!</v>
      </c>
      <c r="B496" s="134">
        <v>104</v>
      </c>
      <c r="C496" s="135" t="s">
        <v>260</v>
      </c>
      <c r="D496" s="136" t="s">
        <v>274</v>
      </c>
      <c r="E496" s="137" t="s">
        <v>799</v>
      </c>
      <c r="F496" s="138" t="s">
        <v>646</v>
      </c>
      <c r="G496" s="139" t="s">
        <v>814</v>
      </c>
      <c r="H496" s="140" t="str">
        <f t="shared" si="193"/>
        <v>Niet van toepassing</v>
      </c>
      <c r="I496" s="138" t="s">
        <v>35</v>
      </c>
      <c r="J496" s="138" t="s">
        <v>1172</v>
      </c>
      <c r="K496" s="141" t="str">
        <f t="shared" si="194"/>
        <v>NVT</v>
      </c>
      <c r="L496" s="141" t="str">
        <f t="shared" si="195"/>
        <v>NVT</v>
      </c>
      <c r="M496" s="141" t="str">
        <f t="shared" si="196"/>
        <v>NVT</v>
      </c>
      <c r="N496" s="141" t="str">
        <f t="shared" si="197"/>
        <v>NVT</v>
      </c>
      <c r="O496" s="141" t="str">
        <f t="shared" si="198"/>
        <v>NVT</v>
      </c>
      <c r="P496" s="141" t="str">
        <f t="shared" si="199"/>
        <v>NVT</v>
      </c>
      <c r="Q496" s="141" t="str">
        <f t="shared" si="200"/>
        <v>NVT</v>
      </c>
      <c r="R496" s="63" t="s">
        <v>1221</v>
      </c>
      <c r="S496" s="142">
        <f t="shared" si="187"/>
        <v>0</v>
      </c>
      <c r="T496" s="143">
        <f>(6.6*6.2)*1.3</f>
        <v>53.196000000000005</v>
      </c>
      <c r="U496" s="144"/>
      <c r="V496" s="144"/>
      <c r="W496" s="144">
        <v>82</v>
      </c>
      <c r="X496" s="144"/>
      <c r="Y496" s="144"/>
      <c r="Z496" s="145"/>
      <c r="AA496" s="145">
        <v>41</v>
      </c>
      <c r="AB496" s="145"/>
      <c r="AC496" s="145"/>
      <c r="AD496" s="146"/>
      <c r="AE496" s="171">
        <v>1</v>
      </c>
      <c r="AF496" s="147">
        <f t="shared" si="201"/>
        <v>0</v>
      </c>
      <c r="AG496" s="147">
        <f t="shared" si="202"/>
        <v>0</v>
      </c>
      <c r="AH496" s="147">
        <f t="shared" si="203"/>
        <v>0</v>
      </c>
      <c r="AI496" s="147">
        <f t="shared" si="204"/>
        <v>0</v>
      </c>
      <c r="AJ496" s="148">
        <f t="shared" si="205"/>
        <v>0</v>
      </c>
      <c r="AK496" s="149">
        <f t="shared" si="188"/>
        <v>0</v>
      </c>
      <c r="AL496" s="149">
        <f t="shared" si="189"/>
        <v>0</v>
      </c>
      <c r="AM496" s="149">
        <f t="shared" si="190"/>
        <v>0</v>
      </c>
      <c r="AN496" s="149">
        <f t="shared" si="191"/>
        <v>0</v>
      </c>
      <c r="AO496" s="150">
        <f t="shared" si="206"/>
        <v>0</v>
      </c>
      <c r="AQ496" s="151">
        <f t="shared" si="207"/>
        <v>0</v>
      </c>
    </row>
    <row r="497" spans="1:43" ht="15" customHeight="1">
      <c r="A497" s="82" t="e">
        <f t="shared" si="192"/>
        <v>#REF!</v>
      </c>
      <c r="B497" s="134">
        <v>104</v>
      </c>
      <c r="C497" s="135" t="s">
        <v>260</v>
      </c>
      <c r="D497" s="136" t="s">
        <v>274</v>
      </c>
      <c r="E497" s="137" t="s">
        <v>799</v>
      </c>
      <c r="F497" s="138" t="s">
        <v>646</v>
      </c>
      <c r="G497" s="139" t="s">
        <v>815</v>
      </c>
      <c r="H497" s="140" t="str">
        <f t="shared" si="193"/>
        <v>Niet van toepassing</v>
      </c>
      <c r="I497" s="138" t="s">
        <v>35</v>
      </c>
      <c r="J497" s="138" t="s">
        <v>1172</v>
      </c>
      <c r="K497" s="141" t="str">
        <f t="shared" si="194"/>
        <v>NVT</v>
      </c>
      <c r="L497" s="141" t="str">
        <f t="shared" si="195"/>
        <v>NVT</v>
      </c>
      <c r="M497" s="141" t="str">
        <f t="shared" si="196"/>
        <v>NVT</v>
      </c>
      <c r="N497" s="141" t="str">
        <f t="shared" si="197"/>
        <v>NVT</v>
      </c>
      <c r="O497" s="141" t="str">
        <f t="shared" si="198"/>
        <v>NVT</v>
      </c>
      <c r="P497" s="141" t="str">
        <f t="shared" si="199"/>
        <v>NVT</v>
      </c>
      <c r="Q497" s="141" t="str">
        <f t="shared" si="200"/>
        <v>NVT</v>
      </c>
      <c r="R497" s="63" t="s">
        <v>1221</v>
      </c>
      <c r="S497" s="142">
        <f t="shared" si="187"/>
        <v>0</v>
      </c>
      <c r="T497" s="143">
        <v>0</v>
      </c>
      <c r="U497" s="144"/>
      <c r="V497" s="144"/>
      <c r="W497" s="144"/>
      <c r="X497" s="144"/>
      <c r="Y497" s="144"/>
      <c r="Z497" s="145"/>
      <c r="AA497" s="145"/>
      <c r="AB497" s="145"/>
      <c r="AC497" s="145"/>
      <c r="AD497" s="146"/>
      <c r="AE497" s="171">
        <v>1</v>
      </c>
      <c r="AF497" s="147">
        <f t="shared" si="201"/>
        <v>0</v>
      </c>
      <c r="AG497" s="147">
        <f t="shared" si="202"/>
        <v>0</v>
      </c>
      <c r="AH497" s="147">
        <f t="shared" si="203"/>
        <v>0</v>
      </c>
      <c r="AI497" s="147">
        <f t="shared" si="204"/>
        <v>0</v>
      </c>
      <c r="AJ497" s="148">
        <f t="shared" si="205"/>
        <v>0</v>
      </c>
      <c r="AK497" s="149">
        <f t="shared" si="188"/>
        <v>0</v>
      </c>
      <c r="AL497" s="149">
        <f t="shared" si="189"/>
        <v>0</v>
      </c>
      <c r="AM497" s="149">
        <f t="shared" si="190"/>
        <v>0</v>
      </c>
      <c r="AN497" s="149">
        <f t="shared" si="191"/>
        <v>0</v>
      </c>
      <c r="AO497" s="150">
        <f t="shared" si="206"/>
        <v>0</v>
      </c>
      <c r="AQ497" s="151">
        <f t="shared" si="207"/>
        <v>0</v>
      </c>
    </row>
    <row r="498" spans="1:43" ht="15" customHeight="1">
      <c r="A498" s="82" t="e">
        <f t="shared" si="192"/>
        <v>#REF!</v>
      </c>
      <c r="B498" s="134">
        <v>104</v>
      </c>
      <c r="C498" s="135" t="s">
        <v>260</v>
      </c>
      <c r="D498" s="136" t="s">
        <v>274</v>
      </c>
      <c r="E498" s="137" t="s">
        <v>799</v>
      </c>
      <c r="F498" s="138" t="s">
        <v>646</v>
      </c>
      <c r="G498" s="139" t="s">
        <v>816</v>
      </c>
      <c r="H498" s="140" t="str">
        <f t="shared" si="193"/>
        <v>Niet van toepassing</v>
      </c>
      <c r="I498" s="138" t="s">
        <v>35</v>
      </c>
      <c r="J498" s="138" t="s">
        <v>1172</v>
      </c>
      <c r="K498" s="141" t="str">
        <f t="shared" si="194"/>
        <v>NVT</v>
      </c>
      <c r="L498" s="141" t="str">
        <f t="shared" si="195"/>
        <v>NVT</v>
      </c>
      <c r="M498" s="141" t="str">
        <f t="shared" si="196"/>
        <v>NVT</v>
      </c>
      <c r="N498" s="141" t="str">
        <f t="shared" si="197"/>
        <v>NVT</v>
      </c>
      <c r="O498" s="141" t="str">
        <f t="shared" si="198"/>
        <v>NVT</v>
      </c>
      <c r="P498" s="141" t="str">
        <f t="shared" si="199"/>
        <v>NVT</v>
      </c>
      <c r="Q498" s="141" t="str">
        <f t="shared" si="200"/>
        <v>NVT</v>
      </c>
      <c r="R498" s="63" t="s">
        <v>1221</v>
      </c>
      <c r="S498" s="142">
        <f t="shared" si="187"/>
        <v>0</v>
      </c>
      <c r="T498" s="143">
        <v>0</v>
      </c>
      <c r="U498" s="144"/>
      <c r="V498" s="144"/>
      <c r="W498" s="144"/>
      <c r="X498" s="144"/>
      <c r="Y498" s="144"/>
      <c r="Z498" s="145"/>
      <c r="AA498" s="145"/>
      <c r="AB498" s="145"/>
      <c r="AC498" s="145"/>
      <c r="AD498" s="146"/>
      <c r="AE498" s="171">
        <v>1</v>
      </c>
      <c r="AF498" s="147">
        <f t="shared" si="201"/>
        <v>0</v>
      </c>
      <c r="AG498" s="147">
        <f t="shared" si="202"/>
        <v>0</v>
      </c>
      <c r="AH498" s="147">
        <f t="shared" si="203"/>
        <v>0</v>
      </c>
      <c r="AI498" s="147">
        <f t="shared" si="204"/>
        <v>0</v>
      </c>
      <c r="AJ498" s="148">
        <f t="shared" si="205"/>
        <v>0</v>
      </c>
      <c r="AK498" s="149">
        <f t="shared" si="188"/>
        <v>0</v>
      </c>
      <c r="AL498" s="149">
        <f t="shared" si="189"/>
        <v>0</v>
      </c>
      <c r="AM498" s="149">
        <f t="shared" si="190"/>
        <v>0</v>
      </c>
      <c r="AN498" s="149">
        <f t="shared" si="191"/>
        <v>0</v>
      </c>
      <c r="AO498" s="150">
        <f t="shared" si="206"/>
        <v>0</v>
      </c>
      <c r="AQ498" s="151">
        <f t="shared" si="207"/>
        <v>0</v>
      </c>
    </row>
    <row r="499" spans="1:43" ht="15" customHeight="1">
      <c r="A499" s="82" t="e">
        <f t="shared" si="192"/>
        <v>#REF!</v>
      </c>
      <c r="B499" s="134">
        <v>104</v>
      </c>
      <c r="C499" s="135" t="s">
        <v>260</v>
      </c>
      <c r="D499" s="136" t="s">
        <v>274</v>
      </c>
      <c r="E499" s="137" t="s">
        <v>799</v>
      </c>
      <c r="F499" s="138" t="s">
        <v>646</v>
      </c>
      <c r="G499" s="139" t="s">
        <v>817</v>
      </c>
      <c r="H499" s="140" t="str">
        <f t="shared" si="193"/>
        <v>Niet van toepassing</v>
      </c>
      <c r="I499" s="138" t="s">
        <v>35</v>
      </c>
      <c r="J499" s="138" t="s">
        <v>1172</v>
      </c>
      <c r="K499" s="141" t="str">
        <f t="shared" si="194"/>
        <v>NVT</v>
      </c>
      <c r="L499" s="141" t="str">
        <f t="shared" si="195"/>
        <v>NVT</v>
      </c>
      <c r="M499" s="141" t="str">
        <f t="shared" si="196"/>
        <v>NVT</v>
      </c>
      <c r="N499" s="141" t="str">
        <f t="shared" si="197"/>
        <v>NVT</v>
      </c>
      <c r="O499" s="141" t="str">
        <f t="shared" si="198"/>
        <v>NVT</v>
      </c>
      <c r="P499" s="141" t="str">
        <f t="shared" si="199"/>
        <v>NVT</v>
      </c>
      <c r="Q499" s="141" t="str">
        <f t="shared" si="200"/>
        <v>NVT</v>
      </c>
      <c r="R499" s="63" t="s">
        <v>1221</v>
      </c>
      <c r="S499" s="142">
        <f t="shared" si="187"/>
        <v>0</v>
      </c>
      <c r="T499" s="143">
        <v>0</v>
      </c>
      <c r="U499" s="144"/>
      <c r="V499" s="144"/>
      <c r="W499" s="144"/>
      <c r="X499" s="144"/>
      <c r="Y499" s="144"/>
      <c r="Z499" s="145"/>
      <c r="AA499" s="145"/>
      <c r="AB499" s="145"/>
      <c r="AC499" s="145"/>
      <c r="AD499" s="146"/>
      <c r="AE499" s="171">
        <v>1</v>
      </c>
      <c r="AF499" s="147">
        <f t="shared" si="201"/>
        <v>0</v>
      </c>
      <c r="AG499" s="147">
        <f t="shared" si="202"/>
        <v>0</v>
      </c>
      <c r="AH499" s="147">
        <f t="shared" si="203"/>
        <v>0</v>
      </c>
      <c r="AI499" s="147">
        <f t="shared" si="204"/>
        <v>0</v>
      </c>
      <c r="AJ499" s="148">
        <f t="shared" si="205"/>
        <v>0</v>
      </c>
      <c r="AK499" s="149">
        <f t="shared" si="188"/>
        <v>0</v>
      </c>
      <c r="AL499" s="149">
        <f t="shared" si="189"/>
        <v>0</v>
      </c>
      <c r="AM499" s="149">
        <f t="shared" si="190"/>
        <v>0</v>
      </c>
      <c r="AN499" s="149">
        <f t="shared" si="191"/>
        <v>0</v>
      </c>
      <c r="AO499" s="150">
        <f t="shared" si="206"/>
        <v>0</v>
      </c>
      <c r="AQ499" s="151">
        <f t="shared" si="207"/>
        <v>0</v>
      </c>
    </row>
    <row r="500" spans="1:43" ht="15" customHeight="1">
      <c r="A500" s="82" t="e">
        <f t="shared" si="192"/>
        <v>#REF!</v>
      </c>
      <c r="B500" s="134">
        <v>104</v>
      </c>
      <c r="C500" s="135" t="s">
        <v>260</v>
      </c>
      <c r="D500" s="136" t="s">
        <v>274</v>
      </c>
      <c r="E500" s="137" t="s">
        <v>799</v>
      </c>
      <c r="F500" s="138" t="s">
        <v>646</v>
      </c>
      <c r="G500" s="139" t="s">
        <v>818</v>
      </c>
      <c r="H500" s="140" t="str">
        <f t="shared" si="193"/>
        <v>Niet van toepassing</v>
      </c>
      <c r="I500" s="138" t="s">
        <v>35</v>
      </c>
      <c r="J500" s="138" t="s">
        <v>1172</v>
      </c>
      <c r="K500" s="141" t="str">
        <f t="shared" si="194"/>
        <v>NVT</v>
      </c>
      <c r="L500" s="141" t="str">
        <f t="shared" si="195"/>
        <v>NVT</v>
      </c>
      <c r="M500" s="141" t="str">
        <f t="shared" si="196"/>
        <v>NVT</v>
      </c>
      <c r="N500" s="141" t="str">
        <f t="shared" si="197"/>
        <v>NVT</v>
      </c>
      <c r="O500" s="141" t="str">
        <f t="shared" si="198"/>
        <v>NVT</v>
      </c>
      <c r="P500" s="141" t="str">
        <f t="shared" si="199"/>
        <v>NVT</v>
      </c>
      <c r="Q500" s="141" t="str">
        <f t="shared" si="200"/>
        <v>NVT</v>
      </c>
      <c r="R500" s="63" t="s">
        <v>1221</v>
      </c>
      <c r="S500" s="142">
        <f t="shared" si="187"/>
        <v>0</v>
      </c>
      <c r="T500" s="143">
        <v>0</v>
      </c>
      <c r="U500" s="144"/>
      <c r="V500" s="144"/>
      <c r="W500" s="144"/>
      <c r="X500" s="144"/>
      <c r="Y500" s="144"/>
      <c r="Z500" s="145"/>
      <c r="AA500" s="145"/>
      <c r="AB500" s="145"/>
      <c r="AC500" s="145"/>
      <c r="AD500" s="146"/>
      <c r="AE500" s="171">
        <v>1</v>
      </c>
      <c r="AF500" s="147">
        <f t="shared" si="201"/>
        <v>0</v>
      </c>
      <c r="AG500" s="147">
        <f t="shared" si="202"/>
        <v>0</v>
      </c>
      <c r="AH500" s="147">
        <f t="shared" si="203"/>
        <v>0</v>
      </c>
      <c r="AI500" s="147">
        <f t="shared" si="204"/>
        <v>0</v>
      </c>
      <c r="AJ500" s="148">
        <f t="shared" si="205"/>
        <v>0</v>
      </c>
      <c r="AK500" s="149">
        <f t="shared" si="188"/>
        <v>0</v>
      </c>
      <c r="AL500" s="149">
        <f t="shared" si="189"/>
        <v>0</v>
      </c>
      <c r="AM500" s="149">
        <f t="shared" si="190"/>
        <v>0</v>
      </c>
      <c r="AN500" s="149">
        <f t="shared" si="191"/>
        <v>0</v>
      </c>
      <c r="AO500" s="150">
        <f t="shared" si="206"/>
        <v>0</v>
      </c>
      <c r="AQ500" s="151">
        <f t="shared" si="207"/>
        <v>0</v>
      </c>
    </row>
    <row r="501" spans="1:43" ht="15" customHeight="1">
      <c r="A501" s="82" t="e">
        <f t="shared" si="192"/>
        <v>#REF!</v>
      </c>
      <c r="B501" s="134">
        <v>104</v>
      </c>
      <c r="C501" s="135" t="s">
        <v>260</v>
      </c>
      <c r="D501" s="136" t="s">
        <v>274</v>
      </c>
      <c r="E501" s="137" t="s">
        <v>799</v>
      </c>
      <c r="F501" s="138" t="s">
        <v>646</v>
      </c>
      <c r="G501" s="139" t="s">
        <v>819</v>
      </c>
      <c r="H501" s="140" t="str">
        <f t="shared" si="193"/>
        <v>Niet van toepassing</v>
      </c>
      <c r="I501" s="138" t="s">
        <v>35</v>
      </c>
      <c r="J501" s="138" t="s">
        <v>1172</v>
      </c>
      <c r="K501" s="141" t="str">
        <f t="shared" si="194"/>
        <v>NVT</v>
      </c>
      <c r="L501" s="141" t="str">
        <f t="shared" si="195"/>
        <v>NVT</v>
      </c>
      <c r="M501" s="141" t="str">
        <f t="shared" si="196"/>
        <v>NVT</v>
      </c>
      <c r="N501" s="141" t="str">
        <f t="shared" si="197"/>
        <v>NVT</v>
      </c>
      <c r="O501" s="141" t="str">
        <f t="shared" si="198"/>
        <v>NVT</v>
      </c>
      <c r="P501" s="141" t="str">
        <f t="shared" si="199"/>
        <v>NVT</v>
      </c>
      <c r="Q501" s="141" t="str">
        <f t="shared" si="200"/>
        <v>NVT</v>
      </c>
      <c r="R501" s="63" t="s">
        <v>1221</v>
      </c>
      <c r="S501" s="142">
        <f t="shared" si="187"/>
        <v>0</v>
      </c>
      <c r="T501" s="143">
        <v>0</v>
      </c>
      <c r="U501" s="144"/>
      <c r="V501" s="144"/>
      <c r="W501" s="144"/>
      <c r="X501" s="144"/>
      <c r="Y501" s="144"/>
      <c r="Z501" s="145"/>
      <c r="AA501" s="145"/>
      <c r="AB501" s="145"/>
      <c r="AC501" s="145"/>
      <c r="AD501" s="146"/>
      <c r="AE501" s="171">
        <v>1</v>
      </c>
      <c r="AF501" s="147">
        <f t="shared" si="201"/>
        <v>0</v>
      </c>
      <c r="AG501" s="147">
        <f t="shared" si="202"/>
        <v>0</v>
      </c>
      <c r="AH501" s="147">
        <f t="shared" si="203"/>
        <v>0</v>
      </c>
      <c r="AI501" s="147">
        <f t="shared" si="204"/>
        <v>0</v>
      </c>
      <c r="AJ501" s="148">
        <f t="shared" si="205"/>
        <v>0</v>
      </c>
      <c r="AK501" s="149">
        <f t="shared" si="188"/>
        <v>0</v>
      </c>
      <c r="AL501" s="149">
        <f t="shared" si="189"/>
        <v>0</v>
      </c>
      <c r="AM501" s="149">
        <f t="shared" si="190"/>
        <v>0</v>
      </c>
      <c r="AN501" s="149">
        <f t="shared" si="191"/>
        <v>0</v>
      </c>
      <c r="AO501" s="150">
        <f t="shared" si="206"/>
        <v>0</v>
      </c>
      <c r="AQ501" s="151">
        <f t="shared" si="207"/>
        <v>0</v>
      </c>
    </row>
    <row r="502" spans="1:43" ht="15" customHeight="1">
      <c r="A502" s="82" t="e">
        <f t="shared" si="192"/>
        <v>#REF!</v>
      </c>
      <c r="B502" s="134">
        <v>104</v>
      </c>
      <c r="C502" s="135" t="s">
        <v>260</v>
      </c>
      <c r="D502" s="136" t="s">
        <v>274</v>
      </c>
      <c r="E502" s="137" t="s">
        <v>799</v>
      </c>
      <c r="F502" s="138" t="s">
        <v>646</v>
      </c>
      <c r="G502" s="139" t="s">
        <v>820</v>
      </c>
      <c r="H502" s="140" t="str">
        <f t="shared" si="193"/>
        <v>Niet van toepassing</v>
      </c>
      <c r="I502" s="138" t="s">
        <v>35</v>
      </c>
      <c r="J502" s="138" t="s">
        <v>1172</v>
      </c>
      <c r="K502" s="141" t="str">
        <f t="shared" si="194"/>
        <v>NVT</v>
      </c>
      <c r="L502" s="141" t="str">
        <f t="shared" si="195"/>
        <v>NVT</v>
      </c>
      <c r="M502" s="141" t="str">
        <f t="shared" si="196"/>
        <v>NVT</v>
      </c>
      <c r="N502" s="141" t="str">
        <f t="shared" si="197"/>
        <v>NVT</v>
      </c>
      <c r="O502" s="141" t="str">
        <f t="shared" si="198"/>
        <v>NVT</v>
      </c>
      <c r="P502" s="141" t="str">
        <f t="shared" si="199"/>
        <v>NVT</v>
      </c>
      <c r="Q502" s="141" t="str">
        <f t="shared" si="200"/>
        <v>NVT</v>
      </c>
      <c r="R502" s="63" t="s">
        <v>1221</v>
      </c>
      <c r="S502" s="142">
        <f t="shared" si="187"/>
        <v>0</v>
      </c>
      <c r="T502" s="143">
        <v>0</v>
      </c>
      <c r="U502" s="144"/>
      <c r="V502" s="144"/>
      <c r="W502" s="144"/>
      <c r="X502" s="144"/>
      <c r="Y502" s="144"/>
      <c r="Z502" s="145"/>
      <c r="AA502" s="145"/>
      <c r="AB502" s="145"/>
      <c r="AC502" s="145"/>
      <c r="AD502" s="146"/>
      <c r="AE502" s="171">
        <v>1</v>
      </c>
      <c r="AF502" s="147">
        <f t="shared" si="201"/>
        <v>0</v>
      </c>
      <c r="AG502" s="147">
        <f t="shared" si="202"/>
        <v>0</v>
      </c>
      <c r="AH502" s="147">
        <f t="shared" si="203"/>
        <v>0</v>
      </c>
      <c r="AI502" s="147">
        <f t="shared" si="204"/>
        <v>0</v>
      </c>
      <c r="AJ502" s="148">
        <f t="shared" si="205"/>
        <v>0</v>
      </c>
      <c r="AK502" s="149">
        <f t="shared" si="188"/>
        <v>0</v>
      </c>
      <c r="AL502" s="149">
        <f t="shared" si="189"/>
        <v>0</v>
      </c>
      <c r="AM502" s="149">
        <f t="shared" si="190"/>
        <v>0</v>
      </c>
      <c r="AN502" s="149">
        <f t="shared" si="191"/>
        <v>0</v>
      </c>
      <c r="AO502" s="150">
        <f t="shared" si="206"/>
        <v>0</v>
      </c>
      <c r="AQ502" s="151">
        <f t="shared" si="207"/>
        <v>0</v>
      </c>
    </row>
    <row r="503" spans="1:43" ht="15" customHeight="1">
      <c r="A503" s="82" t="e">
        <f t="shared" si="192"/>
        <v>#REF!</v>
      </c>
      <c r="B503" s="134">
        <v>104</v>
      </c>
      <c r="C503" s="135" t="s">
        <v>260</v>
      </c>
      <c r="D503" s="136" t="s">
        <v>274</v>
      </c>
      <c r="E503" s="137" t="s">
        <v>799</v>
      </c>
      <c r="F503" s="138" t="s">
        <v>646</v>
      </c>
      <c r="G503" s="139" t="s">
        <v>821</v>
      </c>
      <c r="H503" s="140" t="str">
        <f t="shared" si="193"/>
        <v>Niet van toepassing</v>
      </c>
      <c r="I503" s="138" t="s">
        <v>35</v>
      </c>
      <c r="J503" s="138" t="s">
        <v>1172</v>
      </c>
      <c r="K503" s="141" t="str">
        <f t="shared" si="194"/>
        <v>NVT</v>
      </c>
      <c r="L503" s="141" t="str">
        <f t="shared" si="195"/>
        <v>NVT</v>
      </c>
      <c r="M503" s="141" t="str">
        <f t="shared" si="196"/>
        <v>NVT</v>
      </c>
      <c r="N503" s="141" t="str">
        <f t="shared" si="197"/>
        <v>NVT</v>
      </c>
      <c r="O503" s="141" t="str">
        <f t="shared" si="198"/>
        <v>NVT</v>
      </c>
      <c r="P503" s="141" t="str">
        <f t="shared" si="199"/>
        <v>NVT</v>
      </c>
      <c r="Q503" s="141" t="str">
        <f t="shared" si="200"/>
        <v>NVT</v>
      </c>
      <c r="R503" s="63" t="s">
        <v>1221</v>
      </c>
      <c r="S503" s="142">
        <f t="shared" si="187"/>
        <v>0</v>
      </c>
      <c r="T503" s="143">
        <f>((6.5*2+9.5*2)*(21+9))*1.3</f>
        <v>1248</v>
      </c>
      <c r="U503" s="144"/>
      <c r="V503" s="144"/>
      <c r="W503" s="144">
        <v>2019</v>
      </c>
      <c r="X503" s="144"/>
      <c r="Y503" s="144"/>
      <c r="Z503" s="145"/>
      <c r="AA503" s="145">
        <v>960</v>
      </c>
      <c r="AB503" s="145"/>
      <c r="AC503" s="145"/>
      <c r="AD503" s="146"/>
      <c r="AE503" s="171">
        <v>1</v>
      </c>
      <c r="AF503" s="147">
        <f t="shared" si="201"/>
        <v>0</v>
      </c>
      <c r="AG503" s="147">
        <f t="shared" si="202"/>
        <v>0</v>
      </c>
      <c r="AH503" s="147">
        <f t="shared" si="203"/>
        <v>0</v>
      </c>
      <c r="AI503" s="147">
        <f t="shared" si="204"/>
        <v>0</v>
      </c>
      <c r="AJ503" s="148">
        <f t="shared" si="205"/>
        <v>0</v>
      </c>
      <c r="AK503" s="149">
        <f t="shared" si="188"/>
        <v>0</v>
      </c>
      <c r="AL503" s="149">
        <f t="shared" si="189"/>
        <v>0</v>
      </c>
      <c r="AM503" s="149">
        <f t="shared" si="190"/>
        <v>0</v>
      </c>
      <c r="AN503" s="149">
        <f t="shared" si="191"/>
        <v>0</v>
      </c>
      <c r="AO503" s="150">
        <f t="shared" si="206"/>
        <v>0</v>
      </c>
      <c r="AQ503" s="151">
        <f t="shared" si="207"/>
        <v>0</v>
      </c>
    </row>
    <row r="504" spans="1:43" ht="15" customHeight="1">
      <c r="A504" s="82" t="e">
        <f t="shared" si="192"/>
        <v>#REF!</v>
      </c>
      <c r="B504" s="134">
        <v>104</v>
      </c>
      <c r="C504" s="135" t="s">
        <v>260</v>
      </c>
      <c r="D504" s="136" t="s">
        <v>274</v>
      </c>
      <c r="E504" s="137" t="s">
        <v>799</v>
      </c>
      <c r="F504" s="138" t="s">
        <v>646</v>
      </c>
      <c r="G504" s="139" t="s">
        <v>822</v>
      </c>
      <c r="H504" s="140" t="str">
        <f t="shared" si="193"/>
        <v>Niet van toepassing</v>
      </c>
      <c r="I504" s="138" t="s">
        <v>35</v>
      </c>
      <c r="J504" s="138" t="s">
        <v>1172</v>
      </c>
      <c r="K504" s="141" t="str">
        <f t="shared" si="194"/>
        <v>NVT</v>
      </c>
      <c r="L504" s="141" t="str">
        <f t="shared" si="195"/>
        <v>NVT</v>
      </c>
      <c r="M504" s="141" t="str">
        <f t="shared" si="196"/>
        <v>NVT</v>
      </c>
      <c r="N504" s="141" t="str">
        <f t="shared" si="197"/>
        <v>NVT</v>
      </c>
      <c r="O504" s="141" t="str">
        <f t="shared" si="198"/>
        <v>NVT</v>
      </c>
      <c r="P504" s="141" t="str">
        <f t="shared" si="199"/>
        <v>NVT</v>
      </c>
      <c r="Q504" s="141" t="str">
        <f t="shared" si="200"/>
        <v>NVT</v>
      </c>
      <c r="R504" s="63" t="s">
        <v>1221</v>
      </c>
      <c r="S504" s="142">
        <f t="shared" si="187"/>
        <v>0</v>
      </c>
      <c r="T504" s="143">
        <v>0</v>
      </c>
      <c r="U504" s="144"/>
      <c r="V504" s="144"/>
      <c r="W504" s="144"/>
      <c r="X504" s="144"/>
      <c r="Y504" s="144"/>
      <c r="Z504" s="145"/>
      <c r="AA504" s="145"/>
      <c r="AB504" s="145"/>
      <c r="AC504" s="145"/>
      <c r="AD504" s="146"/>
      <c r="AE504" s="171">
        <v>1</v>
      </c>
      <c r="AF504" s="147">
        <f t="shared" si="201"/>
        <v>0</v>
      </c>
      <c r="AG504" s="147">
        <f t="shared" si="202"/>
        <v>0</v>
      </c>
      <c r="AH504" s="147">
        <f t="shared" si="203"/>
        <v>0</v>
      </c>
      <c r="AI504" s="147">
        <f t="shared" si="204"/>
        <v>0</v>
      </c>
      <c r="AJ504" s="148">
        <f t="shared" si="205"/>
        <v>0</v>
      </c>
      <c r="AK504" s="149">
        <f t="shared" si="188"/>
        <v>0</v>
      </c>
      <c r="AL504" s="149">
        <f t="shared" si="189"/>
        <v>0</v>
      </c>
      <c r="AM504" s="149">
        <f t="shared" si="190"/>
        <v>0</v>
      </c>
      <c r="AN504" s="149">
        <f t="shared" si="191"/>
        <v>0</v>
      </c>
      <c r="AO504" s="150">
        <f t="shared" si="206"/>
        <v>0</v>
      </c>
      <c r="AQ504" s="151">
        <f t="shared" si="207"/>
        <v>0</v>
      </c>
    </row>
    <row r="505" spans="1:43" ht="15" customHeight="1">
      <c r="A505" s="82" t="e">
        <f t="shared" si="192"/>
        <v>#REF!</v>
      </c>
      <c r="B505" s="134">
        <v>104</v>
      </c>
      <c r="C505" s="135" t="s">
        <v>260</v>
      </c>
      <c r="D505" s="136" t="s">
        <v>274</v>
      </c>
      <c r="E505" s="137" t="s">
        <v>799</v>
      </c>
      <c r="F505" s="138" t="s">
        <v>646</v>
      </c>
      <c r="G505" s="139" t="s">
        <v>823</v>
      </c>
      <c r="H505" s="140" t="str">
        <f t="shared" si="193"/>
        <v>Niet van toepassing</v>
      </c>
      <c r="I505" s="138" t="s">
        <v>35</v>
      </c>
      <c r="J505" s="138" t="s">
        <v>1172</v>
      </c>
      <c r="K505" s="141" t="str">
        <f t="shared" si="194"/>
        <v>NVT</v>
      </c>
      <c r="L505" s="141" t="str">
        <f t="shared" si="195"/>
        <v>NVT</v>
      </c>
      <c r="M505" s="141" t="str">
        <f t="shared" si="196"/>
        <v>NVT</v>
      </c>
      <c r="N505" s="141" t="str">
        <f t="shared" si="197"/>
        <v>NVT</v>
      </c>
      <c r="O505" s="141" t="str">
        <f t="shared" si="198"/>
        <v>NVT</v>
      </c>
      <c r="P505" s="141" t="str">
        <f t="shared" si="199"/>
        <v>NVT</v>
      </c>
      <c r="Q505" s="141" t="str">
        <f t="shared" si="200"/>
        <v>NVT</v>
      </c>
      <c r="R505" s="63" t="s">
        <v>1221</v>
      </c>
      <c r="S505" s="142">
        <f t="shared" si="187"/>
        <v>0</v>
      </c>
      <c r="T505" s="143">
        <v>0</v>
      </c>
      <c r="U505" s="144"/>
      <c r="V505" s="144"/>
      <c r="W505" s="144"/>
      <c r="X505" s="144"/>
      <c r="Y505" s="144"/>
      <c r="Z505" s="145"/>
      <c r="AA505" s="145"/>
      <c r="AB505" s="145"/>
      <c r="AC505" s="145"/>
      <c r="AD505" s="146"/>
      <c r="AE505" s="171">
        <v>1</v>
      </c>
      <c r="AF505" s="147">
        <f t="shared" si="201"/>
        <v>0</v>
      </c>
      <c r="AG505" s="147">
        <f t="shared" si="202"/>
        <v>0</v>
      </c>
      <c r="AH505" s="147">
        <f t="shared" si="203"/>
        <v>0</v>
      </c>
      <c r="AI505" s="147">
        <f t="shared" si="204"/>
        <v>0</v>
      </c>
      <c r="AJ505" s="148">
        <f t="shared" si="205"/>
        <v>0</v>
      </c>
      <c r="AK505" s="149">
        <f t="shared" si="188"/>
        <v>0</v>
      </c>
      <c r="AL505" s="149">
        <f t="shared" si="189"/>
        <v>0</v>
      </c>
      <c r="AM505" s="149">
        <f t="shared" si="190"/>
        <v>0</v>
      </c>
      <c r="AN505" s="149">
        <f t="shared" si="191"/>
        <v>0</v>
      </c>
      <c r="AO505" s="150">
        <f t="shared" si="206"/>
        <v>0</v>
      </c>
      <c r="AQ505" s="151">
        <f t="shared" si="207"/>
        <v>0</v>
      </c>
    </row>
    <row r="506" spans="1:43" ht="15" customHeight="1">
      <c r="A506" s="82" t="e">
        <f t="shared" si="192"/>
        <v>#REF!</v>
      </c>
      <c r="B506" s="134">
        <v>104</v>
      </c>
      <c r="C506" s="135" t="s">
        <v>260</v>
      </c>
      <c r="D506" s="136" t="s">
        <v>274</v>
      </c>
      <c r="E506" s="137" t="s">
        <v>799</v>
      </c>
      <c r="F506" s="138" t="s">
        <v>646</v>
      </c>
      <c r="G506" s="139" t="s">
        <v>824</v>
      </c>
      <c r="H506" s="140" t="str">
        <f t="shared" si="193"/>
        <v>Niet van toepassing</v>
      </c>
      <c r="I506" s="138" t="s">
        <v>35</v>
      </c>
      <c r="J506" s="138" t="s">
        <v>1172</v>
      </c>
      <c r="K506" s="141" t="str">
        <f t="shared" si="194"/>
        <v>NVT</v>
      </c>
      <c r="L506" s="141" t="str">
        <f t="shared" si="195"/>
        <v>NVT</v>
      </c>
      <c r="M506" s="141" t="str">
        <f t="shared" si="196"/>
        <v>NVT</v>
      </c>
      <c r="N506" s="141" t="str">
        <f t="shared" si="197"/>
        <v>NVT</v>
      </c>
      <c r="O506" s="141" t="str">
        <f t="shared" si="198"/>
        <v>NVT</v>
      </c>
      <c r="P506" s="141" t="str">
        <f t="shared" si="199"/>
        <v>NVT</v>
      </c>
      <c r="Q506" s="141" t="str">
        <f t="shared" si="200"/>
        <v>NVT</v>
      </c>
      <c r="R506" s="63" t="s">
        <v>1221</v>
      </c>
      <c r="S506" s="142">
        <f t="shared" si="187"/>
        <v>0</v>
      </c>
      <c r="T506" s="143">
        <v>0</v>
      </c>
      <c r="U506" s="144"/>
      <c r="V506" s="144"/>
      <c r="W506" s="144"/>
      <c r="X506" s="144"/>
      <c r="Y506" s="144"/>
      <c r="Z506" s="145"/>
      <c r="AA506" s="145"/>
      <c r="AB506" s="145"/>
      <c r="AC506" s="145"/>
      <c r="AD506" s="146"/>
      <c r="AE506" s="171">
        <v>1</v>
      </c>
      <c r="AF506" s="147">
        <f t="shared" si="201"/>
        <v>0</v>
      </c>
      <c r="AG506" s="147">
        <f t="shared" si="202"/>
        <v>0</v>
      </c>
      <c r="AH506" s="147">
        <f t="shared" si="203"/>
        <v>0</v>
      </c>
      <c r="AI506" s="147">
        <f t="shared" si="204"/>
        <v>0</v>
      </c>
      <c r="AJ506" s="148">
        <f t="shared" si="205"/>
        <v>0</v>
      </c>
      <c r="AK506" s="149">
        <f t="shared" si="188"/>
        <v>0</v>
      </c>
      <c r="AL506" s="149">
        <f t="shared" si="189"/>
        <v>0</v>
      </c>
      <c r="AM506" s="149">
        <f t="shared" si="190"/>
        <v>0</v>
      </c>
      <c r="AN506" s="149">
        <f t="shared" si="191"/>
        <v>0</v>
      </c>
      <c r="AO506" s="150">
        <f t="shared" si="206"/>
        <v>0</v>
      </c>
      <c r="AQ506" s="151">
        <f t="shared" si="207"/>
        <v>0</v>
      </c>
    </row>
    <row r="507" spans="1:43" ht="15" customHeight="1">
      <c r="A507" s="82" t="e">
        <f t="shared" si="192"/>
        <v>#REF!</v>
      </c>
      <c r="B507" s="134">
        <v>104</v>
      </c>
      <c r="C507" s="135" t="s">
        <v>260</v>
      </c>
      <c r="D507" s="136" t="s">
        <v>274</v>
      </c>
      <c r="E507" s="137" t="s">
        <v>799</v>
      </c>
      <c r="F507" s="138" t="s">
        <v>646</v>
      </c>
      <c r="G507" s="139" t="s">
        <v>825</v>
      </c>
      <c r="H507" s="140" t="str">
        <f t="shared" si="193"/>
        <v>Niet van toepassing</v>
      </c>
      <c r="I507" s="138" t="s">
        <v>35</v>
      </c>
      <c r="J507" s="138" t="s">
        <v>1172</v>
      </c>
      <c r="K507" s="141" t="str">
        <f t="shared" si="194"/>
        <v>NVT</v>
      </c>
      <c r="L507" s="141" t="str">
        <f t="shared" si="195"/>
        <v>NVT</v>
      </c>
      <c r="M507" s="141" t="str">
        <f t="shared" si="196"/>
        <v>NVT</v>
      </c>
      <c r="N507" s="141" t="str">
        <f t="shared" si="197"/>
        <v>NVT</v>
      </c>
      <c r="O507" s="141" t="str">
        <f t="shared" si="198"/>
        <v>NVT</v>
      </c>
      <c r="P507" s="141" t="str">
        <f t="shared" si="199"/>
        <v>NVT</v>
      </c>
      <c r="Q507" s="141" t="str">
        <f t="shared" si="200"/>
        <v>NVT</v>
      </c>
      <c r="R507" s="63" t="s">
        <v>1221</v>
      </c>
      <c r="S507" s="142">
        <f t="shared" si="187"/>
        <v>0</v>
      </c>
      <c r="T507" s="143">
        <v>0</v>
      </c>
      <c r="U507" s="144"/>
      <c r="V507" s="144"/>
      <c r="W507" s="144"/>
      <c r="X507" s="144"/>
      <c r="Y507" s="144"/>
      <c r="Z507" s="145"/>
      <c r="AA507" s="145"/>
      <c r="AB507" s="145"/>
      <c r="AC507" s="145"/>
      <c r="AD507" s="146"/>
      <c r="AE507" s="171">
        <v>1</v>
      </c>
      <c r="AF507" s="147">
        <f t="shared" si="201"/>
        <v>0</v>
      </c>
      <c r="AG507" s="147">
        <f t="shared" si="202"/>
        <v>0</v>
      </c>
      <c r="AH507" s="147">
        <f t="shared" si="203"/>
        <v>0</v>
      </c>
      <c r="AI507" s="147">
        <f t="shared" si="204"/>
        <v>0</v>
      </c>
      <c r="AJ507" s="148">
        <f t="shared" si="205"/>
        <v>0</v>
      </c>
      <c r="AK507" s="149">
        <f t="shared" si="188"/>
        <v>0</v>
      </c>
      <c r="AL507" s="149">
        <f t="shared" si="189"/>
        <v>0</v>
      </c>
      <c r="AM507" s="149">
        <f t="shared" si="190"/>
        <v>0</v>
      </c>
      <c r="AN507" s="149">
        <f t="shared" si="191"/>
        <v>0</v>
      </c>
      <c r="AO507" s="150">
        <f t="shared" si="206"/>
        <v>0</v>
      </c>
      <c r="AQ507" s="151">
        <f t="shared" si="207"/>
        <v>0</v>
      </c>
    </row>
    <row r="508" spans="1:43" ht="15" customHeight="1">
      <c r="A508" s="82" t="e">
        <f t="shared" si="192"/>
        <v>#REF!</v>
      </c>
      <c r="B508" s="134">
        <v>104</v>
      </c>
      <c r="C508" s="135" t="s">
        <v>260</v>
      </c>
      <c r="D508" s="136" t="s">
        <v>274</v>
      </c>
      <c r="E508" s="137" t="s">
        <v>799</v>
      </c>
      <c r="F508" s="138" t="s">
        <v>646</v>
      </c>
      <c r="G508" s="139" t="s">
        <v>826</v>
      </c>
      <c r="H508" s="140" t="str">
        <f t="shared" si="193"/>
        <v>Niet van toepassing</v>
      </c>
      <c r="I508" s="138" t="s">
        <v>35</v>
      </c>
      <c r="J508" s="138" t="s">
        <v>1172</v>
      </c>
      <c r="K508" s="141" t="str">
        <f t="shared" si="194"/>
        <v>NVT</v>
      </c>
      <c r="L508" s="141" t="str">
        <f t="shared" si="195"/>
        <v>NVT</v>
      </c>
      <c r="M508" s="141" t="str">
        <f t="shared" si="196"/>
        <v>NVT</v>
      </c>
      <c r="N508" s="141" t="str">
        <f t="shared" si="197"/>
        <v>NVT</v>
      </c>
      <c r="O508" s="141" t="str">
        <f t="shared" si="198"/>
        <v>NVT</v>
      </c>
      <c r="P508" s="141" t="str">
        <f t="shared" si="199"/>
        <v>NVT</v>
      </c>
      <c r="Q508" s="141" t="str">
        <f t="shared" si="200"/>
        <v>NVT</v>
      </c>
      <c r="R508" s="63" t="s">
        <v>1221</v>
      </c>
      <c r="S508" s="142">
        <f t="shared" si="187"/>
        <v>0</v>
      </c>
      <c r="T508" s="143">
        <v>0</v>
      </c>
      <c r="U508" s="144"/>
      <c r="V508" s="144"/>
      <c r="W508" s="144"/>
      <c r="X508" s="144"/>
      <c r="Y508" s="144"/>
      <c r="Z508" s="145"/>
      <c r="AA508" s="145"/>
      <c r="AB508" s="145"/>
      <c r="AC508" s="145"/>
      <c r="AD508" s="146"/>
      <c r="AE508" s="171">
        <v>1</v>
      </c>
      <c r="AF508" s="147">
        <f t="shared" si="201"/>
        <v>0</v>
      </c>
      <c r="AG508" s="147">
        <f t="shared" si="202"/>
        <v>0</v>
      </c>
      <c r="AH508" s="147">
        <f t="shared" si="203"/>
        <v>0</v>
      </c>
      <c r="AI508" s="147">
        <f t="shared" si="204"/>
        <v>0</v>
      </c>
      <c r="AJ508" s="148">
        <f t="shared" si="205"/>
        <v>0</v>
      </c>
      <c r="AK508" s="149">
        <f t="shared" si="188"/>
        <v>0</v>
      </c>
      <c r="AL508" s="149">
        <f t="shared" si="189"/>
        <v>0</v>
      </c>
      <c r="AM508" s="149">
        <f t="shared" si="190"/>
        <v>0</v>
      </c>
      <c r="AN508" s="149">
        <f t="shared" si="191"/>
        <v>0</v>
      </c>
      <c r="AO508" s="150">
        <f t="shared" si="206"/>
        <v>0</v>
      </c>
      <c r="AQ508" s="151">
        <f t="shared" si="207"/>
        <v>0</v>
      </c>
    </row>
    <row r="509" spans="1:43" ht="15" customHeight="1">
      <c r="A509" s="82" t="e">
        <f t="shared" si="192"/>
        <v>#REF!</v>
      </c>
      <c r="B509" s="134">
        <v>104</v>
      </c>
      <c r="C509" s="135" t="s">
        <v>260</v>
      </c>
      <c r="D509" s="136" t="s">
        <v>274</v>
      </c>
      <c r="E509" s="137" t="s">
        <v>799</v>
      </c>
      <c r="F509" s="138" t="s">
        <v>646</v>
      </c>
      <c r="G509" s="139" t="s">
        <v>827</v>
      </c>
      <c r="H509" s="140" t="str">
        <f t="shared" si="193"/>
        <v>Niet van toepassing</v>
      </c>
      <c r="I509" s="138" t="s">
        <v>35</v>
      </c>
      <c r="J509" s="138" t="s">
        <v>1172</v>
      </c>
      <c r="K509" s="141" t="str">
        <f t="shared" si="194"/>
        <v>NVT</v>
      </c>
      <c r="L509" s="141" t="str">
        <f t="shared" si="195"/>
        <v>NVT</v>
      </c>
      <c r="M509" s="141" t="str">
        <f t="shared" si="196"/>
        <v>NVT</v>
      </c>
      <c r="N509" s="141" t="str">
        <f t="shared" si="197"/>
        <v>NVT</v>
      </c>
      <c r="O509" s="141" t="str">
        <f t="shared" si="198"/>
        <v>NVT</v>
      </c>
      <c r="P509" s="141" t="str">
        <f t="shared" si="199"/>
        <v>NVT</v>
      </c>
      <c r="Q509" s="141" t="str">
        <f t="shared" si="200"/>
        <v>NVT</v>
      </c>
      <c r="R509" s="63" t="s">
        <v>1221</v>
      </c>
      <c r="S509" s="142">
        <f t="shared" si="187"/>
        <v>0</v>
      </c>
      <c r="T509" s="143">
        <v>0</v>
      </c>
      <c r="U509" s="144"/>
      <c r="V509" s="144"/>
      <c r="W509" s="144"/>
      <c r="X509" s="144"/>
      <c r="Y509" s="144"/>
      <c r="Z509" s="145"/>
      <c r="AA509" s="145"/>
      <c r="AB509" s="145"/>
      <c r="AC509" s="145"/>
      <c r="AD509" s="146"/>
      <c r="AE509" s="171">
        <v>1</v>
      </c>
      <c r="AF509" s="147">
        <f t="shared" si="201"/>
        <v>0</v>
      </c>
      <c r="AG509" s="147">
        <f t="shared" si="202"/>
        <v>0</v>
      </c>
      <c r="AH509" s="147">
        <f t="shared" si="203"/>
        <v>0</v>
      </c>
      <c r="AI509" s="147">
        <f t="shared" si="204"/>
        <v>0</v>
      </c>
      <c r="AJ509" s="148">
        <f t="shared" si="205"/>
        <v>0</v>
      </c>
      <c r="AK509" s="149">
        <f t="shared" si="188"/>
        <v>0</v>
      </c>
      <c r="AL509" s="149">
        <f t="shared" si="189"/>
        <v>0</v>
      </c>
      <c r="AM509" s="149">
        <f t="shared" si="190"/>
        <v>0</v>
      </c>
      <c r="AN509" s="149">
        <f t="shared" si="191"/>
        <v>0</v>
      </c>
      <c r="AO509" s="150">
        <f t="shared" si="206"/>
        <v>0</v>
      </c>
      <c r="AQ509" s="151">
        <f t="shared" si="207"/>
        <v>0</v>
      </c>
    </row>
    <row r="510" spans="1:43" ht="15" customHeight="1">
      <c r="A510" s="82" t="e">
        <f t="shared" si="192"/>
        <v>#REF!</v>
      </c>
      <c r="B510" s="134">
        <v>104</v>
      </c>
      <c r="C510" s="135" t="s">
        <v>260</v>
      </c>
      <c r="D510" s="136" t="s">
        <v>274</v>
      </c>
      <c r="E510" s="137" t="s">
        <v>799</v>
      </c>
      <c r="F510" s="138" t="s">
        <v>646</v>
      </c>
      <c r="G510" s="139" t="s">
        <v>828</v>
      </c>
      <c r="H510" s="140" t="str">
        <f t="shared" si="193"/>
        <v>Niet van toepassing</v>
      </c>
      <c r="I510" s="138" t="s">
        <v>35</v>
      </c>
      <c r="J510" s="138" t="s">
        <v>1172</v>
      </c>
      <c r="K510" s="141" t="str">
        <f t="shared" si="194"/>
        <v>NVT</v>
      </c>
      <c r="L510" s="141" t="str">
        <f t="shared" si="195"/>
        <v>NVT</v>
      </c>
      <c r="M510" s="141" t="str">
        <f t="shared" si="196"/>
        <v>NVT</v>
      </c>
      <c r="N510" s="141" t="str">
        <f t="shared" si="197"/>
        <v>NVT</v>
      </c>
      <c r="O510" s="141" t="str">
        <f t="shared" si="198"/>
        <v>NVT</v>
      </c>
      <c r="P510" s="141" t="str">
        <f t="shared" si="199"/>
        <v>NVT</v>
      </c>
      <c r="Q510" s="141" t="str">
        <f t="shared" si="200"/>
        <v>NVT</v>
      </c>
      <c r="R510" s="63" t="s">
        <v>1221</v>
      </c>
      <c r="S510" s="142">
        <f t="shared" si="187"/>
        <v>0</v>
      </c>
      <c r="T510" s="143">
        <v>0</v>
      </c>
      <c r="U510" s="144"/>
      <c r="V510" s="144"/>
      <c r="W510" s="144"/>
      <c r="X510" s="144"/>
      <c r="Y510" s="144"/>
      <c r="Z510" s="145"/>
      <c r="AA510" s="145"/>
      <c r="AB510" s="145"/>
      <c r="AC510" s="145"/>
      <c r="AD510" s="146"/>
      <c r="AE510" s="171">
        <v>1</v>
      </c>
      <c r="AF510" s="147">
        <f t="shared" si="201"/>
        <v>0</v>
      </c>
      <c r="AG510" s="147">
        <f t="shared" si="202"/>
        <v>0</v>
      </c>
      <c r="AH510" s="147">
        <f t="shared" si="203"/>
        <v>0</v>
      </c>
      <c r="AI510" s="147">
        <f t="shared" si="204"/>
        <v>0</v>
      </c>
      <c r="AJ510" s="148">
        <f t="shared" si="205"/>
        <v>0</v>
      </c>
      <c r="AK510" s="149">
        <f t="shared" si="188"/>
        <v>0</v>
      </c>
      <c r="AL510" s="149">
        <f t="shared" si="189"/>
        <v>0</v>
      </c>
      <c r="AM510" s="149">
        <f t="shared" si="190"/>
        <v>0</v>
      </c>
      <c r="AN510" s="149">
        <f t="shared" si="191"/>
        <v>0</v>
      </c>
      <c r="AO510" s="150">
        <f t="shared" si="206"/>
        <v>0</v>
      </c>
      <c r="AQ510" s="151">
        <f t="shared" si="207"/>
        <v>0</v>
      </c>
    </row>
    <row r="511" spans="1:43" ht="15" customHeight="1">
      <c r="A511" s="82" t="e">
        <f t="shared" si="192"/>
        <v>#REF!</v>
      </c>
      <c r="B511" s="134">
        <v>104</v>
      </c>
      <c r="C511" s="135" t="s">
        <v>260</v>
      </c>
      <c r="D511" s="136" t="s">
        <v>274</v>
      </c>
      <c r="E511" s="137" t="s">
        <v>799</v>
      </c>
      <c r="F511" s="138" t="s">
        <v>646</v>
      </c>
      <c r="G511" s="139" t="s">
        <v>829</v>
      </c>
      <c r="H511" s="140" t="str">
        <f t="shared" si="193"/>
        <v>Niet van toepassing</v>
      </c>
      <c r="I511" s="138" t="s">
        <v>35</v>
      </c>
      <c r="J511" s="138" t="s">
        <v>1172</v>
      </c>
      <c r="K511" s="141" t="str">
        <f t="shared" si="194"/>
        <v>NVT</v>
      </c>
      <c r="L511" s="141" t="str">
        <f t="shared" si="195"/>
        <v>NVT</v>
      </c>
      <c r="M511" s="141" t="str">
        <f t="shared" si="196"/>
        <v>NVT</v>
      </c>
      <c r="N511" s="141" t="str">
        <f t="shared" si="197"/>
        <v>NVT</v>
      </c>
      <c r="O511" s="141" t="str">
        <f t="shared" si="198"/>
        <v>NVT</v>
      </c>
      <c r="P511" s="141" t="str">
        <f t="shared" si="199"/>
        <v>NVT</v>
      </c>
      <c r="Q511" s="141" t="str">
        <f t="shared" si="200"/>
        <v>NVT</v>
      </c>
      <c r="R511" s="63" t="s">
        <v>1221</v>
      </c>
      <c r="S511" s="142">
        <f t="shared" si="187"/>
        <v>0</v>
      </c>
      <c r="T511" s="143">
        <v>57.2</v>
      </c>
      <c r="U511" s="144"/>
      <c r="V511" s="144"/>
      <c r="W511" s="144">
        <v>94</v>
      </c>
      <c r="X511" s="144"/>
      <c r="Y511" s="144"/>
      <c r="Z511" s="145"/>
      <c r="AA511" s="145">
        <v>44</v>
      </c>
      <c r="AB511" s="145"/>
      <c r="AC511" s="145"/>
      <c r="AD511" s="146"/>
      <c r="AE511" s="171">
        <v>1</v>
      </c>
      <c r="AF511" s="147">
        <f t="shared" si="201"/>
        <v>0</v>
      </c>
      <c r="AG511" s="147">
        <f t="shared" si="202"/>
        <v>0</v>
      </c>
      <c r="AH511" s="147">
        <f t="shared" si="203"/>
        <v>0</v>
      </c>
      <c r="AI511" s="147">
        <f t="shared" si="204"/>
        <v>0</v>
      </c>
      <c r="AJ511" s="148">
        <f t="shared" si="205"/>
        <v>0</v>
      </c>
      <c r="AK511" s="149">
        <f t="shared" si="188"/>
        <v>0</v>
      </c>
      <c r="AL511" s="149">
        <f t="shared" si="189"/>
        <v>0</v>
      </c>
      <c r="AM511" s="149">
        <f t="shared" si="190"/>
        <v>0</v>
      </c>
      <c r="AN511" s="149">
        <f t="shared" si="191"/>
        <v>0</v>
      </c>
      <c r="AO511" s="150">
        <f t="shared" si="206"/>
        <v>0</v>
      </c>
      <c r="AQ511" s="151">
        <f t="shared" si="207"/>
        <v>0</v>
      </c>
    </row>
    <row r="512" spans="1:43" ht="15" customHeight="1">
      <c r="A512" s="82" t="e">
        <f t="shared" si="192"/>
        <v>#REF!</v>
      </c>
      <c r="B512" s="134">
        <v>104</v>
      </c>
      <c r="C512" s="135" t="s">
        <v>260</v>
      </c>
      <c r="D512" s="136" t="s">
        <v>274</v>
      </c>
      <c r="E512" s="137" t="s">
        <v>799</v>
      </c>
      <c r="F512" s="138" t="s">
        <v>646</v>
      </c>
      <c r="G512" s="139" t="s">
        <v>830</v>
      </c>
      <c r="H512" s="140" t="str">
        <f t="shared" si="193"/>
        <v>Niet van toepassing</v>
      </c>
      <c r="I512" s="138" t="s">
        <v>35</v>
      </c>
      <c r="J512" s="138" t="s">
        <v>1172</v>
      </c>
      <c r="K512" s="141" t="str">
        <f t="shared" si="194"/>
        <v>NVT</v>
      </c>
      <c r="L512" s="141" t="str">
        <f t="shared" si="195"/>
        <v>NVT</v>
      </c>
      <c r="M512" s="141" t="str">
        <f t="shared" si="196"/>
        <v>NVT</v>
      </c>
      <c r="N512" s="141" t="str">
        <f t="shared" si="197"/>
        <v>NVT</v>
      </c>
      <c r="O512" s="141" t="str">
        <f t="shared" si="198"/>
        <v>NVT</v>
      </c>
      <c r="P512" s="141" t="str">
        <f t="shared" si="199"/>
        <v>NVT</v>
      </c>
      <c r="Q512" s="141" t="str">
        <f t="shared" si="200"/>
        <v>NVT</v>
      </c>
      <c r="R512" s="63" t="s">
        <v>1221</v>
      </c>
      <c r="S512" s="142">
        <f t="shared" si="187"/>
        <v>0</v>
      </c>
      <c r="T512" s="143">
        <v>58.5</v>
      </c>
      <c r="U512" s="144"/>
      <c r="V512" s="144"/>
      <c r="W512" s="144">
        <v>100</v>
      </c>
      <c r="X512" s="144"/>
      <c r="Y512" s="144"/>
      <c r="Z512" s="145"/>
      <c r="AA512" s="145">
        <v>45</v>
      </c>
      <c r="AB512" s="145"/>
      <c r="AC512" s="145"/>
      <c r="AD512" s="146"/>
      <c r="AE512" s="171">
        <v>1</v>
      </c>
      <c r="AF512" s="147">
        <f t="shared" si="201"/>
        <v>0</v>
      </c>
      <c r="AG512" s="147">
        <f t="shared" si="202"/>
        <v>0</v>
      </c>
      <c r="AH512" s="147">
        <f t="shared" si="203"/>
        <v>0</v>
      </c>
      <c r="AI512" s="147">
        <f t="shared" si="204"/>
        <v>0</v>
      </c>
      <c r="AJ512" s="148">
        <f t="shared" si="205"/>
        <v>0</v>
      </c>
      <c r="AK512" s="149">
        <f t="shared" si="188"/>
        <v>0</v>
      </c>
      <c r="AL512" s="149">
        <f t="shared" si="189"/>
        <v>0</v>
      </c>
      <c r="AM512" s="149">
        <f t="shared" si="190"/>
        <v>0</v>
      </c>
      <c r="AN512" s="149">
        <f t="shared" si="191"/>
        <v>0</v>
      </c>
      <c r="AO512" s="150">
        <f t="shared" si="206"/>
        <v>0</v>
      </c>
      <c r="AQ512" s="151">
        <f t="shared" si="207"/>
        <v>0</v>
      </c>
    </row>
    <row r="513" spans="1:43" ht="15" customHeight="1">
      <c r="A513" s="82" t="e">
        <f t="shared" si="192"/>
        <v>#REF!</v>
      </c>
      <c r="B513" s="134">
        <v>104</v>
      </c>
      <c r="C513" s="135" t="s">
        <v>260</v>
      </c>
      <c r="D513" s="136" t="s">
        <v>274</v>
      </c>
      <c r="E513" s="137" t="s">
        <v>799</v>
      </c>
      <c r="F513" s="138" t="s">
        <v>646</v>
      </c>
      <c r="G513" s="139" t="s">
        <v>831</v>
      </c>
      <c r="H513" s="140" t="str">
        <f t="shared" si="193"/>
        <v>Niet van toepassing</v>
      </c>
      <c r="I513" s="138" t="s">
        <v>35</v>
      </c>
      <c r="J513" s="138" t="s">
        <v>1172</v>
      </c>
      <c r="K513" s="141" t="str">
        <f t="shared" si="194"/>
        <v>NVT</v>
      </c>
      <c r="L513" s="141" t="str">
        <f t="shared" si="195"/>
        <v>NVT</v>
      </c>
      <c r="M513" s="141" t="str">
        <f t="shared" si="196"/>
        <v>NVT</v>
      </c>
      <c r="N513" s="141" t="str">
        <f t="shared" si="197"/>
        <v>NVT</v>
      </c>
      <c r="O513" s="141" t="str">
        <f t="shared" si="198"/>
        <v>NVT</v>
      </c>
      <c r="P513" s="141" t="str">
        <f t="shared" si="199"/>
        <v>NVT</v>
      </c>
      <c r="Q513" s="141" t="str">
        <f t="shared" si="200"/>
        <v>NVT</v>
      </c>
      <c r="R513" s="63" t="s">
        <v>1221</v>
      </c>
      <c r="S513" s="142">
        <f t="shared" si="187"/>
        <v>0</v>
      </c>
      <c r="T513" s="143">
        <v>28.6</v>
      </c>
      <c r="U513" s="144"/>
      <c r="V513" s="144"/>
      <c r="W513" s="144">
        <v>64</v>
      </c>
      <c r="X513" s="144"/>
      <c r="Y513" s="144"/>
      <c r="Z513" s="145"/>
      <c r="AA513" s="145">
        <v>22</v>
      </c>
      <c r="AB513" s="145"/>
      <c r="AC513" s="145"/>
      <c r="AD513" s="146"/>
      <c r="AE513" s="171">
        <v>1</v>
      </c>
      <c r="AF513" s="147">
        <f t="shared" si="201"/>
        <v>0</v>
      </c>
      <c r="AG513" s="147">
        <f t="shared" si="202"/>
        <v>0</v>
      </c>
      <c r="AH513" s="147">
        <f t="shared" si="203"/>
        <v>0</v>
      </c>
      <c r="AI513" s="147">
        <f t="shared" si="204"/>
        <v>0</v>
      </c>
      <c r="AJ513" s="148">
        <f t="shared" si="205"/>
        <v>0</v>
      </c>
      <c r="AK513" s="149">
        <f t="shared" si="188"/>
        <v>0</v>
      </c>
      <c r="AL513" s="149">
        <f t="shared" si="189"/>
        <v>0</v>
      </c>
      <c r="AM513" s="149">
        <f t="shared" si="190"/>
        <v>0</v>
      </c>
      <c r="AN513" s="149">
        <f t="shared" si="191"/>
        <v>0</v>
      </c>
      <c r="AO513" s="150">
        <f t="shared" si="206"/>
        <v>0</v>
      </c>
      <c r="AQ513" s="151">
        <f t="shared" si="207"/>
        <v>0</v>
      </c>
    </row>
    <row r="514" spans="1:43" ht="15" customHeight="1">
      <c r="A514" s="82" t="e">
        <f t="shared" si="192"/>
        <v>#REF!</v>
      </c>
      <c r="B514" s="134">
        <v>105</v>
      </c>
      <c r="C514" s="135" t="s">
        <v>943</v>
      </c>
      <c r="D514" s="136" t="s">
        <v>274</v>
      </c>
      <c r="E514" s="137" t="s">
        <v>947</v>
      </c>
      <c r="F514" s="138" t="s">
        <v>1037</v>
      </c>
      <c r="G514" s="139" t="s">
        <v>532</v>
      </c>
      <c r="H514" s="140" t="str">
        <f t="shared" si="193"/>
        <v>Roltrappen(inclusief aangrenzende bouwdelen)</v>
      </c>
      <c r="I514" s="138" t="s">
        <v>1251</v>
      </c>
      <c r="J514" s="138" t="s">
        <v>1171</v>
      </c>
      <c r="K514" s="141" t="str">
        <f t="shared" si="194"/>
        <v>Omde dag Vol/Nal.</v>
      </c>
      <c r="L514" s="141" t="str">
        <f t="shared" si="195"/>
        <v>Omde dag Nal./Vol</v>
      </c>
      <c r="M514" s="141" t="str">
        <f t="shared" si="196"/>
        <v>Omde dag Vol/Nal.</v>
      </c>
      <c r="N514" s="141" t="str">
        <f t="shared" si="197"/>
        <v>Omde dag Nal./Vol</v>
      </c>
      <c r="O514" s="141" t="str">
        <f t="shared" si="198"/>
        <v>Omde dag Vol/Nal.</v>
      </c>
      <c r="P514" s="141" t="str">
        <f t="shared" si="199"/>
        <v>Omde dag Nal./Vol</v>
      </c>
      <c r="Q514" s="141" t="str">
        <f t="shared" si="200"/>
        <v>Omde dag Vol/Nal.</v>
      </c>
      <c r="R514" s="63" t="s">
        <v>1481</v>
      </c>
      <c r="S514" s="142">
        <f t="shared" si="187"/>
        <v>365</v>
      </c>
      <c r="T514" s="143">
        <v>21</v>
      </c>
      <c r="U514" s="144"/>
      <c r="V514" s="144"/>
      <c r="W514" s="144"/>
      <c r="X514" s="144"/>
      <c r="Y514" s="144"/>
      <c r="Z514" s="145"/>
      <c r="AA514" s="145"/>
      <c r="AB514" s="145"/>
      <c r="AC514" s="145"/>
      <c r="AD514" s="146"/>
      <c r="AE514" s="171">
        <v>1</v>
      </c>
      <c r="AF514" s="147">
        <f t="shared" si="201"/>
        <v>0</v>
      </c>
      <c r="AG514" s="147">
        <f t="shared" si="202"/>
        <v>0</v>
      </c>
      <c r="AH514" s="147">
        <f t="shared" si="203"/>
        <v>0</v>
      </c>
      <c r="AI514" s="147">
        <f t="shared" si="204"/>
        <v>0</v>
      </c>
      <c r="AJ514" s="148" t="str">
        <f t="shared" si="205"/>
        <v>ja</v>
      </c>
      <c r="AK514" s="149">
        <f t="shared" si="188"/>
        <v>0</v>
      </c>
      <c r="AL514" s="149">
        <f t="shared" si="189"/>
        <v>0</v>
      </c>
      <c r="AM514" s="149">
        <f t="shared" si="190"/>
        <v>0</v>
      </c>
      <c r="AN514" s="149">
        <f t="shared" si="191"/>
        <v>0</v>
      </c>
      <c r="AO514" s="150" t="str">
        <f t="shared" si="206"/>
        <v>V</v>
      </c>
      <c r="AQ514" s="151">
        <f t="shared" si="207"/>
        <v>7665</v>
      </c>
    </row>
    <row r="515" spans="1:43" ht="15" customHeight="1">
      <c r="A515" s="82" t="e">
        <f t="shared" si="192"/>
        <v>#REF!</v>
      </c>
      <c r="B515" s="134">
        <v>105</v>
      </c>
      <c r="C515" s="135" t="s">
        <v>943</v>
      </c>
      <c r="D515" s="136" t="s">
        <v>274</v>
      </c>
      <c r="E515" s="137" t="s">
        <v>947</v>
      </c>
      <c r="F515" s="138" t="s">
        <v>1038</v>
      </c>
      <c r="G515" s="139" t="s">
        <v>535</v>
      </c>
      <c r="H515" s="140" t="str">
        <f t="shared" si="193"/>
        <v>Trappen</v>
      </c>
      <c r="I515" s="138" t="s">
        <v>1250</v>
      </c>
      <c r="J515" s="138" t="s">
        <v>1171</v>
      </c>
      <c r="K515" s="141" t="str">
        <f t="shared" si="194"/>
        <v>Omde dag Vol/Nal.</v>
      </c>
      <c r="L515" s="141" t="str">
        <f t="shared" si="195"/>
        <v>Omde dag Nal./Vol</v>
      </c>
      <c r="M515" s="141" t="str">
        <f t="shared" si="196"/>
        <v>Omde dag Vol/Nal.</v>
      </c>
      <c r="N515" s="141" t="str">
        <f t="shared" si="197"/>
        <v>Omde dag Nal./Vol</v>
      </c>
      <c r="O515" s="141" t="str">
        <f t="shared" si="198"/>
        <v>Omde dag Vol/Nal.</v>
      </c>
      <c r="P515" s="141" t="str">
        <f t="shared" si="199"/>
        <v>Omde dag Nal./Vol</v>
      </c>
      <c r="Q515" s="141" t="str">
        <f t="shared" si="200"/>
        <v>Omde dag Vol/Nal.</v>
      </c>
      <c r="R515" s="63" t="s">
        <v>1477</v>
      </c>
      <c r="S515" s="142">
        <f t="shared" si="187"/>
        <v>365</v>
      </c>
      <c r="T515" s="143">
        <f>((4.2+2+5.7)*4.25)*1.3</f>
        <v>65.747500000000002</v>
      </c>
      <c r="U515" s="144"/>
      <c r="V515" s="144">
        <v>32</v>
      </c>
      <c r="W515" s="144"/>
      <c r="X515" s="144">
        <f>(5.4*0.3)*2</f>
        <v>3.24</v>
      </c>
      <c r="Y515" s="144">
        <f>(9.35+4.25+9.35)*2.7</f>
        <v>61.965000000000003</v>
      </c>
      <c r="Z515" s="145"/>
      <c r="AA515" s="145"/>
      <c r="AB515" s="145">
        <f>T515</f>
        <v>65.747500000000002</v>
      </c>
      <c r="AC515" s="145"/>
      <c r="AD515" s="146" t="s">
        <v>1243</v>
      </c>
      <c r="AE515" s="171">
        <v>1</v>
      </c>
      <c r="AF515" s="147">
        <f t="shared" si="201"/>
        <v>0</v>
      </c>
      <c r="AG515" s="147">
        <f t="shared" si="202"/>
        <v>0</v>
      </c>
      <c r="AH515" s="147">
        <f t="shared" si="203"/>
        <v>0</v>
      </c>
      <c r="AI515" s="147">
        <f t="shared" si="204"/>
        <v>0</v>
      </c>
      <c r="AJ515" s="148" t="str">
        <f t="shared" si="205"/>
        <v>ja</v>
      </c>
      <c r="AK515" s="149">
        <f t="shared" si="188"/>
        <v>0</v>
      </c>
      <c r="AL515" s="149">
        <f t="shared" si="189"/>
        <v>0</v>
      </c>
      <c r="AM515" s="149">
        <f t="shared" si="190"/>
        <v>0</v>
      </c>
      <c r="AN515" s="149">
        <f t="shared" si="191"/>
        <v>0</v>
      </c>
      <c r="AO515" s="150" t="str">
        <f t="shared" si="206"/>
        <v>V</v>
      </c>
      <c r="AQ515" s="151">
        <f t="shared" si="207"/>
        <v>23997.837500000001</v>
      </c>
    </row>
    <row r="516" spans="1:43" ht="15" customHeight="1">
      <c r="A516" s="82" t="e">
        <f t="shared" si="192"/>
        <v>#REF!</v>
      </c>
      <c r="B516" s="134">
        <v>105</v>
      </c>
      <c r="C516" s="135" t="s">
        <v>943</v>
      </c>
      <c r="D516" s="136" t="s">
        <v>274</v>
      </c>
      <c r="E516" s="137" t="s">
        <v>947</v>
      </c>
      <c r="F516" s="138" t="s">
        <v>536</v>
      </c>
      <c r="G516" s="139" t="s">
        <v>534</v>
      </c>
      <c r="H516" s="140" t="str">
        <f t="shared" si="193"/>
        <v>Hallen</v>
      </c>
      <c r="I516" s="138" t="s">
        <v>195</v>
      </c>
      <c r="J516" s="138" t="s">
        <v>1171</v>
      </c>
      <c r="K516" s="141" t="str">
        <f t="shared" si="194"/>
        <v>Omde dag Vol/Nal.</v>
      </c>
      <c r="L516" s="141" t="str">
        <f t="shared" si="195"/>
        <v>Omde dag Nal./Vol</v>
      </c>
      <c r="M516" s="141" t="str">
        <f t="shared" si="196"/>
        <v>Omde dag Vol/Nal.</v>
      </c>
      <c r="N516" s="141" t="str">
        <f t="shared" si="197"/>
        <v>Omde dag Nal./Vol</v>
      </c>
      <c r="O516" s="141" t="str">
        <f t="shared" si="198"/>
        <v>Omde dag Vol/Nal.</v>
      </c>
      <c r="P516" s="141" t="str">
        <f t="shared" si="199"/>
        <v>Omde dag Nal./Vol</v>
      </c>
      <c r="Q516" s="141" t="str">
        <f t="shared" si="200"/>
        <v>Omde dag Vol/Nal.</v>
      </c>
      <c r="R516" s="63" t="s">
        <v>1479</v>
      </c>
      <c r="S516" s="142">
        <f t="shared" si="187"/>
        <v>365</v>
      </c>
      <c r="T516" s="143">
        <v>725.4</v>
      </c>
      <c r="U516" s="144"/>
      <c r="V516" s="144"/>
      <c r="W516" s="144"/>
      <c r="X516" s="144">
        <f>0.5*(25+15)</f>
        <v>20</v>
      </c>
      <c r="Y516" s="144">
        <f>((1.5+3.4+0.8+6+0.8+4.3+1.6+3.5+0.65+4+2.1+0.95+6.3+0.8+3.2+0.6+1.3+0.7+2.8+0.6+3+0.6+5+1.5+1.9+1+2.9+2.85+2+0.8+3.9+0.8+5+1.4+7+5.6+2.3+3.9+2.6+2.1+1.5+5+1.1+7.5+1.55+2+1.5+2+2.5+12.5+4.8+2.4+1.9+10.6+8.5)*3)+(37.7*3)</f>
        <v>615.30000000000007</v>
      </c>
      <c r="Z516" s="145"/>
      <c r="AA516" s="145">
        <f>T516+(14.8*11.5)</f>
        <v>895.6</v>
      </c>
      <c r="AB516" s="145"/>
      <c r="AC516" s="145"/>
      <c r="AD516" s="146" t="s">
        <v>1075</v>
      </c>
      <c r="AE516" s="171">
        <v>1</v>
      </c>
      <c r="AF516" s="147">
        <f t="shared" si="201"/>
        <v>0</v>
      </c>
      <c r="AG516" s="147">
        <f t="shared" si="202"/>
        <v>0</v>
      </c>
      <c r="AH516" s="147">
        <f t="shared" si="203"/>
        <v>0</v>
      </c>
      <c r="AI516" s="147">
        <f t="shared" si="204"/>
        <v>0</v>
      </c>
      <c r="AJ516" s="148" t="str">
        <f t="shared" si="205"/>
        <v>ja</v>
      </c>
      <c r="AK516" s="149">
        <f t="shared" ref="AK516:AK573" si="208">IF($R516="",0,VLOOKUP($R516,Kengetal,5,FALSE))</f>
        <v>0</v>
      </c>
      <c r="AL516" s="149">
        <f t="shared" ref="AL516:AL573" si="209">IF($R516="",0,VLOOKUP($R516,Kengetal,6,FALSE))</f>
        <v>0</v>
      </c>
      <c r="AM516" s="149">
        <f t="shared" ref="AM516:AM573" si="210">IF($R516="",0,VLOOKUP($R516,Kengetal,7,FALSE))</f>
        <v>0</v>
      </c>
      <c r="AN516" s="149">
        <f t="shared" ref="AN516:AN573" si="211">IF($R516="",0,VLOOKUP($R516,Kengetal,8,FALSE))</f>
        <v>0</v>
      </c>
      <c r="AO516" s="150" t="str">
        <f t="shared" si="206"/>
        <v>V</v>
      </c>
      <c r="AQ516" s="151">
        <f t="shared" si="207"/>
        <v>264771</v>
      </c>
    </row>
    <row r="517" spans="1:43" ht="15" customHeight="1">
      <c r="A517" s="82" t="e">
        <f t="shared" si="192"/>
        <v>#REF!</v>
      </c>
      <c r="B517" s="134">
        <v>105</v>
      </c>
      <c r="C517" s="135" t="s">
        <v>943</v>
      </c>
      <c r="D517" s="136" t="s">
        <v>274</v>
      </c>
      <c r="E517" s="137" t="s">
        <v>947</v>
      </c>
      <c r="F517" s="138" t="s">
        <v>1039</v>
      </c>
      <c r="G517" s="139" t="s">
        <v>538</v>
      </c>
      <c r="H517" s="140" t="str">
        <f t="shared" si="193"/>
        <v>Roltrappen(inclusief aangrenzende bouwdelen)</v>
      </c>
      <c r="I517" s="138" t="s">
        <v>1251</v>
      </c>
      <c r="J517" s="138" t="s">
        <v>1171</v>
      </c>
      <c r="K517" s="141" t="str">
        <f t="shared" si="194"/>
        <v>Omde dag Vol/Nal.</v>
      </c>
      <c r="L517" s="141" t="str">
        <f t="shared" si="195"/>
        <v>Omde dag Nal./Vol</v>
      </c>
      <c r="M517" s="141" t="str">
        <f t="shared" si="196"/>
        <v>Omde dag Vol/Nal.</v>
      </c>
      <c r="N517" s="141" t="str">
        <f t="shared" si="197"/>
        <v>Omde dag Nal./Vol</v>
      </c>
      <c r="O517" s="141" t="str">
        <f t="shared" si="198"/>
        <v>Omde dag Vol/Nal.</v>
      </c>
      <c r="P517" s="141" t="str">
        <f t="shared" si="199"/>
        <v>Omde dag Nal./Vol</v>
      </c>
      <c r="Q517" s="141" t="str">
        <f t="shared" si="200"/>
        <v>Omde dag Vol/Nal.</v>
      </c>
      <c r="R517" s="63" t="s">
        <v>1481</v>
      </c>
      <c r="S517" s="142">
        <f t="shared" si="187"/>
        <v>365</v>
      </c>
      <c r="T517" s="143">
        <v>21</v>
      </c>
      <c r="U517" s="144"/>
      <c r="V517" s="144"/>
      <c r="W517" s="144"/>
      <c r="X517" s="144"/>
      <c r="Y517" s="144"/>
      <c r="Z517" s="145"/>
      <c r="AA517" s="145"/>
      <c r="AB517" s="145"/>
      <c r="AC517" s="145"/>
      <c r="AD517" s="146"/>
      <c r="AE517" s="171">
        <v>1</v>
      </c>
      <c r="AF517" s="147">
        <f t="shared" si="201"/>
        <v>0</v>
      </c>
      <c r="AG517" s="147">
        <f t="shared" si="202"/>
        <v>0</v>
      </c>
      <c r="AH517" s="147">
        <f t="shared" si="203"/>
        <v>0</v>
      </c>
      <c r="AI517" s="147">
        <f t="shared" si="204"/>
        <v>0</v>
      </c>
      <c r="AJ517" s="148" t="str">
        <f t="shared" si="205"/>
        <v>ja</v>
      </c>
      <c r="AK517" s="149">
        <f t="shared" si="208"/>
        <v>0</v>
      </c>
      <c r="AL517" s="149">
        <f t="shared" si="209"/>
        <v>0</v>
      </c>
      <c r="AM517" s="149">
        <f t="shared" si="210"/>
        <v>0</v>
      </c>
      <c r="AN517" s="149">
        <f t="shared" si="211"/>
        <v>0</v>
      </c>
      <c r="AO517" s="150" t="str">
        <f t="shared" si="206"/>
        <v>V</v>
      </c>
      <c r="AQ517" s="151">
        <f t="shared" si="207"/>
        <v>7665</v>
      </c>
    </row>
    <row r="518" spans="1:43" ht="15" customHeight="1">
      <c r="A518" s="82" t="e">
        <f t="shared" si="192"/>
        <v>#REF!</v>
      </c>
      <c r="B518" s="134">
        <v>105</v>
      </c>
      <c r="C518" s="135" t="s">
        <v>943</v>
      </c>
      <c r="D518" s="136" t="s">
        <v>274</v>
      </c>
      <c r="E518" s="137" t="s">
        <v>947</v>
      </c>
      <c r="F518" s="138" t="s">
        <v>1040</v>
      </c>
      <c r="G518" s="139" t="s">
        <v>539</v>
      </c>
      <c r="H518" s="140" t="str">
        <f t="shared" si="193"/>
        <v>Trappen</v>
      </c>
      <c r="I518" s="138" t="s">
        <v>1250</v>
      </c>
      <c r="J518" s="138" t="s">
        <v>1171</v>
      </c>
      <c r="K518" s="141" t="str">
        <f t="shared" si="194"/>
        <v>Omde dag Vol/Nal.</v>
      </c>
      <c r="L518" s="141" t="str">
        <f t="shared" si="195"/>
        <v>Omde dag Nal./Vol</v>
      </c>
      <c r="M518" s="141" t="str">
        <f t="shared" si="196"/>
        <v>Omde dag Vol/Nal.</v>
      </c>
      <c r="N518" s="141" t="str">
        <f t="shared" si="197"/>
        <v>Omde dag Nal./Vol</v>
      </c>
      <c r="O518" s="141" t="str">
        <f t="shared" si="198"/>
        <v>Omde dag Vol/Nal.</v>
      </c>
      <c r="P518" s="141" t="str">
        <f t="shared" si="199"/>
        <v>Omde dag Nal./Vol</v>
      </c>
      <c r="Q518" s="141" t="str">
        <f t="shared" si="200"/>
        <v>Omde dag Vol/Nal.</v>
      </c>
      <c r="R518" s="63" t="s">
        <v>1477</v>
      </c>
      <c r="S518" s="142">
        <f t="shared" si="187"/>
        <v>365</v>
      </c>
      <c r="T518" s="143">
        <f>((4.2+2+5.7)*4.25)*1.3</f>
        <v>65.747500000000002</v>
      </c>
      <c r="U518" s="144"/>
      <c r="V518" s="144">
        <v>32</v>
      </c>
      <c r="W518" s="144"/>
      <c r="X518" s="144">
        <f>(5.4*0.3)*2</f>
        <v>3.24</v>
      </c>
      <c r="Y518" s="144">
        <f>(9.35+4.25+9.35)*2.7</f>
        <v>61.965000000000003</v>
      </c>
      <c r="Z518" s="145"/>
      <c r="AA518" s="145"/>
      <c r="AB518" s="145">
        <f>T518</f>
        <v>65.747500000000002</v>
      </c>
      <c r="AC518" s="145"/>
      <c r="AD518" s="146" t="s">
        <v>1243</v>
      </c>
      <c r="AE518" s="171">
        <v>1</v>
      </c>
      <c r="AF518" s="147">
        <f t="shared" si="201"/>
        <v>0</v>
      </c>
      <c r="AG518" s="147">
        <f t="shared" si="202"/>
        <v>0</v>
      </c>
      <c r="AH518" s="147">
        <f t="shared" si="203"/>
        <v>0</v>
      </c>
      <c r="AI518" s="147">
        <f t="shared" si="204"/>
        <v>0</v>
      </c>
      <c r="AJ518" s="148" t="str">
        <f t="shared" si="205"/>
        <v>ja</v>
      </c>
      <c r="AK518" s="149">
        <f t="shared" si="208"/>
        <v>0</v>
      </c>
      <c r="AL518" s="149">
        <f t="shared" si="209"/>
        <v>0</v>
      </c>
      <c r="AM518" s="149">
        <f t="shared" si="210"/>
        <v>0</v>
      </c>
      <c r="AN518" s="149">
        <f t="shared" si="211"/>
        <v>0</v>
      </c>
      <c r="AO518" s="150" t="str">
        <f t="shared" si="206"/>
        <v>V</v>
      </c>
      <c r="AQ518" s="151">
        <f t="shared" si="207"/>
        <v>23997.837500000001</v>
      </c>
    </row>
    <row r="519" spans="1:43" ht="15" customHeight="1">
      <c r="A519" s="82" t="e">
        <f t="shared" si="192"/>
        <v>#REF!</v>
      </c>
      <c r="B519" s="134">
        <v>105</v>
      </c>
      <c r="C519" s="135" t="s">
        <v>943</v>
      </c>
      <c r="D519" s="136" t="s">
        <v>274</v>
      </c>
      <c r="E519" s="137" t="s">
        <v>947</v>
      </c>
      <c r="F519" s="138" t="s">
        <v>546</v>
      </c>
      <c r="G519" s="139" t="s">
        <v>540</v>
      </c>
      <c r="H519" s="140" t="str">
        <f t="shared" si="193"/>
        <v>Roltrappen(inclusief aangrenzende bouwdelen)</v>
      </c>
      <c r="I519" s="138" t="s">
        <v>1251</v>
      </c>
      <c r="J519" s="138" t="s">
        <v>1171</v>
      </c>
      <c r="K519" s="141" t="str">
        <f t="shared" si="194"/>
        <v>Omde dag Vol/Nal.</v>
      </c>
      <c r="L519" s="141" t="str">
        <f t="shared" si="195"/>
        <v>Omde dag Nal./Vol</v>
      </c>
      <c r="M519" s="141" t="str">
        <f t="shared" si="196"/>
        <v>Omde dag Vol/Nal.</v>
      </c>
      <c r="N519" s="141" t="str">
        <f t="shared" si="197"/>
        <v>Omde dag Nal./Vol</v>
      </c>
      <c r="O519" s="141" t="str">
        <f t="shared" si="198"/>
        <v>Omde dag Vol/Nal.</v>
      </c>
      <c r="P519" s="141" t="str">
        <f t="shared" si="199"/>
        <v>Omde dag Nal./Vol</v>
      </c>
      <c r="Q519" s="141" t="str">
        <f t="shared" si="200"/>
        <v>Omde dag Vol/Nal.</v>
      </c>
      <c r="R519" s="63" t="s">
        <v>1481</v>
      </c>
      <c r="S519" s="142">
        <f t="shared" si="187"/>
        <v>365</v>
      </c>
      <c r="T519" s="143">
        <v>21</v>
      </c>
      <c r="U519" s="144"/>
      <c r="V519" s="144"/>
      <c r="W519" s="144"/>
      <c r="X519" s="144"/>
      <c r="Y519" s="144"/>
      <c r="Z519" s="145"/>
      <c r="AA519" s="145"/>
      <c r="AB519" s="145"/>
      <c r="AC519" s="145"/>
      <c r="AD519" s="146"/>
      <c r="AE519" s="171">
        <v>1</v>
      </c>
      <c r="AF519" s="147">
        <f t="shared" si="201"/>
        <v>0</v>
      </c>
      <c r="AG519" s="147">
        <f t="shared" si="202"/>
        <v>0</v>
      </c>
      <c r="AH519" s="147">
        <f t="shared" si="203"/>
        <v>0</v>
      </c>
      <c r="AI519" s="147">
        <f t="shared" si="204"/>
        <v>0</v>
      </c>
      <c r="AJ519" s="148" t="str">
        <f t="shared" si="205"/>
        <v>ja</v>
      </c>
      <c r="AK519" s="149">
        <f t="shared" si="208"/>
        <v>0</v>
      </c>
      <c r="AL519" s="149">
        <f t="shared" si="209"/>
        <v>0</v>
      </c>
      <c r="AM519" s="149">
        <f t="shared" si="210"/>
        <v>0</v>
      </c>
      <c r="AN519" s="149">
        <f t="shared" si="211"/>
        <v>0</v>
      </c>
      <c r="AO519" s="150" t="str">
        <f t="shared" si="206"/>
        <v>V</v>
      </c>
      <c r="AQ519" s="151">
        <f t="shared" si="207"/>
        <v>7665</v>
      </c>
    </row>
    <row r="520" spans="1:43" ht="15" customHeight="1">
      <c r="A520" s="82" t="e">
        <f t="shared" si="192"/>
        <v>#REF!</v>
      </c>
      <c r="B520" s="134">
        <v>105</v>
      </c>
      <c r="C520" s="135" t="s">
        <v>943</v>
      </c>
      <c r="D520" s="136" t="s">
        <v>274</v>
      </c>
      <c r="E520" s="137" t="s">
        <v>947</v>
      </c>
      <c r="F520" s="138" t="s">
        <v>548</v>
      </c>
      <c r="G520" s="139" t="s">
        <v>542</v>
      </c>
      <c r="H520" s="140" t="str">
        <f t="shared" si="193"/>
        <v>Trappen</v>
      </c>
      <c r="I520" s="138" t="s">
        <v>1250</v>
      </c>
      <c r="J520" s="138" t="s">
        <v>1171</v>
      </c>
      <c r="K520" s="141" t="str">
        <f t="shared" si="194"/>
        <v>Omde dag Vol/Nal.</v>
      </c>
      <c r="L520" s="141" t="str">
        <f t="shared" si="195"/>
        <v>Omde dag Nal./Vol</v>
      </c>
      <c r="M520" s="141" t="str">
        <f t="shared" si="196"/>
        <v>Omde dag Vol/Nal.</v>
      </c>
      <c r="N520" s="141" t="str">
        <f t="shared" si="197"/>
        <v>Omde dag Nal./Vol</v>
      </c>
      <c r="O520" s="141" t="str">
        <f t="shared" si="198"/>
        <v>Omde dag Vol/Nal.</v>
      </c>
      <c r="P520" s="141" t="str">
        <f t="shared" si="199"/>
        <v>Omde dag Nal./Vol</v>
      </c>
      <c r="Q520" s="141" t="str">
        <f t="shared" si="200"/>
        <v>Omde dag Vol/Nal.</v>
      </c>
      <c r="R520" s="63" t="s">
        <v>1477</v>
      </c>
      <c r="S520" s="142">
        <f t="shared" si="187"/>
        <v>365</v>
      </c>
      <c r="T520" s="143">
        <f>((5.1+1.8+2.75)*2.45)*1.3</f>
        <v>30.735249999999997</v>
      </c>
      <c r="U520" s="144"/>
      <c r="V520" s="144"/>
      <c r="W520" s="144"/>
      <c r="X520" s="144"/>
      <c r="Y520" s="144"/>
      <c r="Z520" s="145"/>
      <c r="AA520" s="145"/>
      <c r="AB520" s="145"/>
      <c r="AC520" s="145"/>
      <c r="AD520" s="146"/>
      <c r="AE520" s="171">
        <v>1</v>
      </c>
      <c r="AF520" s="147">
        <f t="shared" si="201"/>
        <v>0</v>
      </c>
      <c r="AG520" s="147">
        <f t="shared" si="202"/>
        <v>0</v>
      </c>
      <c r="AH520" s="147">
        <f t="shared" si="203"/>
        <v>0</v>
      </c>
      <c r="AI520" s="147">
        <f t="shared" si="204"/>
        <v>0</v>
      </c>
      <c r="AJ520" s="148" t="str">
        <f t="shared" si="205"/>
        <v>ja</v>
      </c>
      <c r="AK520" s="149">
        <f t="shared" si="208"/>
        <v>0</v>
      </c>
      <c r="AL520" s="149">
        <f t="shared" si="209"/>
        <v>0</v>
      </c>
      <c r="AM520" s="149">
        <f t="shared" si="210"/>
        <v>0</v>
      </c>
      <c r="AN520" s="149">
        <f t="shared" si="211"/>
        <v>0</v>
      </c>
      <c r="AO520" s="150" t="str">
        <f t="shared" si="206"/>
        <v>V</v>
      </c>
      <c r="AQ520" s="151">
        <f t="shared" si="207"/>
        <v>11218.366249999999</v>
      </c>
    </row>
    <row r="521" spans="1:43" ht="15" customHeight="1">
      <c r="A521" s="82" t="e">
        <f t="shared" si="192"/>
        <v>#REF!</v>
      </c>
      <c r="B521" s="134">
        <v>105</v>
      </c>
      <c r="C521" s="135" t="s">
        <v>943</v>
      </c>
      <c r="D521" s="136" t="s">
        <v>274</v>
      </c>
      <c r="E521" s="137" t="s">
        <v>947</v>
      </c>
      <c r="F521" s="138" t="s">
        <v>548</v>
      </c>
      <c r="G521" s="139" t="s">
        <v>544</v>
      </c>
      <c r="H521" s="140" t="str">
        <f t="shared" si="193"/>
        <v>Trappen</v>
      </c>
      <c r="I521" s="138" t="s">
        <v>1250</v>
      </c>
      <c r="J521" s="138" t="s">
        <v>1171</v>
      </c>
      <c r="K521" s="141" t="str">
        <f t="shared" si="194"/>
        <v>Omde dag Vol/Nal.</v>
      </c>
      <c r="L521" s="141" t="str">
        <f t="shared" si="195"/>
        <v>Omde dag Nal./Vol</v>
      </c>
      <c r="M521" s="141" t="str">
        <f t="shared" si="196"/>
        <v>Omde dag Vol/Nal.</v>
      </c>
      <c r="N521" s="141" t="str">
        <f t="shared" si="197"/>
        <v>Omde dag Nal./Vol</v>
      </c>
      <c r="O521" s="141" t="str">
        <f t="shared" si="198"/>
        <v>Omde dag Vol/Nal.</v>
      </c>
      <c r="P521" s="141" t="str">
        <f t="shared" si="199"/>
        <v>Omde dag Nal./Vol</v>
      </c>
      <c r="Q521" s="141" t="str">
        <f t="shared" si="200"/>
        <v>Omde dag Vol/Nal.</v>
      </c>
      <c r="R521" s="63" t="s">
        <v>1477</v>
      </c>
      <c r="S521" s="142">
        <f t="shared" si="187"/>
        <v>365</v>
      </c>
      <c r="T521" s="143">
        <f>((5.1+1.8+2.75)*2.45)*1.3</f>
        <v>30.735249999999997</v>
      </c>
      <c r="U521" s="144"/>
      <c r="V521" s="144"/>
      <c r="W521" s="144"/>
      <c r="X521" s="144"/>
      <c r="Y521" s="144"/>
      <c r="Z521" s="145"/>
      <c r="AA521" s="145"/>
      <c r="AB521" s="145"/>
      <c r="AC521" s="145"/>
      <c r="AD521" s="146"/>
      <c r="AE521" s="171">
        <v>1</v>
      </c>
      <c r="AF521" s="147">
        <f t="shared" si="201"/>
        <v>0</v>
      </c>
      <c r="AG521" s="147">
        <f t="shared" si="202"/>
        <v>0</v>
      </c>
      <c r="AH521" s="147">
        <f t="shared" si="203"/>
        <v>0</v>
      </c>
      <c r="AI521" s="147">
        <f t="shared" si="204"/>
        <v>0</v>
      </c>
      <c r="AJ521" s="148" t="str">
        <f t="shared" si="205"/>
        <v>ja</v>
      </c>
      <c r="AK521" s="149">
        <f t="shared" si="208"/>
        <v>0</v>
      </c>
      <c r="AL521" s="149">
        <f t="shared" si="209"/>
        <v>0</v>
      </c>
      <c r="AM521" s="149">
        <f t="shared" si="210"/>
        <v>0</v>
      </c>
      <c r="AN521" s="149">
        <f t="shared" si="211"/>
        <v>0</v>
      </c>
      <c r="AO521" s="150" t="str">
        <f t="shared" si="206"/>
        <v>V</v>
      </c>
      <c r="AQ521" s="151">
        <f t="shared" si="207"/>
        <v>11218.366249999999</v>
      </c>
    </row>
    <row r="522" spans="1:43" ht="15" customHeight="1">
      <c r="A522" s="82" t="e">
        <f t="shared" si="192"/>
        <v>#REF!</v>
      </c>
      <c r="B522" s="134">
        <v>105</v>
      </c>
      <c r="C522" s="135" t="s">
        <v>943</v>
      </c>
      <c r="D522" s="136" t="s">
        <v>274</v>
      </c>
      <c r="E522" s="137" t="s">
        <v>947</v>
      </c>
      <c r="F522" s="138" t="s">
        <v>546</v>
      </c>
      <c r="G522" s="139" t="s">
        <v>545</v>
      </c>
      <c r="H522" s="140" t="str">
        <f t="shared" si="193"/>
        <v>Roltrappen(inclusief aangrenzende bouwdelen)</v>
      </c>
      <c r="I522" s="138" t="s">
        <v>1251</v>
      </c>
      <c r="J522" s="138" t="s">
        <v>1171</v>
      </c>
      <c r="K522" s="141" t="str">
        <f t="shared" si="194"/>
        <v>Omde dag Vol/Nal.</v>
      </c>
      <c r="L522" s="141" t="str">
        <f t="shared" si="195"/>
        <v>Omde dag Nal./Vol</v>
      </c>
      <c r="M522" s="141" t="str">
        <f t="shared" si="196"/>
        <v>Omde dag Vol/Nal.</v>
      </c>
      <c r="N522" s="141" t="str">
        <f t="shared" si="197"/>
        <v>Omde dag Nal./Vol</v>
      </c>
      <c r="O522" s="141" t="str">
        <f t="shared" si="198"/>
        <v>Omde dag Vol/Nal.</v>
      </c>
      <c r="P522" s="141" t="str">
        <f t="shared" si="199"/>
        <v>Omde dag Nal./Vol</v>
      </c>
      <c r="Q522" s="141" t="str">
        <f t="shared" si="200"/>
        <v>Omde dag Vol/Nal.</v>
      </c>
      <c r="R522" s="63" t="s">
        <v>1481</v>
      </c>
      <c r="S522" s="142">
        <f t="shared" si="187"/>
        <v>365</v>
      </c>
      <c r="T522" s="143">
        <v>20</v>
      </c>
      <c r="U522" s="144"/>
      <c r="V522" s="144"/>
      <c r="W522" s="144"/>
      <c r="X522" s="144"/>
      <c r="Y522" s="144"/>
      <c r="Z522" s="145"/>
      <c r="AA522" s="145"/>
      <c r="AB522" s="145"/>
      <c r="AC522" s="145"/>
      <c r="AD522" s="146"/>
      <c r="AE522" s="171">
        <v>1</v>
      </c>
      <c r="AF522" s="147">
        <f t="shared" si="201"/>
        <v>0</v>
      </c>
      <c r="AG522" s="147">
        <f t="shared" si="202"/>
        <v>0</v>
      </c>
      <c r="AH522" s="147">
        <f t="shared" si="203"/>
        <v>0</v>
      </c>
      <c r="AI522" s="147">
        <f t="shared" si="204"/>
        <v>0</v>
      </c>
      <c r="AJ522" s="148" t="str">
        <f t="shared" si="205"/>
        <v>ja</v>
      </c>
      <c r="AK522" s="149">
        <f t="shared" si="208"/>
        <v>0</v>
      </c>
      <c r="AL522" s="149">
        <f t="shared" si="209"/>
        <v>0</v>
      </c>
      <c r="AM522" s="149">
        <f t="shared" si="210"/>
        <v>0</v>
      </c>
      <c r="AN522" s="149">
        <f t="shared" si="211"/>
        <v>0</v>
      </c>
      <c r="AO522" s="150" t="str">
        <f t="shared" si="206"/>
        <v>V</v>
      </c>
      <c r="AQ522" s="151">
        <f t="shared" si="207"/>
        <v>7300</v>
      </c>
    </row>
    <row r="523" spans="1:43" ht="15" customHeight="1">
      <c r="A523" s="82" t="e">
        <f t="shared" si="192"/>
        <v>#REF!</v>
      </c>
      <c r="B523" s="134">
        <v>105</v>
      </c>
      <c r="C523" s="135" t="s">
        <v>943</v>
      </c>
      <c r="D523" s="136" t="s">
        <v>274</v>
      </c>
      <c r="E523" s="137" t="s">
        <v>947</v>
      </c>
      <c r="F523" s="138" t="s">
        <v>536</v>
      </c>
      <c r="G523" s="139" t="s">
        <v>547</v>
      </c>
      <c r="H523" s="140" t="str">
        <f t="shared" si="193"/>
        <v>Hallen</v>
      </c>
      <c r="I523" s="138" t="s">
        <v>195</v>
      </c>
      <c r="J523" s="138" t="s">
        <v>1171</v>
      </c>
      <c r="K523" s="141" t="str">
        <f t="shared" si="194"/>
        <v>Omde dag Vol/Nal.</v>
      </c>
      <c r="L523" s="141" t="str">
        <f t="shared" si="195"/>
        <v>Omde dag Nal./Vol</v>
      </c>
      <c r="M523" s="141" t="str">
        <f t="shared" si="196"/>
        <v>Omde dag Vol/Nal.</v>
      </c>
      <c r="N523" s="141" t="str">
        <f t="shared" si="197"/>
        <v>Omde dag Nal./Vol</v>
      </c>
      <c r="O523" s="141" t="str">
        <f t="shared" si="198"/>
        <v>Omde dag Vol/Nal.</v>
      </c>
      <c r="P523" s="141" t="str">
        <f t="shared" si="199"/>
        <v>Omde dag Nal./Vol</v>
      </c>
      <c r="Q523" s="141" t="str">
        <f t="shared" si="200"/>
        <v>Omde dag Vol/Nal.</v>
      </c>
      <c r="R523" s="63" t="s">
        <v>1479</v>
      </c>
      <c r="S523" s="142">
        <f t="shared" si="187"/>
        <v>365</v>
      </c>
      <c r="T523" s="143">
        <v>620.1</v>
      </c>
      <c r="U523" s="144"/>
      <c r="V523" s="144"/>
      <c r="W523" s="144"/>
      <c r="X523" s="144">
        <f>(19+17)*0.5</f>
        <v>18</v>
      </c>
      <c r="Y523" s="144">
        <f>(6.75+7.15+1.4+8.15+7.1+4.3+3.35+1.7+1+0.8+3.7+0.8+14.7+17.3+1+1.4+3.35+4.3+7.1+4.8+0.8+3+0.8+3.6+1.4+7.15+6.75+11.5+11.5+15)*3</f>
        <v>484.94999999999993</v>
      </c>
      <c r="Z523" s="145"/>
      <c r="AA523" s="145"/>
      <c r="AB523" s="145">
        <f>T523+(11.5*15)</f>
        <v>792.6</v>
      </c>
      <c r="AC523" s="145"/>
      <c r="AD523" s="146" t="s">
        <v>1075</v>
      </c>
      <c r="AE523" s="171">
        <v>1</v>
      </c>
      <c r="AF523" s="147">
        <f t="shared" si="201"/>
        <v>0</v>
      </c>
      <c r="AG523" s="147">
        <f t="shared" si="202"/>
        <v>0</v>
      </c>
      <c r="AH523" s="147">
        <f t="shared" si="203"/>
        <v>0</v>
      </c>
      <c r="AI523" s="147">
        <f t="shared" si="204"/>
        <v>0</v>
      </c>
      <c r="AJ523" s="148" t="str">
        <f t="shared" si="205"/>
        <v>ja</v>
      </c>
      <c r="AK523" s="149">
        <f t="shared" si="208"/>
        <v>0</v>
      </c>
      <c r="AL523" s="149">
        <f t="shared" si="209"/>
        <v>0</v>
      </c>
      <c r="AM523" s="149">
        <f t="shared" si="210"/>
        <v>0</v>
      </c>
      <c r="AN523" s="149">
        <f t="shared" si="211"/>
        <v>0</v>
      </c>
      <c r="AO523" s="150" t="str">
        <f t="shared" si="206"/>
        <v>V</v>
      </c>
      <c r="AQ523" s="151">
        <f t="shared" si="207"/>
        <v>226336.5</v>
      </c>
    </row>
    <row r="524" spans="1:43" ht="15" customHeight="1">
      <c r="A524" s="82" t="e">
        <f t="shared" si="192"/>
        <v>#REF!</v>
      </c>
      <c r="B524" s="134">
        <v>105</v>
      </c>
      <c r="C524" s="135" t="s">
        <v>943</v>
      </c>
      <c r="D524" s="136" t="s">
        <v>274</v>
      </c>
      <c r="E524" s="137" t="s">
        <v>947</v>
      </c>
      <c r="F524" s="138" t="s">
        <v>1041</v>
      </c>
      <c r="G524" s="139" t="s">
        <v>549</v>
      </c>
      <c r="H524" s="140" t="str">
        <f t="shared" si="193"/>
        <v>Trappen</v>
      </c>
      <c r="I524" s="138" t="s">
        <v>1250</v>
      </c>
      <c r="J524" s="138" t="s">
        <v>1171</v>
      </c>
      <c r="K524" s="141" t="str">
        <f t="shared" si="194"/>
        <v>Omde dag Vol/Nal.</v>
      </c>
      <c r="L524" s="141" t="str">
        <f t="shared" si="195"/>
        <v>Omde dag Nal./Vol</v>
      </c>
      <c r="M524" s="141" t="str">
        <f t="shared" si="196"/>
        <v>Omde dag Vol/Nal.</v>
      </c>
      <c r="N524" s="141" t="str">
        <f t="shared" si="197"/>
        <v>Omde dag Nal./Vol</v>
      </c>
      <c r="O524" s="141" t="str">
        <f t="shared" si="198"/>
        <v>Omde dag Vol/Nal.</v>
      </c>
      <c r="P524" s="141" t="str">
        <f t="shared" si="199"/>
        <v>Omde dag Nal./Vol</v>
      </c>
      <c r="Q524" s="141" t="str">
        <f t="shared" si="200"/>
        <v>Omde dag Vol/Nal.</v>
      </c>
      <c r="R524" s="63" t="s">
        <v>1477</v>
      </c>
      <c r="S524" s="142">
        <f t="shared" ref="S524:S587" si="212">VLOOKUP(R524,Kengetal,2,FALSE)</f>
        <v>365</v>
      </c>
      <c r="T524" s="143">
        <f>((4.2+2+5.7)*4.25)*1.3</f>
        <v>65.747500000000002</v>
      </c>
      <c r="U524" s="144"/>
      <c r="V524" s="144">
        <v>32</v>
      </c>
      <c r="W524" s="144"/>
      <c r="X524" s="144">
        <f>(5.4*0.3)*2</f>
        <v>3.24</v>
      </c>
      <c r="Y524" s="144">
        <f>(9.35+4.25+9.35)*2.7</f>
        <v>61.965000000000003</v>
      </c>
      <c r="Z524" s="145"/>
      <c r="AA524" s="145"/>
      <c r="AB524" s="145">
        <f>T524</f>
        <v>65.747500000000002</v>
      </c>
      <c r="AC524" s="145"/>
      <c r="AD524" s="146" t="s">
        <v>1243</v>
      </c>
      <c r="AE524" s="171">
        <v>1</v>
      </c>
      <c r="AF524" s="147">
        <f t="shared" si="201"/>
        <v>0</v>
      </c>
      <c r="AG524" s="147">
        <f t="shared" si="202"/>
        <v>0</v>
      </c>
      <c r="AH524" s="147">
        <f t="shared" si="203"/>
        <v>0</v>
      </c>
      <c r="AI524" s="147">
        <f t="shared" si="204"/>
        <v>0</v>
      </c>
      <c r="AJ524" s="148" t="str">
        <f t="shared" si="205"/>
        <v>ja</v>
      </c>
      <c r="AK524" s="149">
        <f t="shared" si="208"/>
        <v>0</v>
      </c>
      <c r="AL524" s="149">
        <f t="shared" si="209"/>
        <v>0</v>
      </c>
      <c r="AM524" s="149">
        <f t="shared" si="210"/>
        <v>0</v>
      </c>
      <c r="AN524" s="149">
        <f t="shared" si="211"/>
        <v>0</v>
      </c>
      <c r="AO524" s="150" t="str">
        <f t="shared" si="206"/>
        <v>V</v>
      </c>
      <c r="AQ524" s="151">
        <f t="shared" si="207"/>
        <v>23997.837500000001</v>
      </c>
    </row>
    <row r="525" spans="1:43" ht="15" customHeight="1">
      <c r="A525" s="82" t="e">
        <f t="shared" si="192"/>
        <v>#REF!</v>
      </c>
      <c r="B525" s="134">
        <v>105</v>
      </c>
      <c r="C525" s="135" t="s">
        <v>943</v>
      </c>
      <c r="D525" s="136" t="s">
        <v>274</v>
      </c>
      <c r="E525" s="137" t="s">
        <v>947</v>
      </c>
      <c r="F525" s="138" t="s">
        <v>1042</v>
      </c>
      <c r="G525" s="139" t="s">
        <v>551</v>
      </c>
      <c r="H525" s="140" t="str">
        <f t="shared" si="193"/>
        <v>Roltrappen(inclusief aangrenzende bouwdelen)</v>
      </c>
      <c r="I525" s="138" t="s">
        <v>1251</v>
      </c>
      <c r="J525" s="138" t="s">
        <v>1171</v>
      </c>
      <c r="K525" s="141" t="str">
        <f t="shared" si="194"/>
        <v>Omde dag Vol/Nal.</v>
      </c>
      <c r="L525" s="141" t="str">
        <f t="shared" si="195"/>
        <v>Omde dag Nal./Vol</v>
      </c>
      <c r="M525" s="141" t="str">
        <f t="shared" si="196"/>
        <v>Omde dag Vol/Nal.</v>
      </c>
      <c r="N525" s="141" t="str">
        <f t="shared" si="197"/>
        <v>Omde dag Nal./Vol</v>
      </c>
      <c r="O525" s="141" t="str">
        <f t="shared" si="198"/>
        <v>Omde dag Vol/Nal.</v>
      </c>
      <c r="P525" s="141" t="str">
        <f t="shared" si="199"/>
        <v>Omde dag Nal./Vol</v>
      </c>
      <c r="Q525" s="141" t="str">
        <f t="shared" si="200"/>
        <v>Omde dag Vol/Nal.</v>
      </c>
      <c r="R525" s="63" t="s">
        <v>1481</v>
      </c>
      <c r="S525" s="142">
        <f t="shared" si="212"/>
        <v>365</v>
      </c>
      <c r="T525" s="143">
        <v>22</v>
      </c>
      <c r="U525" s="144"/>
      <c r="V525" s="144"/>
      <c r="W525" s="144"/>
      <c r="X525" s="144"/>
      <c r="Y525" s="144"/>
      <c r="Z525" s="145"/>
      <c r="AA525" s="145"/>
      <c r="AB525" s="145"/>
      <c r="AC525" s="145"/>
      <c r="AD525" s="146"/>
      <c r="AE525" s="171">
        <v>1</v>
      </c>
      <c r="AF525" s="147">
        <f t="shared" si="201"/>
        <v>0</v>
      </c>
      <c r="AG525" s="147">
        <f t="shared" si="202"/>
        <v>0</v>
      </c>
      <c r="AH525" s="147">
        <f t="shared" si="203"/>
        <v>0</v>
      </c>
      <c r="AI525" s="147">
        <f t="shared" si="204"/>
        <v>0</v>
      </c>
      <c r="AJ525" s="148" t="str">
        <f t="shared" si="205"/>
        <v>ja</v>
      </c>
      <c r="AK525" s="149">
        <f t="shared" si="208"/>
        <v>0</v>
      </c>
      <c r="AL525" s="149">
        <f t="shared" si="209"/>
        <v>0</v>
      </c>
      <c r="AM525" s="149">
        <f t="shared" si="210"/>
        <v>0</v>
      </c>
      <c r="AN525" s="149">
        <f t="shared" si="211"/>
        <v>0</v>
      </c>
      <c r="AO525" s="150" t="str">
        <f t="shared" si="206"/>
        <v>V</v>
      </c>
      <c r="AQ525" s="151">
        <f t="shared" si="207"/>
        <v>8030</v>
      </c>
    </row>
    <row r="526" spans="1:43" ht="15" customHeight="1">
      <c r="A526" s="82" t="e">
        <f t="shared" si="192"/>
        <v>#REF!</v>
      </c>
      <c r="B526" s="134">
        <v>105</v>
      </c>
      <c r="C526" s="135" t="s">
        <v>943</v>
      </c>
      <c r="D526" s="136" t="s">
        <v>274</v>
      </c>
      <c r="E526" s="137" t="s">
        <v>947</v>
      </c>
      <c r="F526" s="138" t="s">
        <v>1043</v>
      </c>
      <c r="G526" s="139" t="s">
        <v>850</v>
      </c>
      <c r="H526" s="140" t="str">
        <f t="shared" si="193"/>
        <v>Trappen</v>
      </c>
      <c r="I526" s="138" t="s">
        <v>1250</v>
      </c>
      <c r="J526" s="138" t="s">
        <v>1171</v>
      </c>
      <c r="K526" s="141" t="str">
        <f t="shared" si="194"/>
        <v>Omde dag Vol/Nal.</v>
      </c>
      <c r="L526" s="141" t="str">
        <f t="shared" si="195"/>
        <v>Omde dag Nal./Vol</v>
      </c>
      <c r="M526" s="141" t="str">
        <f t="shared" si="196"/>
        <v>Omde dag Vol/Nal.</v>
      </c>
      <c r="N526" s="141" t="str">
        <f t="shared" si="197"/>
        <v>Omde dag Nal./Vol</v>
      </c>
      <c r="O526" s="141" t="str">
        <f t="shared" si="198"/>
        <v>Omde dag Vol/Nal.</v>
      </c>
      <c r="P526" s="141" t="str">
        <f t="shared" si="199"/>
        <v>Omde dag Nal./Vol</v>
      </c>
      <c r="Q526" s="141" t="str">
        <f t="shared" si="200"/>
        <v>Omde dag Vol/Nal.</v>
      </c>
      <c r="R526" s="63" t="s">
        <v>1477</v>
      </c>
      <c r="S526" s="142">
        <f t="shared" si="212"/>
        <v>365</v>
      </c>
      <c r="T526" s="143">
        <f>((4.2+2+5.7)*4.25)*1.3</f>
        <v>65.747500000000002</v>
      </c>
      <c r="U526" s="144"/>
      <c r="V526" s="144">
        <v>32</v>
      </c>
      <c r="W526" s="144"/>
      <c r="X526" s="144">
        <f>(5.4*0.3)*2</f>
        <v>3.24</v>
      </c>
      <c r="Y526" s="144">
        <f>(9.35+4.25+9.35)*2.7</f>
        <v>61.965000000000003</v>
      </c>
      <c r="Z526" s="145"/>
      <c r="AA526" s="145"/>
      <c r="AB526" s="145">
        <f>T526</f>
        <v>65.747500000000002</v>
      </c>
      <c r="AC526" s="145"/>
      <c r="AD526" s="146" t="s">
        <v>1243</v>
      </c>
      <c r="AE526" s="171">
        <v>1</v>
      </c>
      <c r="AF526" s="147">
        <f t="shared" si="201"/>
        <v>0</v>
      </c>
      <c r="AG526" s="147">
        <f t="shared" si="202"/>
        <v>0</v>
      </c>
      <c r="AH526" s="147">
        <f t="shared" si="203"/>
        <v>0</v>
      </c>
      <c r="AI526" s="147">
        <f t="shared" si="204"/>
        <v>0</v>
      </c>
      <c r="AJ526" s="148" t="str">
        <f t="shared" si="205"/>
        <v>ja</v>
      </c>
      <c r="AK526" s="149">
        <f t="shared" si="208"/>
        <v>0</v>
      </c>
      <c r="AL526" s="149">
        <f t="shared" si="209"/>
        <v>0</v>
      </c>
      <c r="AM526" s="149">
        <f t="shared" si="210"/>
        <v>0</v>
      </c>
      <c r="AN526" s="149">
        <f t="shared" si="211"/>
        <v>0</v>
      </c>
      <c r="AO526" s="150" t="str">
        <f t="shared" si="206"/>
        <v>V</v>
      </c>
      <c r="AQ526" s="151">
        <f t="shared" si="207"/>
        <v>23997.837500000001</v>
      </c>
    </row>
    <row r="527" spans="1:43" ht="15" customHeight="1">
      <c r="A527" s="82" t="e">
        <f t="shared" si="192"/>
        <v>#REF!</v>
      </c>
      <c r="B527" s="134">
        <v>105</v>
      </c>
      <c r="C527" s="135" t="s">
        <v>943</v>
      </c>
      <c r="D527" s="136" t="s">
        <v>274</v>
      </c>
      <c r="E527" s="137" t="s">
        <v>947</v>
      </c>
      <c r="F527" s="138" t="s">
        <v>1044</v>
      </c>
      <c r="G527" s="139" t="s">
        <v>553</v>
      </c>
      <c r="H527" s="140" t="str">
        <f t="shared" si="193"/>
        <v>Roltrappen(inclusief aangrenzende bouwdelen)</v>
      </c>
      <c r="I527" s="138" t="s">
        <v>1251</v>
      </c>
      <c r="J527" s="138" t="s">
        <v>1171</v>
      </c>
      <c r="K527" s="141" t="str">
        <f t="shared" si="194"/>
        <v>Omde dag Vol/Nal.</v>
      </c>
      <c r="L527" s="141" t="str">
        <f t="shared" si="195"/>
        <v>Omde dag Nal./Vol</v>
      </c>
      <c r="M527" s="141" t="str">
        <f t="shared" si="196"/>
        <v>Omde dag Vol/Nal.</v>
      </c>
      <c r="N527" s="141" t="str">
        <f t="shared" si="197"/>
        <v>Omde dag Nal./Vol</v>
      </c>
      <c r="O527" s="141" t="str">
        <f t="shared" si="198"/>
        <v>Omde dag Vol/Nal.</v>
      </c>
      <c r="P527" s="141" t="str">
        <f t="shared" si="199"/>
        <v>Omde dag Nal./Vol</v>
      </c>
      <c r="Q527" s="141" t="str">
        <f t="shared" si="200"/>
        <v>Omde dag Vol/Nal.</v>
      </c>
      <c r="R527" s="63" t="s">
        <v>1481</v>
      </c>
      <c r="S527" s="142">
        <f t="shared" si="212"/>
        <v>365</v>
      </c>
      <c r="T527" s="143">
        <v>22</v>
      </c>
      <c r="U527" s="144"/>
      <c r="V527" s="144"/>
      <c r="W527" s="144"/>
      <c r="X527" s="144"/>
      <c r="Y527" s="144"/>
      <c r="Z527" s="145"/>
      <c r="AA527" s="145"/>
      <c r="AB527" s="145"/>
      <c r="AC527" s="145"/>
      <c r="AD527" s="146"/>
      <c r="AE527" s="171">
        <v>1</v>
      </c>
      <c r="AF527" s="147">
        <f t="shared" si="201"/>
        <v>0</v>
      </c>
      <c r="AG527" s="147">
        <f t="shared" si="202"/>
        <v>0</v>
      </c>
      <c r="AH527" s="147">
        <f t="shared" si="203"/>
        <v>0</v>
      </c>
      <c r="AI527" s="147">
        <f t="shared" si="204"/>
        <v>0</v>
      </c>
      <c r="AJ527" s="148" t="str">
        <f t="shared" si="205"/>
        <v>ja</v>
      </c>
      <c r="AK527" s="149">
        <f t="shared" si="208"/>
        <v>0</v>
      </c>
      <c r="AL527" s="149">
        <f t="shared" si="209"/>
        <v>0</v>
      </c>
      <c r="AM527" s="149">
        <f t="shared" si="210"/>
        <v>0</v>
      </c>
      <c r="AN527" s="149">
        <f t="shared" si="211"/>
        <v>0</v>
      </c>
      <c r="AO527" s="150" t="str">
        <f t="shared" si="206"/>
        <v>V</v>
      </c>
      <c r="AQ527" s="151">
        <f t="shared" si="207"/>
        <v>8030</v>
      </c>
    </row>
    <row r="528" spans="1:43" ht="15" customHeight="1">
      <c r="A528" s="82" t="e">
        <f t="shared" si="192"/>
        <v>#REF!</v>
      </c>
      <c r="B528" s="134">
        <v>105</v>
      </c>
      <c r="C528" s="135" t="s">
        <v>943</v>
      </c>
      <c r="D528" s="136" t="s">
        <v>274</v>
      </c>
      <c r="E528" s="137" t="s">
        <v>947</v>
      </c>
      <c r="F528" s="138" t="s">
        <v>1045</v>
      </c>
      <c r="G528" s="139" t="s">
        <v>454</v>
      </c>
      <c r="H528" s="140" t="str">
        <f t="shared" si="193"/>
        <v>Liften</v>
      </c>
      <c r="I528" s="138"/>
      <c r="J528" s="138" t="s">
        <v>1171</v>
      </c>
      <c r="K528" s="141" t="str">
        <f t="shared" si="194"/>
        <v>Omde dag Vol/Nal.</v>
      </c>
      <c r="L528" s="141" t="str">
        <f t="shared" si="195"/>
        <v>Omde dag Nal./Vol</v>
      </c>
      <c r="M528" s="141" t="str">
        <f t="shared" si="196"/>
        <v>Omde dag Vol/Nal.</v>
      </c>
      <c r="N528" s="141" t="str">
        <f t="shared" si="197"/>
        <v>Omde dag Nal./Vol</v>
      </c>
      <c r="O528" s="141" t="str">
        <f t="shared" si="198"/>
        <v>Omde dag Vol/Nal.</v>
      </c>
      <c r="P528" s="141" t="str">
        <f t="shared" si="199"/>
        <v>Omde dag Nal./Vol</v>
      </c>
      <c r="Q528" s="141" t="str">
        <f t="shared" si="200"/>
        <v>Omde dag Vol/Nal.</v>
      </c>
      <c r="R528" s="63" t="s">
        <v>1475</v>
      </c>
      <c r="S528" s="142">
        <f t="shared" si="212"/>
        <v>365</v>
      </c>
      <c r="T528" s="143">
        <v>2</v>
      </c>
      <c r="U528" s="144"/>
      <c r="V528" s="144">
        <v>46</v>
      </c>
      <c r="W528" s="144"/>
      <c r="X528" s="144"/>
      <c r="Y528" s="144"/>
      <c r="Z528" s="145"/>
      <c r="AA528" s="145"/>
      <c r="AB528" s="145"/>
      <c r="AC528" s="145"/>
      <c r="AD528" s="146" t="s">
        <v>1243</v>
      </c>
      <c r="AE528" s="171">
        <v>1</v>
      </c>
      <c r="AF528" s="147">
        <f t="shared" si="201"/>
        <v>0</v>
      </c>
      <c r="AG528" s="147">
        <f t="shared" si="202"/>
        <v>0</v>
      </c>
      <c r="AH528" s="147">
        <f t="shared" si="203"/>
        <v>0</v>
      </c>
      <c r="AI528" s="147">
        <f t="shared" si="204"/>
        <v>0</v>
      </c>
      <c r="AJ528" s="148" t="str">
        <f t="shared" si="205"/>
        <v>ja</v>
      </c>
      <c r="AK528" s="149">
        <f t="shared" si="208"/>
        <v>0</v>
      </c>
      <c r="AL528" s="149">
        <f t="shared" si="209"/>
        <v>0</v>
      </c>
      <c r="AM528" s="149">
        <f t="shared" si="210"/>
        <v>0</v>
      </c>
      <c r="AN528" s="149">
        <f t="shared" si="211"/>
        <v>0</v>
      </c>
      <c r="AO528" s="150" t="str">
        <f t="shared" si="206"/>
        <v>V</v>
      </c>
      <c r="AQ528" s="151">
        <f t="shared" si="207"/>
        <v>730</v>
      </c>
    </row>
    <row r="529" spans="1:43" ht="15" customHeight="1">
      <c r="A529" s="82" t="e">
        <f t="shared" si="192"/>
        <v>#REF!</v>
      </c>
      <c r="B529" s="134">
        <v>105</v>
      </c>
      <c r="C529" s="135" t="s">
        <v>943</v>
      </c>
      <c r="D529" s="136" t="s">
        <v>274</v>
      </c>
      <c r="E529" s="137" t="s">
        <v>947</v>
      </c>
      <c r="F529" s="138" t="s">
        <v>1046</v>
      </c>
      <c r="G529" s="139" t="s">
        <v>557</v>
      </c>
      <c r="H529" s="140" t="str">
        <f t="shared" si="193"/>
        <v>Liften</v>
      </c>
      <c r="I529" s="138" t="s">
        <v>457</v>
      </c>
      <c r="J529" s="138" t="s">
        <v>1171</v>
      </c>
      <c r="K529" s="141" t="str">
        <f t="shared" si="194"/>
        <v>Omde dag Vol/Nal.</v>
      </c>
      <c r="L529" s="141" t="str">
        <f t="shared" si="195"/>
        <v>Omde dag Nal./Vol</v>
      </c>
      <c r="M529" s="141" t="str">
        <f t="shared" si="196"/>
        <v>Omde dag Vol/Nal.</v>
      </c>
      <c r="N529" s="141" t="str">
        <f t="shared" si="197"/>
        <v>Omde dag Nal./Vol</v>
      </c>
      <c r="O529" s="141" t="str">
        <f t="shared" si="198"/>
        <v>Omde dag Vol/Nal.</v>
      </c>
      <c r="P529" s="141" t="str">
        <f t="shared" si="199"/>
        <v>Omde dag Nal./Vol</v>
      </c>
      <c r="Q529" s="141" t="str">
        <f t="shared" si="200"/>
        <v>Omde dag Vol/Nal.</v>
      </c>
      <c r="R529" s="63" t="s">
        <v>1475</v>
      </c>
      <c r="S529" s="142">
        <f t="shared" si="212"/>
        <v>365</v>
      </c>
      <c r="T529" s="143">
        <v>2</v>
      </c>
      <c r="U529" s="144"/>
      <c r="V529" s="144">
        <v>46</v>
      </c>
      <c r="W529" s="144"/>
      <c r="X529" s="144"/>
      <c r="Y529" s="144"/>
      <c r="Z529" s="145"/>
      <c r="AA529" s="145"/>
      <c r="AB529" s="145"/>
      <c r="AC529" s="145"/>
      <c r="AD529" s="146" t="s">
        <v>1243</v>
      </c>
      <c r="AE529" s="171">
        <v>1</v>
      </c>
      <c r="AF529" s="147">
        <f t="shared" si="201"/>
        <v>0</v>
      </c>
      <c r="AG529" s="147">
        <f t="shared" si="202"/>
        <v>0</v>
      </c>
      <c r="AH529" s="147">
        <f t="shared" si="203"/>
        <v>0</v>
      </c>
      <c r="AI529" s="147">
        <f t="shared" si="204"/>
        <v>0</v>
      </c>
      <c r="AJ529" s="148" t="str">
        <f t="shared" si="205"/>
        <v>ja</v>
      </c>
      <c r="AK529" s="149">
        <f t="shared" si="208"/>
        <v>0</v>
      </c>
      <c r="AL529" s="149">
        <f t="shared" si="209"/>
        <v>0</v>
      </c>
      <c r="AM529" s="149">
        <f t="shared" si="210"/>
        <v>0</v>
      </c>
      <c r="AN529" s="149">
        <f t="shared" si="211"/>
        <v>0</v>
      </c>
      <c r="AO529" s="150" t="str">
        <f t="shared" si="206"/>
        <v>V</v>
      </c>
      <c r="AQ529" s="151">
        <f t="shared" si="207"/>
        <v>730</v>
      </c>
    </row>
    <row r="530" spans="1:43" ht="15" customHeight="1">
      <c r="A530" s="82" t="e">
        <f t="shared" si="192"/>
        <v>#REF!</v>
      </c>
      <c r="B530" s="134">
        <v>105</v>
      </c>
      <c r="C530" s="135" t="s">
        <v>943</v>
      </c>
      <c r="D530" s="136" t="s">
        <v>274</v>
      </c>
      <c r="E530" s="137" t="s">
        <v>947</v>
      </c>
      <c r="F530" s="138" t="s">
        <v>212</v>
      </c>
      <c r="G530" s="139" t="s">
        <v>269</v>
      </c>
      <c r="H530" s="140" t="str">
        <f t="shared" si="193"/>
        <v>Liften</v>
      </c>
      <c r="I530" s="138" t="s">
        <v>457</v>
      </c>
      <c r="J530" s="138" t="s">
        <v>1171</v>
      </c>
      <c r="K530" s="141" t="str">
        <f t="shared" si="194"/>
        <v>Omde dag Vol/Nal.</v>
      </c>
      <c r="L530" s="141" t="str">
        <f t="shared" si="195"/>
        <v>Omde dag Nal./Vol</v>
      </c>
      <c r="M530" s="141" t="str">
        <f t="shared" si="196"/>
        <v>Omde dag Vol/Nal.</v>
      </c>
      <c r="N530" s="141" t="str">
        <f t="shared" si="197"/>
        <v>Omde dag Nal./Vol</v>
      </c>
      <c r="O530" s="141" t="str">
        <f t="shared" si="198"/>
        <v>Omde dag Vol/Nal.</v>
      </c>
      <c r="P530" s="141" t="str">
        <f t="shared" si="199"/>
        <v>Omde dag Nal./Vol</v>
      </c>
      <c r="Q530" s="141" t="str">
        <f t="shared" si="200"/>
        <v>Omde dag Vol/Nal.</v>
      </c>
      <c r="R530" s="63" t="s">
        <v>1475</v>
      </c>
      <c r="S530" s="142">
        <f t="shared" si="212"/>
        <v>365</v>
      </c>
      <c r="T530" s="143">
        <f>(2.05*2.85)*1.3</f>
        <v>7.5952499999999992</v>
      </c>
      <c r="U530" s="144"/>
      <c r="V530" s="144"/>
      <c r="W530" s="144">
        <f>(2.85+2.05+2.85+2.05)*3</f>
        <v>29.400000000000002</v>
      </c>
      <c r="X530" s="144"/>
      <c r="Y530" s="144"/>
      <c r="Z530" s="145"/>
      <c r="AA530" s="145">
        <f>T530</f>
        <v>7.5952499999999992</v>
      </c>
      <c r="AB530" s="145"/>
      <c r="AC530" s="145"/>
      <c r="AD530" s="146" t="s">
        <v>1075</v>
      </c>
      <c r="AE530" s="171">
        <v>1</v>
      </c>
      <c r="AF530" s="147">
        <f t="shared" si="201"/>
        <v>0</v>
      </c>
      <c r="AG530" s="147">
        <f t="shared" si="202"/>
        <v>0</v>
      </c>
      <c r="AH530" s="147">
        <f t="shared" si="203"/>
        <v>0</v>
      </c>
      <c r="AI530" s="147">
        <f t="shared" si="204"/>
        <v>0</v>
      </c>
      <c r="AJ530" s="148" t="str">
        <f t="shared" si="205"/>
        <v>ja</v>
      </c>
      <c r="AK530" s="149">
        <f t="shared" si="208"/>
        <v>0</v>
      </c>
      <c r="AL530" s="149">
        <f t="shared" si="209"/>
        <v>0</v>
      </c>
      <c r="AM530" s="149">
        <f t="shared" si="210"/>
        <v>0</v>
      </c>
      <c r="AN530" s="149">
        <f t="shared" si="211"/>
        <v>0</v>
      </c>
      <c r="AO530" s="150" t="str">
        <f t="shared" si="206"/>
        <v>V</v>
      </c>
      <c r="AQ530" s="151">
        <f t="shared" si="207"/>
        <v>2772.2662499999997</v>
      </c>
    </row>
    <row r="531" spans="1:43" ht="15" customHeight="1">
      <c r="A531" s="82" t="e">
        <f>1+#REF!</f>
        <v>#REF!</v>
      </c>
      <c r="B531" s="134">
        <v>105</v>
      </c>
      <c r="C531" s="135" t="s">
        <v>943</v>
      </c>
      <c r="D531" s="136" t="s">
        <v>274</v>
      </c>
      <c r="E531" s="137" t="s">
        <v>947</v>
      </c>
      <c r="F531" s="138" t="s">
        <v>271</v>
      </c>
      <c r="G531" s="139" t="s">
        <v>583</v>
      </c>
      <c r="H531" s="140" t="str">
        <f t="shared" si="193"/>
        <v>Niet van toepassing</v>
      </c>
      <c r="I531" s="138" t="s">
        <v>82</v>
      </c>
      <c r="J531" s="138" t="s">
        <v>1172</v>
      </c>
      <c r="K531" s="141" t="str">
        <f t="shared" si="194"/>
        <v>NVT</v>
      </c>
      <c r="L531" s="141" t="str">
        <f t="shared" si="195"/>
        <v>NVT</v>
      </c>
      <c r="M531" s="141" t="str">
        <f t="shared" si="196"/>
        <v>NVT</v>
      </c>
      <c r="N531" s="141" t="str">
        <f t="shared" si="197"/>
        <v>NVT</v>
      </c>
      <c r="O531" s="141" t="str">
        <f t="shared" si="198"/>
        <v>NVT</v>
      </c>
      <c r="P531" s="141" t="str">
        <f t="shared" si="199"/>
        <v>NVT</v>
      </c>
      <c r="Q531" s="141" t="str">
        <f t="shared" si="200"/>
        <v>NVT</v>
      </c>
      <c r="R531" s="63" t="s">
        <v>1221</v>
      </c>
      <c r="S531" s="142">
        <f t="shared" si="212"/>
        <v>0</v>
      </c>
      <c r="T531" s="143">
        <f>((1.15*2.1)+(2.2*2.6))*1.3</f>
        <v>10.575500000000002</v>
      </c>
      <c r="U531" s="144"/>
      <c r="V531" s="144"/>
      <c r="W531" s="144">
        <f>(1.15+2.1+1.45+2.2+2.6+4.3)*3</f>
        <v>41.400000000000006</v>
      </c>
      <c r="X531" s="144"/>
      <c r="Y531" s="144"/>
      <c r="Z531" s="145"/>
      <c r="AA531" s="145">
        <f t="shared" ref="AA531:AA544" si="213">T531</f>
        <v>10.575500000000002</v>
      </c>
      <c r="AB531" s="145"/>
      <c r="AC531" s="145"/>
      <c r="AD531" s="146" t="s">
        <v>1075</v>
      </c>
      <c r="AE531" s="171">
        <v>1</v>
      </c>
      <c r="AF531" s="147">
        <f t="shared" si="201"/>
        <v>0</v>
      </c>
      <c r="AG531" s="147">
        <f t="shared" si="202"/>
        <v>0</v>
      </c>
      <c r="AH531" s="147">
        <f t="shared" si="203"/>
        <v>0</v>
      </c>
      <c r="AI531" s="147">
        <f t="shared" si="204"/>
        <v>0</v>
      </c>
      <c r="AJ531" s="148">
        <f t="shared" si="205"/>
        <v>0</v>
      </c>
      <c r="AK531" s="149">
        <f t="shared" si="208"/>
        <v>0</v>
      </c>
      <c r="AL531" s="149">
        <f t="shared" si="209"/>
        <v>0</v>
      </c>
      <c r="AM531" s="149">
        <f t="shared" si="210"/>
        <v>0</v>
      </c>
      <c r="AN531" s="149">
        <f t="shared" si="211"/>
        <v>0</v>
      </c>
      <c r="AO531" s="150">
        <f t="shared" si="206"/>
        <v>0</v>
      </c>
      <c r="AQ531" s="151">
        <f t="shared" si="207"/>
        <v>0</v>
      </c>
    </row>
    <row r="532" spans="1:43" ht="15" customHeight="1">
      <c r="A532" s="82" t="e">
        <f t="shared" ref="A532:A589" si="214">1+A531</f>
        <v>#REF!</v>
      </c>
      <c r="B532" s="134">
        <v>105</v>
      </c>
      <c r="C532" s="135" t="s">
        <v>943</v>
      </c>
      <c r="D532" s="136" t="s">
        <v>274</v>
      </c>
      <c r="E532" s="137" t="s">
        <v>947</v>
      </c>
      <c r="F532" s="138" t="s">
        <v>76</v>
      </c>
      <c r="G532" s="139" t="s">
        <v>599</v>
      </c>
      <c r="H532" s="140" t="str">
        <f t="shared" si="193"/>
        <v>Niet van toepassing</v>
      </c>
      <c r="I532" s="138" t="s">
        <v>82</v>
      </c>
      <c r="J532" s="138" t="s">
        <v>1172</v>
      </c>
      <c r="K532" s="141" t="str">
        <f t="shared" si="194"/>
        <v>NVT</v>
      </c>
      <c r="L532" s="141" t="str">
        <f t="shared" si="195"/>
        <v>NVT</v>
      </c>
      <c r="M532" s="141" t="str">
        <f t="shared" si="196"/>
        <v>NVT</v>
      </c>
      <c r="N532" s="141" t="str">
        <f t="shared" si="197"/>
        <v>NVT</v>
      </c>
      <c r="O532" s="141" t="str">
        <f t="shared" si="198"/>
        <v>NVT</v>
      </c>
      <c r="P532" s="141" t="str">
        <f t="shared" si="199"/>
        <v>NVT</v>
      </c>
      <c r="Q532" s="141" t="str">
        <f t="shared" si="200"/>
        <v>NVT</v>
      </c>
      <c r="R532" s="63" t="s">
        <v>1221</v>
      </c>
      <c r="S532" s="142">
        <f t="shared" si="212"/>
        <v>0</v>
      </c>
      <c r="T532" s="143">
        <f>(4.2*2.7)*1.3</f>
        <v>14.742000000000003</v>
      </c>
      <c r="U532" s="144"/>
      <c r="V532" s="144"/>
      <c r="W532" s="144"/>
      <c r="X532" s="144"/>
      <c r="Y532" s="144">
        <f>(4.2+2.7+4.2+2.7)*3</f>
        <v>41.400000000000006</v>
      </c>
      <c r="Z532" s="145"/>
      <c r="AA532" s="145">
        <f t="shared" si="213"/>
        <v>14.742000000000003</v>
      </c>
      <c r="AB532" s="145"/>
      <c r="AC532" s="145"/>
      <c r="AD532" s="146"/>
      <c r="AE532" s="171">
        <v>1</v>
      </c>
      <c r="AF532" s="147">
        <f t="shared" si="201"/>
        <v>0</v>
      </c>
      <c r="AG532" s="147">
        <f t="shared" si="202"/>
        <v>0</v>
      </c>
      <c r="AH532" s="147">
        <f t="shared" si="203"/>
        <v>0</v>
      </c>
      <c r="AI532" s="147">
        <f t="shared" si="204"/>
        <v>0</v>
      </c>
      <c r="AJ532" s="148">
        <f t="shared" si="205"/>
        <v>0</v>
      </c>
      <c r="AK532" s="149">
        <f t="shared" si="208"/>
        <v>0</v>
      </c>
      <c r="AL532" s="149">
        <f t="shared" si="209"/>
        <v>0</v>
      </c>
      <c r="AM532" s="149">
        <f t="shared" si="210"/>
        <v>0</v>
      </c>
      <c r="AN532" s="149">
        <f t="shared" si="211"/>
        <v>0</v>
      </c>
      <c r="AO532" s="150">
        <f t="shared" si="206"/>
        <v>0</v>
      </c>
      <c r="AQ532" s="151">
        <f t="shared" si="207"/>
        <v>0</v>
      </c>
    </row>
    <row r="533" spans="1:43" ht="15" customHeight="1">
      <c r="A533" s="82" t="e">
        <f t="shared" si="214"/>
        <v>#REF!</v>
      </c>
      <c r="B533" s="134">
        <v>105</v>
      </c>
      <c r="C533" s="135" t="s">
        <v>943</v>
      </c>
      <c r="D533" s="136" t="s">
        <v>274</v>
      </c>
      <c r="E533" s="137" t="s">
        <v>947</v>
      </c>
      <c r="F533" s="138" t="s">
        <v>76</v>
      </c>
      <c r="G533" s="139" t="s">
        <v>601</v>
      </c>
      <c r="H533" s="140" t="str">
        <f t="shared" si="193"/>
        <v>Niet van toepassing</v>
      </c>
      <c r="I533" s="138" t="s">
        <v>82</v>
      </c>
      <c r="J533" s="138" t="s">
        <v>1172</v>
      </c>
      <c r="K533" s="141" t="str">
        <f t="shared" si="194"/>
        <v>NVT</v>
      </c>
      <c r="L533" s="141" t="str">
        <f t="shared" si="195"/>
        <v>NVT</v>
      </c>
      <c r="M533" s="141" t="str">
        <f t="shared" si="196"/>
        <v>NVT</v>
      </c>
      <c r="N533" s="141" t="str">
        <f t="shared" si="197"/>
        <v>NVT</v>
      </c>
      <c r="O533" s="141" t="str">
        <f t="shared" si="198"/>
        <v>NVT</v>
      </c>
      <c r="P533" s="141" t="str">
        <f t="shared" si="199"/>
        <v>NVT</v>
      </c>
      <c r="Q533" s="141" t="str">
        <f t="shared" si="200"/>
        <v>NVT</v>
      </c>
      <c r="R533" s="63" t="s">
        <v>1221</v>
      </c>
      <c r="S533" s="142">
        <f t="shared" si="212"/>
        <v>0</v>
      </c>
      <c r="T533" s="143">
        <f>((2.15*1.55)-1)*1.3</f>
        <v>3.0322500000000003</v>
      </c>
      <c r="U533" s="144"/>
      <c r="V533" s="144"/>
      <c r="W533" s="144">
        <f>(2.15+1.55+2.15+1.55)*3</f>
        <v>22.2</v>
      </c>
      <c r="X533" s="144"/>
      <c r="Y533" s="144"/>
      <c r="Z533" s="145"/>
      <c r="AA533" s="145">
        <f t="shared" si="213"/>
        <v>3.0322500000000003</v>
      </c>
      <c r="AB533" s="145"/>
      <c r="AC533" s="145"/>
      <c r="AD533" s="146"/>
      <c r="AE533" s="171">
        <v>1</v>
      </c>
      <c r="AF533" s="147">
        <f t="shared" si="201"/>
        <v>0</v>
      </c>
      <c r="AG533" s="147">
        <f t="shared" si="202"/>
        <v>0</v>
      </c>
      <c r="AH533" s="147">
        <f t="shared" si="203"/>
        <v>0</v>
      </c>
      <c r="AI533" s="147">
        <f t="shared" si="204"/>
        <v>0</v>
      </c>
      <c r="AJ533" s="148">
        <f t="shared" si="205"/>
        <v>0</v>
      </c>
      <c r="AK533" s="149">
        <f t="shared" si="208"/>
        <v>0</v>
      </c>
      <c r="AL533" s="149">
        <f t="shared" si="209"/>
        <v>0</v>
      </c>
      <c r="AM533" s="149">
        <f t="shared" si="210"/>
        <v>0</v>
      </c>
      <c r="AN533" s="149">
        <f t="shared" si="211"/>
        <v>0</v>
      </c>
      <c r="AO533" s="150">
        <f t="shared" si="206"/>
        <v>0</v>
      </c>
      <c r="AQ533" s="151">
        <f t="shared" si="207"/>
        <v>0</v>
      </c>
    </row>
    <row r="534" spans="1:43" ht="15" customHeight="1">
      <c r="A534" s="82" t="e">
        <f t="shared" si="214"/>
        <v>#REF!</v>
      </c>
      <c r="B534" s="134">
        <v>105</v>
      </c>
      <c r="C534" s="135" t="s">
        <v>943</v>
      </c>
      <c r="D534" s="136" t="s">
        <v>274</v>
      </c>
      <c r="E534" s="137" t="s">
        <v>947</v>
      </c>
      <c r="F534" s="138" t="s">
        <v>76</v>
      </c>
      <c r="G534" s="139" t="s">
        <v>600</v>
      </c>
      <c r="H534" s="140" t="str">
        <f t="shared" si="193"/>
        <v>Niet van toepassing</v>
      </c>
      <c r="I534" s="138" t="s">
        <v>82</v>
      </c>
      <c r="J534" s="138" t="s">
        <v>1172</v>
      </c>
      <c r="K534" s="141" t="str">
        <f t="shared" si="194"/>
        <v>NVT</v>
      </c>
      <c r="L534" s="141" t="str">
        <f t="shared" si="195"/>
        <v>NVT</v>
      </c>
      <c r="M534" s="141" t="str">
        <f t="shared" si="196"/>
        <v>NVT</v>
      </c>
      <c r="N534" s="141" t="str">
        <f t="shared" si="197"/>
        <v>NVT</v>
      </c>
      <c r="O534" s="141" t="str">
        <f t="shared" si="198"/>
        <v>NVT</v>
      </c>
      <c r="P534" s="141" t="str">
        <f t="shared" si="199"/>
        <v>NVT</v>
      </c>
      <c r="Q534" s="141" t="str">
        <f t="shared" si="200"/>
        <v>NVT</v>
      </c>
      <c r="R534" s="63" t="s">
        <v>1221</v>
      </c>
      <c r="S534" s="142">
        <f t="shared" si="212"/>
        <v>0</v>
      </c>
      <c r="T534" s="143">
        <f>(2.1*1.55)*1.3</f>
        <v>4.2315000000000005</v>
      </c>
      <c r="U534" s="144"/>
      <c r="V534" s="144"/>
      <c r="W534" s="144">
        <f>(2.1+1.55+2.1+1.55)*3</f>
        <v>21.9</v>
      </c>
      <c r="X534" s="144"/>
      <c r="Y534" s="144"/>
      <c r="Z534" s="145"/>
      <c r="AA534" s="145">
        <f t="shared" si="213"/>
        <v>4.2315000000000005</v>
      </c>
      <c r="AB534" s="145"/>
      <c r="AC534" s="145"/>
      <c r="AD534" s="146"/>
      <c r="AE534" s="171">
        <v>1</v>
      </c>
      <c r="AF534" s="147">
        <f t="shared" si="201"/>
        <v>0</v>
      </c>
      <c r="AG534" s="147">
        <f t="shared" si="202"/>
        <v>0</v>
      </c>
      <c r="AH534" s="147">
        <f t="shared" si="203"/>
        <v>0</v>
      </c>
      <c r="AI534" s="147">
        <f t="shared" si="204"/>
        <v>0</v>
      </c>
      <c r="AJ534" s="148">
        <f t="shared" si="205"/>
        <v>0</v>
      </c>
      <c r="AK534" s="149">
        <f t="shared" si="208"/>
        <v>0</v>
      </c>
      <c r="AL534" s="149">
        <f t="shared" si="209"/>
        <v>0</v>
      </c>
      <c r="AM534" s="149">
        <f t="shared" si="210"/>
        <v>0</v>
      </c>
      <c r="AN534" s="149">
        <f t="shared" si="211"/>
        <v>0</v>
      </c>
      <c r="AO534" s="150">
        <f t="shared" si="206"/>
        <v>0</v>
      </c>
      <c r="AQ534" s="151">
        <f t="shared" si="207"/>
        <v>0</v>
      </c>
    </row>
    <row r="535" spans="1:43" ht="15" customHeight="1">
      <c r="A535" s="82" t="e">
        <f t="shared" si="214"/>
        <v>#REF!</v>
      </c>
      <c r="B535" s="134">
        <v>105</v>
      </c>
      <c r="C535" s="135" t="s">
        <v>943</v>
      </c>
      <c r="D535" s="136" t="s">
        <v>274</v>
      </c>
      <c r="E535" s="137" t="s">
        <v>947</v>
      </c>
      <c r="F535" s="138" t="s">
        <v>76</v>
      </c>
      <c r="G535" s="139" t="s">
        <v>602</v>
      </c>
      <c r="H535" s="140" t="str">
        <f t="shared" si="193"/>
        <v>Niet van toepassing</v>
      </c>
      <c r="I535" s="138" t="s">
        <v>82</v>
      </c>
      <c r="J535" s="138" t="s">
        <v>1172</v>
      </c>
      <c r="K535" s="141" t="str">
        <f t="shared" si="194"/>
        <v>NVT</v>
      </c>
      <c r="L535" s="141" t="str">
        <f t="shared" si="195"/>
        <v>NVT</v>
      </c>
      <c r="M535" s="141" t="str">
        <f t="shared" si="196"/>
        <v>NVT</v>
      </c>
      <c r="N535" s="141" t="str">
        <f t="shared" si="197"/>
        <v>NVT</v>
      </c>
      <c r="O535" s="141" t="str">
        <f t="shared" si="198"/>
        <v>NVT</v>
      </c>
      <c r="P535" s="141" t="str">
        <f t="shared" si="199"/>
        <v>NVT</v>
      </c>
      <c r="Q535" s="141" t="str">
        <f t="shared" si="200"/>
        <v>NVT</v>
      </c>
      <c r="R535" s="63" t="s">
        <v>1221</v>
      </c>
      <c r="S535" s="142">
        <f t="shared" si="212"/>
        <v>0</v>
      </c>
      <c r="T535" s="143">
        <f>(2.25*2)*1.3</f>
        <v>5.8500000000000005</v>
      </c>
      <c r="U535" s="144"/>
      <c r="V535" s="144"/>
      <c r="W535" s="144">
        <f>(2.25+2+2.25+2)*3</f>
        <v>25.5</v>
      </c>
      <c r="X535" s="144"/>
      <c r="Y535" s="144"/>
      <c r="Z535" s="145"/>
      <c r="AA535" s="145">
        <f t="shared" si="213"/>
        <v>5.8500000000000005</v>
      </c>
      <c r="AB535" s="145"/>
      <c r="AC535" s="145"/>
      <c r="AD535" s="146" t="s">
        <v>1075</v>
      </c>
      <c r="AE535" s="171">
        <v>1</v>
      </c>
      <c r="AF535" s="147">
        <f t="shared" si="201"/>
        <v>0</v>
      </c>
      <c r="AG535" s="147">
        <f t="shared" si="202"/>
        <v>0</v>
      </c>
      <c r="AH535" s="147">
        <f t="shared" si="203"/>
        <v>0</v>
      </c>
      <c r="AI535" s="147">
        <f t="shared" si="204"/>
        <v>0</v>
      </c>
      <c r="AJ535" s="148">
        <f t="shared" si="205"/>
        <v>0</v>
      </c>
      <c r="AK535" s="149">
        <f t="shared" si="208"/>
        <v>0</v>
      </c>
      <c r="AL535" s="149">
        <f t="shared" si="209"/>
        <v>0</v>
      </c>
      <c r="AM535" s="149">
        <f t="shared" si="210"/>
        <v>0</v>
      </c>
      <c r="AN535" s="149">
        <f t="shared" si="211"/>
        <v>0</v>
      </c>
      <c r="AO535" s="150">
        <f t="shared" si="206"/>
        <v>0</v>
      </c>
      <c r="AQ535" s="151">
        <f t="shared" si="207"/>
        <v>0</v>
      </c>
    </row>
    <row r="536" spans="1:43" ht="15" customHeight="1">
      <c r="A536" s="82" t="e">
        <f t="shared" si="214"/>
        <v>#REF!</v>
      </c>
      <c r="B536" s="134">
        <v>105</v>
      </c>
      <c r="C536" s="135" t="s">
        <v>943</v>
      </c>
      <c r="D536" s="136" t="s">
        <v>274</v>
      </c>
      <c r="E536" s="137" t="s">
        <v>947</v>
      </c>
      <c r="F536" s="138" t="s">
        <v>604</v>
      </c>
      <c r="G536" s="139" t="s">
        <v>605</v>
      </c>
      <c r="H536" s="140" t="str">
        <f t="shared" si="193"/>
        <v>Sanitair</v>
      </c>
      <c r="I536" s="138" t="s">
        <v>237</v>
      </c>
      <c r="J536" s="138" t="s">
        <v>1171</v>
      </c>
      <c r="K536" s="141" t="str">
        <f t="shared" si="194"/>
        <v>Omde dag Vol/Nal.</v>
      </c>
      <c r="L536" s="141" t="str">
        <f t="shared" si="195"/>
        <v>Omde dag Nal./Vol</v>
      </c>
      <c r="M536" s="141" t="str">
        <f t="shared" si="196"/>
        <v>Omde dag Vol/Nal.</v>
      </c>
      <c r="N536" s="141" t="str">
        <f t="shared" si="197"/>
        <v>Omde dag Nal./Vol</v>
      </c>
      <c r="O536" s="141" t="str">
        <f t="shared" si="198"/>
        <v>Omde dag Vol/Nal.</v>
      </c>
      <c r="P536" s="141" t="str">
        <f t="shared" si="199"/>
        <v>Omde dag Nal./Vol</v>
      </c>
      <c r="Q536" s="141" t="str">
        <f t="shared" si="200"/>
        <v>Omde dag Vol/Nal.</v>
      </c>
      <c r="R536" s="63" t="s">
        <v>1211</v>
      </c>
      <c r="S536" s="142">
        <f t="shared" si="212"/>
        <v>365</v>
      </c>
      <c r="T536" s="143">
        <f>((3*1.9)+(0.9*1.35))*1.3</f>
        <v>8.9894999999999996</v>
      </c>
      <c r="U536" s="144">
        <f>(4.35+1.9+3+1+1.35+0.9)*2.3</f>
        <v>28.749999999999996</v>
      </c>
      <c r="V536" s="144"/>
      <c r="W536" s="144"/>
      <c r="X536" s="144"/>
      <c r="Y536" s="144"/>
      <c r="Z536" s="145"/>
      <c r="AA536" s="145">
        <f t="shared" si="213"/>
        <v>8.9894999999999996</v>
      </c>
      <c r="AB536" s="145"/>
      <c r="AC536" s="145"/>
      <c r="AD536" s="146" t="s">
        <v>1076</v>
      </c>
      <c r="AE536" s="171">
        <v>1</v>
      </c>
      <c r="AF536" s="147">
        <f t="shared" si="201"/>
        <v>0</v>
      </c>
      <c r="AG536" s="147">
        <f t="shared" si="202"/>
        <v>0</v>
      </c>
      <c r="AH536" s="147">
        <f t="shared" si="203"/>
        <v>0</v>
      </c>
      <c r="AI536" s="147">
        <f t="shared" si="204"/>
        <v>0</v>
      </c>
      <c r="AJ536" s="148" t="str">
        <f t="shared" si="205"/>
        <v>ja</v>
      </c>
      <c r="AK536" s="149">
        <f t="shared" si="208"/>
        <v>0</v>
      </c>
      <c r="AL536" s="149">
        <f t="shared" si="209"/>
        <v>0</v>
      </c>
      <c r="AM536" s="149">
        <f t="shared" si="210"/>
        <v>0</v>
      </c>
      <c r="AN536" s="149">
        <f t="shared" si="211"/>
        <v>0</v>
      </c>
      <c r="AO536" s="150" t="str">
        <f t="shared" si="206"/>
        <v>S</v>
      </c>
      <c r="AQ536" s="151">
        <f t="shared" si="207"/>
        <v>3281.1675</v>
      </c>
    </row>
    <row r="537" spans="1:43" ht="15" customHeight="1">
      <c r="A537" s="82" t="e">
        <f t="shared" si="214"/>
        <v>#REF!</v>
      </c>
      <c r="B537" s="134">
        <v>105</v>
      </c>
      <c r="C537" s="135" t="s">
        <v>943</v>
      </c>
      <c r="D537" s="136" t="s">
        <v>274</v>
      </c>
      <c r="E537" s="137" t="s">
        <v>947</v>
      </c>
      <c r="F537" s="138" t="s">
        <v>604</v>
      </c>
      <c r="G537" s="139" t="s">
        <v>606</v>
      </c>
      <c r="H537" s="140" t="str">
        <f t="shared" ref="H537:H598" si="215">VLOOKUP(R537,Kengetal,3,FALSE)</f>
        <v>Sanitair</v>
      </c>
      <c r="I537" s="138" t="s">
        <v>237</v>
      </c>
      <c r="J537" s="138" t="s">
        <v>1171</v>
      </c>
      <c r="K537" s="141" t="str">
        <f t="shared" ref="K537:K598" si="216">IF($R537="",0,VLOOKUP($R537,Kengetal,14,FALSE))</f>
        <v>Omde dag Vol/Nal.</v>
      </c>
      <c r="L537" s="141" t="str">
        <f t="shared" ref="L537:L598" si="217">IF($R537="",0,VLOOKUP($R537,Kengetal,15,FALSE))</f>
        <v>Omde dag Nal./Vol</v>
      </c>
      <c r="M537" s="141" t="str">
        <f t="shared" ref="M537:M598" si="218">IF($R537="",0,VLOOKUP($R537,Kengetal,16,FALSE))</f>
        <v>Omde dag Vol/Nal.</v>
      </c>
      <c r="N537" s="141" t="str">
        <f t="shared" ref="N537:N598" si="219">IF($R537="",0,VLOOKUP($R537,Kengetal,17,FALSE))</f>
        <v>Omde dag Nal./Vol</v>
      </c>
      <c r="O537" s="141" t="str">
        <f t="shared" ref="O537:O598" si="220">IF($R537="",0,VLOOKUP($R537,Kengetal,18,FALSE))</f>
        <v>Omde dag Vol/Nal.</v>
      </c>
      <c r="P537" s="141" t="str">
        <f t="shared" ref="P537:P598" si="221">IF($R537="",0,VLOOKUP($R537,Kengetal,19,FALSE))</f>
        <v>Omde dag Nal./Vol</v>
      </c>
      <c r="Q537" s="141" t="str">
        <f t="shared" ref="Q537:Q598" si="222">IF($R537="",0,VLOOKUP($R537,Kengetal,20,FALSE))</f>
        <v>Omde dag Vol/Nal.</v>
      </c>
      <c r="R537" s="63" t="s">
        <v>1211</v>
      </c>
      <c r="S537" s="142">
        <f t="shared" si="212"/>
        <v>365</v>
      </c>
      <c r="T537" s="143">
        <f>(0.8*1.4)*1.3</f>
        <v>1.456</v>
      </c>
      <c r="U537" s="144">
        <f>(1.4+0.8+1.4+0.8)*2.45</f>
        <v>10.780000000000001</v>
      </c>
      <c r="V537" s="144"/>
      <c r="W537" s="144"/>
      <c r="X537" s="144"/>
      <c r="Y537" s="144"/>
      <c r="Z537" s="145"/>
      <c r="AA537" s="145">
        <f t="shared" si="213"/>
        <v>1.456</v>
      </c>
      <c r="AB537" s="145"/>
      <c r="AC537" s="145"/>
      <c r="AD537" s="146" t="s">
        <v>1076</v>
      </c>
      <c r="AE537" s="171">
        <v>1</v>
      </c>
      <c r="AF537" s="147">
        <f t="shared" ref="AF537:AF598" si="223">T537*AK537*AE537</f>
        <v>0</v>
      </c>
      <c r="AG537" s="147">
        <f t="shared" ref="AG537:AG598" si="224">T537*AL537*AE537</f>
        <v>0</v>
      </c>
      <c r="AH537" s="147">
        <f t="shared" ref="AH537:AH598" si="225">T537*AM537*AE537</f>
        <v>0</v>
      </c>
      <c r="AI537" s="147">
        <f t="shared" ref="AI537:AI598" si="226">T537*AN537*AE537</f>
        <v>0</v>
      </c>
      <c r="AJ537" s="148" t="str">
        <f t="shared" ref="AJ537:AJ598" si="227">IF($R537="",0,VLOOKUP($R537,Kengetal,12,FALSE))</f>
        <v>ja</v>
      </c>
      <c r="AK537" s="149">
        <f t="shared" si="208"/>
        <v>0</v>
      </c>
      <c r="AL537" s="149">
        <f t="shared" si="209"/>
        <v>0</v>
      </c>
      <c r="AM537" s="149">
        <f t="shared" si="210"/>
        <v>0</v>
      </c>
      <c r="AN537" s="149">
        <f t="shared" si="211"/>
        <v>0</v>
      </c>
      <c r="AO537" s="150" t="str">
        <f t="shared" ref="AO537:AO598" si="228">IF($R537="",0,VLOOKUP($R537,Kengetal,13,FALSE))</f>
        <v>S</v>
      </c>
      <c r="AQ537" s="151">
        <f t="shared" ref="AQ537:AQ598" si="229">T537*S537</f>
        <v>531.43999999999994</v>
      </c>
    </row>
    <row r="538" spans="1:43" ht="15" customHeight="1">
      <c r="A538" s="82" t="e">
        <f t="shared" si="214"/>
        <v>#REF!</v>
      </c>
      <c r="B538" s="134">
        <v>105</v>
      </c>
      <c r="C538" s="135" t="s">
        <v>943</v>
      </c>
      <c r="D538" s="136" t="s">
        <v>274</v>
      </c>
      <c r="E538" s="137" t="s">
        <v>947</v>
      </c>
      <c r="F538" s="138" t="s">
        <v>604</v>
      </c>
      <c r="G538" s="139" t="s">
        <v>607</v>
      </c>
      <c r="H538" s="140" t="str">
        <f t="shared" si="215"/>
        <v>Sanitair</v>
      </c>
      <c r="I538" s="138" t="s">
        <v>237</v>
      </c>
      <c r="J538" s="138" t="s">
        <v>1171</v>
      </c>
      <c r="K538" s="141" t="str">
        <f t="shared" si="216"/>
        <v>Omde dag Vol/Nal.</v>
      </c>
      <c r="L538" s="141" t="str">
        <f t="shared" si="217"/>
        <v>Omde dag Nal./Vol</v>
      </c>
      <c r="M538" s="141" t="str">
        <f t="shared" si="218"/>
        <v>Omde dag Vol/Nal.</v>
      </c>
      <c r="N538" s="141" t="str">
        <f t="shared" si="219"/>
        <v>Omde dag Nal./Vol</v>
      </c>
      <c r="O538" s="141" t="str">
        <f t="shared" si="220"/>
        <v>Omde dag Vol/Nal.</v>
      </c>
      <c r="P538" s="141" t="str">
        <f t="shared" si="221"/>
        <v>Omde dag Nal./Vol</v>
      </c>
      <c r="Q538" s="141" t="str">
        <f t="shared" si="222"/>
        <v>Omde dag Vol/Nal.</v>
      </c>
      <c r="R538" s="63" t="s">
        <v>1211</v>
      </c>
      <c r="S538" s="142">
        <f t="shared" si="212"/>
        <v>365</v>
      </c>
      <c r="T538" s="143">
        <f>(1.2*1.4)*1.3</f>
        <v>2.1840000000000002</v>
      </c>
      <c r="U538" s="144">
        <f>(1.4+1.2+1.4+1.2)*2.45</f>
        <v>12.739999999999998</v>
      </c>
      <c r="V538" s="144"/>
      <c r="W538" s="144"/>
      <c r="X538" s="144"/>
      <c r="Y538" s="144"/>
      <c r="Z538" s="145"/>
      <c r="AA538" s="145">
        <f t="shared" si="213"/>
        <v>2.1840000000000002</v>
      </c>
      <c r="AB538" s="145"/>
      <c r="AC538" s="145"/>
      <c r="AD538" s="146" t="s">
        <v>1076</v>
      </c>
      <c r="AE538" s="171">
        <v>1</v>
      </c>
      <c r="AF538" s="147">
        <f t="shared" si="223"/>
        <v>0</v>
      </c>
      <c r="AG538" s="147">
        <f t="shared" si="224"/>
        <v>0</v>
      </c>
      <c r="AH538" s="147">
        <f t="shared" si="225"/>
        <v>0</v>
      </c>
      <c r="AI538" s="147">
        <f t="shared" si="226"/>
        <v>0</v>
      </c>
      <c r="AJ538" s="148" t="str">
        <f t="shared" si="227"/>
        <v>ja</v>
      </c>
      <c r="AK538" s="149">
        <f t="shared" si="208"/>
        <v>0</v>
      </c>
      <c r="AL538" s="149">
        <f t="shared" si="209"/>
        <v>0</v>
      </c>
      <c r="AM538" s="149">
        <f t="shared" si="210"/>
        <v>0</v>
      </c>
      <c r="AN538" s="149">
        <f t="shared" si="211"/>
        <v>0</v>
      </c>
      <c r="AO538" s="150" t="str">
        <f t="shared" si="228"/>
        <v>S</v>
      </c>
      <c r="AQ538" s="151">
        <f t="shared" si="229"/>
        <v>797.16000000000008</v>
      </c>
    </row>
    <row r="539" spans="1:43" ht="15" customHeight="1">
      <c r="A539" s="82" t="e">
        <f t="shared" si="214"/>
        <v>#REF!</v>
      </c>
      <c r="B539" s="134">
        <v>105</v>
      </c>
      <c r="C539" s="135" t="s">
        <v>943</v>
      </c>
      <c r="D539" s="136" t="s">
        <v>274</v>
      </c>
      <c r="E539" s="137" t="s">
        <v>947</v>
      </c>
      <c r="F539" s="138" t="s">
        <v>604</v>
      </c>
      <c r="G539" s="139" t="s">
        <v>608</v>
      </c>
      <c r="H539" s="140" t="str">
        <f t="shared" si="215"/>
        <v>Sanitair</v>
      </c>
      <c r="I539" s="138" t="s">
        <v>237</v>
      </c>
      <c r="J539" s="138" t="s">
        <v>1171</v>
      </c>
      <c r="K539" s="141" t="str">
        <f t="shared" si="216"/>
        <v>Omde dag Vol/Nal.</v>
      </c>
      <c r="L539" s="141" t="str">
        <f t="shared" si="217"/>
        <v>Omde dag Nal./Vol</v>
      </c>
      <c r="M539" s="141" t="str">
        <f t="shared" si="218"/>
        <v>Omde dag Vol/Nal.</v>
      </c>
      <c r="N539" s="141" t="str">
        <f t="shared" si="219"/>
        <v>Omde dag Nal./Vol</v>
      </c>
      <c r="O539" s="141" t="str">
        <f t="shared" si="220"/>
        <v>Omde dag Vol/Nal.</v>
      </c>
      <c r="P539" s="141" t="str">
        <f t="shared" si="221"/>
        <v>Omde dag Nal./Vol</v>
      </c>
      <c r="Q539" s="141" t="str">
        <f t="shared" si="222"/>
        <v>Omde dag Vol/Nal.</v>
      </c>
      <c r="R539" s="63" t="s">
        <v>1211</v>
      </c>
      <c r="S539" s="142">
        <f t="shared" si="212"/>
        <v>365</v>
      </c>
      <c r="T539" s="143">
        <f>(0.8*1.4)*1.3</f>
        <v>1.456</v>
      </c>
      <c r="U539" s="144">
        <f>(1.4+0.8+1.4+0.8)*2.45</f>
        <v>10.780000000000001</v>
      </c>
      <c r="V539" s="144"/>
      <c r="W539" s="144"/>
      <c r="X539" s="144"/>
      <c r="Y539" s="144"/>
      <c r="Z539" s="145"/>
      <c r="AA539" s="145">
        <f t="shared" si="213"/>
        <v>1.456</v>
      </c>
      <c r="AB539" s="145"/>
      <c r="AC539" s="145"/>
      <c r="AD539" s="146" t="s">
        <v>1076</v>
      </c>
      <c r="AE539" s="171">
        <v>1</v>
      </c>
      <c r="AF539" s="147">
        <f t="shared" si="223"/>
        <v>0</v>
      </c>
      <c r="AG539" s="147">
        <f t="shared" si="224"/>
        <v>0</v>
      </c>
      <c r="AH539" s="147">
        <f t="shared" si="225"/>
        <v>0</v>
      </c>
      <c r="AI539" s="147">
        <f t="shared" si="226"/>
        <v>0</v>
      </c>
      <c r="AJ539" s="148" t="str">
        <f t="shared" si="227"/>
        <v>ja</v>
      </c>
      <c r="AK539" s="149">
        <f t="shared" si="208"/>
        <v>0</v>
      </c>
      <c r="AL539" s="149">
        <f t="shared" si="209"/>
        <v>0</v>
      </c>
      <c r="AM539" s="149">
        <f t="shared" si="210"/>
        <v>0</v>
      </c>
      <c r="AN539" s="149">
        <f t="shared" si="211"/>
        <v>0</v>
      </c>
      <c r="AO539" s="150" t="str">
        <f t="shared" si="228"/>
        <v>S</v>
      </c>
      <c r="AQ539" s="151">
        <f t="shared" si="229"/>
        <v>531.43999999999994</v>
      </c>
    </row>
    <row r="540" spans="1:43" ht="15" customHeight="1">
      <c r="A540" s="82" t="e">
        <f t="shared" si="214"/>
        <v>#REF!</v>
      </c>
      <c r="B540" s="134">
        <v>105</v>
      </c>
      <c r="C540" s="135" t="s">
        <v>943</v>
      </c>
      <c r="D540" s="136" t="s">
        <v>274</v>
      </c>
      <c r="E540" s="137" t="s">
        <v>947</v>
      </c>
      <c r="F540" s="138" t="s">
        <v>604</v>
      </c>
      <c r="G540" s="139" t="s">
        <v>609</v>
      </c>
      <c r="H540" s="140" t="str">
        <f t="shared" si="215"/>
        <v>Sanitair</v>
      </c>
      <c r="I540" s="138" t="s">
        <v>237</v>
      </c>
      <c r="J540" s="138" t="s">
        <v>1171</v>
      </c>
      <c r="K540" s="141" t="str">
        <f t="shared" si="216"/>
        <v>Omde dag Vol/Nal.</v>
      </c>
      <c r="L540" s="141" t="str">
        <f t="shared" si="217"/>
        <v>Omde dag Nal./Vol</v>
      </c>
      <c r="M540" s="141" t="str">
        <f t="shared" si="218"/>
        <v>Omde dag Vol/Nal.</v>
      </c>
      <c r="N540" s="141" t="str">
        <f t="shared" si="219"/>
        <v>Omde dag Nal./Vol</v>
      </c>
      <c r="O540" s="141" t="str">
        <f t="shared" si="220"/>
        <v>Omde dag Vol/Nal.</v>
      </c>
      <c r="P540" s="141" t="str">
        <f t="shared" si="221"/>
        <v>Omde dag Nal./Vol</v>
      </c>
      <c r="Q540" s="141" t="str">
        <f t="shared" si="222"/>
        <v>Omde dag Vol/Nal.</v>
      </c>
      <c r="R540" s="63" t="s">
        <v>1211</v>
      </c>
      <c r="S540" s="142">
        <f t="shared" si="212"/>
        <v>365</v>
      </c>
      <c r="T540" s="143">
        <f>(1.2*1.4)*1.3</f>
        <v>2.1840000000000002</v>
      </c>
      <c r="U540" s="144">
        <f>(1.4+1.2+1.4+1.2)*2.45</f>
        <v>12.739999999999998</v>
      </c>
      <c r="V540" s="144"/>
      <c r="W540" s="144"/>
      <c r="X540" s="144"/>
      <c r="Y540" s="144"/>
      <c r="Z540" s="145"/>
      <c r="AA540" s="145">
        <f t="shared" si="213"/>
        <v>2.1840000000000002</v>
      </c>
      <c r="AB540" s="145"/>
      <c r="AC540" s="145"/>
      <c r="AD540" s="146" t="s">
        <v>1076</v>
      </c>
      <c r="AE540" s="171">
        <v>1</v>
      </c>
      <c r="AF540" s="147">
        <f t="shared" si="223"/>
        <v>0</v>
      </c>
      <c r="AG540" s="147">
        <f t="shared" si="224"/>
        <v>0</v>
      </c>
      <c r="AH540" s="147">
        <f t="shared" si="225"/>
        <v>0</v>
      </c>
      <c r="AI540" s="147">
        <f t="shared" si="226"/>
        <v>0</v>
      </c>
      <c r="AJ540" s="148" t="str">
        <f t="shared" si="227"/>
        <v>ja</v>
      </c>
      <c r="AK540" s="149">
        <f t="shared" si="208"/>
        <v>0</v>
      </c>
      <c r="AL540" s="149">
        <f t="shared" si="209"/>
        <v>0</v>
      </c>
      <c r="AM540" s="149">
        <f t="shared" si="210"/>
        <v>0</v>
      </c>
      <c r="AN540" s="149">
        <f t="shared" si="211"/>
        <v>0</v>
      </c>
      <c r="AO540" s="150" t="str">
        <f t="shared" si="228"/>
        <v>S</v>
      </c>
      <c r="AQ540" s="151">
        <f t="shared" si="229"/>
        <v>797.16000000000008</v>
      </c>
    </row>
    <row r="541" spans="1:43" ht="15" customHeight="1">
      <c r="A541" s="82" t="e">
        <f t="shared" si="214"/>
        <v>#REF!</v>
      </c>
      <c r="B541" s="134">
        <v>105</v>
      </c>
      <c r="C541" s="135" t="s">
        <v>943</v>
      </c>
      <c r="D541" s="136" t="s">
        <v>274</v>
      </c>
      <c r="E541" s="137" t="s">
        <v>947</v>
      </c>
      <c r="F541" s="138" t="s">
        <v>604</v>
      </c>
      <c r="G541" s="139" t="s">
        <v>610</v>
      </c>
      <c r="H541" s="140" t="str">
        <f t="shared" si="215"/>
        <v>Sanitair</v>
      </c>
      <c r="I541" s="138" t="s">
        <v>237</v>
      </c>
      <c r="J541" s="138" t="s">
        <v>1171</v>
      </c>
      <c r="K541" s="141" t="str">
        <f t="shared" si="216"/>
        <v>Omde dag Vol/Nal.</v>
      </c>
      <c r="L541" s="141" t="str">
        <f t="shared" si="217"/>
        <v>Omde dag Nal./Vol</v>
      </c>
      <c r="M541" s="141" t="str">
        <f t="shared" si="218"/>
        <v>Omde dag Vol/Nal.</v>
      </c>
      <c r="N541" s="141" t="str">
        <f t="shared" si="219"/>
        <v>Omde dag Nal./Vol</v>
      </c>
      <c r="O541" s="141" t="str">
        <f t="shared" si="220"/>
        <v>Omde dag Vol/Nal.</v>
      </c>
      <c r="P541" s="141" t="str">
        <f t="shared" si="221"/>
        <v>Omde dag Nal./Vol</v>
      </c>
      <c r="Q541" s="141" t="str">
        <f t="shared" si="222"/>
        <v>Omde dag Vol/Nal.</v>
      </c>
      <c r="R541" s="63" t="s">
        <v>1211</v>
      </c>
      <c r="S541" s="142">
        <f t="shared" si="212"/>
        <v>365</v>
      </c>
      <c r="T541" s="143">
        <f>((1.95*1.25))*1.3</f>
        <v>3.1687500000000002</v>
      </c>
      <c r="U541" s="144">
        <f>(1.95+1.25+1.95+1.25)*2.15</f>
        <v>13.76</v>
      </c>
      <c r="V541" s="144"/>
      <c r="W541" s="144"/>
      <c r="X541" s="144"/>
      <c r="Y541" s="144"/>
      <c r="Z541" s="145"/>
      <c r="AA541" s="145">
        <f t="shared" si="213"/>
        <v>3.1687500000000002</v>
      </c>
      <c r="AB541" s="145"/>
      <c r="AC541" s="145"/>
      <c r="AD541" s="146" t="s">
        <v>1076</v>
      </c>
      <c r="AE541" s="171">
        <v>1</v>
      </c>
      <c r="AF541" s="147">
        <f t="shared" si="223"/>
        <v>0</v>
      </c>
      <c r="AG541" s="147">
        <f t="shared" si="224"/>
        <v>0</v>
      </c>
      <c r="AH541" s="147">
        <f t="shared" si="225"/>
        <v>0</v>
      </c>
      <c r="AI541" s="147">
        <f t="shared" si="226"/>
        <v>0</v>
      </c>
      <c r="AJ541" s="148" t="str">
        <f t="shared" si="227"/>
        <v>ja</v>
      </c>
      <c r="AK541" s="149">
        <f t="shared" si="208"/>
        <v>0</v>
      </c>
      <c r="AL541" s="149">
        <f t="shared" si="209"/>
        <v>0</v>
      </c>
      <c r="AM541" s="149">
        <f t="shared" si="210"/>
        <v>0</v>
      </c>
      <c r="AN541" s="149">
        <f t="shared" si="211"/>
        <v>0</v>
      </c>
      <c r="AO541" s="150" t="str">
        <f t="shared" si="228"/>
        <v>S</v>
      </c>
      <c r="AQ541" s="151">
        <f t="shared" si="229"/>
        <v>1156.59375</v>
      </c>
    </row>
    <row r="542" spans="1:43" ht="15" customHeight="1">
      <c r="A542" s="82" t="e">
        <f t="shared" si="214"/>
        <v>#REF!</v>
      </c>
      <c r="B542" s="134">
        <v>105</v>
      </c>
      <c r="C542" s="135" t="s">
        <v>943</v>
      </c>
      <c r="D542" s="136" t="s">
        <v>274</v>
      </c>
      <c r="E542" s="137" t="s">
        <v>947</v>
      </c>
      <c r="F542" s="138" t="s">
        <v>604</v>
      </c>
      <c r="G542" s="139" t="s">
        <v>611</v>
      </c>
      <c r="H542" s="140" t="str">
        <f t="shared" si="215"/>
        <v>Sanitair</v>
      </c>
      <c r="I542" s="138" t="s">
        <v>237</v>
      </c>
      <c r="J542" s="138" t="s">
        <v>1171</v>
      </c>
      <c r="K542" s="141" t="str">
        <f t="shared" si="216"/>
        <v>Omde dag Vol/Nal.</v>
      </c>
      <c r="L542" s="141" t="str">
        <f t="shared" si="217"/>
        <v>Omde dag Nal./Vol</v>
      </c>
      <c r="M542" s="141" t="str">
        <f t="shared" si="218"/>
        <v>Omde dag Vol/Nal.</v>
      </c>
      <c r="N542" s="141" t="str">
        <f t="shared" si="219"/>
        <v>Omde dag Nal./Vol</v>
      </c>
      <c r="O542" s="141" t="str">
        <f t="shared" si="220"/>
        <v>Omde dag Vol/Nal.</v>
      </c>
      <c r="P542" s="141" t="str">
        <f t="shared" si="221"/>
        <v>Omde dag Nal./Vol</v>
      </c>
      <c r="Q542" s="141" t="str">
        <f t="shared" si="222"/>
        <v>Omde dag Vol/Nal.</v>
      </c>
      <c r="R542" s="63" t="s">
        <v>1211</v>
      </c>
      <c r="S542" s="142">
        <f t="shared" si="212"/>
        <v>365</v>
      </c>
      <c r="T542" s="143">
        <f>((1.2*1.25))*1.3</f>
        <v>1.9500000000000002</v>
      </c>
      <c r="U542" s="144">
        <f>(1.25+1.2+1.25+1.2)*2.15</f>
        <v>10.535</v>
      </c>
      <c r="V542" s="144"/>
      <c r="W542" s="144"/>
      <c r="X542" s="144"/>
      <c r="Y542" s="144"/>
      <c r="Z542" s="145"/>
      <c r="AA542" s="145">
        <f t="shared" si="213"/>
        <v>1.9500000000000002</v>
      </c>
      <c r="AB542" s="145"/>
      <c r="AC542" s="145"/>
      <c r="AD542" s="146" t="s">
        <v>1076</v>
      </c>
      <c r="AE542" s="171">
        <v>1</v>
      </c>
      <c r="AF542" s="147">
        <f t="shared" si="223"/>
        <v>0</v>
      </c>
      <c r="AG542" s="147">
        <f t="shared" si="224"/>
        <v>0</v>
      </c>
      <c r="AH542" s="147">
        <f t="shared" si="225"/>
        <v>0</v>
      </c>
      <c r="AI542" s="147">
        <f t="shared" si="226"/>
        <v>0</v>
      </c>
      <c r="AJ542" s="148" t="str">
        <f t="shared" si="227"/>
        <v>ja</v>
      </c>
      <c r="AK542" s="149">
        <f t="shared" si="208"/>
        <v>0</v>
      </c>
      <c r="AL542" s="149">
        <f t="shared" si="209"/>
        <v>0</v>
      </c>
      <c r="AM542" s="149">
        <f t="shared" si="210"/>
        <v>0</v>
      </c>
      <c r="AN542" s="149">
        <f t="shared" si="211"/>
        <v>0</v>
      </c>
      <c r="AO542" s="150" t="str">
        <f t="shared" si="228"/>
        <v>S</v>
      </c>
      <c r="AQ542" s="151">
        <f t="shared" si="229"/>
        <v>711.75000000000011</v>
      </c>
    </row>
    <row r="543" spans="1:43" ht="15" customHeight="1">
      <c r="A543" s="82" t="e">
        <f t="shared" si="214"/>
        <v>#REF!</v>
      </c>
      <c r="B543" s="134">
        <v>105</v>
      </c>
      <c r="C543" s="135" t="s">
        <v>943</v>
      </c>
      <c r="D543" s="136" t="s">
        <v>274</v>
      </c>
      <c r="E543" s="137" t="s">
        <v>947</v>
      </c>
      <c r="F543" s="138" t="s">
        <v>604</v>
      </c>
      <c r="G543" s="139" t="s">
        <v>612</v>
      </c>
      <c r="H543" s="140" t="str">
        <f t="shared" si="215"/>
        <v>Sanitair</v>
      </c>
      <c r="I543" s="138" t="s">
        <v>237</v>
      </c>
      <c r="J543" s="138" t="s">
        <v>1171</v>
      </c>
      <c r="K543" s="141" t="str">
        <f t="shared" si="216"/>
        <v>Omde dag Vol/Nal.</v>
      </c>
      <c r="L543" s="141" t="str">
        <f t="shared" si="217"/>
        <v>Omde dag Nal./Vol</v>
      </c>
      <c r="M543" s="141" t="str">
        <f t="shared" si="218"/>
        <v>Omde dag Vol/Nal.</v>
      </c>
      <c r="N543" s="141" t="str">
        <f t="shared" si="219"/>
        <v>Omde dag Nal./Vol</v>
      </c>
      <c r="O543" s="141" t="str">
        <f t="shared" si="220"/>
        <v>Omde dag Vol/Nal.</v>
      </c>
      <c r="P543" s="141" t="str">
        <f t="shared" si="221"/>
        <v>Omde dag Nal./Vol</v>
      </c>
      <c r="Q543" s="141" t="str">
        <f t="shared" si="222"/>
        <v>Omde dag Vol/Nal.</v>
      </c>
      <c r="R543" s="63" t="s">
        <v>1211</v>
      </c>
      <c r="S543" s="142">
        <f t="shared" si="212"/>
        <v>365</v>
      </c>
      <c r="T543" s="143">
        <f>((1.95*1.25))*1.3</f>
        <v>3.1687500000000002</v>
      </c>
      <c r="U543" s="144">
        <f>(1.95+1.25+1.95+1.25)*2.15</f>
        <v>13.76</v>
      </c>
      <c r="V543" s="144"/>
      <c r="W543" s="144"/>
      <c r="X543" s="144"/>
      <c r="Y543" s="144"/>
      <c r="Z543" s="145"/>
      <c r="AA543" s="145">
        <f t="shared" si="213"/>
        <v>3.1687500000000002</v>
      </c>
      <c r="AB543" s="145"/>
      <c r="AC543" s="145"/>
      <c r="AD543" s="146" t="s">
        <v>1076</v>
      </c>
      <c r="AE543" s="171">
        <v>1</v>
      </c>
      <c r="AF543" s="147">
        <f t="shared" si="223"/>
        <v>0</v>
      </c>
      <c r="AG543" s="147">
        <f t="shared" si="224"/>
        <v>0</v>
      </c>
      <c r="AH543" s="147">
        <f t="shared" si="225"/>
        <v>0</v>
      </c>
      <c r="AI543" s="147">
        <f t="shared" si="226"/>
        <v>0</v>
      </c>
      <c r="AJ543" s="148" t="str">
        <f t="shared" si="227"/>
        <v>ja</v>
      </c>
      <c r="AK543" s="149">
        <f t="shared" si="208"/>
        <v>0</v>
      </c>
      <c r="AL543" s="149">
        <f t="shared" si="209"/>
        <v>0</v>
      </c>
      <c r="AM543" s="149">
        <f t="shared" si="210"/>
        <v>0</v>
      </c>
      <c r="AN543" s="149">
        <f t="shared" si="211"/>
        <v>0</v>
      </c>
      <c r="AO543" s="150" t="str">
        <f t="shared" si="228"/>
        <v>S</v>
      </c>
      <c r="AQ543" s="151">
        <f t="shared" si="229"/>
        <v>1156.59375</v>
      </c>
    </row>
    <row r="544" spans="1:43" ht="15" customHeight="1">
      <c r="A544" s="82" t="e">
        <f t="shared" si="214"/>
        <v>#REF!</v>
      </c>
      <c r="B544" s="134">
        <v>105</v>
      </c>
      <c r="C544" s="135" t="s">
        <v>943</v>
      </c>
      <c r="D544" s="136" t="s">
        <v>274</v>
      </c>
      <c r="E544" s="137" t="s">
        <v>947</v>
      </c>
      <c r="F544" s="138" t="s">
        <v>604</v>
      </c>
      <c r="G544" s="139" t="s">
        <v>614</v>
      </c>
      <c r="H544" s="140" t="str">
        <f t="shared" si="215"/>
        <v>Sanitair</v>
      </c>
      <c r="I544" s="138" t="s">
        <v>237</v>
      </c>
      <c r="J544" s="138" t="s">
        <v>1171</v>
      </c>
      <c r="K544" s="141" t="str">
        <f t="shared" si="216"/>
        <v>Omde dag Vol/Nal.</v>
      </c>
      <c r="L544" s="141" t="str">
        <f t="shared" si="217"/>
        <v>Omde dag Nal./Vol</v>
      </c>
      <c r="M544" s="141" t="str">
        <f t="shared" si="218"/>
        <v>Omde dag Vol/Nal.</v>
      </c>
      <c r="N544" s="141" t="str">
        <f t="shared" si="219"/>
        <v>Omde dag Nal./Vol</v>
      </c>
      <c r="O544" s="141" t="str">
        <f t="shared" si="220"/>
        <v>Omde dag Vol/Nal.</v>
      </c>
      <c r="P544" s="141" t="str">
        <f t="shared" si="221"/>
        <v>Omde dag Nal./Vol</v>
      </c>
      <c r="Q544" s="141" t="str">
        <f t="shared" si="222"/>
        <v>Omde dag Vol/Nal.</v>
      </c>
      <c r="R544" s="63" t="s">
        <v>1211</v>
      </c>
      <c r="S544" s="142">
        <f t="shared" si="212"/>
        <v>365</v>
      </c>
      <c r="T544" s="143">
        <f>((1.2*1.25))*1.3</f>
        <v>1.9500000000000002</v>
      </c>
      <c r="U544" s="144">
        <f>(1.25+1.2+1.25+1.2)*2.15</f>
        <v>10.535</v>
      </c>
      <c r="V544" s="144"/>
      <c r="W544" s="144"/>
      <c r="X544" s="144"/>
      <c r="Y544" s="144"/>
      <c r="Z544" s="145"/>
      <c r="AA544" s="145">
        <f t="shared" si="213"/>
        <v>1.9500000000000002</v>
      </c>
      <c r="AB544" s="145"/>
      <c r="AC544" s="145"/>
      <c r="AD544" s="146" t="s">
        <v>1076</v>
      </c>
      <c r="AE544" s="171">
        <v>1</v>
      </c>
      <c r="AF544" s="147">
        <f t="shared" si="223"/>
        <v>0</v>
      </c>
      <c r="AG544" s="147">
        <f t="shared" si="224"/>
        <v>0</v>
      </c>
      <c r="AH544" s="147">
        <f t="shared" si="225"/>
        <v>0</v>
      </c>
      <c r="AI544" s="147">
        <f t="shared" si="226"/>
        <v>0</v>
      </c>
      <c r="AJ544" s="148" t="str">
        <f t="shared" si="227"/>
        <v>ja</v>
      </c>
      <c r="AK544" s="149">
        <f t="shared" si="208"/>
        <v>0</v>
      </c>
      <c r="AL544" s="149">
        <f t="shared" si="209"/>
        <v>0</v>
      </c>
      <c r="AM544" s="149">
        <f t="shared" si="210"/>
        <v>0</v>
      </c>
      <c r="AN544" s="149">
        <f t="shared" si="211"/>
        <v>0</v>
      </c>
      <c r="AO544" s="150" t="str">
        <f t="shared" si="228"/>
        <v>S</v>
      </c>
      <c r="AQ544" s="151">
        <f t="shared" si="229"/>
        <v>711.75000000000011</v>
      </c>
    </row>
    <row r="545" spans="1:43" ht="15" customHeight="1">
      <c r="A545" s="82" t="e">
        <f t="shared" si="214"/>
        <v>#REF!</v>
      </c>
      <c r="B545" s="134">
        <v>105</v>
      </c>
      <c r="C545" s="135" t="s">
        <v>943</v>
      </c>
      <c r="D545" s="136" t="s">
        <v>274</v>
      </c>
      <c r="E545" s="137" t="s">
        <v>947</v>
      </c>
      <c r="F545" s="138" t="s">
        <v>503</v>
      </c>
      <c r="G545" s="139" t="s">
        <v>866</v>
      </c>
      <c r="H545" s="140" t="str">
        <f t="shared" si="215"/>
        <v>Niet van toepassing</v>
      </c>
      <c r="I545" s="138" t="s">
        <v>82</v>
      </c>
      <c r="J545" s="138" t="s">
        <v>1172</v>
      </c>
      <c r="K545" s="141" t="str">
        <f t="shared" si="216"/>
        <v>NVT</v>
      </c>
      <c r="L545" s="141" t="str">
        <f t="shared" si="217"/>
        <v>NVT</v>
      </c>
      <c r="M545" s="141" t="str">
        <f t="shared" si="218"/>
        <v>NVT</v>
      </c>
      <c r="N545" s="141" t="str">
        <f t="shared" si="219"/>
        <v>NVT</v>
      </c>
      <c r="O545" s="141" t="str">
        <f t="shared" si="220"/>
        <v>NVT</v>
      </c>
      <c r="P545" s="141" t="str">
        <f t="shared" si="221"/>
        <v>NVT</v>
      </c>
      <c r="Q545" s="141" t="str">
        <f t="shared" si="222"/>
        <v>NVT</v>
      </c>
      <c r="R545" s="63" t="s">
        <v>1221</v>
      </c>
      <c r="S545" s="142">
        <f t="shared" si="212"/>
        <v>0</v>
      </c>
      <c r="T545" s="143">
        <f>((1.55*0.8)+(2*5.7))*1.3</f>
        <v>16.432000000000002</v>
      </c>
      <c r="U545" s="144"/>
      <c r="V545" s="144"/>
      <c r="W545" s="144">
        <f>(2.8+5.7+2+4.15+0.8+1.55)*3</f>
        <v>51</v>
      </c>
      <c r="X545" s="144"/>
      <c r="Y545" s="144"/>
      <c r="Z545" s="145"/>
      <c r="AA545" s="145"/>
      <c r="AB545" s="145">
        <f>0.25*T545</f>
        <v>4.1080000000000005</v>
      </c>
      <c r="AC545" s="145"/>
      <c r="AD545" s="146"/>
      <c r="AE545" s="171">
        <v>1</v>
      </c>
      <c r="AF545" s="147">
        <f t="shared" si="223"/>
        <v>0</v>
      </c>
      <c r="AG545" s="147">
        <f t="shared" si="224"/>
        <v>0</v>
      </c>
      <c r="AH545" s="147">
        <f t="shared" si="225"/>
        <v>0</v>
      </c>
      <c r="AI545" s="147">
        <f t="shared" si="226"/>
        <v>0</v>
      </c>
      <c r="AJ545" s="148">
        <f t="shared" si="227"/>
        <v>0</v>
      </c>
      <c r="AK545" s="149">
        <f t="shared" si="208"/>
        <v>0</v>
      </c>
      <c r="AL545" s="149">
        <f t="shared" si="209"/>
        <v>0</v>
      </c>
      <c r="AM545" s="149">
        <f t="shared" si="210"/>
        <v>0</v>
      </c>
      <c r="AN545" s="149">
        <f t="shared" si="211"/>
        <v>0</v>
      </c>
      <c r="AO545" s="150">
        <f t="shared" si="228"/>
        <v>0</v>
      </c>
      <c r="AQ545" s="151">
        <f t="shared" si="229"/>
        <v>0</v>
      </c>
    </row>
    <row r="546" spans="1:43" ht="15" customHeight="1">
      <c r="A546" s="82" t="e">
        <f t="shared" si="214"/>
        <v>#REF!</v>
      </c>
      <c r="B546" s="134">
        <v>105</v>
      </c>
      <c r="C546" s="135" t="s">
        <v>943</v>
      </c>
      <c r="D546" s="136" t="s">
        <v>274</v>
      </c>
      <c r="E546" s="137" t="s">
        <v>947</v>
      </c>
      <c r="F546" s="138" t="s">
        <v>505</v>
      </c>
      <c r="G546" s="139" t="s">
        <v>867</v>
      </c>
      <c r="H546" s="140" t="str">
        <f t="shared" si="215"/>
        <v>Niet van toepassing</v>
      </c>
      <c r="I546" s="138" t="s">
        <v>269</v>
      </c>
      <c r="J546" s="138" t="s">
        <v>1172</v>
      </c>
      <c r="K546" s="141" t="str">
        <f t="shared" si="216"/>
        <v>NVT</v>
      </c>
      <c r="L546" s="141" t="str">
        <f t="shared" si="217"/>
        <v>NVT</v>
      </c>
      <c r="M546" s="141" t="str">
        <f t="shared" si="218"/>
        <v>NVT</v>
      </c>
      <c r="N546" s="141" t="str">
        <f t="shared" si="219"/>
        <v>NVT</v>
      </c>
      <c r="O546" s="141" t="str">
        <f t="shared" si="220"/>
        <v>NVT</v>
      </c>
      <c r="P546" s="141" t="str">
        <f t="shared" si="221"/>
        <v>NVT</v>
      </c>
      <c r="Q546" s="141" t="str">
        <f t="shared" si="222"/>
        <v>NVT</v>
      </c>
      <c r="R546" s="63" t="s">
        <v>1221</v>
      </c>
      <c r="S546" s="142">
        <f t="shared" si="212"/>
        <v>0</v>
      </c>
      <c r="T546" s="143">
        <f>((14.5*8))*1.3</f>
        <v>150.80000000000001</v>
      </c>
      <c r="U546" s="144"/>
      <c r="V546" s="144"/>
      <c r="W546" s="144">
        <f>(14.5+8+14.5+8)*2.8</f>
        <v>125.99999999999999</v>
      </c>
      <c r="X546" s="144"/>
      <c r="Y546" s="144"/>
      <c r="Z546" s="145"/>
      <c r="AA546" s="145">
        <f>T546</f>
        <v>150.80000000000001</v>
      </c>
      <c r="AB546" s="145"/>
      <c r="AC546" s="145"/>
      <c r="AD546" s="146"/>
      <c r="AE546" s="171">
        <v>1</v>
      </c>
      <c r="AF546" s="147">
        <f t="shared" si="223"/>
        <v>0</v>
      </c>
      <c r="AG546" s="147">
        <f t="shared" si="224"/>
        <v>0</v>
      </c>
      <c r="AH546" s="147">
        <f t="shared" si="225"/>
        <v>0</v>
      </c>
      <c r="AI546" s="147">
        <f t="shared" si="226"/>
        <v>0</v>
      </c>
      <c r="AJ546" s="148">
        <f t="shared" si="227"/>
        <v>0</v>
      </c>
      <c r="AK546" s="149">
        <f t="shared" si="208"/>
        <v>0</v>
      </c>
      <c r="AL546" s="149">
        <f t="shared" si="209"/>
        <v>0</v>
      </c>
      <c r="AM546" s="149">
        <f t="shared" si="210"/>
        <v>0</v>
      </c>
      <c r="AN546" s="149">
        <f t="shared" si="211"/>
        <v>0</v>
      </c>
      <c r="AO546" s="150">
        <f t="shared" si="228"/>
        <v>0</v>
      </c>
      <c r="AQ546" s="151">
        <f t="shared" si="229"/>
        <v>0</v>
      </c>
    </row>
    <row r="547" spans="1:43" ht="15" customHeight="1">
      <c r="A547" s="82" t="e">
        <f t="shared" si="214"/>
        <v>#REF!</v>
      </c>
      <c r="B547" s="134">
        <v>105</v>
      </c>
      <c r="C547" s="135" t="s">
        <v>943</v>
      </c>
      <c r="D547" s="136" t="s">
        <v>274</v>
      </c>
      <c r="E547" s="137" t="s">
        <v>947</v>
      </c>
      <c r="F547" s="138" t="s">
        <v>503</v>
      </c>
      <c r="G547" s="139" t="s">
        <v>1047</v>
      </c>
      <c r="H547" s="140" t="str">
        <f t="shared" si="215"/>
        <v>Niet van toepassing</v>
      </c>
      <c r="I547" s="138" t="s">
        <v>82</v>
      </c>
      <c r="J547" s="138" t="s">
        <v>1172</v>
      </c>
      <c r="K547" s="141" t="str">
        <f t="shared" si="216"/>
        <v>NVT</v>
      </c>
      <c r="L547" s="141" t="str">
        <f t="shared" si="217"/>
        <v>NVT</v>
      </c>
      <c r="M547" s="141" t="str">
        <f t="shared" si="218"/>
        <v>NVT</v>
      </c>
      <c r="N547" s="141" t="str">
        <f t="shared" si="219"/>
        <v>NVT</v>
      </c>
      <c r="O547" s="141" t="str">
        <f t="shared" si="220"/>
        <v>NVT</v>
      </c>
      <c r="P547" s="141" t="str">
        <f t="shared" si="221"/>
        <v>NVT</v>
      </c>
      <c r="Q547" s="141" t="str">
        <f t="shared" si="222"/>
        <v>NVT</v>
      </c>
      <c r="R547" s="63" t="s">
        <v>1221</v>
      </c>
      <c r="S547" s="142">
        <f t="shared" si="212"/>
        <v>0</v>
      </c>
      <c r="T547" s="143">
        <f>(2.3*6.8)*1.3</f>
        <v>20.332000000000001</v>
      </c>
      <c r="U547" s="144"/>
      <c r="V547" s="144"/>
      <c r="W547" s="144">
        <f>(2.3+6.8+2.3+6.8)*3</f>
        <v>54.599999999999994</v>
      </c>
      <c r="X547" s="144"/>
      <c r="Y547" s="144"/>
      <c r="Z547" s="145"/>
      <c r="AA547" s="145">
        <f>T547</f>
        <v>20.332000000000001</v>
      </c>
      <c r="AB547" s="145"/>
      <c r="AC547" s="145"/>
      <c r="AD547" s="146" t="s">
        <v>1075</v>
      </c>
      <c r="AE547" s="171">
        <v>1</v>
      </c>
      <c r="AF547" s="147">
        <f t="shared" si="223"/>
        <v>0</v>
      </c>
      <c r="AG547" s="147">
        <f t="shared" si="224"/>
        <v>0</v>
      </c>
      <c r="AH547" s="147">
        <f t="shared" si="225"/>
        <v>0</v>
      </c>
      <c r="AI547" s="147">
        <f t="shared" si="226"/>
        <v>0</v>
      </c>
      <c r="AJ547" s="148">
        <f t="shared" si="227"/>
        <v>0</v>
      </c>
      <c r="AK547" s="149">
        <f t="shared" si="208"/>
        <v>0</v>
      </c>
      <c r="AL547" s="149">
        <f t="shared" si="209"/>
        <v>0</v>
      </c>
      <c r="AM547" s="149">
        <f t="shared" si="210"/>
        <v>0</v>
      </c>
      <c r="AN547" s="149">
        <f t="shared" si="211"/>
        <v>0</v>
      </c>
      <c r="AO547" s="150">
        <f t="shared" si="228"/>
        <v>0</v>
      </c>
      <c r="AQ547" s="151">
        <f t="shared" si="229"/>
        <v>0</v>
      </c>
    </row>
    <row r="548" spans="1:43" ht="15" customHeight="1">
      <c r="A548" s="82" t="e">
        <f t="shared" si="214"/>
        <v>#REF!</v>
      </c>
      <c r="B548" s="134">
        <v>105</v>
      </c>
      <c r="C548" s="135" t="s">
        <v>943</v>
      </c>
      <c r="D548" s="136" t="s">
        <v>274</v>
      </c>
      <c r="E548" s="137" t="s">
        <v>947</v>
      </c>
      <c r="F548" s="138" t="s">
        <v>505</v>
      </c>
      <c r="G548" s="139" t="s">
        <v>1048</v>
      </c>
      <c r="H548" s="140" t="str">
        <f t="shared" si="215"/>
        <v>Niet van toepassing</v>
      </c>
      <c r="I548" s="138" t="s">
        <v>269</v>
      </c>
      <c r="J548" s="138" t="s">
        <v>1172</v>
      </c>
      <c r="K548" s="141" t="str">
        <f t="shared" si="216"/>
        <v>NVT</v>
      </c>
      <c r="L548" s="141" t="str">
        <f t="shared" si="217"/>
        <v>NVT</v>
      </c>
      <c r="M548" s="141" t="str">
        <f t="shared" si="218"/>
        <v>NVT</v>
      </c>
      <c r="N548" s="141" t="str">
        <f t="shared" si="219"/>
        <v>NVT</v>
      </c>
      <c r="O548" s="141" t="str">
        <f t="shared" si="220"/>
        <v>NVT</v>
      </c>
      <c r="P548" s="141" t="str">
        <f t="shared" si="221"/>
        <v>NVT</v>
      </c>
      <c r="Q548" s="141" t="str">
        <f t="shared" si="222"/>
        <v>NVT</v>
      </c>
      <c r="R548" s="63" t="s">
        <v>1221</v>
      </c>
      <c r="S548" s="142">
        <f t="shared" si="212"/>
        <v>0</v>
      </c>
      <c r="T548" s="143">
        <f>(7.4*15.7)*1.3</f>
        <v>151.03400000000002</v>
      </c>
      <c r="U548" s="144"/>
      <c r="V548" s="144"/>
      <c r="W548" s="144">
        <f>((7.4+15.7+7.4+15.7)*2.8)+((3.3+4.7+3.3+4.7)*8.3)</f>
        <v>262.16000000000003</v>
      </c>
      <c r="X548" s="144"/>
      <c r="Y548" s="144"/>
      <c r="Z548" s="145"/>
      <c r="AA548" s="145">
        <f>T548</f>
        <v>151.03400000000002</v>
      </c>
      <c r="AB548" s="145"/>
      <c r="AC548" s="145"/>
      <c r="AD548" s="146"/>
      <c r="AE548" s="171">
        <v>1</v>
      </c>
      <c r="AF548" s="147">
        <f t="shared" si="223"/>
        <v>0</v>
      </c>
      <c r="AG548" s="147">
        <f t="shared" si="224"/>
        <v>0</v>
      </c>
      <c r="AH548" s="147">
        <f t="shared" si="225"/>
        <v>0</v>
      </c>
      <c r="AI548" s="147">
        <f t="shared" si="226"/>
        <v>0</v>
      </c>
      <c r="AJ548" s="148">
        <f t="shared" si="227"/>
        <v>0</v>
      </c>
      <c r="AK548" s="149">
        <f t="shared" si="208"/>
        <v>0</v>
      </c>
      <c r="AL548" s="149">
        <f t="shared" si="209"/>
        <v>0</v>
      </c>
      <c r="AM548" s="149">
        <f t="shared" si="210"/>
        <v>0</v>
      </c>
      <c r="AN548" s="149">
        <f t="shared" si="211"/>
        <v>0</v>
      </c>
      <c r="AO548" s="150">
        <f t="shared" si="228"/>
        <v>0</v>
      </c>
      <c r="AQ548" s="151">
        <f t="shared" si="229"/>
        <v>0</v>
      </c>
    </row>
    <row r="549" spans="1:43" ht="15" customHeight="1">
      <c r="A549" s="82" t="e">
        <f t="shared" si="214"/>
        <v>#REF!</v>
      </c>
      <c r="B549" s="134">
        <v>105</v>
      </c>
      <c r="C549" s="135" t="s">
        <v>943</v>
      </c>
      <c r="D549" s="136" t="s">
        <v>274</v>
      </c>
      <c r="E549" s="137" t="s">
        <v>947</v>
      </c>
      <c r="F549" s="138" t="s">
        <v>263</v>
      </c>
      <c r="G549" s="139" t="s">
        <v>869</v>
      </c>
      <c r="H549" s="140" t="str">
        <f t="shared" si="215"/>
        <v>Niet van toepassing</v>
      </c>
      <c r="I549" s="138" t="s">
        <v>82</v>
      </c>
      <c r="J549" s="138" t="s">
        <v>1172</v>
      </c>
      <c r="K549" s="141" t="str">
        <f t="shared" si="216"/>
        <v>NVT</v>
      </c>
      <c r="L549" s="141" t="str">
        <f t="shared" si="217"/>
        <v>NVT</v>
      </c>
      <c r="M549" s="141" t="str">
        <f t="shared" si="218"/>
        <v>NVT</v>
      </c>
      <c r="N549" s="141" t="str">
        <f t="shared" si="219"/>
        <v>NVT</v>
      </c>
      <c r="O549" s="141" t="str">
        <f t="shared" si="220"/>
        <v>NVT</v>
      </c>
      <c r="P549" s="141" t="str">
        <f t="shared" si="221"/>
        <v>NVT</v>
      </c>
      <c r="Q549" s="141" t="str">
        <f t="shared" si="222"/>
        <v>NVT</v>
      </c>
      <c r="R549" s="63" t="s">
        <v>1221</v>
      </c>
      <c r="S549" s="142">
        <f t="shared" si="212"/>
        <v>0</v>
      </c>
      <c r="T549" s="143">
        <f>(((8.5+7.7+4.5)*2.1)+(2*1.5))*1.3</f>
        <v>60.411000000000001</v>
      </c>
      <c r="U549" s="144"/>
      <c r="V549" s="144"/>
      <c r="W549" s="144"/>
      <c r="X549" s="144"/>
      <c r="Y549" s="144">
        <f>(4.5+7.7+8.5+5.1+8.5+7.7+4.5+5.1+1.5+1.5)*2.3</f>
        <v>125.58</v>
      </c>
      <c r="Z549" s="145"/>
      <c r="AA549" s="145"/>
      <c r="AB549" s="145">
        <f>0.75*T549</f>
        <v>45.308250000000001</v>
      </c>
      <c r="AC549" s="145"/>
      <c r="AD549" s="146"/>
      <c r="AE549" s="171">
        <v>1</v>
      </c>
      <c r="AF549" s="147">
        <f t="shared" si="223"/>
        <v>0</v>
      </c>
      <c r="AG549" s="147">
        <f t="shared" si="224"/>
        <v>0</v>
      </c>
      <c r="AH549" s="147">
        <f t="shared" si="225"/>
        <v>0</v>
      </c>
      <c r="AI549" s="147">
        <f t="shared" si="226"/>
        <v>0</v>
      </c>
      <c r="AJ549" s="148">
        <f t="shared" si="227"/>
        <v>0</v>
      </c>
      <c r="AK549" s="149">
        <f t="shared" si="208"/>
        <v>0</v>
      </c>
      <c r="AL549" s="149">
        <f t="shared" si="209"/>
        <v>0</v>
      </c>
      <c r="AM549" s="149">
        <f t="shared" si="210"/>
        <v>0</v>
      </c>
      <c r="AN549" s="149">
        <f t="shared" si="211"/>
        <v>0</v>
      </c>
      <c r="AO549" s="150">
        <f t="shared" si="228"/>
        <v>0</v>
      </c>
      <c r="AQ549" s="151">
        <f t="shared" si="229"/>
        <v>0</v>
      </c>
    </row>
    <row r="550" spans="1:43" ht="15" customHeight="1">
      <c r="A550" s="82" t="e">
        <f t="shared" si="214"/>
        <v>#REF!</v>
      </c>
      <c r="B550" s="134">
        <v>105</v>
      </c>
      <c r="C550" s="135" t="s">
        <v>943</v>
      </c>
      <c r="D550" s="136" t="s">
        <v>274</v>
      </c>
      <c r="E550" s="137" t="s">
        <v>947</v>
      </c>
      <c r="F550" s="138" t="s">
        <v>263</v>
      </c>
      <c r="G550" s="139" t="s">
        <v>626</v>
      </c>
      <c r="H550" s="140" t="str">
        <f t="shared" si="215"/>
        <v>Niet van toepassing</v>
      </c>
      <c r="I550" s="138" t="s">
        <v>82</v>
      </c>
      <c r="J550" s="138" t="s">
        <v>1172</v>
      </c>
      <c r="K550" s="141" t="str">
        <f t="shared" si="216"/>
        <v>NVT</v>
      </c>
      <c r="L550" s="141" t="str">
        <f t="shared" si="217"/>
        <v>NVT</v>
      </c>
      <c r="M550" s="141" t="str">
        <f t="shared" si="218"/>
        <v>NVT</v>
      </c>
      <c r="N550" s="141" t="str">
        <f t="shared" si="219"/>
        <v>NVT</v>
      </c>
      <c r="O550" s="141" t="str">
        <f t="shared" si="220"/>
        <v>NVT</v>
      </c>
      <c r="P550" s="141" t="str">
        <f t="shared" si="221"/>
        <v>NVT</v>
      </c>
      <c r="Q550" s="141" t="str">
        <f t="shared" si="222"/>
        <v>NVT</v>
      </c>
      <c r="R550" s="63" t="s">
        <v>1221</v>
      </c>
      <c r="S550" s="142">
        <f t="shared" si="212"/>
        <v>0</v>
      </c>
      <c r="T550" s="143">
        <f>(13.3*5)*1.3</f>
        <v>86.45</v>
      </c>
      <c r="U550" s="144"/>
      <c r="V550" s="144"/>
      <c r="W550" s="144"/>
      <c r="X550" s="144"/>
      <c r="Y550" s="144">
        <f>((7.3+5+7.3)*2.3)+((6+5+6)*2)</f>
        <v>79.08</v>
      </c>
      <c r="Z550" s="145"/>
      <c r="AA550" s="145"/>
      <c r="AB550" s="145">
        <f>0.75*T550</f>
        <v>64.837500000000006</v>
      </c>
      <c r="AC550" s="145"/>
      <c r="AD550" s="146"/>
      <c r="AE550" s="171">
        <v>1</v>
      </c>
      <c r="AF550" s="147">
        <f t="shared" si="223"/>
        <v>0</v>
      </c>
      <c r="AG550" s="147">
        <f t="shared" si="224"/>
        <v>0</v>
      </c>
      <c r="AH550" s="147">
        <f t="shared" si="225"/>
        <v>0</v>
      </c>
      <c r="AI550" s="147">
        <f t="shared" si="226"/>
        <v>0</v>
      </c>
      <c r="AJ550" s="148">
        <f t="shared" si="227"/>
        <v>0</v>
      </c>
      <c r="AK550" s="149">
        <f t="shared" si="208"/>
        <v>0</v>
      </c>
      <c r="AL550" s="149">
        <f t="shared" si="209"/>
        <v>0</v>
      </c>
      <c r="AM550" s="149">
        <f t="shared" si="210"/>
        <v>0</v>
      </c>
      <c r="AN550" s="149">
        <f t="shared" si="211"/>
        <v>0</v>
      </c>
      <c r="AO550" s="150">
        <f t="shared" si="228"/>
        <v>0</v>
      </c>
      <c r="AQ550" s="151">
        <f t="shared" si="229"/>
        <v>0</v>
      </c>
    </row>
    <row r="551" spans="1:43" ht="15" customHeight="1">
      <c r="A551" s="82" t="e">
        <f t="shared" si="214"/>
        <v>#REF!</v>
      </c>
      <c r="B551" s="134">
        <v>105</v>
      </c>
      <c r="C551" s="135" t="s">
        <v>943</v>
      </c>
      <c r="D551" s="136" t="s">
        <v>274</v>
      </c>
      <c r="E551" s="137" t="s">
        <v>947</v>
      </c>
      <c r="F551" s="138" t="s">
        <v>263</v>
      </c>
      <c r="G551" s="139" t="s">
        <v>973</v>
      </c>
      <c r="H551" s="140" t="str">
        <f t="shared" si="215"/>
        <v>Niet van toepassing</v>
      </c>
      <c r="I551" s="138" t="s">
        <v>82</v>
      </c>
      <c r="J551" s="138" t="s">
        <v>1172</v>
      </c>
      <c r="K551" s="141" t="str">
        <f t="shared" si="216"/>
        <v>NVT</v>
      </c>
      <c r="L551" s="141" t="str">
        <f t="shared" si="217"/>
        <v>NVT</v>
      </c>
      <c r="M551" s="141" t="str">
        <f t="shared" si="218"/>
        <v>NVT</v>
      </c>
      <c r="N551" s="141" t="str">
        <f t="shared" si="219"/>
        <v>NVT</v>
      </c>
      <c r="O551" s="141" t="str">
        <f t="shared" si="220"/>
        <v>NVT</v>
      </c>
      <c r="P551" s="141" t="str">
        <f t="shared" si="221"/>
        <v>NVT</v>
      </c>
      <c r="Q551" s="141" t="str">
        <f t="shared" si="222"/>
        <v>NVT</v>
      </c>
      <c r="R551" s="63" t="s">
        <v>1221</v>
      </c>
      <c r="S551" s="142">
        <f t="shared" si="212"/>
        <v>0</v>
      </c>
      <c r="T551" s="143">
        <f>((5*5.15)+(7.3*5.15)+(8.4*5.15))*1.3</f>
        <v>138.5865</v>
      </c>
      <c r="U551" s="144"/>
      <c r="V551" s="144"/>
      <c r="W551" s="144"/>
      <c r="X551" s="144"/>
      <c r="Y551" s="144">
        <f>((5+5.15+5)*2)+((7.3+7.3)*2)+((8.4+5.15+8.4)*2.3)</f>
        <v>109.985</v>
      </c>
      <c r="Z551" s="145"/>
      <c r="AA551" s="145"/>
      <c r="AB551" s="145">
        <f>0.75*T551</f>
        <v>103.939875</v>
      </c>
      <c r="AC551" s="145"/>
      <c r="AD551" s="146"/>
      <c r="AE551" s="171">
        <v>1</v>
      </c>
      <c r="AF551" s="147">
        <f t="shared" si="223"/>
        <v>0</v>
      </c>
      <c r="AG551" s="147">
        <f t="shared" si="224"/>
        <v>0</v>
      </c>
      <c r="AH551" s="147">
        <f t="shared" si="225"/>
        <v>0</v>
      </c>
      <c r="AI551" s="147">
        <f t="shared" si="226"/>
        <v>0</v>
      </c>
      <c r="AJ551" s="148">
        <f t="shared" si="227"/>
        <v>0</v>
      </c>
      <c r="AK551" s="149">
        <f t="shared" si="208"/>
        <v>0</v>
      </c>
      <c r="AL551" s="149">
        <f t="shared" si="209"/>
        <v>0</v>
      </c>
      <c r="AM551" s="149">
        <f t="shared" si="210"/>
        <v>0</v>
      </c>
      <c r="AN551" s="149">
        <f t="shared" si="211"/>
        <v>0</v>
      </c>
      <c r="AO551" s="150">
        <f t="shared" si="228"/>
        <v>0</v>
      </c>
      <c r="AQ551" s="151">
        <f t="shared" si="229"/>
        <v>0</v>
      </c>
    </row>
    <row r="552" spans="1:43" ht="15" customHeight="1">
      <c r="A552" s="82" t="e">
        <f t="shared" si="214"/>
        <v>#REF!</v>
      </c>
      <c r="B552" s="134">
        <v>105</v>
      </c>
      <c r="C552" s="135" t="s">
        <v>943</v>
      </c>
      <c r="D552" s="136" t="s">
        <v>274</v>
      </c>
      <c r="E552" s="137" t="s">
        <v>947</v>
      </c>
      <c r="F552" s="138" t="s">
        <v>263</v>
      </c>
      <c r="G552" s="139" t="s">
        <v>1049</v>
      </c>
      <c r="H552" s="140" t="str">
        <f t="shared" si="215"/>
        <v>Niet van toepassing</v>
      </c>
      <c r="I552" s="138" t="s">
        <v>82</v>
      </c>
      <c r="J552" s="138" t="s">
        <v>1172</v>
      </c>
      <c r="K552" s="141" t="str">
        <f t="shared" si="216"/>
        <v>NVT</v>
      </c>
      <c r="L552" s="141" t="str">
        <f t="shared" si="217"/>
        <v>NVT</v>
      </c>
      <c r="M552" s="141" t="str">
        <f t="shared" si="218"/>
        <v>NVT</v>
      </c>
      <c r="N552" s="141" t="str">
        <f t="shared" si="219"/>
        <v>NVT</v>
      </c>
      <c r="O552" s="141" t="str">
        <f t="shared" si="220"/>
        <v>NVT</v>
      </c>
      <c r="P552" s="141" t="str">
        <f t="shared" si="221"/>
        <v>NVT</v>
      </c>
      <c r="Q552" s="141" t="str">
        <f t="shared" si="222"/>
        <v>NVT</v>
      </c>
      <c r="R552" s="63" t="s">
        <v>1221</v>
      </c>
      <c r="S552" s="142">
        <f t="shared" si="212"/>
        <v>0</v>
      </c>
      <c r="T552" s="143">
        <f>((6.5+5.3+5)*4.8)*1.3</f>
        <v>104.83200000000001</v>
      </c>
      <c r="U552" s="144"/>
      <c r="V552" s="144"/>
      <c r="W552" s="144"/>
      <c r="X552" s="144"/>
      <c r="Y552" s="144">
        <f>((6.5+4.8+6.5)*2.25)+((5.3+5.3)*2)+((5+4.8+5)*2)</f>
        <v>90.85</v>
      </c>
      <c r="Z552" s="145"/>
      <c r="AA552" s="145"/>
      <c r="AB552" s="145">
        <f>0.75*T552</f>
        <v>78.624000000000009</v>
      </c>
      <c r="AC552" s="145"/>
      <c r="AD552" s="146"/>
      <c r="AE552" s="171">
        <v>1</v>
      </c>
      <c r="AF552" s="147">
        <f t="shared" si="223"/>
        <v>0</v>
      </c>
      <c r="AG552" s="147">
        <f t="shared" si="224"/>
        <v>0</v>
      </c>
      <c r="AH552" s="147">
        <f t="shared" si="225"/>
        <v>0</v>
      </c>
      <c r="AI552" s="147">
        <f t="shared" si="226"/>
        <v>0</v>
      </c>
      <c r="AJ552" s="148">
        <f t="shared" si="227"/>
        <v>0</v>
      </c>
      <c r="AK552" s="149">
        <f t="shared" si="208"/>
        <v>0</v>
      </c>
      <c r="AL552" s="149">
        <f t="shared" si="209"/>
        <v>0</v>
      </c>
      <c r="AM552" s="149">
        <f t="shared" si="210"/>
        <v>0</v>
      </c>
      <c r="AN552" s="149">
        <f t="shared" si="211"/>
        <v>0</v>
      </c>
      <c r="AO552" s="150">
        <f t="shared" si="228"/>
        <v>0</v>
      </c>
      <c r="AQ552" s="151">
        <f t="shared" si="229"/>
        <v>0</v>
      </c>
    </row>
    <row r="553" spans="1:43" ht="15" customHeight="1">
      <c r="A553" s="82" t="e">
        <f t="shared" si="214"/>
        <v>#REF!</v>
      </c>
      <c r="B553" s="134">
        <v>105</v>
      </c>
      <c r="C553" s="135" t="s">
        <v>943</v>
      </c>
      <c r="D553" s="136" t="s">
        <v>274</v>
      </c>
      <c r="E553" s="137" t="s">
        <v>947</v>
      </c>
      <c r="F553" s="138" t="s">
        <v>210</v>
      </c>
      <c r="G553" s="139" t="s">
        <v>629</v>
      </c>
      <c r="H553" s="140" t="str">
        <f t="shared" si="215"/>
        <v>Niet van toepassing</v>
      </c>
      <c r="I553" s="138" t="s">
        <v>195</v>
      </c>
      <c r="J553" s="138" t="s">
        <v>1172</v>
      </c>
      <c r="K553" s="141" t="str">
        <f t="shared" si="216"/>
        <v>NVT</v>
      </c>
      <c r="L553" s="141" t="str">
        <f t="shared" si="217"/>
        <v>NVT</v>
      </c>
      <c r="M553" s="141" t="str">
        <f t="shared" si="218"/>
        <v>NVT</v>
      </c>
      <c r="N553" s="141" t="str">
        <f t="shared" si="219"/>
        <v>NVT</v>
      </c>
      <c r="O553" s="141" t="str">
        <f t="shared" si="220"/>
        <v>NVT</v>
      </c>
      <c r="P553" s="141" t="str">
        <f t="shared" si="221"/>
        <v>NVT</v>
      </c>
      <c r="Q553" s="141" t="str">
        <f t="shared" si="222"/>
        <v>NVT</v>
      </c>
      <c r="R553" s="63" t="s">
        <v>1221</v>
      </c>
      <c r="S553" s="142">
        <f t="shared" si="212"/>
        <v>0</v>
      </c>
      <c r="T553" s="143">
        <f>(2.7*2)*1.3</f>
        <v>7.0200000000000005</v>
      </c>
      <c r="U553" s="144"/>
      <c r="V553" s="144"/>
      <c r="W553" s="144"/>
      <c r="X553" s="144"/>
      <c r="Y553" s="144">
        <f>(2.7+2+2.7+2)*3</f>
        <v>28.200000000000003</v>
      </c>
      <c r="Z553" s="145"/>
      <c r="AA553" s="145">
        <f>T553</f>
        <v>7.0200000000000005</v>
      </c>
      <c r="AB553" s="145"/>
      <c r="AC553" s="145"/>
      <c r="AD553" s="146" t="s">
        <v>1075</v>
      </c>
      <c r="AE553" s="171">
        <v>1</v>
      </c>
      <c r="AF553" s="147">
        <f t="shared" si="223"/>
        <v>0</v>
      </c>
      <c r="AG553" s="147">
        <f t="shared" si="224"/>
        <v>0</v>
      </c>
      <c r="AH553" s="147">
        <f t="shared" si="225"/>
        <v>0</v>
      </c>
      <c r="AI553" s="147">
        <f t="shared" si="226"/>
        <v>0</v>
      </c>
      <c r="AJ553" s="148">
        <f t="shared" si="227"/>
        <v>0</v>
      </c>
      <c r="AK553" s="149">
        <f t="shared" si="208"/>
        <v>0</v>
      </c>
      <c r="AL553" s="149">
        <f t="shared" si="209"/>
        <v>0</v>
      </c>
      <c r="AM553" s="149">
        <f t="shared" si="210"/>
        <v>0</v>
      </c>
      <c r="AN553" s="149">
        <f t="shared" si="211"/>
        <v>0</v>
      </c>
      <c r="AO553" s="150">
        <f t="shared" si="228"/>
        <v>0</v>
      </c>
      <c r="AQ553" s="151">
        <f t="shared" si="229"/>
        <v>0</v>
      </c>
    </row>
    <row r="554" spans="1:43" ht="15" customHeight="1">
      <c r="A554" s="82" t="e">
        <f t="shared" si="214"/>
        <v>#REF!</v>
      </c>
      <c r="B554" s="134">
        <v>105</v>
      </c>
      <c r="C554" s="135" t="s">
        <v>943</v>
      </c>
      <c r="D554" s="136" t="s">
        <v>274</v>
      </c>
      <c r="E554" s="137" t="s">
        <v>947</v>
      </c>
      <c r="F554" s="138" t="s">
        <v>210</v>
      </c>
      <c r="G554" s="139" t="s">
        <v>631</v>
      </c>
      <c r="H554" s="140" t="str">
        <f t="shared" si="215"/>
        <v>Niet van toepassing</v>
      </c>
      <c r="I554" s="138" t="s">
        <v>35</v>
      </c>
      <c r="J554" s="138" t="s">
        <v>1172</v>
      </c>
      <c r="K554" s="141" t="str">
        <f t="shared" si="216"/>
        <v>NVT</v>
      </c>
      <c r="L554" s="141" t="str">
        <f t="shared" si="217"/>
        <v>NVT</v>
      </c>
      <c r="M554" s="141" t="str">
        <f t="shared" si="218"/>
        <v>NVT</v>
      </c>
      <c r="N554" s="141" t="str">
        <f t="shared" si="219"/>
        <v>NVT</v>
      </c>
      <c r="O554" s="141" t="str">
        <f t="shared" si="220"/>
        <v>NVT</v>
      </c>
      <c r="P554" s="141" t="str">
        <f t="shared" si="221"/>
        <v>NVT</v>
      </c>
      <c r="Q554" s="141" t="str">
        <f t="shared" si="222"/>
        <v>NVT</v>
      </c>
      <c r="R554" s="63" t="s">
        <v>1221</v>
      </c>
      <c r="S554" s="142">
        <f t="shared" si="212"/>
        <v>0</v>
      </c>
      <c r="T554" s="143">
        <f>2.05*2.85</f>
        <v>5.8424999999999994</v>
      </c>
      <c r="U554" s="144"/>
      <c r="V554" s="144"/>
      <c r="W554" s="144">
        <f>2*(2.05+2.85)*3</f>
        <v>29.400000000000002</v>
      </c>
      <c r="X554" s="144"/>
      <c r="Y554" s="144"/>
      <c r="Z554" s="145"/>
      <c r="AA554" s="145"/>
      <c r="AB554" s="145">
        <v>6</v>
      </c>
      <c r="AC554" s="145"/>
      <c r="AD554" s="146" t="s">
        <v>1075</v>
      </c>
      <c r="AE554" s="171">
        <v>1</v>
      </c>
      <c r="AF554" s="147">
        <f t="shared" si="223"/>
        <v>0</v>
      </c>
      <c r="AG554" s="147">
        <f t="shared" si="224"/>
        <v>0</v>
      </c>
      <c r="AH554" s="147">
        <f t="shared" si="225"/>
        <v>0</v>
      </c>
      <c r="AI554" s="147">
        <f t="shared" si="226"/>
        <v>0</v>
      </c>
      <c r="AJ554" s="148">
        <f t="shared" si="227"/>
        <v>0</v>
      </c>
      <c r="AK554" s="149">
        <f t="shared" si="208"/>
        <v>0</v>
      </c>
      <c r="AL554" s="149">
        <f t="shared" si="209"/>
        <v>0</v>
      </c>
      <c r="AM554" s="149">
        <f t="shared" si="210"/>
        <v>0</v>
      </c>
      <c r="AN554" s="149">
        <f t="shared" si="211"/>
        <v>0</v>
      </c>
      <c r="AO554" s="150">
        <f t="shared" si="228"/>
        <v>0</v>
      </c>
      <c r="AQ554" s="151">
        <f t="shared" si="229"/>
        <v>0</v>
      </c>
    </row>
    <row r="555" spans="1:43" ht="15" customHeight="1">
      <c r="A555" s="82" t="e">
        <f t="shared" si="214"/>
        <v>#REF!</v>
      </c>
      <c r="B555" s="134">
        <v>105</v>
      </c>
      <c r="C555" s="135" t="s">
        <v>943</v>
      </c>
      <c r="D555" s="136" t="s">
        <v>274</v>
      </c>
      <c r="E555" s="137" t="s">
        <v>947</v>
      </c>
      <c r="F555" s="138" t="s">
        <v>870</v>
      </c>
      <c r="G555" s="139" t="s">
        <v>871</v>
      </c>
      <c r="H555" s="140" t="str">
        <f t="shared" si="215"/>
        <v>Niet van toepassing</v>
      </c>
      <c r="I555" s="138" t="s">
        <v>195</v>
      </c>
      <c r="J555" s="138" t="s">
        <v>1172</v>
      </c>
      <c r="K555" s="141" t="str">
        <f t="shared" si="216"/>
        <v>NVT</v>
      </c>
      <c r="L555" s="141" t="str">
        <f t="shared" si="217"/>
        <v>NVT</v>
      </c>
      <c r="M555" s="141" t="str">
        <f t="shared" si="218"/>
        <v>NVT</v>
      </c>
      <c r="N555" s="141" t="str">
        <f t="shared" si="219"/>
        <v>NVT</v>
      </c>
      <c r="O555" s="141" t="str">
        <f t="shared" si="220"/>
        <v>NVT</v>
      </c>
      <c r="P555" s="141" t="str">
        <f t="shared" si="221"/>
        <v>NVT</v>
      </c>
      <c r="Q555" s="141" t="str">
        <f t="shared" si="222"/>
        <v>NVT</v>
      </c>
      <c r="R555" s="63" t="s">
        <v>1221</v>
      </c>
      <c r="S555" s="142">
        <f t="shared" si="212"/>
        <v>0</v>
      </c>
      <c r="T555" s="143">
        <f>(3.7*3)*1.3</f>
        <v>14.430000000000001</v>
      </c>
      <c r="U555" s="144"/>
      <c r="V555" s="144"/>
      <c r="W555" s="144"/>
      <c r="X555" s="144"/>
      <c r="Y555" s="144">
        <f>(3.7+3+3.7+3)*3</f>
        <v>40.200000000000003</v>
      </c>
      <c r="Z555" s="145"/>
      <c r="AA555" s="145"/>
      <c r="AB555" s="145"/>
      <c r="AC555" s="145"/>
      <c r="AD555" s="146"/>
      <c r="AE555" s="171">
        <v>1</v>
      </c>
      <c r="AF555" s="147">
        <f t="shared" si="223"/>
        <v>0</v>
      </c>
      <c r="AG555" s="147">
        <f t="shared" si="224"/>
        <v>0</v>
      </c>
      <c r="AH555" s="147">
        <f t="shared" si="225"/>
        <v>0</v>
      </c>
      <c r="AI555" s="147">
        <f t="shared" si="226"/>
        <v>0</v>
      </c>
      <c r="AJ555" s="148">
        <f t="shared" si="227"/>
        <v>0</v>
      </c>
      <c r="AK555" s="149">
        <f t="shared" si="208"/>
        <v>0</v>
      </c>
      <c r="AL555" s="149">
        <f t="shared" si="209"/>
        <v>0</v>
      </c>
      <c r="AM555" s="149">
        <f t="shared" si="210"/>
        <v>0</v>
      </c>
      <c r="AN555" s="149">
        <f t="shared" si="211"/>
        <v>0</v>
      </c>
      <c r="AO555" s="150">
        <f t="shared" si="228"/>
        <v>0</v>
      </c>
      <c r="AQ555" s="151">
        <f t="shared" si="229"/>
        <v>0</v>
      </c>
    </row>
    <row r="556" spans="1:43" ht="15" customHeight="1">
      <c r="A556" s="82" t="e">
        <f t="shared" si="214"/>
        <v>#REF!</v>
      </c>
      <c r="B556" s="134">
        <v>105</v>
      </c>
      <c r="C556" s="135" t="s">
        <v>943</v>
      </c>
      <c r="D556" s="136" t="s">
        <v>274</v>
      </c>
      <c r="E556" s="137" t="s">
        <v>947</v>
      </c>
      <c r="F556" s="138" t="s">
        <v>977</v>
      </c>
      <c r="G556" s="139" t="s">
        <v>633</v>
      </c>
      <c r="H556" s="140" t="str">
        <f t="shared" si="215"/>
        <v>Niet van toepassing</v>
      </c>
      <c r="I556" s="138" t="s">
        <v>269</v>
      </c>
      <c r="J556" s="138" t="s">
        <v>1172</v>
      </c>
      <c r="K556" s="141" t="str">
        <f t="shared" si="216"/>
        <v>NVT</v>
      </c>
      <c r="L556" s="141" t="str">
        <f t="shared" si="217"/>
        <v>NVT</v>
      </c>
      <c r="M556" s="141" t="str">
        <f t="shared" si="218"/>
        <v>NVT</v>
      </c>
      <c r="N556" s="141" t="str">
        <f t="shared" si="219"/>
        <v>NVT</v>
      </c>
      <c r="O556" s="141" t="str">
        <f t="shared" si="220"/>
        <v>NVT</v>
      </c>
      <c r="P556" s="141" t="str">
        <f t="shared" si="221"/>
        <v>NVT</v>
      </c>
      <c r="Q556" s="141" t="str">
        <f t="shared" si="222"/>
        <v>NVT</v>
      </c>
      <c r="R556" s="63" t="s">
        <v>1221</v>
      </c>
      <c r="S556" s="142">
        <f t="shared" si="212"/>
        <v>0</v>
      </c>
      <c r="T556" s="143">
        <f>(1.5*3.1)*1.3</f>
        <v>6.0450000000000008</v>
      </c>
      <c r="U556" s="144"/>
      <c r="V556" s="144"/>
      <c r="W556" s="144">
        <f>(1.5+3.1+1.5+3.1)*3</f>
        <v>27.599999999999998</v>
      </c>
      <c r="X556" s="144"/>
      <c r="Y556" s="144"/>
      <c r="Z556" s="145"/>
      <c r="AA556" s="145">
        <f>T556</f>
        <v>6.0450000000000008</v>
      </c>
      <c r="AB556" s="145"/>
      <c r="AC556" s="145"/>
      <c r="AD556" s="146" t="s">
        <v>1075</v>
      </c>
      <c r="AE556" s="171">
        <v>1</v>
      </c>
      <c r="AF556" s="147">
        <f t="shared" si="223"/>
        <v>0</v>
      </c>
      <c r="AG556" s="147">
        <f t="shared" si="224"/>
        <v>0</v>
      </c>
      <c r="AH556" s="147">
        <f t="shared" si="225"/>
        <v>0</v>
      </c>
      <c r="AI556" s="147">
        <f t="shared" si="226"/>
        <v>0</v>
      </c>
      <c r="AJ556" s="148">
        <f t="shared" si="227"/>
        <v>0</v>
      </c>
      <c r="AK556" s="149">
        <f t="shared" si="208"/>
        <v>0</v>
      </c>
      <c r="AL556" s="149">
        <f t="shared" si="209"/>
        <v>0</v>
      </c>
      <c r="AM556" s="149">
        <f t="shared" si="210"/>
        <v>0</v>
      </c>
      <c r="AN556" s="149">
        <f t="shared" si="211"/>
        <v>0</v>
      </c>
      <c r="AO556" s="150">
        <f t="shared" si="228"/>
        <v>0</v>
      </c>
      <c r="AQ556" s="151">
        <f t="shared" si="229"/>
        <v>0</v>
      </c>
    </row>
    <row r="557" spans="1:43" ht="15" customHeight="1">
      <c r="A557" s="82" t="e">
        <f t="shared" si="214"/>
        <v>#REF!</v>
      </c>
      <c r="B557" s="134">
        <v>105</v>
      </c>
      <c r="C557" s="135" t="s">
        <v>943</v>
      </c>
      <c r="D557" s="136" t="s">
        <v>274</v>
      </c>
      <c r="E557" s="137" t="s">
        <v>947</v>
      </c>
      <c r="F557" s="138" t="s">
        <v>636</v>
      </c>
      <c r="G557" s="139" t="s">
        <v>875</v>
      </c>
      <c r="H557" s="140" t="str">
        <f t="shared" si="215"/>
        <v>Niet van toepassing</v>
      </c>
      <c r="I557" s="138"/>
      <c r="J557" s="138" t="s">
        <v>1172</v>
      </c>
      <c r="K557" s="141" t="str">
        <f t="shared" si="216"/>
        <v>NVT</v>
      </c>
      <c r="L557" s="141" t="str">
        <f t="shared" si="217"/>
        <v>NVT</v>
      </c>
      <c r="M557" s="141" t="str">
        <f t="shared" si="218"/>
        <v>NVT</v>
      </c>
      <c r="N557" s="141" t="str">
        <f t="shared" si="219"/>
        <v>NVT</v>
      </c>
      <c r="O557" s="141" t="str">
        <f t="shared" si="220"/>
        <v>NVT</v>
      </c>
      <c r="P557" s="141" t="str">
        <f t="shared" si="221"/>
        <v>NVT</v>
      </c>
      <c r="Q557" s="141" t="str">
        <f t="shared" si="222"/>
        <v>NVT</v>
      </c>
      <c r="R557" s="63" t="s">
        <v>1221</v>
      </c>
      <c r="S557" s="142">
        <f t="shared" si="212"/>
        <v>0</v>
      </c>
      <c r="T557" s="143">
        <v>0</v>
      </c>
      <c r="U557" s="144"/>
      <c r="V557" s="144"/>
      <c r="W557" s="144"/>
      <c r="X557" s="144"/>
      <c r="Y557" s="144"/>
      <c r="Z557" s="145"/>
      <c r="AA557" s="145"/>
      <c r="AB557" s="145"/>
      <c r="AC557" s="145"/>
      <c r="AD557" s="146" t="s">
        <v>1258</v>
      </c>
      <c r="AE557" s="171">
        <v>1</v>
      </c>
      <c r="AF557" s="147">
        <f t="shared" si="223"/>
        <v>0</v>
      </c>
      <c r="AG557" s="147">
        <f t="shared" si="224"/>
        <v>0</v>
      </c>
      <c r="AH557" s="147">
        <f t="shared" si="225"/>
        <v>0</v>
      </c>
      <c r="AI557" s="147">
        <f t="shared" si="226"/>
        <v>0</v>
      </c>
      <c r="AJ557" s="148">
        <f t="shared" si="227"/>
        <v>0</v>
      </c>
      <c r="AK557" s="149">
        <f t="shared" si="208"/>
        <v>0</v>
      </c>
      <c r="AL557" s="149">
        <f t="shared" si="209"/>
        <v>0</v>
      </c>
      <c r="AM557" s="149">
        <f t="shared" si="210"/>
        <v>0</v>
      </c>
      <c r="AN557" s="149">
        <f t="shared" si="211"/>
        <v>0</v>
      </c>
      <c r="AO557" s="150">
        <f t="shared" si="228"/>
        <v>0</v>
      </c>
      <c r="AQ557" s="151">
        <f t="shared" si="229"/>
        <v>0</v>
      </c>
    </row>
    <row r="558" spans="1:43" ht="15" customHeight="1">
      <c r="A558" s="82" t="e">
        <f t="shared" si="214"/>
        <v>#REF!</v>
      </c>
      <c r="B558" s="134">
        <v>105</v>
      </c>
      <c r="C558" s="135" t="s">
        <v>943</v>
      </c>
      <c r="D558" s="136" t="s">
        <v>274</v>
      </c>
      <c r="E558" s="137" t="s">
        <v>947</v>
      </c>
      <c r="F558" s="138" t="s">
        <v>636</v>
      </c>
      <c r="G558" s="139" t="s">
        <v>877</v>
      </c>
      <c r="H558" s="140" t="str">
        <f t="shared" si="215"/>
        <v>Niet van toepassing</v>
      </c>
      <c r="I558" s="138" t="s">
        <v>269</v>
      </c>
      <c r="J558" s="138" t="s">
        <v>1172</v>
      </c>
      <c r="K558" s="141" t="str">
        <f t="shared" si="216"/>
        <v>NVT</v>
      </c>
      <c r="L558" s="141" t="str">
        <f t="shared" si="217"/>
        <v>NVT</v>
      </c>
      <c r="M558" s="141" t="str">
        <f t="shared" si="218"/>
        <v>NVT</v>
      </c>
      <c r="N558" s="141" t="str">
        <f t="shared" si="219"/>
        <v>NVT</v>
      </c>
      <c r="O558" s="141" t="str">
        <f t="shared" si="220"/>
        <v>NVT</v>
      </c>
      <c r="P558" s="141" t="str">
        <f t="shared" si="221"/>
        <v>NVT</v>
      </c>
      <c r="Q558" s="141" t="str">
        <f t="shared" si="222"/>
        <v>NVT</v>
      </c>
      <c r="R558" s="63" t="s">
        <v>1221</v>
      </c>
      <c r="S558" s="142">
        <f t="shared" si="212"/>
        <v>0</v>
      </c>
      <c r="T558" s="143">
        <v>76.7</v>
      </c>
      <c r="U558" s="144"/>
      <c r="V558" s="144"/>
      <c r="W558" s="144">
        <f>(38+2.2)*3</f>
        <v>120.60000000000001</v>
      </c>
      <c r="X558" s="144"/>
      <c r="Y558" s="144"/>
      <c r="Z558" s="145"/>
      <c r="AA558" s="145"/>
      <c r="AB558" s="145"/>
      <c r="AC558" s="145"/>
      <c r="AD558" s="146"/>
      <c r="AE558" s="171">
        <v>1</v>
      </c>
      <c r="AF558" s="147">
        <f t="shared" si="223"/>
        <v>0</v>
      </c>
      <c r="AG558" s="147">
        <f t="shared" si="224"/>
        <v>0</v>
      </c>
      <c r="AH558" s="147">
        <f t="shared" si="225"/>
        <v>0</v>
      </c>
      <c r="AI558" s="147">
        <f t="shared" si="226"/>
        <v>0</v>
      </c>
      <c r="AJ558" s="148">
        <f t="shared" si="227"/>
        <v>0</v>
      </c>
      <c r="AK558" s="149">
        <f t="shared" si="208"/>
        <v>0</v>
      </c>
      <c r="AL558" s="149">
        <f t="shared" si="209"/>
        <v>0</v>
      </c>
      <c r="AM558" s="149">
        <f t="shared" si="210"/>
        <v>0</v>
      </c>
      <c r="AN558" s="149">
        <f t="shared" si="211"/>
        <v>0</v>
      </c>
      <c r="AO558" s="150">
        <f t="shared" si="228"/>
        <v>0</v>
      </c>
      <c r="AQ558" s="151">
        <f t="shared" si="229"/>
        <v>0</v>
      </c>
    </row>
    <row r="559" spans="1:43" ht="15" customHeight="1">
      <c r="A559" s="82" t="e">
        <f t="shared" si="214"/>
        <v>#REF!</v>
      </c>
      <c r="B559" s="134">
        <v>105</v>
      </c>
      <c r="C559" s="135" t="s">
        <v>943</v>
      </c>
      <c r="D559" s="136" t="s">
        <v>274</v>
      </c>
      <c r="E559" s="137" t="s">
        <v>947</v>
      </c>
      <c r="F559" s="138" t="s">
        <v>646</v>
      </c>
      <c r="G559" s="139" t="s">
        <v>637</v>
      </c>
      <c r="H559" s="140" t="str">
        <f t="shared" si="215"/>
        <v>Niet van toepassing</v>
      </c>
      <c r="I559" s="138" t="s">
        <v>35</v>
      </c>
      <c r="J559" s="138" t="s">
        <v>1172</v>
      </c>
      <c r="K559" s="141" t="str">
        <f t="shared" si="216"/>
        <v>NVT</v>
      </c>
      <c r="L559" s="141" t="str">
        <f t="shared" si="217"/>
        <v>NVT</v>
      </c>
      <c r="M559" s="141" t="str">
        <f t="shared" si="218"/>
        <v>NVT</v>
      </c>
      <c r="N559" s="141" t="str">
        <f t="shared" si="219"/>
        <v>NVT</v>
      </c>
      <c r="O559" s="141" t="str">
        <f t="shared" si="220"/>
        <v>NVT</v>
      </c>
      <c r="P559" s="141" t="str">
        <f t="shared" si="221"/>
        <v>NVT</v>
      </c>
      <c r="Q559" s="141" t="str">
        <f t="shared" si="222"/>
        <v>NVT</v>
      </c>
      <c r="R559" s="63" t="s">
        <v>1221</v>
      </c>
      <c r="S559" s="142">
        <f t="shared" si="212"/>
        <v>0</v>
      </c>
      <c r="T559" s="143">
        <v>1</v>
      </c>
      <c r="U559" s="144"/>
      <c r="V559" s="144"/>
      <c r="W559" s="144">
        <v>12</v>
      </c>
      <c r="X559" s="144"/>
      <c r="Y559" s="144"/>
      <c r="Z559" s="145"/>
      <c r="AA559" s="145">
        <v>1</v>
      </c>
      <c r="AB559" s="145"/>
      <c r="AC559" s="145"/>
      <c r="AD559" s="146"/>
      <c r="AE559" s="171">
        <v>1</v>
      </c>
      <c r="AF559" s="147">
        <f t="shared" si="223"/>
        <v>0</v>
      </c>
      <c r="AG559" s="147">
        <f t="shared" si="224"/>
        <v>0</v>
      </c>
      <c r="AH559" s="147">
        <f t="shared" si="225"/>
        <v>0</v>
      </c>
      <c r="AI559" s="147">
        <f t="shared" si="226"/>
        <v>0</v>
      </c>
      <c r="AJ559" s="148">
        <f t="shared" si="227"/>
        <v>0</v>
      </c>
      <c r="AK559" s="149">
        <f t="shared" si="208"/>
        <v>0</v>
      </c>
      <c r="AL559" s="149">
        <f t="shared" si="209"/>
        <v>0</v>
      </c>
      <c r="AM559" s="149">
        <f t="shared" si="210"/>
        <v>0</v>
      </c>
      <c r="AN559" s="149">
        <f t="shared" si="211"/>
        <v>0</v>
      </c>
      <c r="AO559" s="150">
        <f t="shared" si="228"/>
        <v>0</v>
      </c>
      <c r="AQ559" s="151">
        <f t="shared" si="229"/>
        <v>0</v>
      </c>
    </row>
    <row r="560" spans="1:43" ht="15" customHeight="1">
      <c r="A560" s="82" t="e">
        <f t="shared" si="214"/>
        <v>#REF!</v>
      </c>
      <c r="B560" s="134">
        <v>105</v>
      </c>
      <c r="C560" s="135" t="s">
        <v>943</v>
      </c>
      <c r="D560" s="136" t="s">
        <v>274</v>
      </c>
      <c r="E560" s="137" t="s">
        <v>947</v>
      </c>
      <c r="F560" s="138" t="s">
        <v>646</v>
      </c>
      <c r="G560" s="139" t="s">
        <v>881</v>
      </c>
      <c r="H560" s="140" t="str">
        <f t="shared" si="215"/>
        <v>Niet van toepassing</v>
      </c>
      <c r="I560" s="138" t="s">
        <v>35</v>
      </c>
      <c r="J560" s="138" t="s">
        <v>1172</v>
      </c>
      <c r="K560" s="141" t="str">
        <f t="shared" si="216"/>
        <v>NVT</v>
      </c>
      <c r="L560" s="141" t="str">
        <f t="shared" si="217"/>
        <v>NVT</v>
      </c>
      <c r="M560" s="141" t="str">
        <f t="shared" si="218"/>
        <v>NVT</v>
      </c>
      <c r="N560" s="141" t="str">
        <f t="shared" si="219"/>
        <v>NVT</v>
      </c>
      <c r="O560" s="141" t="str">
        <f t="shared" si="220"/>
        <v>NVT</v>
      </c>
      <c r="P560" s="141" t="str">
        <f t="shared" si="221"/>
        <v>NVT</v>
      </c>
      <c r="Q560" s="141" t="str">
        <f t="shared" si="222"/>
        <v>NVT</v>
      </c>
      <c r="R560" s="63" t="s">
        <v>1221</v>
      </c>
      <c r="S560" s="142">
        <f t="shared" si="212"/>
        <v>0</v>
      </c>
      <c r="T560" s="143">
        <v>2</v>
      </c>
      <c r="U560" s="144"/>
      <c r="V560" s="144"/>
      <c r="W560" s="144">
        <v>18</v>
      </c>
      <c r="X560" s="144"/>
      <c r="Y560" s="144"/>
      <c r="Z560" s="145"/>
      <c r="AA560" s="145">
        <v>2</v>
      </c>
      <c r="AB560" s="145"/>
      <c r="AC560" s="145"/>
      <c r="AD560" s="146"/>
      <c r="AE560" s="171">
        <v>1</v>
      </c>
      <c r="AF560" s="147">
        <f t="shared" si="223"/>
        <v>0</v>
      </c>
      <c r="AG560" s="147">
        <f t="shared" si="224"/>
        <v>0</v>
      </c>
      <c r="AH560" s="147">
        <f t="shared" si="225"/>
        <v>0</v>
      </c>
      <c r="AI560" s="147">
        <f t="shared" si="226"/>
        <v>0</v>
      </c>
      <c r="AJ560" s="148">
        <f t="shared" si="227"/>
        <v>0</v>
      </c>
      <c r="AK560" s="149">
        <f t="shared" si="208"/>
        <v>0</v>
      </c>
      <c r="AL560" s="149">
        <f t="shared" si="209"/>
        <v>0</v>
      </c>
      <c r="AM560" s="149">
        <f t="shared" si="210"/>
        <v>0</v>
      </c>
      <c r="AN560" s="149">
        <f t="shared" si="211"/>
        <v>0</v>
      </c>
      <c r="AO560" s="150">
        <f t="shared" si="228"/>
        <v>0</v>
      </c>
      <c r="AQ560" s="151">
        <f t="shared" si="229"/>
        <v>0</v>
      </c>
    </row>
    <row r="561" spans="1:43" ht="15" customHeight="1">
      <c r="A561" s="82" t="e">
        <f t="shared" si="214"/>
        <v>#REF!</v>
      </c>
      <c r="B561" s="134">
        <v>105</v>
      </c>
      <c r="C561" s="135" t="s">
        <v>943</v>
      </c>
      <c r="D561" s="136" t="s">
        <v>274</v>
      </c>
      <c r="E561" s="137" t="s">
        <v>947</v>
      </c>
      <c r="F561" s="138" t="s">
        <v>646</v>
      </c>
      <c r="G561" s="139" t="s">
        <v>882</v>
      </c>
      <c r="H561" s="140" t="str">
        <f t="shared" si="215"/>
        <v>Niet van toepassing</v>
      </c>
      <c r="I561" s="138" t="s">
        <v>82</v>
      </c>
      <c r="J561" s="138" t="s">
        <v>1172</v>
      </c>
      <c r="K561" s="141" t="str">
        <f t="shared" si="216"/>
        <v>NVT</v>
      </c>
      <c r="L561" s="141" t="str">
        <f t="shared" si="217"/>
        <v>NVT</v>
      </c>
      <c r="M561" s="141" t="str">
        <f t="shared" si="218"/>
        <v>NVT</v>
      </c>
      <c r="N561" s="141" t="str">
        <f t="shared" si="219"/>
        <v>NVT</v>
      </c>
      <c r="O561" s="141" t="str">
        <f t="shared" si="220"/>
        <v>NVT</v>
      </c>
      <c r="P561" s="141" t="str">
        <f t="shared" si="221"/>
        <v>NVT</v>
      </c>
      <c r="Q561" s="141" t="str">
        <f t="shared" si="222"/>
        <v>NVT</v>
      </c>
      <c r="R561" s="63" t="s">
        <v>1221</v>
      </c>
      <c r="S561" s="142">
        <f t="shared" si="212"/>
        <v>0</v>
      </c>
      <c r="T561" s="143">
        <f>(6.15*1.1)*1.3</f>
        <v>8.7945000000000011</v>
      </c>
      <c r="U561" s="144"/>
      <c r="V561" s="144"/>
      <c r="W561" s="144">
        <f>(6.15+1.1+6.15+1.1)*3</f>
        <v>43.5</v>
      </c>
      <c r="X561" s="144"/>
      <c r="Y561" s="144"/>
      <c r="Z561" s="145"/>
      <c r="AA561" s="145">
        <f>T561</f>
        <v>8.7945000000000011</v>
      </c>
      <c r="AB561" s="145"/>
      <c r="AC561" s="145"/>
      <c r="AD561" s="146" t="s">
        <v>1075</v>
      </c>
      <c r="AE561" s="171">
        <v>1</v>
      </c>
      <c r="AF561" s="147">
        <f t="shared" si="223"/>
        <v>0</v>
      </c>
      <c r="AG561" s="147">
        <f t="shared" si="224"/>
        <v>0</v>
      </c>
      <c r="AH561" s="147">
        <f t="shared" si="225"/>
        <v>0</v>
      </c>
      <c r="AI561" s="147">
        <f t="shared" si="226"/>
        <v>0</v>
      </c>
      <c r="AJ561" s="148">
        <f t="shared" si="227"/>
        <v>0</v>
      </c>
      <c r="AK561" s="149">
        <f t="shared" si="208"/>
        <v>0</v>
      </c>
      <c r="AL561" s="149">
        <f t="shared" si="209"/>
        <v>0</v>
      </c>
      <c r="AM561" s="149">
        <f t="shared" si="210"/>
        <v>0</v>
      </c>
      <c r="AN561" s="149">
        <f t="shared" si="211"/>
        <v>0</v>
      </c>
      <c r="AO561" s="150">
        <f t="shared" si="228"/>
        <v>0</v>
      </c>
      <c r="AQ561" s="151">
        <f t="shared" si="229"/>
        <v>0</v>
      </c>
    </row>
    <row r="562" spans="1:43" ht="15" customHeight="1">
      <c r="A562" s="82" t="e">
        <f t="shared" si="214"/>
        <v>#REF!</v>
      </c>
      <c r="B562" s="134">
        <v>105</v>
      </c>
      <c r="C562" s="135" t="s">
        <v>943</v>
      </c>
      <c r="D562" s="136" t="s">
        <v>274</v>
      </c>
      <c r="E562" s="137" t="s">
        <v>947</v>
      </c>
      <c r="F562" s="138" t="s">
        <v>646</v>
      </c>
      <c r="G562" s="139" t="s">
        <v>670</v>
      </c>
      <c r="H562" s="140" t="str">
        <f t="shared" si="215"/>
        <v>Niet van toepassing</v>
      </c>
      <c r="I562" s="138" t="s">
        <v>269</v>
      </c>
      <c r="J562" s="138" t="s">
        <v>1172</v>
      </c>
      <c r="K562" s="141" t="str">
        <f t="shared" si="216"/>
        <v>NVT</v>
      </c>
      <c r="L562" s="141" t="str">
        <f t="shared" si="217"/>
        <v>NVT</v>
      </c>
      <c r="M562" s="141" t="str">
        <f t="shared" si="218"/>
        <v>NVT</v>
      </c>
      <c r="N562" s="141" t="str">
        <f t="shared" si="219"/>
        <v>NVT</v>
      </c>
      <c r="O562" s="141" t="str">
        <f t="shared" si="220"/>
        <v>NVT</v>
      </c>
      <c r="P562" s="141" t="str">
        <f t="shared" si="221"/>
        <v>NVT</v>
      </c>
      <c r="Q562" s="141" t="str">
        <f t="shared" si="222"/>
        <v>NVT</v>
      </c>
      <c r="R562" s="63" t="s">
        <v>1221</v>
      </c>
      <c r="S562" s="142">
        <f t="shared" si="212"/>
        <v>0</v>
      </c>
      <c r="T562" s="143">
        <f>((10.35*6.1)+(2.5*2.15))*1.3</f>
        <v>89.062999999999988</v>
      </c>
      <c r="U562" s="144"/>
      <c r="V562" s="144"/>
      <c r="W562" s="144">
        <f>(6.1+7.65+2.15+2.5+8.25+10.35)*3</f>
        <v>111</v>
      </c>
      <c r="X562" s="144"/>
      <c r="Y562" s="144"/>
      <c r="Z562" s="145"/>
      <c r="AA562" s="145">
        <f>T562</f>
        <v>89.062999999999988</v>
      </c>
      <c r="AB562" s="145"/>
      <c r="AC562" s="145"/>
      <c r="AD562" s="146" t="s">
        <v>1075</v>
      </c>
      <c r="AE562" s="171">
        <v>1</v>
      </c>
      <c r="AF562" s="147">
        <f t="shared" si="223"/>
        <v>0</v>
      </c>
      <c r="AG562" s="147">
        <f t="shared" si="224"/>
        <v>0</v>
      </c>
      <c r="AH562" s="147">
        <f t="shared" si="225"/>
        <v>0</v>
      </c>
      <c r="AI562" s="147">
        <f t="shared" si="226"/>
        <v>0</v>
      </c>
      <c r="AJ562" s="148">
        <f t="shared" si="227"/>
        <v>0</v>
      </c>
      <c r="AK562" s="149">
        <f t="shared" si="208"/>
        <v>0</v>
      </c>
      <c r="AL562" s="149">
        <f t="shared" si="209"/>
        <v>0</v>
      </c>
      <c r="AM562" s="149">
        <f t="shared" si="210"/>
        <v>0</v>
      </c>
      <c r="AN562" s="149">
        <f t="shared" si="211"/>
        <v>0</v>
      </c>
      <c r="AO562" s="150">
        <f t="shared" si="228"/>
        <v>0</v>
      </c>
      <c r="AQ562" s="151">
        <f t="shared" si="229"/>
        <v>0</v>
      </c>
    </row>
    <row r="563" spans="1:43" ht="15" customHeight="1">
      <c r="A563" s="82" t="e">
        <f t="shared" si="214"/>
        <v>#REF!</v>
      </c>
      <c r="B563" s="134">
        <v>105</v>
      </c>
      <c r="C563" s="135" t="s">
        <v>943</v>
      </c>
      <c r="D563" s="136" t="s">
        <v>274</v>
      </c>
      <c r="E563" s="137" t="s">
        <v>947</v>
      </c>
      <c r="F563" s="138" t="s">
        <v>646</v>
      </c>
      <c r="G563" s="139" t="s">
        <v>647</v>
      </c>
      <c r="H563" s="140" t="str">
        <f t="shared" si="215"/>
        <v>Niet van toepassing</v>
      </c>
      <c r="I563" s="138" t="s">
        <v>82</v>
      </c>
      <c r="J563" s="138" t="s">
        <v>1172</v>
      </c>
      <c r="K563" s="141" t="str">
        <f t="shared" si="216"/>
        <v>NVT</v>
      </c>
      <c r="L563" s="141" t="str">
        <f t="shared" si="217"/>
        <v>NVT</v>
      </c>
      <c r="M563" s="141" t="str">
        <f t="shared" si="218"/>
        <v>NVT</v>
      </c>
      <c r="N563" s="141" t="str">
        <f t="shared" si="219"/>
        <v>NVT</v>
      </c>
      <c r="O563" s="141" t="str">
        <f t="shared" si="220"/>
        <v>NVT</v>
      </c>
      <c r="P563" s="141" t="str">
        <f t="shared" si="221"/>
        <v>NVT</v>
      </c>
      <c r="Q563" s="141" t="str">
        <f t="shared" si="222"/>
        <v>NVT</v>
      </c>
      <c r="R563" s="63" t="s">
        <v>1221</v>
      </c>
      <c r="S563" s="142">
        <f t="shared" si="212"/>
        <v>0</v>
      </c>
      <c r="T563" s="143">
        <f>((9.7*6.35)-(3*1.25))*1.3</f>
        <v>75.198499999999996</v>
      </c>
      <c r="U563" s="144"/>
      <c r="V563" s="144"/>
      <c r="W563" s="144">
        <f>(9.7+6.35+9.7+6.35+1.25)*3.5</f>
        <v>116.72499999999998</v>
      </c>
      <c r="X563" s="144"/>
      <c r="Y563" s="144"/>
      <c r="Z563" s="145"/>
      <c r="AA563" s="145">
        <f>T563</f>
        <v>75.198499999999996</v>
      </c>
      <c r="AB563" s="145"/>
      <c r="AC563" s="145"/>
      <c r="AD563" s="146" t="s">
        <v>1075</v>
      </c>
      <c r="AE563" s="171">
        <v>1</v>
      </c>
      <c r="AF563" s="147">
        <f t="shared" si="223"/>
        <v>0</v>
      </c>
      <c r="AG563" s="147">
        <f t="shared" si="224"/>
        <v>0</v>
      </c>
      <c r="AH563" s="147">
        <f t="shared" si="225"/>
        <v>0</v>
      </c>
      <c r="AI563" s="147">
        <f t="shared" si="226"/>
        <v>0</v>
      </c>
      <c r="AJ563" s="148">
        <f t="shared" si="227"/>
        <v>0</v>
      </c>
      <c r="AK563" s="149">
        <f t="shared" si="208"/>
        <v>0</v>
      </c>
      <c r="AL563" s="149">
        <f t="shared" si="209"/>
        <v>0</v>
      </c>
      <c r="AM563" s="149">
        <f t="shared" si="210"/>
        <v>0</v>
      </c>
      <c r="AN563" s="149">
        <f t="shared" si="211"/>
        <v>0</v>
      </c>
      <c r="AO563" s="150">
        <f t="shared" si="228"/>
        <v>0</v>
      </c>
      <c r="AQ563" s="151">
        <f t="shared" si="229"/>
        <v>0</v>
      </c>
    </row>
    <row r="564" spans="1:43" ht="15" customHeight="1">
      <c r="A564" s="82" t="e">
        <f t="shared" si="214"/>
        <v>#REF!</v>
      </c>
      <c r="B564" s="134">
        <v>105</v>
      </c>
      <c r="C564" s="135" t="s">
        <v>943</v>
      </c>
      <c r="D564" s="136" t="s">
        <v>274</v>
      </c>
      <c r="E564" s="137" t="s">
        <v>947</v>
      </c>
      <c r="F564" s="138" t="s">
        <v>646</v>
      </c>
      <c r="G564" s="139" t="s">
        <v>649</v>
      </c>
      <c r="H564" s="140" t="str">
        <f t="shared" si="215"/>
        <v>Niet van toepassing</v>
      </c>
      <c r="I564" s="138" t="s">
        <v>82</v>
      </c>
      <c r="J564" s="138" t="s">
        <v>1172</v>
      </c>
      <c r="K564" s="141" t="str">
        <f t="shared" si="216"/>
        <v>NVT</v>
      </c>
      <c r="L564" s="141" t="str">
        <f t="shared" si="217"/>
        <v>NVT</v>
      </c>
      <c r="M564" s="141" t="str">
        <f t="shared" si="218"/>
        <v>NVT</v>
      </c>
      <c r="N564" s="141" t="str">
        <f t="shared" si="219"/>
        <v>NVT</v>
      </c>
      <c r="O564" s="141" t="str">
        <f t="shared" si="220"/>
        <v>NVT</v>
      </c>
      <c r="P564" s="141" t="str">
        <f t="shared" si="221"/>
        <v>NVT</v>
      </c>
      <c r="Q564" s="141" t="str">
        <f t="shared" si="222"/>
        <v>NVT</v>
      </c>
      <c r="R564" s="63" t="s">
        <v>1221</v>
      </c>
      <c r="S564" s="142">
        <f t="shared" si="212"/>
        <v>0</v>
      </c>
      <c r="T564" s="143">
        <v>16</v>
      </c>
      <c r="U564" s="144"/>
      <c r="V564" s="144"/>
      <c r="W564" s="144"/>
      <c r="X564" s="144"/>
      <c r="Y564" s="144">
        <v>55</v>
      </c>
      <c r="Z564" s="145"/>
      <c r="AA564" s="145"/>
      <c r="AB564" s="145">
        <v>16</v>
      </c>
      <c r="AC564" s="145"/>
      <c r="AD564" s="146"/>
      <c r="AE564" s="171">
        <v>1</v>
      </c>
      <c r="AF564" s="147">
        <f t="shared" si="223"/>
        <v>0</v>
      </c>
      <c r="AG564" s="147">
        <f t="shared" si="224"/>
        <v>0</v>
      </c>
      <c r="AH564" s="147">
        <f t="shared" si="225"/>
        <v>0</v>
      </c>
      <c r="AI564" s="147">
        <f t="shared" si="226"/>
        <v>0</v>
      </c>
      <c r="AJ564" s="148">
        <f t="shared" si="227"/>
        <v>0</v>
      </c>
      <c r="AK564" s="149">
        <f t="shared" si="208"/>
        <v>0</v>
      </c>
      <c r="AL564" s="149">
        <f t="shared" si="209"/>
        <v>0</v>
      </c>
      <c r="AM564" s="149">
        <f t="shared" si="210"/>
        <v>0</v>
      </c>
      <c r="AN564" s="149">
        <f t="shared" si="211"/>
        <v>0</v>
      </c>
      <c r="AO564" s="150">
        <f t="shared" si="228"/>
        <v>0</v>
      </c>
      <c r="AQ564" s="151">
        <f t="shared" si="229"/>
        <v>0</v>
      </c>
    </row>
    <row r="565" spans="1:43" ht="15" customHeight="1">
      <c r="A565" s="82" t="e">
        <f t="shared" si="214"/>
        <v>#REF!</v>
      </c>
      <c r="B565" s="134">
        <v>105</v>
      </c>
      <c r="C565" s="135" t="s">
        <v>943</v>
      </c>
      <c r="D565" s="136" t="s">
        <v>274</v>
      </c>
      <c r="E565" s="137" t="s">
        <v>947</v>
      </c>
      <c r="F565" s="138" t="s">
        <v>646</v>
      </c>
      <c r="G565" s="139" t="s">
        <v>650</v>
      </c>
      <c r="H565" s="140" t="str">
        <f t="shared" si="215"/>
        <v>Niet van toepassing</v>
      </c>
      <c r="I565" s="138" t="s">
        <v>82</v>
      </c>
      <c r="J565" s="138" t="s">
        <v>1172</v>
      </c>
      <c r="K565" s="141" t="str">
        <f t="shared" si="216"/>
        <v>NVT</v>
      </c>
      <c r="L565" s="141" t="str">
        <f t="shared" si="217"/>
        <v>NVT</v>
      </c>
      <c r="M565" s="141" t="str">
        <f t="shared" si="218"/>
        <v>NVT</v>
      </c>
      <c r="N565" s="141" t="str">
        <f t="shared" si="219"/>
        <v>NVT</v>
      </c>
      <c r="O565" s="141" t="str">
        <f t="shared" si="220"/>
        <v>NVT</v>
      </c>
      <c r="P565" s="141" t="str">
        <f t="shared" si="221"/>
        <v>NVT</v>
      </c>
      <c r="Q565" s="141" t="str">
        <f t="shared" si="222"/>
        <v>NVT</v>
      </c>
      <c r="R565" s="63" t="s">
        <v>1221</v>
      </c>
      <c r="S565" s="142">
        <f t="shared" si="212"/>
        <v>0</v>
      </c>
      <c r="T565" s="143">
        <f>((4.8*4.7)+(2*2.9))*1.3</f>
        <v>36.868000000000002</v>
      </c>
      <c r="U565" s="144"/>
      <c r="V565" s="144"/>
      <c r="W565" s="144">
        <f>(4.7+1.9+2+2.9+6.7+4.8)*3</f>
        <v>69</v>
      </c>
      <c r="X565" s="144"/>
      <c r="Y565" s="144"/>
      <c r="Z565" s="145"/>
      <c r="AA565" s="145">
        <f>T565</f>
        <v>36.868000000000002</v>
      </c>
      <c r="AB565" s="145"/>
      <c r="AC565" s="145"/>
      <c r="AD565" s="146"/>
      <c r="AE565" s="171">
        <v>1</v>
      </c>
      <c r="AF565" s="147">
        <f t="shared" si="223"/>
        <v>0</v>
      </c>
      <c r="AG565" s="147">
        <f t="shared" si="224"/>
        <v>0</v>
      </c>
      <c r="AH565" s="147">
        <f t="shared" si="225"/>
        <v>0</v>
      </c>
      <c r="AI565" s="147">
        <f t="shared" si="226"/>
        <v>0</v>
      </c>
      <c r="AJ565" s="148">
        <f t="shared" si="227"/>
        <v>0</v>
      </c>
      <c r="AK565" s="149">
        <f t="shared" si="208"/>
        <v>0</v>
      </c>
      <c r="AL565" s="149">
        <f t="shared" si="209"/>
        <v>0</v>
      </c>
      <c r="AM565" s="149">
        <f t="shared" si="210"/>
        <v>0</v>
      </c>
      <c r="AN565" s="149">
        <f t="shared" si="211"/>
        <v>0</v>
      </c>
      <c r="AO565" s="150">
        <f t="shared" si="228"/>
        <v>0</v>
      </c>
      <c r="AQ565" s="151">
        <f t="shared" si="229"/>
        <v>0</v>
      </c>
    </row>
    <row r="566" spans="1:43" ht="15" customHeight="1">
      <c r="A566" s="82" t="e">
        <f t="shared" si="214"/>
        <v>#REF!</v>
      </c>
      <c r="B566" s="134">
        <v>105</v>
      </c>
      <c r="C566" s="135" t="s">
        <v>943</v>
      </c>
      <c r="D566" s="136" t="s">
        <v>274</v>
      </c>
      <c r="E566" s="137" t="s">
        <v>947</v>
      </c>
      <c r="F566" s="138" t="s">
        <v>646</v>
      </c>
      <c r="G566" s="139" t="s">
        <v>564</v>
      </c>
      <c r="H566" s="140" t="str">
        <f t="shared" si="215"/>
        <v>Niet van toepassing</v>
      </c>
      <c r="I566" s="138" t="s">
        <v>269</v>
      </c>
      <c r="J566" s="138" t="s">
        <v>1172</v>
      </c>
      <c r="K566" s="141" t="str">
        <f t="shared" si="216"/>
        <v>NVT</v>
      </c>
      <c r="L566" s="141" t="str">
        <f t="shared" si="217"/>
        <v>NVT</v>
      </c>
      <c r="M566" s="141" t="str">
        <f t="shared" si="218"/>
        <v>NVT</v>
      </c>
      <c r="N566" s="141" t="str">
        <f t="shared" si="219"/>
        <v>NVT</v>
      </c>
      <c r="O566" s="141" t="str">
        <f t="shared" si="220"/>
        <v>NVT</v>
      </c>
      <c r="P566" s="141" t="str">
        <f t="shared" si="221"/>
        <v>NVT</v>
      </c>
      <c r="Q566" s="141" t="str">
        <f t="shared" si="222"/>
        <v>NVT</v>
      </c>
      <c r="R566" s="63" t="s">
        <v>1221</v>
      </c>
      <c r="S566" s="142">
        <f t="shared" si="212"/>
        <v>0</v>
      </c>
      <c r="T566" s="143">
        <f>(2*3)*1.3</f>
        <v>7.8000000000000007</v>
      </c>
      <c r="U566" s="144"/>
      <c r="V566" s="144"/>
      <c r="W566" s="144">
        <f>(2+3+2+3)*3</f>
        <v>30</v>
      </c>
      <c r="X566" s="144"/>
      <c r="Y566" s="144"/>
      <c r="Z566" s="145"/>
      <c r="AA566" s="145">
        <f>T566</f>
        <v>7.8000000000000007</v>
      </c>
      <c r="AB566" s="145"/>
      <c r="AC566" s="145"/>
      <c r="AD566" s="146" t="s">
        <v>1075</v>
      </c>
      <c r="AE566" s="171">
        <v>1</v>
      </c>
      <c r="AF566" s="147">
        <f t="shared" si="223"/>
        <v>0</v>
      </c>
      <c r="AG566" s="147">
        <f t="shared" si="224"/>
        <v>0</v>
      </c>
      <c r="AH566" s="147">
        <f t="shared" si="225"/>
        <v>0</v>
      </c>
      <c r="AI566" s="147">
        <f t="shared" si="226"/>
        <v>0</v>
      </c>
      <c r="AJ566" s="148">
        <f t="shared" si="227"/>
        <v>0</v>
      </c>
      <c r="AK566" s="149">
        <f t="shared" si="208"/>
        <v>0</v>
      </c>
      <c r="AL566" s="149">
        <f t="shared" si="209"/>
        <v>0</v>
      </c>
      <c r="AM566" s="149">
        <f t="shared" si="210"/>
        <v>0</v>
      </c>
      <c r="AN566" s="149">
        <f t="shared" si="211"/>
        <v>0</v>
      </c>
      <c r="AO566" s="150">
        <f t="shared" si="228"/>
        <v>0</v>
      </c>
      <c r="AQ566" s="151">
        <f t="shared" si="229"/>
        <v>0</v>
      </c>
    </row>
    <row r="567" spans="1:43" ht="15" customHeight="1">
      <c r="A567" s="82" t="e">
        <f t="shared" si="214"/>
        <v>#REF!</v>
      </c>
      <c r="B567" s="134">
        <v>105</v>
      </c>
      <c r="C567" s="135" t="s">
        <v>943</v>
      </c>
      <c r="D567" s="136" t="s">
        <v>274</v>
      </c>
      <c r="E567" s="137" t="s">
        <v>947</v>
      </c>
      <c r="F567" s="138" t="s">
        <v>646</v>
      </c>
      <c r="G567" s="139" t="s">
        <v>652</v>
      </c>
      <c r="H567" s="140" t="str">
        <f t="shared" si="215"/>
        <v>Niet van toepassing</v>
      </c>
      <c r="I567" s="138" t="s">
        <v>35</v>
      </c>
      <c r="J567" s="138" t="s">
        <v>1172</v>
      </c>
      <c r="K567" s="141" t="str">
        <f t="shared" si="216"/>
        <v>NVT</v>
      </c>
      <c r="L567" s="141" t="str">
        <f t="shared" si="217"/>
        <v>NVT</v>
      </c>
      <c r="M567" s="141" t="str">
        <f t="shared" si="218"/>
        <v>NVT</v>
      </c>
      <c r="N567" s="141" t="str">
        <f t="shared" si="219"/>
        <v>NVT</v>
      </c>
      <c r="O567" s="141" t="str">
        <f t="shared" si="220"/>
        <v>NVT</v>
      </c>
      <c r="P567" s="141" t="str">
        <f t="shared" si="221"/>
        <v>NVT</v>
      </c>
      <c r="Q567" s="141" t="str">
        <f t="shared" si="222"/>
        <v>NVT</v>
      </c>
      <c r="R567" s="63" t="s">
        <v>1221</v>
      </c>
      <c r="S567" s="142">
        <f t="shared" si="212"/>
        <v>0</v>
      </c>
      <c r="T567" s="143">
        <v>1</v>
      </c>
      <c r="U567" s="144"/>
      <c r="V567" s="144"/>
      <c r="W567" s="144">
        <v>12</v>
      </c>
      <c r="X567" s="144"/>
      <c r="Y567" s="144"/>
      <c r="Z567" s="145"/>
      <c r="AA567" s="145">
        <v>1</v>
      </c>
      <c r="AB567" s="145"/>
      <c r="AC567" s="145"/>
      <c r="AD567" s="146"/>
      <c r="AE567" s="171">
        <v>1</v>
      </c>
      <c r="AF567" s="147">
        <f t="shared" si="223"/>
        <v>0</v>
      </c>
      <c r="AG567" s="147">
        <f t="shared" si="224"/>
        <v>0</v>
      </c>
      <c r="AH567" s="147">
        <f t="shared" si="225"/>
        <v>0</v>
      </c>
      <c r="AI567" s="147">
        <f t="shared" si="226"/>
        <v>0</v>
      </c>
      <c r="AJ567" s="148">
        <f t="shared" si="227"/>
        <v>0</v>
      </c>
      <c r="AK567" s="149">
        <f t="shared" si="208"/>
        <v>0</v>
      </c>
      <c r="AL567" s="149">
        <f t="shared" si="209"/>
        <v>0</v>
      </c>
      <c r="AM567" s="149">
        <f t="shared" si="210"/>
        <v>0</v>
      </c>
      <c r="AN567" s="149">
        <f t="shared" si="211"/>
        <v>0</v>
      </c>
      <c r="AO567" s="150">
        <f t="shared" si="228"/>
        <v>0</v>
      </c>
      <c r="AQ567" s="151">
        <f t="shared" si="229"/>
        <v>0</v>
      </c>
    </row>
    <row r="568" spans="1:43" ht="15" customHeight="1">
      <c r="A568" s="82" t="e">
        <f t="shared" si="214"/>
        <v>#REF!</v>
      </c>
      <c r="B568" s="134">
        <v>105</v>
      </c>
      <c r="C568" s="135" t="s">
        <v>943</v>
      </c>
      <c r="D568" s="136" t="s">
        <v>274</v>
      </c>
      <c r="E568" s="137" t="s">
        <v>947</v>
      </c>
      <c r="F568" s="138" t="s">
        <v>646</v>
      </c>
      <c r="G568" s="139" t="s">
        <v>653</v>
      </c>
      <c r="H568" s="140" t="str">
        <f t="shared" si="215"/>
        <v>Niet van toepassing</v>
      </c>
      <c r="I568" s="138" t="s">
        <v>269</v>
      </c>
      <c r="J568" s="138" t="s">
        <v>1172</v>
      </c>
      <c r="K568" s="141" t="str">
        <f t="shared" si="216"/>
        <v>NVT</v>
      </c>
      <c r="L568" s="141" t="str">
        <f t="shared" si="217"/>
        <v>NVT</v>
      </c>
      <c r="M568" s="141" t="str">
        <f t="shared" si="218"/>
        <v>NVT</v>
      </c>
      <c r="N568" s="141" t="str">
        <f t="shared" si="219"/>
        <v>NVT</v>
      </c>
      <c r="O568" s="141" t="str">
        <f t="shared" si="220"/>
        <v>NVT</v>
      </c>
      <c r="P568" s="141" t="str">
        <f t="shared" si="221"/>
        <v>NVT</v>
      </c>
      <c r="Q568" s="141" t="str">
        <f t="shared" si="222"/>
        <v>NVT</v>
      </c>
      <c r="R568" s="63" t="s">
        <v>1221</v>
      </c>
      <c r="S568" s="142">
        <f t="shared" si="212"/>
        <v>0</v>
      </c>
      <c r="T568" s="143">
        <f>((1*4.4)+(0.8*0.4)+(1.7*0.85)+(1.1*3.1))*1.3</f>
        <v>12.447500000000002</v>
      </c>
      <c r="U568" s="144"/>
      <c r="V568" s="144"/>
      <c r="W568" s="144">
        <f>(1+1.6+0.85+1.7+0.85+1.35+1+4+0.8+0.4+0.8+3.1+3.1)*3</f>
        <v>61.650000000000013</v>
      </c>
      <c r="X568" s="144"/>
      <c r="Y568" s="144"/>
      <c r="Z568" s="145"/>
      <c r="AA568" s="145">
        <f>T568</f>
        <v>12.447500000000002</v>
      </c>
      <c r="AB568" s="145"/>
      <c r="AC568" s="145"/>
      <c r="AD568" s="146" t="s">
        <v>1075</v>
      </c>
      <c r="AE568" s="171">
        <v>1</v>
      </c>
      <c r="AF568" s="147">
        <f t="shared" si="223"/>
        <v>0</v>
      </c>
      <c r="AG568" s="147">
        <f t="shared" si="224"/>
        <v>0</v>
      </c>
      <c r="AH568" s="147">
        <f t="shared" si="225"/>
        <v>0</v>
      </c>
      <c r="AI568" s="147">
        <f t="shared" si="226"/>
        <v>0</v>
      </c>
      <c r="AJ568" s="148">
        <f t="shared" si="227"/>
        <v>0</v>
      </c>
      <c r="AK568" s="149">
        <f t="shared" si="208"/>
        <v>0</v>
      </c>
      <c r="AL568" s="149">
        <f t="shared" si="209"/>
        <v>0</v>
      </c>
      <c r="AM568" s="149">
        <f t="shared" si="210"/>
        <v>0</v>
      </c>
      <c r="AN568" s="149">
        <f t="shared" si="211"/>
        <v>0</v>
      </c>
      <c r="AO568" s="150">
        <f t="shared" si="228"/>
        <v>0</v>
      </c>
      <c r="AQ568" s="151">
        <f t="shared" si="229"/>
        <v>0</v>
      </c>
    </row>
    <row r="569" spans="1:43" ht="15" customHeight="1">
      <c r="A569" s="82" t="e">
        <f t="shared" si="214"/>
        <v>#REF!</v>
      </c>
      <c r="B569" s="134">
        <v>105</v>
      </c>
      <c r="C569" s="135" t="s">
        <v>943</v>
      </c>
      <c r="D569" s="136" t="s">
        <v>274</v>
      </c>
      <c r="E569" s="137" t="s">
        <v>947</v>
      </c>
      <c r="F569" s="138" t="s">
        <v>646</v>
      </c>
      <c r="G569" s="139" t="s">
        <v>654</v>
      </c>
      <c r="H569" s="140" t="str">
        <f t="shared" si="215"/>
        <v>Niet van toepassing</v>
      </c>
      <c r="I569" s="138" t="s">
        <v>82</v>
      </c>
      <c r="J569" s="138" t="s">
        <v>1172</v>
      </c>
      <c r="K569" s="141" t="str">
        <f t="shared" si="216"/>
        <v>NVT</v>
      </c>
      <c r="L569" s="141" t="str">
        <f t="shared" si="217"/>
        <v>NVT</v>
      </c>
      <c r="M569" s="141" t="str">
        <f t="shared" si="218"/>
        <v>NVT</v>
      </c>
      <c r="N569" s="141" t="str">
        <f t="shared" si="219"/>
        <v>NVT</v>
      </c>
      <c r="O569" s="141" t="str">
        <f t="shared" si="220"/>
        <v>NVT</v>
      </c>
      <c r="P569" s="141" t="str">
        <f t="shared" si="221"/>
        <v>NVT</v>
      </c>
      <c r="Q569" s="141" t="str">
        <f t="shared" si="222"/>
        <v>NVT</v>
      </c>
      <c r="R569" s="63" t="s">
        <v>1221</v>
      </c>
      <c r="S569" s="142">
        <f t="shared" si="212"/>
        <v>0</v>
      </c>
      <c r="T569" s="143">
        <f>(2*2.75)*1.3</f>
        <v>7.15</v>
      </c>
      <c r="U569" s="144"/>
      <c r="V569" s="144"/>
      <c r="W569" s="144">
        <f>(2+2.75+2+2.75)*3</f>
        <v>28.5</v>
      </c>
      <c r="X569" s="144"/>
      <c r="Y569" s="144"/>
      <c r="Z569" s="145"/>
      <c r="AA569" s="145">
        <f>T569</f>
        <v>7.15</v>
      </c>
      <c r="AB569" s="145"/>
      <c r="AC569" s="145"/>
      <c r="AD569" s="146" t="s">
        <v>1075</v>
      </c>
      <c r="AE569" s="171">
        <v>1</v>
      </c>
      <c r="AF569" s="147">
        <f t="shared" si="223"/>
        <v>0</v>
      </c>
      <c r="AG569" s="147">
        <f t="shared" si="224"/>
        <v>0</v>
      </c>
      <c r="AH569" s="147">
        <f t="shared" si="225"/>
        <v>0</v>
      </c>
      <c r="AI569" s="147">
        <f t="shared" si="226"/>
        <v>0</v>
      </c>
      <c r="AJ569" s="148">
        <f t="shared" si="227"/>
        <v>0</v>
      </c>
      <c r="AK569" s="149">
        <f t="shared" si="208"/>
        <v>0</v>
      </c>
      <c r="AL569" s="149">
        <f t="shared" si="209"/>
        <v>0</v>
      </c>
      <c r="AM569" s="149">
        <f t="shared" si="210"/>
        <v>0</v>
      </c>
      <c r="AN569" s="149">
        <f t="shared" si="211"/>
        <v>0</v>
      </c>
      <c r="AO569" s="150">
        <f t="shared" si="228"/>
        <v>0</v>
      </c>
      <c r="AQ569" s="151">
        <f t="shared" si="229"/>
        <v>0</v>
      </c>
    </row>
    <row r="570" spans="1:43" ht="15" customHeight="1">
      <c r="A570" s="82" t="e">
        <f t="shared" si="214"/>
        <v>#REF!</v>
      </c>
      <c r="B570" s="134">
        <v>105</v>
      </c>
      <c r="C570" s="135" t="s">
        <v>943</v>
      </c>
      <c r="D570" s="136" t="s">
        <v>274</v>
      </c>
      <c r="E570" s="137" t="s">
        <v>947</v>
      </c>
      <c r="F570" s="138" t="s">
        <v>646</v>
      </c>
      <c r="G570" s="139" t="s">
        <v>655</v>
      </c>
      <c r="H570" s="140" t="str">
        <f t="shared" si="215"/>
        <v>Niet van toepassing</v>
      </c>
      <c r="I570" s="138" t="s">
        <v>195</v>
      </c>
      <c r="J570" s="138" t="s">
        <v>1172</v>
      </c>
      <c r="K570" s="141" t="str">
        <f t="shared" si="216"/>
        <v>NVT</v>
      </c>
      <c r="L570" s="141" t="str">
        <f t="shared" si="217"/>
        <v>NVT</v>
      </c>
      <c r="M570" s="141" t="str">
        <f t="shared" si="218"/>
        <v>NVT</v>
      </c>
      <c r="N570" s="141" t="str">
        <f t="shared" si="219"/>
        <v>NVT</v>
      </c>
      <c r="O570" s="141" t="str">
        <f t="shared" si="220"/>
        <v>NVT</v>
      </c>
      <c r="P570" s="141" t="str">
        <f t="shared" si="221"/>
        <v>NVT</v>
      </c>
      <c r="Q570" s="141" t="str">
        <f t="shared" si="222"/>
        <v>NVT</v>
      </c>
      <c r="R570" s="63" t="s">
        <v>1221</v>
      </c>
      <c r="S570" s="142">
        <f t="shared" si="212"/>
        <v>0</v>
      </c>
      <c r="T570" s="143">
        <f>((1.7*3.7)+(2.3*1.9))*1.3</f>
        <v>13.858000000000001</v>
      </c>
      <c r="U570" s="144"/>
      <c r="V570" s="144"/>
      <c r="W570" s="144"/>
      <c r="X570" s="144"/>
      <c r="Y570" s="144">
        <f>((2.2+1.9+1.5+1.7+3.7+3.7)*2.45)+(3.2*1.8)</f>
        <v>41.774999999999999</v>
      </c>
      <c r="Z570" s="145"/>
      <c r="AA570" s="145">
        <f>T570</f>
        <v>13.858000000000001</v>
      </c>
      <c r="AB570" s="145"/>
      <c r="AC570" s="145"/>
      <c r="AD570" s="146" t="s">
        <v>1075</v>
      </c>
      <c r="AE570" s="171">
        <v>1</v>
      </c>
      <c r="AF570" s="147">
        <f t="shared" si="223"/>
        <v>0</v>
      </c>
      <c r="AG570" s="147">
        <f t="shared" si="224"/>
        <v>0</v>
      </c>
      <c r="AH570" s="147">
        <f t="shared" si="225"/>
        <v>0</v>
      </c>
      <c r="AI570" s="147">
        <f t="shared" si="226"/>
        <v>0</v>
      </c>
      <c r="AJ570" s="148">
        <f t="shared" si="227"/>
        <v>0</v>
      </c>
      <c r="AK570" s="149">
        <f t="shared" si="208"/>
        <v>0</v>
      </c>
      <c r="AL570" s="149">
        <f t="shared" si="209"/>
        <v>0</v>
      </c>
      <c r="AM570" s="149">
        <f t="shared" si="210"/>
        <v>0</v>
      </c>
      <c r="AN570" s="149">
        <f t="shared" si="211"/>
        <v>0</v>
      </c>
      <c r="AO570" s="150">
        <f t="shared" si="228"/>
        <v>0</v>
      </c>
      <c r="AQ570" s="151">
        <f t="shared" si="229"/>
        <v>0</v>
      </c>
    </row>
    <row r="571" spans="1:43" ht="15" customHeight="1">
      <c r="A571" s="82" t="e">
        <f t="shared" si="214"/>
        <v>#REF!</v>
      </c>
      <c r="B571" s="134">
        <v>105</v>
      </c>
      <c r="C571" s="135" t="s">
        <v>943</v>
      </c>
      <c r="D571" s="136" t="s">
        <v>274</v>
      </c>
      <c r="E571" s="137" t="s">
        <v>947</v>
      </c>
      <c r="F571" s="138" t="s">
        <v>646</v>
      </c>
      <c r="G571" s="139" t="s">
        <v>666</v>
      </c>
      <c r="H571" s="140" t="str">
        <f t="shared" si="215"/>
        <v>Niet van toepassing</v>
      </c>
      <c r="I571" s="138" t="s">
        <v>82</v>
      </c>
      <c r="J571" s="138" t="s">
        <v>1172</v>
      </c>
      <c r="K571" s="141" t="str">
        <f t="shared" si="216"/>
        <v>NVT</v>
      </c>
      <c r="L571" s="141" t="str">
        <f t="shared" si="217"/>
        <v>NVT</v>
      </c>
      <c r="M571" s="141" t="str">
        <f t="shared" si="218"/>
        <v>NVT</v>
      </c>
      <c r="N571" s="141" t="str">
        <f t="shared" si="219"/>
        <v>NVT</v>
      </c>
      <c r="O571" s="141" t="str">
        <f t="shared" si="220"/>
        <v>NVT</v>
      </c>
      <c r="P571" s="141" t="str">
        <f t="shared" si="221"/>
        <v>NVT</v>
      </c>
      <c r="Q571" s="141" t="str">
        <f t="shared" si="222"/>
        <v>NVT</v>
      </c>
      <c r="R571" s="63" t="s">
        <v>1221</v>
      </c>
      <c r="S571" s="142">
        <f t="shared" si="212"/>
        <v>0</v>
      </c>
      <c r="T571" s="143">
        <f>(1.9*1.15)*1.3</f>
        <v>2.8404999999999996</v>
      </c>
      <c r="U571" s="144"/>
      <c r="V571" s="144"/>
      <c r="W571" s="144">
        <f>(1.9+1.15+1.9+1.15)*3</f>
        <v>18.299999999999997</v>
      </c>
      <c r="X571" s="144"/>
      <c r="Y571" s="144"/>
      <c r="Z571" s="145"/>
      <c r="AA571" s="145">
        <f>T571</f>
        <v>2.8404999999999996</v>
      </c>
      <c r="AB571" s="145"/>
      <c r="AC571" s="145"/>
      <c r="AD571" s="146" t="s">
        <v>1075</v>
      </c>
      <c r="AE571" s="171">
        <v>1</v>
      </c>
      <c r="AF571" s="147">
        <f t="shared" si="223"/>
        <v>0</v>
      </c>
      <c r="AG571" s="147">
        <f t="shared" si="224"/>
        <v>0</v>
      </c>
      <c r="AH571" s="147">
        <f t="shared" si="225"/>
        <v>0</v>
      </c>
      <c r="AI571" s="147">
        <f t="shared" si="226"/>
        <v>0</v>
      </c>
      <c r="AJ571" s="148">
        <f t="shared" si="227"/>
        <v>0</v>
      </c>
      <c r="AK571" s="149">
        <f t="shared" si="208"/>
        <v>0</v>
      </c>
      <c r="AL571" s="149">
        <f t="shared" si="209"/>
        <v>0</v>
      </c>
      <c r="AM571" s="149">
        <f t="shared" si="210"/>
        <v>0</v>
      </c>
      <c r="AN571" s="149">
        <f t="shared" si="211"/>
        <v>0</v>
      </c>
      <c r="AO571" s="150">
        <f t="shared" si="228"/>
        <v>0</v>
      </c>
      <c r="AQ571" s="151">
        <f t="shared" si="229"/>
        <v>0</v>
      </c>
    </row>
    <row r="572" spans="1:43" ht="15" customHeight="1">
      <c r="A572" s="82" t="e">
        <f t="shared" si="214"/>
        <v>#REF!</v>
      </c>
      <c r="B572" s="134">
        <v>105</v>
      </c>
      <c r="C572" s="135" t="s">
        <v>943</v>
      </c>
      <c r="D572" s="136" t="s">
        <v>274</v>
      </c>
      <c r="E572" s="137" t="s">
        <v>947</v>
      </c>
      <c r="F572" s="138" t="s">
        <v>646</v>
      </c>
      <c r="G572" s="139" t="s">
        <v>667</v>
      </c>
      <c r="H572" s="140" t="str">
        <f t="shared" si="215"/>
        <v>Niet van toepassing</v>
      </c>
      <c r="I572" s="138" t="s">
        <v>82</v>
      </c>
      <c r="J572" s="138" t="s">
        <v>1172</v>
      </c>
      <c r="K572" s="141" t="str">
        <f t="shared" si="216"/>
        <v>NVT</v>
      </c>
      <c r="L572" s="141" t="str">
        <f t="shared" si="217"/>
        <v>NVT</v>
      </c>
      <c r="M572" s="141" t="str">
        <f t="shared" si="218"/>
        <v>NVT</v>
      </c>
      <c r="N572" s="141" t="str">
        <f t="shared" si="219"/>
        <v>NVT</v>
      </c>
      <c r="O572" s="141" t="str">
        <f t="shared" si="220"/>
        <v>NVT</v>
      </c>
      <c r="P572" s="141" t="str">
        <f t="shared" si="221"/>
        <v>NVT</v>
      </c>
      <c r="Q572" s="141" t="str">
        <f t="shared" si="222"/>
        <v>NVT</v>
      </c>
      <c r="R572" s="63" t="s">
        <v>1221</v>
      </c>
      <c r="S572" s="142">
        <f t="shared" si="212"/>
        <v>0</v>
      </c>
      <c r="T572" s="143">
        <f>(2.2*1.3)*1.3</f>
        <v>3.7180000000000004</v>
      </c>
      <c r="U572" s="144"/>
      <c r="V572" s="144"/>
      <c r="W572" s="144">
        <f>(2.2+1.3+2.2+1.3)*3</f>
        <v>21</v>
      </c>
      <c r="X572" s="144"/>
      <c r="Y572" s="144"/>
      <c r="Z572" s="145"/>
      <c r="AA572" s="145">
        <f>T572</f>
        <v>3.7180000000000004</v>
      </c>
      <c r="AB572" s="145"/>
      <c r="AC572" s="145"/>
      <c r="AD572" s="146" t="s">
        <v>1075</v>
      </c>
      <c r="AE572" s="171">
        <v>1</v>
      </c>
      <c r="AF572" s="147">
        <f t="shared" si="223"/>
        <v>0</v>
      </c>
      <c r="AG572" s="147">
        <f t="shared" si="224"/>
        <v>0</v>
      </c>
      <c r="AH572" s="147">
        <f t="shared" si="225"/>
        <v>0</v>
      </c>
      <c r="AI572" s="147">
        <f t="shared" si="226"/>
        <v>0</v>
      </c>
      <c r="AJ572" s="148">
        <f t="shared" si="227"/>
        <v>0</v>
      </c>
      <c r="AK572" s="149">
        <f t="shared" si="208"/>
        <v>0</v>
      </c>
      <c r="AL572" s="149">
        <f t="shared" si="209"/>
        <v>0</v>
      </c>
      <c r="AM572" s="149">
        <f t="shared" si="210"/>
        <v>0</v>
      </c>
      <c r="AN572" s="149">
        <f t="shared" si="211"/>
        <v>0</v>
      </c>
      <c r="AO572" s="150">
        <f t="shared" si="228"/>
        <v>0</v>
      </c>
      <c r="AQ572" s="151">
        <f t="shared" si="229"/>
        <v>0</v>
      </c>
    </row>
    <row r="573" spans="1:43" ht="15" customHeight="1">
      <c r="A573" s="82" t="e">
        <f t="shared" si="214"/>
        <v>#REF!</v>
      </c>
      <c r="B573" s="134">
        <v>105</v>
      </c>
      <c r="C573" s="135" t="s">
        <v>943</v>
      </c>
      <c r="D573" s="136" t="s">
        <v>274</v>
      </c>
      <c r="E573" s="137" t="s">
        <v>947</v>
      </c>
      <c r="F573" s="138" t="s">
        <v>646</v>
      </c>
      <c r="G573" s="139" t="s">
        <v>668</v>
      </c>
      <c r="H573" s="140" t="str">
        <f t="shared" si="215"/>
        <v>Niet van toepassing</v>
      </c>
      <c r="I573" s="138" t="s">
        <v>82</v>
      </c>
      <c r="J573" s="138" t="s">
        <v>1172</v>
      </c>
      <c r="K573" s="141" t="str">
        <f t="shared" si="216"/>
        <v>NVT</v>
      </c>
      <c r="L573" s="141" t="str">
        <f t="shared" si="217"/>
        <v>NVT</v>
      </c>
      <c r="M573" s="141" t="str">
        <f t="shared" si="218"/>
        <v>NVT</v>
      </c>
      <c r="N573" s="141" t="str">
        <f t="shared" si="219"/>
        <v>NVT</v>
      </c>
      <c r="O573" s="141" t="str">
        <f t="shared" si="220"/>
        <v>NVT</v>
      </c>
      <c r="P573" s="141" t="str">
        <f t="shared" si="221"/>
        <v>NVT</v>
      </c>
      <c r="Q573" s="141" t="str">
        <f t="shared" si="222"/>
        <v>NVT</v>
      </c>
      <c r="R573" s="63" t="s">
        <v>1221</v>
      </c>
      <c r="S573" s="142">
        <f t="shared" si="212"/>
        <v>0</v>
      </c>
      <c r="T573" s="143">
        <f>(6*1.1)*1.3</f>
        <v>8.5800000000000018</v>
      </c>
      <c r="U573" s="144"/>
      <c r="V573" s="144"/>
      <c r="W573" s="144">
        <f>(6+1.1+6+1.1)*3</f>
        <v>42.599999999999994</v>
      </c>
      <c r="X573" s="144"/>
      <c r="Y573" s="144"/>
      <c r="Z573" s="145"/>
      <c r="AA573" s="145"/>
      <c r="AB573" s="145"/>
      <c r="AC573" s="145"/>
      <c r="AD573" s="146" t="s">
        <v>1075</v>
      </c>
      <c r="AE573" s="171">
        <v>1</v>
      </c>
      <c r="AF573" s="147">
        <f t="shared" si="223"/>
        <v>0</v>
      </c>
      <c r="AG573" s="147">
        <f t="shared" si="224"/>
        <v>0</v>
      </c>
      <c r="AH573" s="147">
        <f t="shared" si="225"/>
        <v>0</v>
      </c>
      <c r="AI573" s="147">
        <f t="shared" si="226"/>
        <v>0</v>
      </c>
      <c r="AJ573" s="148">
        <f t="shared" si="227"/>
        <v>0</v>
      </c>
      <c r="AK573" s="149">
        <f t="shared" si="208"/>
        <v>0</v>
      </c>
      <c r="AL573" s="149">
        <f t="shared" si="209"/>
        <v>0</v>
      </c>
      <c r="AM573" s="149">
        <f t="shared" si="210"/>
        <v>0</v>
      </c>
      <c r="AN573" s="149">
        <f t="shared" si="211"/>
        <v>0</v>
      </c>
      <c r="AO573" s="150">
        <f t="shared" si="228"/>
        <v>0</v>
      </c>
      <c r="AQ573" s="151">
        <f t="shared" si="229"/>
        <v>0</v>
      </c>
    </row>
    <row r="574" spans="1:43" ht="15" customHeight="1">
      <c r="A574" s="82" t="e">
        <f t="shared" si="214"/>
        <v>#REF!</v>
      </c>
      <c r="B574" s="134">
        <v>105</v>
      </c>
      <c r="C574" s="135" t="s">
        <v>943</v>
      </c>
      <c r="D574" s="136" t="s">
        <v>274</v>
      </c>
      <c r="E574" s="137" t="s">
        <v>947</v>
      </c>
      <c r="F574" s="138" t="s">
        <v>646</v>
      </c>
      <c r="G574" s="139" t="s">
        <v>669</v>
      </c>
      <c r="H574" s="140" t="str">
        <f t="shared" si="215"/>
        <v>Niet van toepassing</v>
      </c>
      <c r="I574" s="138" t="s">
        <v>82</v>
      </c>
      <c r="J574" s="138" t="s">
        <v>1172</v>
      </c>
      <c r="K574" s="141" t="str">
        <f t="shared" si="216"/>
        <v>NVT</v>
      </c>
      <c r="L574" s="141" t="str">
        <f t="shared" si="217"/>
        <v>NVT</v>
      </c>
      <c r="M574" s="141" t="str">
        <f t="shared" si="218"/>
        <v>NVT</v>
      </c>
      <c r="N574" s="141" t="str">
        <f t="shared" si="219"/>
        <v>NVT</v>
      </c>
      <c r="O574" s="141" t="str">
        <f t="shared" si="220"/>
        <v>NVT</v>
      </c>
      <c r="P574" s="141" t="str">
        <f t="shared" si="221"/>
        <v>NVT</v>
      </c>
      <c r="Q574" s="141" t="str">
        <f t="shared" si="222"/>
        <v>NVT</v>
      </c>
      <c r="R574" s="63" t="s">
        <v>1221</v>
      </c>
      <c r="S574" s="142">
        <f t="shared" si="212"/>
        <v>0</v>
      </c>
      <c r="T574" s="143">
        <v>119.60000000000001</v>
      </c>
      <c r="U574" s="144"/>
      <c r="V574" s="144"/>
      <c r="W574" s="144">
        <f>(42.8*3)+(((0.8+0.3+0.8+0.3)*3)*3)</f>
        <v>148.19999999999999</v>
      </c>
      <c r="X574" s="144"/>
      <c r="Y574" s="144"/>
      <c r="Z574" s="145"/>
      <c r="AA574" s="145">
        <f>T574</f>
        <v>119.60000000000001</v>
      </c>
      <c r="AB574" s="145"/>
      <c r="AC574" s="145"/>
      <c r="AD574" s="146" t="s">
        <v>1075</v>
      </c>
      <c r="AE574" s="171">
        <v>1</v>
      </c>
      <c r="AF574" s="147">
        <f t="shared" si="223"/>
        <v>0</v>
      </c>
      <c r="AG574" s="147">
        <f t="shared" si="224"/>
        <v>0</v>
      </c>
      <c r="AH574" s="147">
        <f t="shared" si="225"/>
        <v>0</v>
      </c>
      <c r="AI574" s="147">
        <f t="shared" si="226"/>
        <v>0</v>
      </c>
      <c r="AJ574" s="148">
        <f t="shared" si="227"/>
        <v>0</v>
      </c>
      <c r="AK574" s="149">
        <f t="shared" ref="AK574:AK620" si="230">IF($R574="",0,VLOOKUP($R574,Kengetal,5,FALSE))</f>
        <v>0</v>
      </c>
      <c r="AL574" s="149">
        <f t="shared" ref="AL574:AL620" si="231">IF($R574="",0,VLOOKUP($R574,Kengetal,6,FALSE))</f>
        <v>0</v>
      </c>
      <c r="AM574" s="149">
        <f t="shared" ref="AM574:AM620" si="232">IF($R574="",0,VLOOKUP($R574,Kengetal,7,FALSE))</f>
        <v>0</v>
      </c>
      <c r="AN574" s="149">
        <f t="shared" ref="AN574:AN620" si="233">IF($R574="",0,VLOOKUP($R574,Kengetal,8,FALSE))</f>
        <v>0</v>
      </c>
      <c r="AO574" s="150">
        <f t="shared" si="228"/>
        <v>0</v>
      </c>
      <c r="AQ574" s="151">
        <f t="shared" si="229"/>
        <v>0</v>
      </c>
    </row>
    <row r="575" spans="1:43" ht="15" customHeight="1">
      <c r="A575" s="82" t="e">
        <f t="shared" si="214"/>
        <v>#REF!</v>
      </c>
      <c r="B575" s="134">
        <v>105</v>
      </c>
      <c r="C575" s="135" t="s">
        <v>943</v>
      </c>
      <c r="D575" s="136" t="s">
        <v>274</v>
      </c>
      <c r="E575" s="137" t="s">
        <v>947</v>
      </c>
      <c r="F575" s="138" t="s">
        <v>646</v>
      </c>
      <c r="G575" s="139" t="s">
        <v>671</v>
      </c>
      <c r="H575" s="140" t="str">
        <f t="shared" si="215"/>
        <v>Niet van toepassing</v>
      </c>
      <c r="I575" s="138" t="s">
        <v>35</v>
      </c>
      <c r="J575" s="138" t="s">
        <v>1172</v>
      </c>
      <c r="K575" s="141" t="str">
        <f t="shared" si="216"/>
        <v>NVT</v>
      </c>
      <c r="L575" s="141" t="str">
        <f t="shared" si="217"/>
        <v>NVT</v>
      </c>
      <c r="M575" s="141" t="str">
        <f t="shared" si="218"/>
        <v>NVT</v>
      </c>
      <c r="N575" s="141" t="str">
        <f t="shared" si="219"/>
        <v>NVT</v>
      </c>
      <c r="O575" s="141" t="str">
        <f t="shared" si="220"/>
        <v>NVT</v>
      </c>
      <c r="P575" s="141" t="str">
        <f t="shared" si="221"/>
        <v>NVT</v>
      </c>
      <c r="Q575" s="141" t="str">
        <f t="shared" si="222"/>
        <v>NVT</v>
      </c>
      <c r="R575" s="63" t="s">
        <v>1221</v>
      </c>
      <c r="S575" s="142">
        <f t="shared" si="212"/>
        <v>0</v>
      </c>
      <c r="T575" s="143">
        <v>1.5</v>
      </c>
      <c r="U575" s="144"/>
      <c r="V575" s="144"/>
      <c r="W575" s="144">
        <v>15</v>
      </c>
      <c r="X575" s="144"/>
      <c r="Y575" s="144"/>
      <c r="Z575" s="145"/>
      <c r="AA575" s="145">
        <v>2</v>
      </c>
      <c r="AB575" s="145"/>
      <c r="AC575" s="145"/>
      <c r="AD575" s="146"/>
      <c r="AE575" s="171">
        <v>1</v>
      </c>
      <c r="AF575" s="147">
        <f t="shared" si="223"/>
        <v>0</v>
      </c>
      <c r="AG575" s="147">
        <f t="shared" si="224"/>
        <v>0</v>
      </c>
      <c r="AH575" s="147">
        <f t="shared" si="225"/>
        <v>0</v>
      </c>
      <c r="AI575" s="147">
        <f t="shared" si="226"/>
        <v>0</v>
      </c>
      <c r="AJ575" s="148">
        <f t="shared" si="227"/>
        <v>0</v>
      </c>
      <c r="AK575" s="149">
        <f t="shared" si="230"/>
        <v>0</v>
      </c>
      <c r="AL575" s="149">
        <f t="shared" si="231"/>
        <v>0</v>
      </c>
      <c r="AM575" s="149">
        <f t="shared" si="232"/>
        <v>0</v>
      </c>
      <c r="AN575" s="149">
        <f t="shared" si="233"/>
        <v>0</v>
      </c>
      <c r="AO575" s="150">
        <f t="shared" si="228"/>
        <v>0</v>
      </c>
      <c r="AQ575" s="151">
        <f t="shared" si="229"/>
        <v>0</v>
      </c>
    </row>
    <row r="576" spans="1:43" ht="15" customHeight="1">
      <c r="A576" s="82" t="e">
        <f t="shared" si="214"/>
        <v>#REF!</v>
      </c>
      <c r="B576" s="134">
        <v>105</v>
      </c>
      <c r="C576" s="135" t="s">
        <v>943</v>
      </c>
      <c r="D576" s="136" t="s">
        <v>274</v>
      </c>
      <c r="E576" s="137" t="s">
        <v>947</v>
      </c>
      <c r="F576" s="138" t="s">
        <v>646</v>
      </c>
      <c r="G576" s="139" t="s">
        <v>672</v>
      </c>
      <c r="H576" s="140" t="str">
        <f t="shared" si="215"/>
        <v>Niet van toepassing</v>
      </c>
      <c r="I576" s="138" t="s">
        <v>35</v>
      </c>
      <c r="J576" s="138" t="s">
        <v>1172</v>
      </c>
      <c r="K576" s="141" t="str">
        <f t="shared" si="216"/>
        <v>NVT</v>
      </c>
      <c r="L576" s="141" t="str">
        <f t="shared" si="217"/>
        <v>NVT</v>
      </c>
      <c r="M576" s="141" t="str">
        <f t="shared" si="218"/>
        <v>NVT</v>
      </c>
      <c r="N576" s="141" t="str">
        <f t="shared" si="219"/>
        <v>NVT</v>
      </c>
      <c r="O576" s="141" t="str">
        <f t="shared" si="220"/>
        <v>NVT</v>
      </c>
      <c r="P576" s="141" t="str">
        <f t="shared" si="221"/>
        <v>NVT</v>
      </c>
      <c r="Q576" s="141" t="str">
        <f t="shared" si="222"/>
        <v>NVT</v>
      </c>
      <c r="R576" s="63" t="s">
        <v>1221</v>
      </c>
      <c r="S576" s="142">
        <f t="shared" si="212"/>
        <v>0</v>
      </c>
      <c r="T576" s="143">
        <v>3</v>
      </c>
      <c r="U576" s="144"/>
      <c r="V576" s="144"/>
      <c r="W576" s="144">
        <v>24</v>
      </c>
      <c r="X576" s="144"/>
      <c r="Y576" s="144"/>
      <c r="Z576" s="145"/>
      <c r="AA576" s="145">
        <v>3</v>
      </c>
      <c r="AB576" s="145"/>
      <c r="AC576" s="145"/>
      <c r="AD576" s="146"/>
      <c r="AE576" s="171">
        <v>1</v>
      </c>
      <c r="AF576" s="147">
        <f t="shared" si="223"/>
        <v>0</v>
      </c>
      <c r="AG576" s="147">
        <f t="shared" si="224"/>
        <v>0</v>
      </c>
      <c r="AH576" s="147">
        <f t="shared" si="225"/>
        <v>0</v>
      </c>
      <c r="AI576" s="147">
        <f t="shared" si="226"/>
        <v>0</v>
      </c>
      <c r="AJ576" s="148">
        <f t="shared" si="227"/>
        <v>0</v>
      </c>
      <c r="AK576" s="149">
        <f t="shared" si="230"/>
        <v>0</v>
      </c>
      <c r="AL576" s="149">
        <f t="shared" si="231"/>
        <v>0</v>
      </c>
      <c r="AM576" s="149">
        <f t="shared" si="232"/>
        <v>0</v>
      </c>
      <c r="AN576" s="149">
        <f t="shared" si="233"/>
        <v>0</v>
      </c>
      <c r="AO576" s="150">
        <f t="shared" si="228"/>
        <v>0</v>
      </c>
      <c r="AQ576" s="151">
        <f t="shared" si="229"/>
        <v>0</v>
      </c>
    </row>
    <row r="577" spans="1:43" ht="15" customHeight="1">
      <c r="A577" s="82" t="e">
        <f t="shared" si="214"/>
        <v>#REF!</v>
      </c>
      <c r="B577" s="134">
        <v>105</v>
      </c>
      <c r="C577" s="135" t="s">
        <v>943</v>
      </c>
      <c r="D577" s="136" t="s">
        <v>274</v>
      </c>
      <c r="E577" s="137" t="s">
        <v>947</v>
      </c>
      <c r="F577" s="138" t="s">
        <v>646</v>
      </c>
      <c r="G577" s="139" t="s">
        <v>1050</v>
      </c>
      <c r="H577" s="140" t="str">
        <f t="shared" si="215"/>
        <v>Niet van toepassing</v>
      </c>
      <c r="I577" s="138" t="s">
        <v>82</v>
      </c>
      <c r="J577" s="138" t="s">
        <v>1172</v>
      </c>
      <c r="K577" s="141" t="str">
        <f t="shared" si="216"/>
        <v>NVT</v>
      </c>
      <c r="L577" s="141" t="str">
        <f t="shared" si="217"/>
        <v>NVT</v>
      </c>
      <c r="M577" s="141" t="str">
        <f t="shared" si="218"/>
        <v>NVT</v>
      </c>
      <c r="N577" s="141" t="str">
        <f t="shared" si="219"/>
        <v>NVT</v>
      </c>
      <c r="O577" s="141" t="str">
        <f t="shared" si="220"/>
        <v>NVT</v>
      </c>
      <c r="P577" s="141" t="str">
        <f t="shared" si="221"/>
        <v>NVT</v>
      </c>
      <c r="Q577" s="141" t="str">
        <f t="shared" si="222"/>
        <v>NVT</v>
      </c>
      <c r="R577" s="63" t="s">
        <v>1221</v>
      </c>
      <c r="S577" s="142">
        <f t="shared" si="212"/>
        <v>0</v>
      </c>
      <c r="T577" s="143">
        <f>((3*1.1)+(2.8*1.8))*1.3</f>
        <v>10.842000000000001</v>
      </c>
      <c r="U577" s="144"/>
      <c r="V577" s="144"/>
      <c r="W577" s="144">
        <f>(3+2.8+1.8+2.8+0.7+3+1.1)*3</f>
        <v>45.599999999999994</v>
      </c>
      <c r="X577" s="144"/>
      <c r="Y577" s="144"/>
      <c r="Z577" s="145"/>
      <c r="AA577" s="145">
        <f>T577</f>
        <v>10.842000000000001</v>
      </c>
      <c r="AB577" s="145"/>
      <c r="AC577" s="145"/>
      <c r="AD577" s="146" t="s">
        <v>1075</v>
      </c>
      <c r="AE577" s="171">
        <v>1</v>
      </c>
      <c r="AF577" s="147">
        <f t="shared" si="223"/>
        <v>0</v>
      </c>
      <c r="AG577" s="147">
        <f t="shared" si="224"/>
        <v>0</v>
      </c>
      <c r="AH577" s="147">
        <f t="shared" si="225"/>
        <v>0</v>
      </c>
      <c r="AI577" s="147">
        <f t="shared" si="226"/>
        <v>0</v>
      </c>
      <c r="AJ577" s="148">
        <f t="shared" si="227"/>
        <v>0</v>
      </c>
      <c r="AK577" s="149">
        <f t="shared" si="230"/>
        <v>0</v>
      </c>
      <c r="AL577" s="149">
        <f t="shared" si="231"/>
        <v>0</v>
      </c>
      <c r="AM577" s="149">
        <f t="shared" si="232"/>
        <v>0</v>
      </c>
      <c r="AN577" s="149">
        <f t="shared" si="233"/>
        <v>0</v>
      </c>
      <c r="AO577" s="150">
        <f t="shared" si="228"/>
        <v>0</v>
      </c>
      <c r="AQ577" s="151">
        <f t="shared" si="229"/>
        <v>0</v>
      </c>
    </row>
    <row r="578" spans="1:43" ht="15" customHeight="1">
      <c r="A578" s="82" t="e">
        <f t="shared" si="214"/>
        <v>#REF!</v>
      </c>
      <c r="B578" s="134">
        <v>105</v>
      </c>
      <c r="C578" s="135" t="s">
        <v>943</v>
      </c>
      <c r="D578" s="136" t="s">
        <v>274</v>
      </c>
      <c r="E578" s="137" t="s">
        <v>947</v>
      </c>
      <c r="F578" s="138" t="s">
        <v>646</v>
      </c>
      <c r="G578" s="139" t="s">
        <v>1051</v>
      </c>
      <c r="H578" s="140" t="str">
        <f t="shared" si="215"/>
        <v>Niet van toepassing</v>
      </c>
      <c r="I578" s="138" t="s">
        <v>82</v>
      </c>
      <c r="J578" s="138" t="s">
        <v>1172</v>
      </c>
      <c r="K578" s="141" t="str">
        <f t="shared" si="216"/>
        <v>NVT</v>
      </c>
      <c r="L578" s="141" t="str">
        <f t="shared" si="217"/>
        <v>NVT</v>
      </c>
      <c r="M578" s="141" t="str">
        <f t="shared" si="218"/>
        <v>NVT</v>
      </c>
      <c r="N578" s="141" t="str">
        <f t="shared" si="219"/>
        <v>NVT</v>
      </c>
      <c r="O578" s="141" t="str">
        <f t="shared" si="220"/>
        <v>NVT</v>
      </c>
      <c r="P578" s="141" t="str">
        <f t="shared" si="221"/>
        <v>NVT</v>
      </c>
      <c r="Q578" s="141" t="str">
        <f t="shared" si="222"/>
        <v>NVT</v>
      </c>
      <c r="R578" s="63" t="s">
        <v>1221</v>
      </c>
      <c r="S578" s="142">
        <f t="shared" si="212"/>
        <v>0</v>
      </c>
      <c r="T578" s="143">
        <f>((2.2*1)+(4*1)+(7.5*5.5))*1.3</f>
        <v>61.685000000000002</v>
      </c>
      <c r="U578" s="144"/>
      <c r="V578" s="144"/>
      <c r="W578" s="144">
        <f>(2.2+1+1.3+1+4+6.5+7.5+6.5)*3</f>
        <v>90</v>
      </c>
      <c r="X578" s="144"/>
      <c r="Y578" s="144"/>
      <c r="Z578" s="145"/>
      <c r="AA578" s="145">
        <f>T578</f>
        <v>61.685000000000002</v>
      </c>
      <c r="AB578" s="145"/>
      <c r="AC578" s="145"/>
      <c r="AD578" s="146"/>
      <c r="AE578" s="171">
        <v>1</v>
      </c>
      <c r="AF578" s="147">
        <f t="shared" si="223"/>
        <v>0</v>
      </c>
      <c r="AG578" s="147">
        <f t="shared" si="224"/>
        <v>0</v>
      </c>
      <c r="AH578" s="147">
        <f t="shared" si="225"/>
        <v>0</v>
      </c>
      <c r="AI578" s="147">
        <f t="shared" si="226"/>
        <v>0</v>
      </c>
      <c r="AJ578" s="148">
        <f t="shared" si="227"/>
        <v>0</v>
      </c>
      <c r="AK578" s="149">
        <f t="shared" si="230"/>
        <v>0</v>
      </c>
      <c r="AL578" s="149">
        <f t="shared" si="231"/>
        <v>0</v>
      </c>
      <c r="AM578" s="149">
        <f t="shared" si="232"/>
        <v>0</v>
      </c>
      <c r="AN578" s="149">
        <f t="shared" si="233"/>
        <v>0</v>
      </c>
      <c r="AO578" s="150">
        <f t="shared" si="228"/>
        <v>0</v>
      </c>
      <c r="AQ578" s="151">
        <f t="shared" si="229"/>
        <v>0</v>
      </c>
    </row>
    <row r="579" spans="1:43" ht="15" customHeight="1">
      <c r="A579" s="82" t="e">
        <f>1+#REF!</f>
        <v>#REF!</v>
      </c>
      <c r="B579" s="134">
        <v>105</v>
      </c>
      <c r="C579" s="135" t="s">
        <v>943</v>
      </c>
      <c r="D579" s="136" t="s">
        <v>274</v>
      </c>
      <c r="E579" s="137" t="s">
        <v>499</v>
      </c>
      <c r="F579" s="138" t="s">
        <v>505</v>
      </c>
      <c r="G579" s="139" t="s">
        <v>979</v>
      </c>
      <c r="H579" s="140" t="str">
        <f t="shared" si="215"/>
        <v>Niet van toepassing</v>
      </c>
      <c r="I579" s="138" t="s">
        <v>35</v>
      </c>
      <c r="J579" s="138" t="s">
        <v>1172</v>
      </c>
      <c r="K579" s="141" t="str">
        <f t="shared" si="216"/>
        <v>NVT</v>
      </c>
      <c r="L579" s="141" t="str">
        <f t="shared" si="217"/>
        <v>NVT</v>
      </c>
      <c r="M579" s="141" t="str">
        <f t="shared" si="218"/>
        <v>NVT</v>
      </c>
      <c r="N579" s="141" t="str">
        <f t="shared" si="219"/>
        <v>NVT</v>
      </c>
      <c r="O579" s="141" t="str">
        <f t="shared" si="220"/>
        <v>NVT</v>
      </c>
      <c r="P579" s="141" t="str">
        <f t="shared" si="221"/>
        <v>NVT</v>
      </c>
      <c r="Q579" s="141" t="str">
        <f t="shared" si="222"/>
        <v>NVT</v>
      </c>
      <c r="R579" s="63" t="s">
        <v>1221</v>
      </c>
      <c r="S579" s="142">
        <f t="shared" si="212"/>
        <v>0</v>
      </c>
      <c r="T579" s="143">
        <v>34</v>
      </c>
      <c r="U579" s="144"/>
      <c r="V579" s="144"/>
      <c r="W579" s="144">
        <f>+(4+4.65+4.8+2.9+4.6+2.6+2.1)*2.7</f>
        <v>69.254999999999995</v>
      </c>
      <c r="X579" s="144"/>
      <c r="Y579" s="144"/>
      <c r="Z579" s="145"/>
      <c r="AA579" s="145"/>
      <c r="AB579" s="145">
        <v>34</v>
      </c>
      <c r="AC579" s="145"/>
      <c r="AD579" s="146" t="s">
        <v>679</v>
      </c>
      <c r="AE579" s="171">
        <v>1</v>
      </c>
      <c r="AF579" s="147">
        <f t="shared" si="223"/>
        <v>0</v>
      </c>
      <c r="AG579" s="147">
        <f t="shared" si="224"/>
        <v>0</v>
      </c>
      <c r="AH579" s="147">
        <f t="shared" si="225"/>
        <v>0</v>
      </c>
      <c r="AI579" s="147">
        <f t="shared" si="226"/>
        <v>0</v>
      </c>
      <c r="AJ579" s="148">
        <f t="shared" si="227"/>
        <v>0</v>
      </c>
      <c r="AK579" s="149">
        <f t="shared" si="230"/>
        <v>0</v>
      </c>
      <c r="AL579" s="149">
        <f t="shared" si="231"/>
        <v>0</v>
      </c>
      <c r="AM579" s="149">
        <f t="shared" si="232"/>
        <v>0</v>
      </c>
      <c r="AN579" s="149">
        <f t="shared" si="233"/>
        <v>0</v>
      </c>
      <c r="AO579" s="150">
        <f t="shared" si="228"/>
        <v>0</v>
      </c>
      <c r="AQ579" s="151">
        <f t="shared" si="229"/>
        <v>0</v>
      </c>
    </row>
    <row r="580" spans="1:43" ht="15" customHeight="1">
      <c r="A580" s="82" t="e">
        <f t="shared" si="214"/>
        <v>#REF!</v>
      </c>
      <c r="B580" s="134">
        <v>105</v>
      </c>
      <c r="C580" s="135" t="s">
        <v>943</v>
      </c>
      <c r="D580" s="136" t="s">
        <v>274</v>
      </c>
      <c r="E580" s="137" t="s">
        <v>499</v>
      </c>
      <c r="F580" s="138" t="s">
        <v>505</v>
      </c>
      <c r="G580" s="139" t="s">
        <v>892</v>
      </c>
      <c r="H580" s="140" t="str">
        <f t="shared" si="215"/>
        <v>Niet van toepassing</v>
      </c>
      <c r="I580" s="138" t="s">
        <v>35</v>
      </c>
      <c r="J580" s="138" t="s">
        <v>1172</v>
      </c>
      <c r="K580" s="141" t="str">
        <f t="shared" si="216"/>
        <v>NVT</v>
      </c>
      <c r="L580" s="141" t="str">
        <f t="shared" si="217"/>
        <v>NVT</v>
      </c>
      <c r="M580" s="141" t="str">
        <f t="shared" si="218"/>
        <v>NVT</v>
      </c>
      <c r="N580" s="141" t="str">
        <f t="shared" si="219"/>
        <v>NVT</v>
      </c>
      <c r="O580" s="141" t="str">
        <f t="shared" si="220"/>
        <v>NVT</v>
      </c>
      <c r="P580" s="141" t="str">
        <f t="shared" si="221"/>
        <v>NVT</v>
      </c>
      <c r="Q580" s="141" t="str">
        <f t="shared" si="222"/>
        <v>NVT</v>
      </c>
      <c r="R580" s="63" t="s">
        <v>1221</v>
      </c>
      <c r="S580" s="142">
        <f t="shared" si="212"/>
        <v>0</v>
      </c>
      <c r="T580" s="143">
        <v>34</v>
      </c>
      <c r="U580" s="144"/>
      <c r="V580" s="144"/>
      <c r="W580" s="144">
        <f>+(2.4+5.4+4.45+3.75+2.5+7.3*2+1.8*2)*2.75</f>
        <v>100.92500000000001</v>
      </c>
      <c r="X580" s="144"/>
      <c r="Y580" s="144"/>
      <c r="Z580" s="145"/>
      <c r="AA580" s="145"/>
      <c r="AB580" s="145">
        <v>34</v>
      </c>
      <c r="AC580" s="145"/>
      <c r="AD580" s="146" t="s">
        <v>679</v>
      </c>
      <c r="AE580" s="171">
        <v>1</v>
      </c>
      <c r="AF580" s="147">
        <f t="shared" si="223"/>
        <v>0</v>
      </c>
      <c r="AG580" s="147">
        <f t="shared" si="224"/>
        <v>0</v>
      </c>
      <c r="AH580" s="147">
        <f t="shared" si="225"/>
        <v>0</v>
      </c>
      <c r="AI580" s="147">
        <f t="shared" si="226"/>
        <v>0</v>
      </c>
      <c r="AJ580" s="148">
        <f t="shared" si="227"/>
        <v>0</v>
      </c>
      <c r="AK580" s="149">
        <f t="shared" si="230"/>
        <v>0</v>
      </c>
      <c r="AL580" s="149">
        <f t="shared" si="231"/>
        <v>0</v>
      </c>
      <c r="AM580" s="149">
        <f t="shared" si="232"/>
        <v>0</v>
      </c>
      <c r="AN580" s="149">
        <f t="shared" si="233"/>
        <v>0</v>
      </c>
      <c r="AO580" s="150">
        <f t="shared" si="228"/>
        <v>0</v>
      </c>
      <c r="AQ580" s="151">
        <f t="shared" si="229"/>
        <v>0</v>
      </c>
    </row>
    <row r="581" spans="1:43" ht="15" customHeight="1">
      <c r="A581" s="82" t="e">
        <f t="shared" si="214"/>
        <v>#REF!</v>
      </c>
      <c r="B581" s="134">
        <v>105</v>
      </c>
      <c r="C581" s="135" t="s">
        <v>943</v>
      </c>
      <c r="D581" s="136" t="s">
        <v>274</v>
      </c>
      <c r="E581" s="137" t="s">
        <v>499</v>
      </c>
      <c r="F581" s="138" t="s">
        <v>503</v>
      </c>
      <c r="G581" s="139" t="s">
        <v>893</v>
      </c>
      <c r="H581" s="140" t="str">
        <f t="shared" si="215"/>
        <v>Niet van toepassing</v>
      </c>
      <c r="I581" s="138" t="s">
        <v>35</v>
      </c>
      <c r="J581" s="138" t="s">
        <v>1172</v>
      </c>
      <c r="K581" s="141" t="str">
        <f t="shared" si="216"/>
        <v>NVT</v>
      </c>
      <c r="L581" s="141" t="str">
        <f t="shared" si="217"/>
        <v>NVT</v>
      </c>
      <c r="M581" s="141" t="str">
        <f t="shared" si="218"/>
        <v>NVT</v>
      </c>
      <c r="N581" s="141" t="str">
        <f t="shared" si="219"/>
        <v>NVT</v>
      </c>
      <c r="O581" s="141" t="str">
        <f t="shared" si="220"/>
        <v>NVT</v>
      </c>
      <c r="P581" s="141" t="str">
        <f t="shared" si="221"/>
        <v>NVT</v>
      </c>
      <c r="Q581" s="141" t="str">
        <f t="shared" si="222"/>
        <v>NVT</v>
      </c>
      <c r="R581" s="63" t="s">
        <v>1221</v>
      </c>
      <c r="S581" s="142">
        <f t="shared" si="212"/>
        <v>0</v>
      </c>
      <c r="T581" s="143">
        <f>3.3*7.6</f>
        <v>25.08</v>
      </c>
      <c r="U581" s="144"/>
      <c r="V581" s="144"/>
      <c r="W581" s="144">
        <f>2*(7.6+3.3)*2.7</f>
        <v>58.86</v>
      </c>
      <c r="X581" s="144"/>
      <c r="Y581" s="144"/>
      <c r="Z581" s="145"/>
      <c r="AA581" s="145"/>
      <c r="AB581" s="145">
        <v>25</v>
      </c>
      <c r="AC581" s="145"/>
      <c r="AD581" s="146" t="s">
        <v>679</v>
      </c>
      <c r="AE581" s="171">
        <v>1</v>
      </c>
      <c r="AF581" s="147">
        <f t="shared" si="223"/>
        <v>0</v>
      </c>
      <c r="AG581" s="147">
        <f t="shared" si="224"/>
        <v>0</v>
      </c>
      <c r="AH581" s="147">
        <f t="shared" si="225"/>
        <v>0</v>
      </c>
      <c r="AI581" s="147">
        <f t="shared" si="226"/>
        <v>0</v>
      </c>
      <c r="AJ581" s="148">
        <f t="shared" si="227"/>
        <v>0</v>
      </c>
      <c r="AK581" s="149">
        <f t="shared" si="230"/>
        <v>0</v>
      </c>
      <c r="AL581" s="149">
        <f t="shared" si="231"/>
        <v>0</v>
      </c>
      <c r="AM581" s="149">
        <f t="shared" si="232"/>
        <v>0</v>
      </c>
      <c r="AN581" s="149">
        <f t="shared" si="233"/>
        <v>0</v>
      </c>
      <c r="AO581" s="150">
        <f t="shared" si="228"/>
        <v>0</v>
      </c>
      <c r="AQ581" s="151">
        <f t="shared" si="229"/>
        <v>0</v>
      </c>
    </row>
    <row r="582" spans="1:43" ht="15" customHeight="1">
      <c r="A582" s="82" t="e">
        <f t="shared" si="214"/>
        <v>#REF!</v>
      </c>
      <c r="B582" s="134">
        <v>105</v>
      </c>
      <c r="C582" s="135" t="s">
        <v>943</v>
      </c>
      <c r="D582" s="136" t="s">
        <v>274</v>
      </c>
      <c r="E582" s="137" t="s">
        <v>499</v>
      </c>
      <c r="F582" s="138" t="s">
        <v>505</v>
      </c>
      <c r="G582" s="139" t="s">
        <v>894</v>
      </c>
      <c r="H582" s="140" t="str">
        <f t="shared" si="215"/>
        <v>Niet van toepassing</v>
      </c>
      <c r="I582" s="138" t="s">
        <v>35</v>
      </c>
      <c r="J582" s="138" t="s">
        <v>1172</v>
      </c>
      <c r="K582" s="141" t="str">
        <f t="shared" si="216"/>
        <v>NVT</v>
      </c>
      <c r="L582" s="141" t="str">
        <f t="shared" si="217"/>
        <v>NVT</v>
      </c>
      <c r="M582" s="141" t="str">
        <f t="shared" si="218"/>
        <v>NVT</v>
      </c>
      <c r="N582" s="141" t="str">
        <f t="shared" si="219"/>
        <v>NVT</v>
      </c>
      <c r="O582" s="141" t="str">
        <f t="shared" si="220"/>
        <v>NVT</v>
      </c>
      <c r="P582" s="141" t="str">
        <f t="shared" si="221"/>
        <v>NVT</v>
      </c>
      <c r="Q582" s="141" t="str">
        <f t="shared" si="222"/>
        <v>NVT</v>
      </c>
      <c r="R582" s="63" t="s">
        <v>1221</v>
      </c>
      <c r="S582" s="142">
        <f t="shared" si="212"/>
        <v>0</v>
      </c>
      <c r="T582" s="143">
        <v>24</v>
      </c>
      <c r="U582" s="144"/>
      <c r="V582" s="144"/>
      <c r="W582" s="144">
        <v>26</v>
      </c>
      <c r="X582" s="144"/>
      <c r="Y582" s="144"/>
      <c r="Z582" s="145"/>
      <c r="AA582" s="145"/>
      <c r="AB582" s="145">
        <v>24</v>
      </c>
      <c r="AC582" s="145"/>
      <c r="AD582" s="146" t="s">
        <v>679</v>
      </c>
      <c r="AE582" s="171">
        <v>1</v>
      </c>
      <c r="AF582" s="147">
        <f t="shared" si="223"/>
        <v>0</v>
      </c>
      <c r="AG582" s="147">
        <f t="shared" si="224"/>
        <v>0</v>
      </c>
      <c r="AH582" s="147">
        <f t="shared" si="225"/>
        <v>0</v>
      </c>
      <c r="AI582" s="147">
        <f t="shared" si="226"/>
        <v>0</v>
      </c>
      <c r="AJ582" s="148">
        <f t="shared" si="227"/>
        <v>0</v>
      </c>
      <c r="AK582" s="149">
        <f t="shared" si="230"/>
        <v>0</v>
      </c>
      <c r="AL582" s="149">
        <f t="shared" si="231"/>
        <v>0</v>
      </c>
      <c r="AM582" s="149">
        <f t="shared" si="232"/>
        <v>0</v>
      </c>
      <c r="AN582" s="149">
        <f t="shared" si="233"/>
        <v>0</v>
      </c>
      <c r="AO582" s="150">
        <f t="shared" si="228"/>
        <v>0</v>
      </c>
      <c r="AQ582" s="151">
        <f t="shared" si="229"/>
        <v>0</v>
      </c>
    </row>
    <row r="583" spans="1:43" ht="15" customHeight="1">
      <c r="A583" s="82" t="e">
        <f t="shared" si="214"/>
        <v>#REF!</v>
      </c>
      <c r="B583" s="134">
        <v>105</v>
      </c>
      <c r="C583" s="135" t="s">
        <v>943</v>
      </c>
      <c r="D583" s="136" t="s">
        <v>274</v>
      </c>
      <c r="E583" s="137" t="s">
        <v>499</v>
      </c>
      <c r="F583" s="138" t="s">
        <v>505</v>
      </c>
      <c r="G583" s="139" t="s">
        <v>981</v>
      </c>
      <c r="H583" s="140" t="str">
        <f t="shared" si="215"/>
        <v>Niet van toepassing</v>
      </c>
      <c r="I583" s="138" t="s">
        <v>35</v>
      </c>
      <c r="J583" s="138" t="s">
        <v>1172</v>
      </c>
      <c r="K583" s="141" t="str">
        <f t="shared" si="216"/>
        <v>NVT</v>
      </c>
      <c r="L583" s="141" t="str">
        <f t="shared" si="217"/>
        <v>NVT</v>
      </c>
      <c r="M583" s="141" t="str">
        <f t="shared" si="218"/>
        <v>NVT</v>
      </c>
      <c r="N583" s="141" t="str">
        <f t="shared" si="219"/>
        <v>NVT</v>
      </c>
      <c r="O583" s="141" t="str">
        <f t="shared" si="220"/>
        <v>NVT</v>
      </c>
      <c r="P583" s="141" t="str">
        <f t="shared" si="221"/>
        <v>NVT</v>
      </c>
      <c r="Q583" s="141" t="str">
        <f t="shared" si="222"/>
        <v>NVT</v>
      </c>
      <c r="R583" s="63" t="s">
        <v>1221</v>
      </c>
      <c r="S583" s="142">
        <f t="shared" si="212"/>
        <v>0</v>
      </c>
      <c r="T583" s="143">
        <v>24</v>
      </c>
      <c r="U583" s="144"/>
      <c r="V583" s="144"/>
      <c r="W583" s="144">
        <v>26</v>
      </c>
      <c r="X583" s="144"/>
      <c r="Y583" s="144"/>
      <c r="Z583" s="145"/>
      <c r="AA583" s="145"/>
      <c r="AB583" s="145">
        <v>24</v>
      </c>
      <c r="AC583" s="145"/>
      <c r="AD583" s="146" t="s">
        <v>679</v>
      </c>
      <c r="AE583" s="171">
        <v>1</v>
      </c>
      <c r="AF583" s="147">
        <f t="shared" si="223"/>
        <v>0</v>
      </c>
      <c r="AG583" s="147">
        <f t="shared" si="224"/>
        <v>0</v>
      </c>
      <c r="AH583" s="147">
        <f t="shared" si="225"/>
        <v>0</v>
      </c>
      <c r="AI583" s="147">
        <f t="shared" si="226"/>
        <v>0</v>
      </c>
      <c r="AJ583" s="148">
        <f t="shared" si="227"/>
        <v>0</v>
      </c>
      <c r="AK583" s="149">
        <f t="shared" si="230"/>
        <v>0</v>
      </c>
      <c r="AL583" s="149">
        <f t="shared" si="231"/>
        <v>0</v>
      </c>
      <c r="AM583" s="149">
        <f t="shared" si="232"/>
        <v>0</v>
      </c>
      <c r="AN583" s="149">
        <f t="shared" si="233"/>
        <v>0</v>
      </c>
      <c r="AO583" s="150">
        <f t="shared" si="228"/>
        <v>0</v>
      </c>
      <c r="AQ583" s="151">
        <f t="shared" si="229"/>
        <v>0</v>
      </c>
    </row>
    <row r="584" spans="1:43" ht="15" customHeight="1">
      <c r="A584" s="82" t="e">
        <f t="shared" si="214"/>
        <v>#REF!</v>
      </c>
      <c r="B584" s="134">
        <v>105</v>
      </c>
      <c r="C584" s="135" t="s">
        <v>943</v>
      </c>
      <c r="D584" s="136" t="s">
        <v>274</v>
      </c>
      <c r="E584" s="137" t="s">
        <v>499</v>
      </c>
      <c r="F584" s="138" t="s">
        <v>646</v>
      </c>
      <c r="G584" s="139" t="s">
        <v>744</v>
      </c>
      <c r="H584" s="140" t="str">
        <f t="shared" si="215"/>
        <v>Niet van toepassing</v>
      </c>
      <c r="I584" s="138" t="s">
        <v>35</v>
      </c>
      <c r="J584" s="138" t="s">
        <v>1172</v>
      </c>
      <c r="K584" s="141" t="str">
        <f t="shared" si="216"/>
        <v>NVT</v>
      </c>
      <c r="L584" s="141" t="str">
        <f t="shared" si="217"/>
        <v>NVT</v>
      </c>
      <c r="M584" s="141" t="str">
        <f t="shared" si="218"/>
        <v>NVT</v>
      </c>
      <c r="N584" s="141" t="str">
        <f t="shared" si="219"/>
        <v>NVT</v>
      </c>
      <c r="O584" s="141" t="str">
        <f t="shared" si="220"/>
        <v>NVT</v>
      </c>
      <c r="P584" s="141" t="str">
        <f t="shared" si="221"/>
        <v>NVT</v>
      </c>
      <c r="Q584" s="141" t="str">
        <f t="shared" si="222"/>
        <v>NVT</v>
      </c>
      <c r="R584" s="63" t="s">
        <v>1221</v>
      </c>
      <c r="S584" s="142">
        <f t="shared" si="212"/>
        <v>0</v>
      </c>
      <c r="T584" s="143">
        <v>24</v>
      </c>
      <c r="U584" s="144"/>
      <c r="V584" s="144"/>
      <c r="W584" s="144">
        <v>66</v>
      </c>
      <c r="X584" s="144"/>
      <c r="Y584" s="144"/>
      <c r="Z584" s="145"/>
      <c r="AA584" s="145">
        <v>21</v>
      </c>
      <c r="AB584" s="145"/>
      <c r="AC584" s="145"/>
      <c r="AD584" s="146"/>
      <c r="AE584" s="171">
        <v>1</v>
      </c>
      <c r="AF584" s="147">
        <f t="shared" si="223"/>
        <v>0</v>
      </c>
      <c r="AG584" s="147">
        <f t="shared" si="224"/>
        <v>0</v>
      </c>
      <c r="AH584" s="147">
        <f t="shared" si="225"/>
        <v>0</v>
      </c>
      <c r="AI584" s="147">
        <f t="shared" si="226"/>
        <v>0</v>
      </c>
      <c r="AJ584" s="148">
        <f t="shared" si="227"/>
        <v>0</v>
      </c>
      <c r="AK584" s="149">
        <f t="shared" si="230"/>
        <v>0</v>
      </c>
      <c r="AL584" s="149">
        <f t="shared" si="231"/>
        <v>0</v>
      </c>
      <c r="AM584" s="149">
        <f t="shared" si="232"/>
        <v>0</v>
      </c>
      <c r="AN584" s="149">
        <f t="shared" si="233"/>
        <v>0</v>
      </c>
      <c r="AO584" s="150">
        <f t="shared" si="228"/>
        <v>0</v>
      </c>
      <c r="AQ584" s="151">
        <f t="shared" si="229"/>
        <v>0</v>
      </c>
    </row>
    <row r="585" spans="1:43" ht="15" customHeight="1">
      <c r="A585" s="82" t="e">
        <f t="shared" si="214"/>
        <v>#REF!</v>
      </c>
      <c r="B585" s="134">
        <v>105</v>
      </c>
      <c r="C585" s="135" t="s">
        <v>943</v>
      </c>
      <c r="D585" s="136" t="s">
        <v>274</v>
      </c>
      <c r="E585" s="137" t="s">
        <v>499</v>
      </c>
      <c r="F585" s="138" t="s">
        <v>646</v>
      </c>
      <c r="G585" s="139" t="s">
        <v>742</v>
      </c>
      <c r="H585" s="140" t="str">
        <f t="shared" si="215"/>
        <v>Niet van toepassing</v>
      </c>
      <c r="I585" s="138" t="s">
        <v>35</v>
      </c>
      <c r="J585" s="138" t="s">
        <v>1172</v>
      </c>
      <c r="K585" s="141" t="str">
        <f t="shared" si="216"/>
        <v>NVT</v>
      </c>
      <c r="L585" s="141" t="str">
        <f t="shared" si="217"/>
        <v>NVT</v>
      </c>
      <c r="M585" s="141" t="str">
        <f t="shared" si="218"/>
        <v>NVT</v>
      </c>
      <c r="N585" s="141" t="str">
        <f t="shared" si="219"/>
        <v>NVT</v>
      </c>
      <c r="O585" s="141" t="str">
        <f t="shared" si="220"/>
        <v>NVT</v>
      </c>
      <c r="P585" s="141" t="str">
        <f t="shared" si="221"/>
        <v>NVT</v>
      </c>
      <c r="Q585" s="141" t="str">
        <f t="shared" si="222"/>
        <v>NVT</v>
      </c>
      <c r="R585" s="63" t="s">
        <v>1221</v>
      </c>
      <c r="S585" s="142">
        <f t="shared" si="212"/>
        <v>0</v>
      </c>
      <c r="T585" s="143">
        <v>24</v>
      </c>
      <c r="U585" s="144"/>
      <c r="V585" s="144"/>
      <c r="W585" s="144">
        <v>66</v>
      </c>
      <c r="X585" s="144"/>
      <c r="Y585" s="144"/>
      <c r="Z585" s="145"/>
      <c r="AA585" s="145">
        <v>21</v>
      </c>
      <c r="AB585" s="145"/>
      <c r="AC585" s="145"/>
      <c r="AD585" s="146"/>
      <c r="AE585" s="171">
        <v>1</v>
      </c>
      <c r="AF585" s="147">
        <f t="shared" si="223"/>
        <v>0</v>
      </c>
      <c r="AG585" s="147">
        <f t="shared" si="224"/>
        <v>0</v>
      </c>
      <c r="AH585" s="147">
        <f t="shared" si="225"/>
        <v>0</v>
      </c>
      <c r="AI585" s="147">
        <f t="shared" si="226"/>
        <v>0</v>
      </c>
      <c r="AJ585" s="148">
        <f t="shared" si="227"/>
        <v>0</v>
      </c>
      <c r="AK585" s="149">
        <f t="shared" si="230"/>
        <v>0</v>
      </c>
      <c r="AL585" s="149">
        <f t="shared" si="231"/>
        <v>0</v>
      </c>
      <c r="AM585" s="149">
        <f t="shared" si="232"/>
        <v>0</v>
      </c>
      <c r="AN585" s="149">
        <f t="shared" si="233"/>
        <v>0</v>
      </c>
      <c r="AO585" s="150">
        <f t="shared" si="228"/>
        <v>0</v>
      </c>
      <c r="AQ585" s="151">
        <f t="shared" si="229"/>
        <v>0</v>
      </c>
    </row>
    <row r="586" spans="1:43" ht="15" customHeight="1">
      <c r="A586" s="82" t="e">
        <f t="shared" si="214"/>
        <v>#REF!</v>
      </c>
      <c r="B586" s="134">
        <v>105</v>
      </c>
      <c r="C586" s="135" t="s">
        <v>943</v>
      </c>
      <c r="D586" s="136" t="s">
        <v>274</v>
      </c>
      <c r="E586" s="137" t="s">
        <v>499</v>
      </c>
      <c r="F586" s="138" t="s">
        <v>646</v>
      </c>
      <c r="G586" s="139" t="s">
        <v>986</v>
      </c>
      <c r="H586" s="140" t="str">
        <f t="shared" si="215"/>
        <v>Niet van toepassing</v>
      </c>
      <c r="I586" s="138" t="s">
        <v>35</v>
      </c>
      <c r="J586" s="138" t="s">
        <v>1172</v>
      </c>
      <c r="K586" s="141" t="str">
        <f t="shared" si="216"/>
        <v>NVT</v>
      </c>
      <c r="L586" s="141" t="str">
        <f t="shared" si="217"/>
        <v>NVT</v>
      </c>
      <c r="M586" s="141" t="str">
        <f t="shared" si="218"/>
        <v>NVT</v>
      </c>
      <c r="N586" s="141" t="str">
        <f t="shared" si="219"/>
        <v>NVT</v>
      </c>
      <c r="O586" s="141" t="str">
        <f t="shared" si="220"/>
        <v>NVT</v>
      </c>
      <c r="P586" s="141" t="str">
        <f t="shared" si="221"/>
        <v>NVT</v>
      </c>
      <c r="Q586" s="141" t="str">
        <f t="shared" si="222"/>
        <v>NVT</v>
      </c>
      <c r="R586" s="63" t="s">
        <v>1221</v>
      </c>
      <c r="S586" s="142">
        <f t="shared" si="212"/>
        <v>0</v>
      </c>
      <c r="T586" s="143">
        <v>24</v>
      </c>
      <c r="U586" s="144"/>
      <c r="V586" s="144"/>
      <c r="W586" s="144">
        <v>66</v>
      </c>
      <c r="X586" s="144"/>
      <c r="Y586" s="144"/>
      <c r="Z586" s="145"/>
      <c r="AA586" s="145">
        <v>21</v>
      </c>
      <c r="AB586" s="145"/>
      <c r="AC586" s="145"/>
      <c r="AD586" s="146"/>
      <c r="AE586" s="171">
        <v>1</v>
      </c>
      <c r="AF586" s="147">
        <f t="shared" si="223"/>
        <v>0</v>
      </c>
      <c r="AG586" s="147">
        <f t="shared" si="224"/>
        <v>0</v>
      </c>
      <c r="AH586" s="147">
        <f t="shared" si="225"/>
        <v>0</v>
      </c>
      <c r="AI586" s="147">
        <f t="shared" si="226"/>
        <v>0</v>
      </c>
      <c r="AJ586" s="148">
        <f t="shared" si="227"/>
        <v>0</v>
      </c>
      <c r="AK586" s="149">
        <f t="shared" si="230"/>
        <v>0</v>
      </c>
      <c r="AL586" s="149">
        <f t="shared" si="231"/>
        <v>0</v>
      </c>
      <c r="AM586" s="149">
        <f t="shared" si="232"/>
        <v>0</v>
      </c>
      <c r="AN586" s="149">
        <f t="shared" si="233"/>
        <v>0</v>
      </c>
      <c r="AO586" s="150">
        <f t="shared" si="228"/>
        <v>0</v>
      </c>
      <c r="AQ586" s="151">
        <f t="shared" si="229"/>
        <v>0</v>
      </c>
    </row>
    <row r="587" spans="1:43" ht="15" customHeight="1">
      <c r="A587" s="82" t="e">
        <f t="shared" si="214"/>
        <v>#REF!</v>
      </c>
      <c r="B587" s="134">
        <v>105</v>
      </c>
      <c r="C587" s="135" t="s">
        <v>943</v>
      </c>
      <c r="D587" s="136" t="s">
        <v>274</v>
      </c>
      <c r="E587" s="137" t="s">
        <v>499</v>
      </c>
      <c r="F587" s="138" t="s">
        <v>646</v>
      </c>
      <c r="G587" s="139" t="s">
        <v>1008</v>
      </c>
      <c r="H587" s="140" t="str">
        <f t="shared" si="215"/>
        <v>Niet van toepassing</v>
      </c>
      <c r="I587" s="138" t="s">
        <v>35</v>
      </c>
      <c r="J587" s="138" t="s">
        <v>1172</v>
      </c>
      <c r="K587" s="141" t="str">
        <f t="shared" si="216"/>
        <v>NVT</v>
      </c>
      <c r="L587" s="141" t="str">
        <f t="shared" si="217"/>
        <v>NVT</v>
      </c>
      <c r="M587" s="141" t="str">
        <f t="shared" si="218"/>
        <v>NVT</v>
      </c>
      <c r="N587" s="141" t="str">
        <f t="shared" si="219"/>
        <v>NVT</v>
      </c>
      <c r="O587" s="141" t="str">
        <f t="shared" si="220"/>
        <v>NVT</v>
      </c>
      <c r="P587" s="141" t="str">
        <f t="shared" si="221"/>
        <v>NVT</v>
      </c>
      <c r="Q587" s="141" t="str">
        <f t="shared" si="222"/>
        <v>NVT</v>
      </c>
      <c r="R587" s="63" t="s">
        <v>1221</v>
      </c>
      <c r="S587" s="142">
        <f t="shared" si="212"/>
        <v>0</v>
      </c>
      <c r="T587" s="143">
        <v>24</v>
      </c>
      <c r="U587" s="144"/>
      <c r="V587" s="144"/>
      <c r="W587" s="144">
        <v>66</v>
      </c>
      <c r="X587" s="144"/>
      <c r="Y587" s="144"/>
      <c r="Z587" s="145"/>
      <c r="AA587" s="145">
        <v>21</v>
      </c>
      <c r="AB587" s="145"/>
      <c r="AC587" s="145"/>
      <c r="AD587" s="146"/>
      <c r="AE587" s="171">
        <v>1</v>
      </c>
      <c r="AF587" s="147">
        <f t="shared" si="223"/>
        <v>0</v>
      </c>
      <c r="AG587" s="147">
        <f t="shared" si="224"/>
        <v>0</v>
      </c>
      <c r="AH587" s="147">
        <f t="shared" si="225"/>
        <v>0</v>
      </c>
      <c r="AI587" s="147">
        <f t="shared" si="226"/>
        <v>0</v>
      </c>
      <c r="AJ587" s="148">
        <f t="shared" si="227"/>
        <v>0</v>
      </c>
      <c r="AK587" s="149">
        <f t="shared" si="230"/>
        <v>0</v>
      </c>
      <c r="AL587" s="149">
        <f t="shared" si="231"/>
        <v>0</v>
      </c>
      <c r="AM587" s="149">
        <f t="shared" si="232"/>
        <v>0</v>
      </c>
      <c r="AN587" s="149">
        <f t="shared" si="233"/>
        <v>0</v>
      </c>
      <c r="AO587" s="150">
        <f t="shared" si="228"/>
        <v>0</v>
      </c>
      <c r="AQ587" s="151">
        <f t="shared" si="229"/>
        <v>0</v>
      </c>
    </row>
    <row r="588" spans="1:43" ht="15" customHeight="1">
      <c r="A588" s="82" t="e">
        <f t="shared" si="214"/>
        <v>#REF!</v>
      </c>
      <c r="B588" s="134">
        <v>105</v>
      </c>
      <c r="C588" s="135" t="s">
        <v>943</v>
      </c>
      <c r="D588" s="136" t="s">
        <v>274</v>
      </c>
      <c r="E588" s="137" t="s">
        <v>499</v>
      </c>
      <c r="F588" s="138" t="s">
        <v>646</v>
      </c>
      <c r="G588" s="139" t="s">
        <v>1052</v>
      </c>
      <c r="H588" s="140" t="str">
        <f t="shared" si="215"/>
        <v>Niet van toepassing</v>
      </c>
      <c r="I588" s="138" t="s">
        <v>35</v>
      </c>
      <c r="J588" s="138" t="s">
        <v>1172</v>
      </c>
      <c r="K588" s="141" t="str">
        <f t="shared" si="216"/>
        <v>NVT</v>
      </c>
      <c r="L588" s="141" t="str">
        <f t="shared" si="217"/>
        <v>NVT</v>
      </c>
      <c r="M588" s="141" t="str">
        <f t="shared" si="218"/>
        <v>NVT</v>
      </c>
      <c r="N588" s="141" t="str">
        <f t="shared" si="219"/>
        <v>NVT</v>
      </c>
      <c r="O588" s="141" t="str">
        <f t="shared" si="220"/>
        <v>NVT</v>
      </c>
      <c r="P588" s="141" t="str">
        <f t="shared" si="221"/>
        <v>NVT</v>
      </c>
      <c r="Q588" s="141" t="str">
        <f t="shared" si="222"/>
        <v>NVT</v>
      </c>
      <c r="R588" s="63" t="s">
        <v>1221</v>
      </c>
      <c r="S588" s="142">
        <f t="shared" ref="S588:S651" si="234">VLOOKUP(R588,Kengetal,2,FALSE)</f>
        <v>0</v>
      </c>
      <c r="T588" s="143">
        <f>7.3*2.8</f>
        <v>20.439999999999998</v>
      </c>
      <c r="U588" s="144"/>
      <c r="V588" s="144"/>
      <c r="W588" s="144">
        <f>2*(7.3+2.8)*2.75</f>
        <v>55.55</v>
      </c>
      <c r="X588" s="144"/>
      <c r="Y588" s="144"/>
      <c r="Z588" s="145"/>
      <c r="AA588" s="145"/>
      <c r="AB588" s="145">
        <v>20</v>
      </c>
      <c r="AC588" s="145"/>
      <c r="AD588" s="146" t="s">
        <v>679</v>
      </c>
      <c r="AE588" s="171">
        <v>1</v>
      </c>
      <c r="AF588" s="147">
        <f t="shared" si="223"/>
        <v>0</v>
      </c>
      <c r="AG588" s="147">
        <f t="shared" si="224"/>
        <v>0</v>
      </c>
      <c r="AH588" s="147">
        <f t="shared" si="225"/>
        <v>0</v>
      </c>
      <c r="AI588" s="147">
        <f t="shared" si="226"/>
        <v>0</v>
      </c>
      <c r="AJ588" s="148">
        <f t="shared" si="227"/>
        <v>0</v>
      </c>
      <c r="AK588" s="149">
        <f t="shared" si="230"/>
        <v>0</v>
      </c>
      <c r="AL588" s="149">
        <f t="shared" si="231"/>
        <v>0</v>
      </c>
      <c r="AM588" s="149">
        <f t="shared" si="232"/>
        <v>0</v>
      </c>
      <c r="AN588" s="149">
        <f t="shared" si="233"/>
        <v>0</v>
      </c>
      <c r="AO588" s="150">
        <f t="shared" si="228"/>
        <v>0</v>
      </c>
      <c r="AQ588" s="151">
        <f t="shared" si="229"/>
        <v>0</v>
      </c>
    </row>
    <row r="589" spans="1:43" ht="15" customHeight="1">
      <c r="A589" s="82" t="e">
        <f t="shared" si="214"/>
        <v>#REF!</v>
      </c>
      <c r="B589" s="134">
        <v>105</v>
      </c>
      <c r="C589" s="135" t="s">
        <v>943</v>
      </c>
      <c r="D589" s="136" t="s">
        <v>274</v>
      </c>
      <c r="E589" s="137" t="s">
        <v>499</v>
      </c>
      <c r="F589" s="138" t="s">
        <v>646</v>
      </c>
      <c r="G589" s="139" t="s">
        <v>1053</v>
      </c>
      <c r="H589" s="140" t="str">
        <f t="shared" si="215"/>
        <v>Niet van toepassing</v>
      </c>
      <c r="I589" s="138" t="s">
        <v>35</v>
      </c>
      <c r="J589" s="138" t="s">
        <v>1172</v>
      </c>
      <c r="K589" s="141" t="str">
        <f t="shared" si="216"/>
        <v>NVT</v>
      </c>
      <c r="L589" s="141" t="str">
        <f t="shared" si="217"/>
        <v>NVT</v>
      </c>
      <c r="M589" s="141" t="str">
        <f t="shared" si="218"/>
        <v>NVT</v>
      </c>
      <c r="N589" s="141" t="str">
        <f t="shared" si="219"/>
        <v>NVT</v>
      </c>
      <c r="O589" s="141" t="str">
        <f t="shared" si="220"/>
        <v>NVT</v>
      </c>
      <c r="P589" s="141" t="str">
        <f t="shared" si="221"/>
        <v>NVT</v>
      </c>
      <c r="Q589" s="141" t="str">
        <f t="shared" si="222"/>
        <v>NVT</v>
      </c>
      <c r="R589" s="63" t="s">
        <v>1221</v>
      </c>
      <c r="S589" s="142">
        <f t="shared" si="234"/>
        <v>0</v>
      </c>
      <c r="T589" s="143">
        <v>14</v>
      </c>
      <c r="U589" s="144"/>
      <c r="V589" s="144"/>
      <c r="W589" s="144">
        <v>43</v>
      </c>
      <c r="X589" s="144"/>
      <c r="Y589" s="144"/>
      <c r="Z589" s="145"/>
      <c r="AA589" s="145">
        <v>14</v>
      </c>
      <c r="AB589" s="145"/>
      <c r="AC589" s="145"/>
      <c r="AD589" s="146"/>
      <c r="AE589" s="171">
        <v>1</v>
      </c>
      <c r="AF589" s="147">
        <f t="shared" si="223"/>
        <v>0</v>
      </c>
      <c r="AG589" s="147">
        <f t="shared" si="224"/>
        <v>0</v>
      </c>
      <c r="AH589" s="147">
        <f t="shared" si="225"/>
        <v>0</v>
      </c>
      <c r="AI589" s="147">
        <f t="shared" si="226"/>
        <v>0</v>
      </c>
      <c r="AJ589" s="148">
        <f t="shared" si="227"/>
        <v>0</v>
      </c>
      <c r="AK589" s="149">
        <f t="shared" si="230"/>
        <v>0</v>
      </c>
      <c r="AL589" s="149">
        <f t="shared" si="231"/>
        <v>0</v>
      </c>
      <c r="AM589" s="149">
        <f t="shared" si="232"/>
        <v>0</v>
      </c>
      <c r="AN589" s="149">
        <f t="shared" si="233"/>
        <v>0</v>
      </c>
      <c r="AO589" s="150">
        <f t="shared" si="228"/>
        <v>0</v>
      </c>
      <c r="AQ589" s="151">
        <f t="shared" si="229"/>
        <v>0</v>
      </c>
    </row>
    <row r="590" spans="1:43" ht="15" customHeight="1">
      <c r="A590" s="82" t="e">
        <f t="shared" ref="A590:A635" si="235">1+A589</f>
        <v>#REF!</v>
      </c>
      <c r="B590" s="134">
        <v>105</v>
      </c>
      <c r="C590" s="135" t="s">
        <v>943</v>
      </c>
      <c r="D590" s="136" t="s">
        <v>274</v>
      </c>
      <c r="E590" s="137" t="s">
        <v>499</v>
      </c>
      <c r="F590" s="138" t="s">
        <v>646</v>
      </c>
      <c r="G590" s="139" t="s">
        <v>1054</v>
      </c>
      <c r="H590" s="140" t="str">
        <f t="shared" si="215"/>
        <v>Niet van toepassing</v>
      </c>
      <c r="I590" s="138" t="s">
        <v>35</v>
      </c>
      <c r="J590" s="138" t="s">
        <v>1172</v>
      </c>
      <c r="K590" s="141" t="str">
        <f t="shared" si="216"/>
        <v>NVT</v>
      </c>
      <c r="L590" s="141" t="str">
        <f t="shared" si="217"/>
        <v>NVT</v>
      </c>
      <c r="M590" s="141" t="str">
        <f t="shared" si="218"/>
        <v>NVT</v>
      </c>
      <c r="N590" s="141" t="str">
        <f t="shared" si="219"/>
        <v>NVT</v>
      </c>
      <c r="O590" s="141" t="str">
        <f t="shared" si="220"/>
        <v>NVT</v>
      </c>
      <c r="P590" s="141" t="str">
        <f t="shared" si="221"/>
        <v>NVT</v>
      </c>
      <c r="Q590" s="141" t="str">
        <f t="shared" si="222"/>
        <v>NVT</v>
      </c>
      <c r="R590" s="63" t="s">
        <v>1221</v>
      </c>
      <c r="S590" s="142">
        <f t="shared" si="234"/>
        <v>0</v>
      </c>
      <c r="T590" s="143">
        <v>14</v>
      </c>
      <c r="U590" s="144"/>
      <c r="V590" s="144"/>
      <c r="W590" s="144">
        <v>43</v>
      </c>
      <c r="X590" s="144"/>
      <c r="Y590" s="144"/>
      <c r="Z590" s="145"/>
      <c r="AA590" s="145">
        <v>14</v>
      </c>
      <c r="AB590" s="145"/>
      <c r="AC590" s="145"/>
      <c r="AD590" s="146"/>
      <c r="AE590" s="171">
        <v>1</v>
      </c>
      <c r="AF590" s="147">
        <f t="shared" si="223"/>
        <v>0</v>
      </c>
      <c r="AG590" s="147">
        <f t="shared" si="224"/>
        <v>0</v>
      </c>
      <c r="AH590" s="147">
        <f t="shared" si="225"/>
        <v>0</v>
      </c>
      <c r="AI590" s="147">
        <f t="shared" si="226"/>
        <v>0</v>
      </c>
      <c r="AJ590" s="148">
        <f t="shared" si="227"/>
        <v>0</v>
      </c>
      <c r="AK590" s="149">
        <f t="shared" si="230"/>
        <v>0</v>
      </c>
      <c r="AL590" s="149">
        <f t="shared" si="231"/>
        <v>0</v>
      </c>
      <c r="AM590" s="149">
        <f t="shared" si="232"/>
        <v>0</v>
      </c>
      <c r="AN590" s="149">
        <f t="shared" si="233"/>
        <v>0</v>
      </c>
      <c r="AO590" s="150">
        <f t="shared" si="228"/>
        <v>0</v>
      </c>
      <c r="AQ590" s="151">
        <f t="shared" si="229"/>
        <v>0</v>
      </c>
    </row>
    <row r="591" spans="1:43" ht="15" customHeight="1">
      <c r="A591" s="82" t="e">
        <f t="shared" si="235"/>
        <v>#REF!</v>
      </c>
      <c r="B591" s="134">
        <v>105</v>
      </c>
      <c r="C591" s="135" t="s">
        <v>943</v>
      </c>
      <c r="D591" s="136" t="s">
        <v>274</v>
      </c>
      <c r="E591" s="137" t="s">
        <v>499</v>
      </c>
      <c r="F591" s="138" t="s">
        <v>646</v>
      </c>
      <c r="G591" s="139" t="s">
        <v>925</v>
      </c>
      <c r="H591" s="140" t="str">
        <f t="shared" si="215"/>
        <v>Niet van toepassing</v>
      </c>
      <c r="I591" s="138" t="s">
        <v>35</v>
      </c>
      <c r="J591" s="138" t="s">
        <v>1172</v>
      </c>
      <c r="K591" s="141" t="str">
        <f t="shared" si="216"/>
        <v>NVT</v>
      </c>
      <c r="L591" s="141" t="str">
        <f t="shared" si="217"/>
        <v>NVT</v>
      </c>
      <c r="M591" s="141" t="str">
        <f t="shared" si="218"/>
        <v>NVT</v>
      </c>
      <c r="N591" s="141" t="str">
        <f t="shared" si="219"/>
        <v>NVT</v>
      </c>
      <c r="O591" s="141" t="str">
        <f t="shared" si="220"/>
        <v>NVT</v>
      </c>
      <c r="P591" s="141" t="str">
        <f t="shared" si="221"/>
        <v>NVT</v>
      </c>
      <c r="Q591" s="141" t="str">
        <f t="shared" si="222"/>
        <v>NVT</v>
      </c>
      <c r="R591" s="63" t="s">
        <v>1221</v>
      </c>
      <c r="S591" s="142">
        <f t="shared" si="234"/>
        <v>0</v>
      </c>
      <c r="T591" s="143">
        <f>7.4*6.95</f>
        <v>51.430000000000007</v>
      </c>
      <c r="U591" s="144"/>
      <c r="V591" s="144"/>
      <c r="W591" s="144">
        <f>2*(6.95+7.4)*2.75</f>
        <v>78.925000000000011</v>
      </c>
      <c r="X591" s="144"/>
      <c r="Y591" s="144"/>
      <c r="Z591" s="145"/>
      <c r="AA591" s="145"/>
      <c r="AB591" s="145">
        <v>51</v>
      </c>
      <c r="AC591" s="145"/>
      <c r="AD591" s="146" t="s">
        <v>679</v>
      </c>
      <c r="AE591" s="171">
        <v>1</v>
      </c>
      <c r="AF591" s="147">
        <f t="shared" si="223"/>
        <v>0</v>
      </c>
      <c r="AG591" s="147">
        <f t="shared" si="224"/>
        <v>0</v>
      </c>
      <c r="AH591" s="147">
        <f t="shared" si="225"/>
        <v>0</v>
      </c>
      <c r="AI591" s="147">
        <f t="shared" si="226"/>
        <v>0</v>
      </c>
      <c r="AJ591" s="148">
        <f t="shared" si="227"/>
        <v>0</v>
      </c>
      <c r="AK591" s="149">
        <f t="shared" si="230"/>
        <v>0</v>
      </c>
      <c r="AL591" s="149">
        <f t="shared" si="231"/>
        <v>0</v>
      </c>
      <c r="AM591" s="149">
        <f t="shared" si="232"/>
        <v>0</v>
      </c>
      <c r="AN591" s="149">
        <f t="shared" si="233"/>
        <v>0</v>
      </c>
      <c r="AO591" s="150">
        <f t="shared" si="228"/>
        <v>0</v>
      </c>
      <c r="AQ591" s="151">
        <f t="shared" si="229"/>
        <v>0</v>
      </c>
    </row>
    <row r="592" spans="1:43" ht="15" customHeight="1">
      <c r="A592" s="82" t="e">
        <f t="shared" si="235"/>
        <v>#REF!</v>
      </c>
      <c r="B592" s="134">
        <v>105</v>
      </c>
      <c r="C592" s="135" t="s">
        <v>943</v>
      </c>
      <c r="D592" s="136" t="s">
        <v>274</v>
      </c>
      <c r="E592" s="137" t="s">
        <v>499</v>
      </c>
      <c r="F592" s="138" t="s">
        <v>646</v>
      </c>
      <c r="G592" s="139" t="s">
        <v>1055</v>
      </c>
      <c r="H592" s="140" t="str">
        <f t="shared" si="215"/>
        <v>Niet van toepassing</v>
      </c>
      <c r="I592" s="138" t="s">
        <v>35</v>
      </c>
      <c r="J592" s="138" t="s">
        <v>1172</v>
      </c>
      <c r="K592" s="141" t="str">
        <f t="shared" si="216"/>
        <v>NVT</v>
      </c>
      <c r="L592" s="141" t="str">
        <f t="shared" si="217"/>
        <v>NVT</v>
      </c>
      <c r="M592" s="141" t="str">
        <f t="shared" si="218"/>
        <v>NVT</v>
      </c>
      <c r="N592" s="141" t="str">
        <f t="shared" si="219"/>
        <v>NVT</v>
      </c>
      <c r="O592" s="141" t="str">
        <f t="shared" si="220"/>
        <v>NVT</v>
      </c>
      <c r="P592" s="141" t="str">
        <f t="shared" si="221"/>
        <v>NVT</v>
      </c>
      <c r="Q592" s="141" t="str">
        <f t="shared" si="222"/>
        <v>NVT</v>
      </c>
      <c r="R592" s="63" t="s">
        <v>1221</v>
      </c>
      <c r="S592" s="142">
        <f t="shared" si="234"/>
        <v>0</v>
      </c>
      <c r="T592" s="143">
        <f>2*7.5</f>
        <v>15</v>
      </c>
      <c r="U592" s="144"/>
      <c r="V592" s="144"/>
      <c r="W592" s="144">
        <f>2*(7.5+2)*2.8</f>
        <v>53.199999999999996</v>
      </c>
      <c r="X592" s="144"/>
      <c r="Y592" s="144"/>
      <c r="Z592" s="145"/>
      <c r="AA592" s="145">
        <v>15</v>
      </c>
      <c r="AB592" s="145"/>
      <c r="AC592" s="145"/>
      <c r="AD592" s="146"/>
      <c r="AE592" s="171">
        <v>1</v>
      </c>
      <c r="AF592" s="147">
        <f t="shared" si="223"/>
        <v>0</v>
      </c>
      <c r="AG592" s="147">
        <f t="shared" si="224"/>
        <v>0</v>
      </c>
      <c r="AH592" s="147">
        <f t="shared" si="225"/>
        <v>0</v>
      </c>
      <c r="AI592" s="147">
        <f t="shared" si="226"/>
        <v>0</v>
      </c>
      <c r="AJ592" s="148">
        <f t="shared" si="227"/>
        <v>0</v>
      </c>
      <c r="AK592" s="149">
        <f t="shared" si="230"/>
        <v>0</v>
      </c>
      <c r="AL592" s="149">
        <f t="shared" si="231"/>
        <v>0</v>
      </c>
      <c r="AM592" s="149">
        <f t="shared" si="232"/>
        <v>0</v>
      </c>
      <c r="AN592" s="149">
        <f t="shared" si="233"/>
        <v>0</v>
      </c>
      <c r="AO592" s="150">
        <f t="shared" si="228"/>
        <v>0</v>
      </c>
      <c r="AQ592" s="151">
        <f t="shared" si="229"/>
        <v>0</v>
      </c>
    </row>
    <row r="593" spans="1:43" ht="15" customHeight="1">
      <c r="A593" s="82" t="e">
        <f t="shared" si="235"/>
        <v>#REF!</v>
      </c>
      <c r="B593" s="134">
        <v>105</v>
      </c>
      <c r="C593" s="135" t="s">
        <v>943</v>
      </c>
      <c r="D593" s="136" t="s">
        <v>274</v>
      </c>
      <c r="E593" s="137" t="s">
        <v>101</v>
      </c>
      <c r="F593" s="138" t="s">
        <v>1046</v>
      </c>
      <c r="G593" s="139" t="s">
        <v>557</v>
      </c>
      <c r="H593" s="140" t="str">
        <f t="shared" si="215"/>
        <v>Liften</v>
      </c>
      <c r="I593" s="138" t="s">
        <v>457</v>
      </c>
      <c r="J593" s="138" t="s">
        <v>1171</v>
      </c>
      <c r="K593" s="141" t="str">
        <f t="shared" si="216"/>
        <v>Omde dag Vol/Nal.</v>
      </c>
      <c r="L593" s="141" t="str">
        <f t="shared" si="217"/>
        <v>Omde dag Nal./Vol</v>
      </c>
      <c r="M593" s="141" t="str">
        <f t="shared" si="218"/>
        <v>Omde dag Vol/Nal.</v>
      </c>
      <c r="N593" s="141" t="str">
        <f t="shared" si="219"/>
        <v>Omde dag Nal./Vol</v>
      </c>
      <c r="O593" s="141" t="str">
        <f t="shared" si="220"/>
        <v>Omde dag Vol/Nal.</v>
      </c>
      <c r="P593" s="141" t="str">
        <f t="shared" si="221"/>
        <v>Omde dag Nal./Vol</v>
      </c>
      <c r="Q593" s="141" t="str">
        <f t="shared" si="222"/>
        <v>Omde dag Vol/Nal.</v>
      </c>
      <c r="R593" s="63" t="s">
        <v>1475</v>
      </c>
      <c r="S593" s="142">
        <f t="shared" si="234"/>
        <v>365</v>
      </c>
      <c r="T593" s="143">
        <v>0</v>
      </c>
      <c r="U593" s="144"/>
      <c r="V593" s="144"/>
      <c r="W593" s="144"/>
      <c r="X593" s="144"/>
      <c r="Y593" s="144"/>
      <c r="Z593" s="145"/>
      <c r="AA593" s="145"/>
      <c r="AB593" s="145"/>
      <c r="AC593" s="145"/>
      <c r="AD593" s="146"/>
      <c r="AE593" s="171">
        <v>1</v>
      </c>
      <c r="AF593" s="147">
        <f t="shared" si="223"/>
        <v>0</v>
      </c>
      <c r="AG593" s="147">
        <f t="shared" si="224"/>
        <v>0</v>
      </c>
      <c r="AH593" s="147">
        <f t="shared" si="225"/>
        <v>0</v>
      </c>
      <c r="AI593" s="147">
        <f t="shared" si="226"/>
        <v>0</v>
      </c>
      <c r="AJ593" s="148" t="str">
        <f t="shared" si="227"/>
        <v>ja</v>
      </c>
      <c r="AK593" s="149">
        <f t="shared" si="230"/>
        <v>0</v>
      </c>
      <c r="AL593" s="149">
        <f t="shared" si="231"/>
        <v>0</v>
      </c>
      <c r="AM593" s="149">
        <f t="shared" si="232"/>
        <v>0</v>
      </c>
      <c r="AN593" s="149">
        <f t="shared" si="233"/>
        <v>0</v>
      </c>
      <c r="AO593" s="150" t="str">
        <f t="shared" si="228"/>
        <v>V</v>
      </c>
      <c r="AQ593" s="151">
        <f t="shared" si="229"/>
        <v>0</v>
      </c>
    </row>
    <row r="594" spans="1:43" ht="15" customHeight="1">
      <c r="A594" s="82" t="e">
        <f t="shared" si="235"/>
        <v>#REF!</v>
      </c>
      <c r="B594" s="134">
        <v>105</v>
      </c>
      <c r="C594" s="135" t="s">
        <v>943</v>
      </c>
      <c r="D594" s="136" t="s">
        <v>274</v>
      </c>
      <c r="E594" s="137" t="s">
        <v>101</v>
      </c>
      <c r="F594" s="138" t="s">
        <v>546</v>
      </c>
      <c r="G594" s="139" t="s">
        <v>898</v>
      </c>
      <c r="H594" s="140" t="str">
        <f t="shared" si="215"/>
        <v>Roltrappen(inclusief aangrenzende bouwdelen)</v>
      </c>
      <c r="I594" s="138"/>
      <c r="J594" s="138" t="s">
        <v>1171</v>
      </c>
      <c r="K594" s="141" t="str">
        <f t="shared" si="216"/>
        <v>Omde dag Vol/Nal.</v>
      </c>
      <c r="L594" s="141" t="str">
        <f t="shared" si="217"/>
        <v>Omde dag Nal./Vol</v>
      </c>
      <c r="M594" s="141" t="str">
        <f t="shared" si="218"/>
        <v>Omde dag Vol/Nal.</v>
      </c>
      <c r="N594" s="141" t="str">
        <f t="shared" si="219"/>
        <v>Omde dag Nal./Vol</v>
      </c>
      <c r="O594" s="141" t="str">
        <f t="shared" si="220"/>
        <v>Omde dag Vol/Nal.</v>
      </c>
      <c r="P594" s="141" t="str">
        <f t="shared" si="221"/>
        <v>Omde dag Nal./Vol</v>
      </c>
      <c r="Q594" s="141" t="str">
        <f t="shared" si="222"/>
        <v>Omde dag Vol/Nal.</v>
      </c>
      <c r="R594" s="63" t="s">
        <v>1481</v>
      </c>
      <c r="S594" s="142">
        <f t="shared" si="234"/>
        <v>365</v>
      </c>
      <c r="T594" s="143">
        <v>0</v>
      </c>
      <c r="U594" s="144"/>
      <c r="V594" s="144"/>
      <c r="W594" s="144"/>
      <c r="X594" s="144"/>
      <c r="Y594" s="144"/>
      <c r="Z594" s="145"/>
      <c r="AA594" s="145"/>
      <c r="AB594" s="145"/>
      <c r="AC594" s="145"/>
      <c r="AD594" s="146" t="s">
        <v>1079</v>
      </c>
      <c r="AE594" s="171">
        <v>1</v>
      </c>
      <c r="AF594" s="147">
        <f t="shared" si="223"/>
        <v>0</v>
      </c>
      <c r="AG594" s="147">
        <f t="shared" si="224"/>
        <v>0</v>
      </c>
      <c r="AH594" s="147">
        <f t="shared" si="225"/>
        <v>0</v>
      </c>
      <c r="AI594" s="147">
        <f t="shared" si="226"/>
        <v>0</v>
      </c>
      <c r="AJ594" s="148" t="str">
        <f t="shared" si="227"/>
        <v>ja</v>
      </c>
      <c r="AK594" s="149">
        <f t="shared" si="230"/>
        <v>0</v>
      </c>
      <c r="AL594" s="149">
        <f t="shared" si="231"/>
        <v>0</v>
      </c>
      <c r="AM594" s="149">
        <f t="shared" si="232"/>
        <v>0</v>
      </c>
      <c r="AN594" s="149">
        <f t="shared" si="233"/>
        <v>0</v>
      </c>
      <c r="AO594" s="150" t="str">
        <f t="shared" si="228"/>
        <v>V</v>
      </c>
      <c r="AQ594" s="151">
        <f t="shared" si="229"/>
        <v>0</v>
      </c>
    </row>
    <row r="595" spans="1:43" ht="15" customHeight="1">
      <c r="A595" s="82" t="e">
        <f t="shared" si="235"/>
        <v>#REF!</v>
      </c>
      <c r="B595" s="134">
        <v>105</v>
      </c>
      <c r="C595" s="135" t="s">
        <v>943</v>
      </c>
      <c r="D595" s="136" t="s">
        <v>274</v>
      </c>
      <c r="E595" s="137" t="s">
        <v>101</v>
      </c>
      <c r="F595" s="138" t="s">
        <v>548</v>
      </c>
      <c r="G595" s="139" t="s">
        <v>899</v>
      </c>
      <c r="H595" s="140" t="str">
        <f t="shared" si="215"/>
        <v>Trappen</v>
      </c>
      <c r="I595" s="138"/>
      <c r="J595" s="138" t="s">
        <v>1171</v>
      </c>
      <c r="K595" s="141" t="str">
        <f t="shared" si="216"/>
        <v>Omde dag Vol/Nal.</v>
      </c>
      <c r="L595" s="141" t="str">
        <f t="shared" si="217"/>
        <v>Omde dag Nal./Vol</v>
      </c>
      <c r="M595" s="141" t="str">
        <f t="shared" si="218"/>
        <v>Omde dag Vol/Nal.</v>
      </c>
      <c r="N595" s="141" t="str">
        <f t="shared" si="219"/>
        <v>Omde dag Nal./Vol</v>
      </c>
      <c r="O595" s="141" t="str">
        <f t="shared" si="220"/>
        <v>Omde dag Vol/Nal.</v>
      </c>
      <c r="P595" s="141" t="str">
        <f t="shared" si="221"/>
        <v>Omde dag Nal./Vol</v>
      </c>
      <c r="Q595" s="141" t="str">
        <f t="shared" si="222"/>
        <v>Omde dag Vol/Nal.</v>
      </c>
      <c r="R595" s="63" t="s">
        <v>1477</v>
      </c>
      <c r="S595" s="142">
        <f t="shared" si="234"/>
        <v>365</v>
      </c>
      <c r="T595" s="143">
        <v>0</v>
      </c>
      <c r="U595" s="144"/>
      <c r="V595" s="144"/>
      <c r="W595" s="144"/>
      <c r="X595" s="144"/>
      <c r="Y595" s="144"/>
      <c r="Z595" s="145"/>
      <c r="AA595" s="145"/>
      <c r="AB595" s="145"/>
      <c r="AC595" s="145"/>
      <c r="AD595" s="146" t="s">
        <v>1077</v>
      </c>
      <c r="AE595" s="171">
        <v>1</v>
      </c>
      <c r="AF595" s="147">
        <f t="shared" si="223"/>
        <v>0</v>
      </c>
      <c r="AG595" s="147">
        <f t="shared" si="224"/>
        <v>0</v>
      </c>
      <c r="AH595" s="147">
        <f t="shared" si="225"/>
        <v>0</v>
      </c>
      <c r="AI595" s="147">
        <f t="shared" si="226"/>
        <v>0</v>
      </c>
      <c r="AJ595" s="148" t="str">
        <f t="shared" si="227"/>
        <v>ja</v>
      </c>
      <c r="AK595" s="149">
        <f t="shared" si="230"/>
        <v>0</v>
      </c>
      <c r="AL595" s="149">
        <f t="shared" si="231"/>
        <v>0</v>
      </c>
      <c r="AM595" s="149">
        <f t="shared" si="232"/>
        <v>0</v>
      </c>
      <c r="AN595" s="149">
        <f t="shared" si="233"/>
        <v>0</v>
      </c>
      <c r="AO595" s="150" t="str">
        <f t="shared" si="228"/>
        <v>V</v>
      </c>
      <c r="AQ595" s="151">
        <f t="shared" si="229"/>
        <v>0</v>
      </c>
    </row>
    <row r="596" spans="1:43" ht="15" customHeight="1">
      <c r="A596" s="82" t="e">
        <f t="shared" si="235"/>
        <v>#REF!</v>
      </c>
      <c r="B596" s="134">
        <v>105</v>
      </c>
      <c r="C596" s="135" t="s">
        <v>943</v>
      </c>
      <c r="D596" s="136" t="s">
        <v>274</v>
      </c>
      <c r="E596" s="137" t="s">
        <v>101</v>
      </c>
      <c r="F596" s="138" t="s">
        <v>101</v>
      </c>
      <c r="G596" s="139" t="s">
        <v>900</v>
      </c>
      <c r="H596" s="140" t="str">
        <f t="shared" si="215"/>
        <v>Perrons</v>
      </c>
      <c r="I596" s="138" t="s">
        <v>195</v>
      </c>
      <c r="J596" s="138" t="s">
        <v>1171</v>
      </c>
      <c r="K596" s="141" t="str">
        <f t="shared" si="216"/>
        <v>Omde dag Vol/Nal.</v>
      </c>
      <c r="L596" s="141" t="str">
        <f t="shared" si="217"/>
        <v>Omde dag Nal./Vol</v>
      </c>
      <c r="M596" s="141" t="str">
        <f t="shared" si="218"/>
        <v>Omde dag Vol/Nal.</v>
      </c>
      <c r="N596" s="141" t="str">
        <f t="shared" si="219"/>
        <v>Omde dag Nal./Vol</v>
      </c>
      <c r="O596" s="141" t="str">
        <f t="shared" si="220"/>
        <v>Omde dag Vol/Nal.</v>
      </c>
      <c r="P596" s="141" t="str">
        <f t="shared" si="221"/>
        <v>Omde dag Nal./Vol</v>
      </c>
      <c r="Q596" s="141" t="str">
        <f t="shared" si="222"/>
        <v>Omde dag Vol/Nal.</v>
      </c>
      <c r="R596" s="63" t="s">
        <v>1473</v>
      </c>
      <c r="S596" s="142">
        <f t="shared" si="234"/>
        <v>365</v>
      </c>
      <c r="T596" s="143">
        <f>((36+28+27+10+14+40.6)*8)*1.3</f>
        <v>1618.24</v>
      </c>
      <c r="U596" s="144"/>
      <c r="V596" s="144"/>
      <c r="W596" s="144"/>
      <c r="X596" s="144">
        <f>(0.5*42)+(((1.7+0.6+1.7+0.6)*1.35)*2)</f>
        <v>33.42</v>
      </c>
      <c r="Y596" s="144">
        <f>((3.3+3.3+2.3)*8.2)+18+18+((2.1*6.5)*2)+(((36+28+27+10+14+40.6)*3.5)*2)+(2.5*18)+(((1.5+0.3+1.5+0.3)*2.5)*2)</f>
        <v>1288.48</v>
      </c>
      <c r="Z596" s="145"/>
      <c r="AA596" s="145"/>
      <c r="AB596" s="145">
        <f>(36+28+27+10+14+40.6)*15</f>
        <v>2334</v>
      </c>
      <c r="AC596" s="145"/>
      <c r="AD596" s="146" t="s">
        <v>1075</v>
      </c>
      <c r="AE596" s="171">
        <v>1</v>
      </c>
      <c r="AF596" s="147">
        <f t="shared" si="223"/>
        <v>0</v>
      </c>
      <c r="AG596" s="147">
        <f t="shared" si="224"/>
        <v>0</v>
      </c>
      <c r="AH596" s="147">
        <f t="shared" si="225"/>
        <v>0</v>
      </c>
      <c r="AI596" s="147">
        <f t="shared" si="226"/>
        <v>0</v>
      </c>
      <c r="AJ596" s="148" t="str">
        <f t="shared" si="227"/>
        <v>ja</v>
      </c>
      <c r="AK596" s="149">
        <f t="shared" si="230"/>
        <v>0</v>
      </c>
      <c r="AL596" s="149">
        <f t="shared" si="231"/>
        <v>0</v>
      </c>
      <c r="AM596" s="149">
        <f t="shared" si="232"/>
        <v>0</v>
      </c>
      <c r="AN596" s="149">
        <f t="shared" si="233"/>
        <v>0</v>
      </c>
      <c r="AO596" s="150" t="str">
        <f t="shared" si="228"/>
        <v>V</v>
      </c>
      <c r="AQ596" s="151">
        <f t="shared" si="229"/>
        <v>590657.6</v>
      </c>
    </row>
    <row r="597" spans="1:43" ht="15" customHeight="1">
      <c r="A597" s="82" t="e">
        <f t="shared" si="235"/>
        <v>#REF!</v>
      </c>
      <c r="B597" s="134">
        <v>105</v>
      </c>
      <c r="C597" s="135" t="s">
        <v>943</v>
      </c>
      <c r="D597" s="136" t="s">
        <v>274</v>
      </c>
      <c r="E597" s="137" t="s">
        <v>101</v>
      </c>
      <c r="F597" s="138" t="s">
        <v>548</v>
      </c>
      <c r="G597" s="139" t="s">
        <v>901</v>
      </c>
      <c r="H597" s="140" t="str">
        <f t="shared" si="215"/>
        <v>Trappen</v>
      </c>
      <c r="I597" s="138"/>
      <c r="J597" s="138" t="s">
        <v>1171</v>
      </c>
      <c r="K597" s="141" t="str">
        <f t="shared" si="216"/>
        <v>Omde dag Vol/Nal.</v>
      </c>
      <c r="L597" s="141" t="str">
        <f t="shared" si="217"/>
        <v>Omde dag Nal./Vol</v>
      </c>
      <c r="M597" s="141" t="str">
        <f t="shared" si="218"/>
        <v>Omde dag Vol/Nal.</v>
      </c>
      <c r="N597" s="141" t="str">
        <f t="shared" si="219"/>
        <v>Omde dag Nal./Vol</v>
      </c>
      <c r="O597" s="141" t="str">
        <f t="shared" si="220"/>
        <v>Omde dag Vol/Nal.</v>
      </c>
      <c r="P597" s="141" t="str">
        <f t="shared" si="221"/>
        <v>Omde dag Nal./Vol</v>
      </c>
      <c r="Q597" s="141" t="str">
        <f t="shared" si="222"/>
        <v>Omde dag Vol/Nal.</v>
      </c>
      <c r="R597" s="63" t="s">
        <v>1477</v>
      </c>
      <c r="S597" s="142">
        <f t="shared" si="234"/>
        <v>365</v>
      </c>
      <c r="T597" s="143">
        <v>0</v>
      </c>
      <c r="U597" s="144"/>
      <c r="V597" s="144"/>
      <c r="W597" s="144"/>
      <c r="X597" s="144"/>
      <c r="Y597" s="144"/>
      <c r="Z597" s="145"/>
      <c r="AA597" s="145"/>
      <c r="AB597" s="145"/>
      <c r="AC597" s="145"/>
      <c r="AD597" s="146" t="s">
        <v>1078</v>
      </c>
      <c r="AE597" s="171">
        <v>1</v>
      </c>
      <c r="AF597" s="147">
        <f t="shared" si="223"/>
        <v>0</v>
      </c>
      <c r="AG597" s="147">
        <f t="shared" si="224"/>
        <v>0</v>
      </c>
      <c r="AH597" s="147">
        <f t="shared" si="225"/>
        <v>0</v>
      </c>
      <c r="AI597" s="147">
        <f t="shared" si="226"/>
        <v>0</v>
      </c>
      <c r="AJ597" s="148" t="str">
        <f t="shared" si="227"/>
        <v>ja</v>
      </c>
      <c r="AK597" s="149">
        <f t="shared" si="230"/>
        <v>0</v>
      </c>
      <c r="AL597" s="149">
        <f t="shared" si="231"/>
        <v>0</v>
      </c>
      <c r="AM597" s="149">
        <f t="shared" si="232"/>
        <v>0</v>
      </c>
      <c r="AN597" s="149">
        <f t="shared" si="233"/>
        <v>0</v>
      </c>
      <c r="AO597" s="150" t="str">
        <f t="shared" si="228"/>
        <v>V</v>
      </c>
      <c r="AQ597" s="151">
        <f t="shared" si="229"/>
        <v>0</v>
      </c>
    </row>
    <row r="598" spans="1:43" ht="15" customHeight="1">
      <c r="A598" s="82" t="e">
        <f t="shared" si="235"/>
        <v>#REF!</v>
      </c>
      <c r="B598" s="134">
        <v>105</v>
      </c>
      <c r="C598" s="135" t="s">
        <v>943</v>
      </c>
      <c r="D598" s="136" t="s">
        <v>274</v>
      </c>
      <c r="E598" s="137" t="s">
        <v>101</v>
      </c>
      <c r="F598" s="138" t="s">
        <v>546</v>
      </c>
      <c r="G598" s="139" t="s">
        <v>902</v>
      </c>
      <c r="H598" s="140" t="str">
        <f t="shared" si="215"/>
        <v>Roltrappen(inclusief aangrenzende bouwdelen)</v>
      </c>
      <c r="I598" s="138"/>
      <c r="J598" s="138" t="s">
        <v>1171</v>
      </c>
      <c r="K598" s="141" t="str">
        <f t="shared" si="216"/>
        <v>Omde dag Vol/Nal.</v>
      </c>
      <c r="L598" s="141" t="str">
        <f t="shared" si="217"/>
        <v>Omde dag Nal./Vol</v>
      </c>
      <c r="M598" s="141" t="str">
        <f t="shared" si="218"/>
        <v>Omde dag Vol/Nal.</v>
      </c>
      <c r="N598" s="141" t="str">
        <f t="shared" si="219"/>
        <v>Omde dag Nal./Vol</v>
      </c>
      <c r="O598" s="141" t="str">
        <f t="shared" si="220"/>
        <v>Omde dag Vol/Nal.</v>
      </c>
      <c r="P598" s="141" t="str">
        <f t="shared" si="221"/>
        <v>Omde dag Nal./Vol</v>
      </c>
      <c r="Q598" s="141" t="str">
        <f t="shared" si="222"/>
        <v>Omde dag Vol/Nal.</v>
      </c>
      <c r="R598" s="63" t="s">
        <v>1481</v>
      </c>
      <c r="S598" s="142">
        <f t="shared" si="234"/>
        <v>365</v>
      </c>
      <c r="T598" s="143">
        <v>0</v>
      </c>
      <c r="U598" s="144"/>
      <c r="V598" s="144"/>
      <c r="W598" s="144"/>
      <c r="X598" s="144"/>
      <c r="Y598" s="144"/>
      <c r="Z598" s="145"/>
      <c r="AA598" s="145"/>
      <c r="AB598" s="145"/>
      <c r="AC598" s="145"/>
      <c r="AD598" s="146" t="s">
        <v>1081</v>
      </c>
      <c r="AE598" s="171">
        <v>1</v>
      </c>
      <c r="AF598" s="147">
        <f t="shared" si="223"/>
        <v>0</v>
      </c>
      <c r="AG598" s="147">
        <f t="shared" si="224"/>
        <v>0</v>
      </c>
      <c r="AH598" s="147">
        <f t="shared" si="225"/>
        <v>0</v>
      </c>
      <c r="AI598" s="147">
        <f t="shared" si="226"/>
        <v>0</v>
      </c>
      <c r="AJ598" s="148" t="str">
        <f t="shared" si="227"/>
        <v>ja</v>
      </c>
      <c r="AK598" s="149">
        <f t="shared" si="230"/>
        <v>0</v>
      </c>
      <c r="AL598" s="149">
        <f t="shared" si="231"/>
        <v>0</v>
      </c>
      <c r="AM598" s="149">
        <f t="shared" si="232"/>
        <v>0</v>
      </c>
      <c r="AN598" s="149">
        <f t="shared" si="233"/>
        <v>0</v>
      </c>
      <c r="AO598" s="150" t="str">
        <f t="shared" si="228"/>
        <v>V</v>
      </c>
      <c r="AQ598" s="151">
        <f t="shared" si="229"/>
        <v>0</v>
      </c>
    </row>
    <row r="599" spans="1:43" ht="15" customHeight="1">
      <c r="A599" s="82" t="e">
        <f>1+#REF!</f>
        <v>#REF!</v>
      </c>
      <c r="B599" s="134">
        <v>105</v>
      </c>
      <c r="C599" s="135" t="s">
        <v>943</v>
      </c>
      <c r="D599" s="136" t="s">
        <v>274</v>
      </c>
      <c r="E599" s="137" t="s">
        <v>101</v>
      </c>
      <c r="F599" s="138" t="s">
        <v>580</v>
      </c>
      <c r="G599" s="139" t="s">
        <v>1056</v>
      </c>
      <c r="H599" s="140" t="str">
        <f t="shared" ref="H599:H644" si="236">VLOOKUP(R599,Kengetal,3,FALSE)</f>
        <v>Niet van toepassing</v>
      </c>
      <c r="I599" s="138" t="s">
        <v>270</v>
      </c>
      <c r="J599" s="138" t="s">
        <v>1172</v>
      </c>
      <c r="K599" s="141" t="str">
        <f t="shared" ref="K599:K644" si="237">IF($R599="",0,VLOOKUP($R599,Kengetal,14,FALSE))</f>
        <v>NVT</v>
      </c>
      <c r="L599" s="141" t="str">
        <f t="shared" ref="L599:L644" si="238">IF($R599="",0,VLOOKUP($R599,Kengetal,15,FALSE))</f>
        <v>NVT</v>
      </c>
      <c r="M599" s="141" t="str">
        <f t="shared" ref="M599:M644" si="239">IF($R599="",0,VLOOKUP($R599,Kengetal,16,FALSE))</f>
        <v>NVT</v>
      </c>
      <c r="N599" s="141" t="str">
        <f t="shared" ref="N599:N644" si="240">IF($R599="",0,VLOOKUP($R599,Kengetal,17,FALSE))</f>
        <v>NVT</v>
      </c>
      <c r="O599" s="141" t="str">
        <f t="shared" ref="O599:O644" si="241">IF($R599="",0,VLOOKUP($R599,Kengetal,18,FALSE))</f>
        <v>NVT</v>
      </c>
      <c r="P599" s="141" t="str">
        <f t="shared" ref="P599:P644" si="242">IF($R599="",0,VLOOKUP($R599,Kengetal,19,FALSE))</f>
        <v>NVT</v>
      </c>
      <c r="Q599" s="141" t="str">
        <f t="shared" ref="Q599:Q644" si="243">IF($R599="",0,VLOOKUP($R599,Kengetal,20,FALSE))</f>
        <v>NVT</v>
      </c>
      <c r="R599" s="63" t="s">
        <v>1221</v>
      </c>
      <c r="S599" s="142">
        <f t="shared" si="234"/>
        <v>0</v>
      </c>
      <c r="T599" s="143">
        <f>(3.15*4)*1.3</f>
        <v>16.38</v>
      </c>
      <c r="U599" s="144"/>
      <c r="V599" s="144"/>
      <c r="W599" s="144"/>
      <c r="X599" s="144"/>
      <c r="Y599" s="144">
        <f>(3.15+4+3.15+4)*3.3</f>
        <v>47.19</v>
      </c>
      <c r="Z599" s="145"/>
      <c r="AA599" s="145"/>
      <c r="AB599" s="145">
        <f>T599</f>
        <v>16.38</v>
      </c>
      <c r="AC599" s="145"/>
      <c r="AD599" s="146"/>
      <c r="AE599" s="171">
        <v>1</v>
      </c>
      <c r="AF599" s="147">
        <f t="shared" ref="AF599:AF644" si="244">T599*AK599*AE599</f>
        <v>0</v>
      </c>
      <c r="AG599" s="147">
        <f t="shared" ref="AG599:AG644" si="245">T599*AL599*AE599</f>
        <v>0</v>
      </c>
      <c r="AH599" s="147">
        <f t="shared" ref="AH599:AH644" si="246">T599*AM599*AE599</f>
        <v>0</v>
      </c>
      <c r="AI599" s="147">
        <f t="shared" ref="AI599:AI644" si="247">T599*AN599*AE599</f>
        <v>0</v>
      </c>
      <c r="AJ599" s="148">
        <f t="shared" ref="AJ599:AJ644" si="248">IF($R599="",0,VLOOKUP($R599,Kengetal,12,FALSE))</f>
        <v>0</v>
      </c>
      <c r="AK599" s="149">
        <f t="shared" si="230"/>
        <v>0</v>
      </c>
      <c r="AL599" s="149">
        <f t="shared" si="231"/>
        <v>0</v>
      </c>
      <c r="AM599" s="149">
        <f t="shared" si="232"/>
        <v>0</v>
      </c>
      <c r="AN599" s="149">
        <f t="shared" si="233"/>
        <v>0</v>
      </c>
      <c r="AO599" s="150">
        <f t="shared" ref="AO599:AO644" si="249">IF($R599="",0,VLOOKUP($R599,Kengetal,13,FALSE))</f>
        <v>0</v>
      </c>
      <c r="AQ599" s="151">
        <f t="shared" ref="AQ599:AQ644" si="250">T599*S599</f>
        <v>0</v>
      </c>
    </row>
    <row r="600" spans="1:43" ht="15" customHeight="1">
      <c r="A600" s="82" t="e">
        <f t="shared" si="235"/>
        <v>#REF!</v>
      </c>
      <c r="B600" s="134">
        <v>105</v>
      </c>
      <c r="C600" s="135" t="s">
        <v>943</v>
      </c>
      <c r="D600" s="136" t="s">
        <v>274</v>
      </c>
      <c r="E600" s="137" t="s">
        <v>101</v>
      </c>
      <c r="F600" s="138" t="s">
        <v>1057</v>
      </c>
      <c r="G600" s="139" t="s">
        <v>905</v>
      </c>
      <c r="H600" s="140" t="str">
        <f t="shared" si="236"/>
        <v>Niet van toepassing</v>
      </c>
      <c r="I600" s="138" t="s">
        <v>269</v>
      </c>
      <c r="J600" s="138" t="s">
        <v>1172</v>
      </c>
      <c r="K600" s="141" t="str">
        <f t="shared" si="237"/>
        <v>NVT</v>
      </c>
      <c r="L600" s="141" t="str">
        <f t="shared" si="238"/>
        <v>NVT</v>
      </c>
      <c r="M600" s="141" t="str">
        <f t="shared" si="239"/>
        <v>NVT</v>
      </c>
      <c r="N600" s="141" t="str">
        <f t="shared" si="240"/>
        <v>NVT</v>
      </c>
      <c r="O600" s="141" t="str">
        <f t="shared" si="241"/>
        <v>NVT</v>
      </c>
      <c r="P600" s="141" t="str">
        <f t="shared" si="242"/>
        <v>NVT</v>
      </c>
      <c r="Q600" s="141" t="str">
        <f t="shared" si="243"/>
        <v>NVT</v>
      </c>
      <c r="R600" s="63" t="s">
        <v>1221</v>
      </c>
      <c r="S600" s="142">
        <f t="shared" si="234"/>
        <v>0</v>
      </c>
      <c r="T600" s="143">
        <f>(14*1.95)*1.3</f>
        <v>35.49</v>
      </c>
      <c r="U600" s="144"/>
      <c r="V600" s="144"/>
      <c r="W600" s="144">
        <f>(14+1.95+14+1.95)*3.3</f>
        <v>105.27</v>
      </c>
      <c r="X600" s="144"/>
      <c r="Y600" s="144"/>
      <c r="Z600" s="145"/>
      <c r="AA600" s="145">
        <f>T600</f>
        <v>35.49</v>
      </c>
      <c r="AB600" s="145"/>
      <c r="AC600" s="145"/>
      <c r="AD600" s="146"/>
      <c r="AE600" s="171">
        <v>1</v>
      </c>
      <c r="AF600" s="147">
        <f t="shared" si="244"/>
        <v>0</v>
      </c>
      <c r="AG600" s="147">
        <f t="shared" si="245"/>
        <v>0</v>
      </c>
      <c r="AH600" s="147">
        <f t="shared" si="246"/>
        <v>0</v>
      </c>
      <c r="AI600" s="147">
        <f t="shared" si="247"/>
        <v>0</v>
      </c>
      <c r="AJ600" s="148">
        <f t="shared" si="248"/>
        <v>0</v>
      </c>
      <c r="AK600" s="149">
        <f t="shared" si="230"/>
        <v>0</v>
      </c>
      <c r="AL600" s="149">
        <f t="shared" si="231"/>
        <v>0</v>
      </c>
      <c r="AM600" s="149">
        <f t="shared" si="232"/>
        <v>0</v>
      </c>
      <c r="AN600" s="149">
        <f t="shared" si="233"/>
        <v>0</v>
      </c>
      <c r="AO600" s="150">
        <f t="shared" si="249"/>
        <v>0</v>
      </c>
      <c r="AQ600" s="151">
        <f t="shared" si="250"/>
        <v>0</v>
      </c>
    </row>
    <row r="601" spans="1:43" ht="15" customHeight="1">
      <c r="A601" s="82" t="e">
        <f t="shared" si="235"/>
        <v>#REF!</v>
      </c>
      <c r="B601" s="134">
        <v>105</v>
      </c>
      <c r="C601" s="135" t="s">
        <v>943</v>
      </c>
      <c r="D601" s="136" t="s">
        <v>274</v>
      </c>
      <c r="E601" s="137" t="s">
        <v>101</v>
      </c>
      <c r="F601" s="138" t="s">
        <v>1057</v>
      </c>
      <c r="G601" s="139" t="s">
        <v>906</v>
      </c>
      <c r="H601" s="140" t="str">
        <f t="shared" si="236"/>
        <v>Niet van toepassing</v>
      </c>
      <c r="I601" s="138" t="s">
        <v>82</v>
      </c>
      <c r="J601" s="138" t="s">
        <v>1172</v>
      </c>
      <c r="K601" s="141" t="str">
        <f t="shared" si="237"/>
        <v>NVT</v>
      </c>
      <c r="L601" s="141" t="str">
        <f t="shared" si="238"/>
        <v>NVT</v>
      </c>
      <c r="M601" s="141" t="str">
        <f t="shared" si="239"/>
        <v>NVT</v>
      </c>
      <c r="N601" s="141" t="str">
        <f t="shared" si="240"/>
        <v>NVT</v>
      </c>
      <c r="O601" s="141" t="str">
        <f t="shared" si="241"/>
        <v>NVT</v>
      </c>
      <c r="P601" s="141" t="str">
        <f t="shared" si="242"/>
        <v>NVT</v>
      </c>
      <c r="Q601" s="141" t="str">
        <f t="shared" si="243"/>
        <v>NVT</v>
      </c>
      <c r="R601" s="63" t="s">
        <v>1221</v>
      </c>
      <c r="S601" s="142">
        <f t="shared" si="234"/>
        <v>0</v>
      </c>
      <c r="T601" s="143">
        <f>(5.05*2.7)*1.3</f>
        <v>17.7255</v>
      </c>
      <c r="U601" s="144"/>
      <c r="V601" s="144"/>
      <c r="W601" s="144">
        <f>(5.05+2.7+5.05+2.7)*3.3</f>
        <v>51.15</v>
      </c>
      <c r="X601" s="144"/>
      <c r="Y601" s="144"/>
      <c r="Z601" s="145"/>
      <c r="AA601" s="145">
        <f>T601</f>
        <v>17.7255</v>
      </c>
      <c r="AB601" s="145"/>
      <c r="AC601" s="145"/>
      <c r="AD601" s="146"/>
      <c r="AE601" s="171">
        <v>1</v>
      </c>
      <c r="AF601" s="147">
        <f t="shared" si="244"/>
        <v>0</v>
      </c>
      <c r="AG601" s="147">
        <f t="shared" si="245"/>
        <v>0</v>
      </c>
      <c r="AH601" s="147">
        <f t="shared" si="246"/>
        <v>0</v>
      </c>
      <c r="AI601" s="147">
        <f t="shared" si="247"/>
        <v>0</v>
      </c>
      <c r="AJ601" s="148">
        <f t="shared" si="248"/>
        <v>0</v>
      </c>
      <c r="AK601" s="149">
        <f t="shared" si="230"/>
        <v>0</v>
      </c>
      <c r="AL601" s="149">
        <f t="shared" si="231"/>
        <v>0</v>
      </c>
      <c r="AM601" s="149">
        <f t="shared" si="232"/>
        <v>0</v>
      </c>
      <c r="AN601" s="149">
        <f t="shared" si="233"/>
        <v>0</v>
      </c>
      <c r="AO601" s="150">
        <f t="shared" si="249"/>
        <v>0</v>
      </c>
      <c r="AQ601" s="151">
        <f t="shared" si="250"/>
        <v>0</v>
      </c>
    </row>
    <row r="602" spans="1:43" ht="15" customHeight="1">
      <c r="A602" s="82" t="e">
        <f t="shared" si="235"/>
        <v>#REF!</v>
      </c>
      <c r="B602" s="134">
        <v>105</v>
      </c>
      <c r="C602" s="135" t="s">
        <v>943</v>
      </c>
      <c r="D602" s="136" t="s">
        <v>274</v>
      </c>
      <c r="E602" s="137" t="s">
        <v>101</v>
      </c>
      <c r="F602" s="138" t="s">
        <v>585</v>
      </c>
      <c r="G602" s="139" t="s">
        <v>1058</v>
      </c>
      <c r="H602" s="140" t="str">
        <f t="shared" si="236"/>
        <v>Niet van toepassing</v>
      </c>
      <c r="I602" s="138" t="s">
        <v>82</v>
      </c>
      <c r="J602" s="138" t="s">
        <v>1172</v>
      </c>
      <c r="K602" s="141" t="str">
        <f t="shared" si="237"/>
        <v>NVT</v>
      </c>
      <c r="L602" s="141" t="str">
        <f t="shared" si="238"/>
        <v>NVT</v>
      </c>
      <c r="M602" s="141" t="str">
        <f t="shared" si="239"/>
        <v>NVT</v>
      </c>
      <c r="N602" s="141" t="str">
        <f t="shared" si="240"/>
        <v>NVT</v>
      </c>
      <c r="O602" s="141" t="str">
        <f t="shared" si="241"/>
        <v>NVT</v>
      </c>
      <c r="P602" s="141" t="str">
        <f t="shared" si="242"/>
        <v>NVT</v>
      </c>
      <c r="Q602" s="141" t="str">
        <f t="shared" si="243"/>
        <v>NVT</v>
      </c>
      <c r="R602" s="63" t="s">
        <v>1221</v>
      </c>
      <c r="S602" s="142">
        <f t="shared" si="234"/>
        <v>0</v>
      </c>
      <c r="T602" s="143">
        <f>(2.4*1.6)*1.3</f>
        <v>4.992</v>
      </c>
      <c r="U602" s="144"/>
      <c r="V602" s="144"/>
      <c r="W602" s="144"/>
      <c r="X602" s="144"/>
      <c r="Y602" s="144">
        <f>(2.4+1.6+2.4+1.6)*3.6</f>
        <v>28.8</v>
      </c>
      <c r="Z602" s="145"/>
      <c r="AA602" s="145"/>
      <c r="AB602" s="145">
        <f>T602</f>
        <v>4.992</v>
      </c>
      <c r="AC602" s="145"/>
      <c r="AD602" s="146"/>
      <c r="AE602" s="171">
        <v>1</v>
      </c>
      <c r="AF602" s="147">
        <f t="shared" si="244"/>
        <v>0</v>
      </c>
      <c r="AG602" s="147">
        <f t="shared" si="245"/>
        <v>0</v>
      </c>
      <c r="AH602" s="147">
        <f t="shared" si="246"/>
        <v>0</v>
      </c>
      <c r="AI602" s="147">
        <f t="shared" si="247"/>
        <v>0</v>
      </c>
      <c r="AJ602" s="148">
        <f t="shared" si="248"/>
        <v>0</v>
      </c>
      <c r="AK602" s="149">
        <f t="shared" si="230"/>
        <v>0</v>
      </c>
      <c r="AL602" s="149">
        <f t="shared" si="231"/>
        <v>0</v>
      </c>
      <c r="AM602" s="149">
        <f t="shared" si="232"/>
        <v>0</v>
      </c>
      <c r="AN602" s="149">
        <f t="shared" si="233"/>
        <v>0</v>
      </c>
      <c r="AO602" s="150">
        <f t="shared" si="249"/>
        <v>0</v>
      </c>
      <c r="AQ602" s="151">
        <f t="shared" si="250"/>
        <v>0</v>
      </c>
    </row>
    <row r="603" spans="1:43" ht="15" customHeight="1">
      <c r="A603" s="82" t="e">
        <f t="shared" si="235"/>
        <v>#REF!</v>
      </c>
      <c r="B603" s="134">
        <v>105</v>
      </c>
      <c r="C603" s="135" t="s">
        <v>943</v>
      </c>
      <c r="D603" s="136" t="s">
        <v>274</v>
      </c>
      <c r="E603" s="137" t="s">
        <v>101</v>
      </c>
      <c r="F603" s="138" t="s">
        <v>585</v>
      </c>
      <c r="G603" s="139" t="s">
        <v>1059</v>
      </c>
      <c r="H603" s="140" t="str">
        <f t="shared" si="236"/>
        <v>Niet van toepassing</v>
      </c>
      <c r="I603" s="138" t="s">
        <v>82</v>
      </c>
      <c r="J603" s="138" t="s">
        <v>1172</v>
      </c>
      <c r="K603" s="141" t="str">
        <f t="shared" si="237"/>
        <v>NVT</v>
      </c>
      <c r="L603" s="141" t="str">
        <f t="shared" si="238"/>
        <v>NVT</v>
      </c>
      <c r="M603" s="141" t="str">
        <f t="shared" si="239"/>
        <v>NVT</v>
      </c>
      <c r="N603" s="141" t="str">
        <f t="shared" si="240"/>
        <v>NVT</v>
      </c>
      <c r="O603" s="141" t="str">
        <f t="shared" si="241"/>
        <v>NVT</v>
      </c>
      <c r="P603" s="141" t="str">
        <f t="shared" si="242"/>
        <v>NVT</v>
      </c>
      <c r="Q603" s="141" t="str">
        <f t="shared" si="243"/>
        <v>NVT</v>
      </c>
      <c r="R603" s="63" t="s">
        <v>1221</v>
      </c>
      <c r="S603" s="142">
        <f t="shared" si="234"/>
        <v>0</v>
      </c>
      <c r="T603" s="143">
        <f>(1.8*1)*1.3</f>
        <v>2.3400000000000003</v>
      </c>
      <c r="U603" s="144"/>
      <c r="V603" s="144"/>
      <c r="W603" s="144"/>
      <c r="X603" s="144"/>
      <c r="Y603" s="144">
        <f>(1.8+1+1.8+1)*3.6</f>
        <v>20.16</v>
      </c>
      <c r="Z603" s="145"/>
      <c r="AA603" s="145"/>
      <c r="AB603" s="145">
        <f>T603</f>
        <v>2.3400000000000003</v>
      </c>
      <c r="AC603" s="145"/>
      <c r="AD603" s="146"/>
      <c r="AE603" s="171">
        <v>1</v>
      </c>
      <c r="AF603" s="147">
        <f t="shared" si="244"/>
        <v>0</v>
      </c>
      <c r="AG603" s="147">
        <f t="shared" si="245"/>
        <v>0</v>
      </c>
      <c r="AH603" s="147">
        <f t="shared" si="246"/>
        <v>0</v>
      </c>
      <c r="AI603" s="147">
        <f t="shared" si="247"/>
        <v>0</v>
      </c>
      <c r="AJ603" s="148">
        <f t="shared" si="248"/>
        <v>0</v>
      </c>
      <c r="AK603" s="149">
        <f t="shared" si="230"/>
        <v>0</v>
      </c>
      <c r="AL603" s="149">
        <f t="shared" si="231"/>
        <v>0</v>
      </c>
      <c r="AM603" s="149">
        <f t="shared" si="232"/>
        <v>0</v>
      </c>
      <c r="AN603" s="149">
        <f t="shared" si="233"/>
        <v>0</v>
      </c>
      <c r="AO603" s="150">
        <f t="shared" si="249"/>
        <v>0</v>
      </c>
      <c r="AQ603" s="151">
        <f t="shared" si="250"/>
        <v>0</v>
      </c>
    </row>
    <row r="604" spans="1:43" ht="15" customHeight="1">
      <c r="A604" s="82" t="e">
        <f t="shared" si="235"/>
        <v>#REF!</v>
      </c>
      <c r="B604" s="134">
        <v>105</v>
      </c>
      <c r="C604" s="135" t="s">
        <v>943</v>
      </c>
      <c r="D604" s="136" t="s">
        <v>274</v>
      </c>
      <c r="E604" s="137" t="s">
        <v>101</v>
      </c>
      <c r="F604" s="138" t="s">
        <v>585</v>
      </c>
      <c r="G604" s="139" t="s">
        <v>1060</v>
      </c>
      <c r="H604" s="140" t="str">
        <f t="shared" si="236"/>
        <v>Niet van toepassing</v>
      </c>
      <c r="I604" s="138" t="s">
        <v>82</v>
      </c>
      <c r="J604" s="138" t="s">
        <v>1172</v>
      </c>
      <c r="K604" s="141" t="str">
        <f t="shared" si="237"/>
        <v>NVT</v>
      </c>
      <c r="L604" s="141" t="str">
        <f t="shared" si="238"/>
        <v>NVT</v>
      </c>
      <c r="M604" s="141" t="str">
        <f t="shared" si="239"/>
        <v>NVT</v>
      </c>
      <c r="N604" s="141" t="str">
        <f t="shared" si="240"/>
        <v>NVT</v>
      </c>
      <c r="O604" s="141" t="str">
        <f t="shared" si="241"/>
        <v>NVT</v>
      </c>
      <c r="P604" s="141" t="str">
        <f t="shared" si="242"/>
        <v>NVT</v>
      </c>
      <c r="Q604" s="141" t="str">
        <f t="shared" si="243"/>
        <v>NVT</v>
      </c>
      <c r="R604" s="63" t="s">
        <v>1221</v>
      </c>
      <c r="S604" s="142">
        <f t="shared" si="234"/>
        <v>0</v>
      </c>
      <c r="T604" s="143">
        <f>(2.6*1.6)*1.3</f>
        <v>5.4080000000000004</v>
      </c>
      <c r="U604" s="144"/>
      <c r="V604" s="144"/>
      <c r="W604" s="144"/>
      <c r="X604" s="144"/>
      <c r="Y604" s="144">
        <f>(2.6+1.66+2.6+1.6)*3.6</f>
        <v>30.455999999999996</v>
      </c>
      <c r="Z604" s="145"/>
      <c r="AA604" s="145"/>
      <c r="AB604" s="145">
        <f>T604</f>
        <v>5.4080000000000004</v>
      </c>
      <c r="AC604" s="145"/>
      <c r="AD604" s="146"/>
      <c r="AE604" s="171">
        <v>1</v>
      </c>
      <c r="AF604" s="147">
        <f t="shared" si="244"/>
        <v>0</v>
      </c>
      <c r="AG604" s="147">
        <f t="shared" si="245"/>
        <v>0</v>
      </c>
      <c r="AH604" s="147">
        <f t="shared" si="246"/>
        <v>0</v>
      </c>
      <c r="AI604" s="147">
        <f t="shared" si="247"/>
        <v>0</v>
      </c>
      <c r="AJ604" s="148">
        <f t="shared" si="248"/>
        <v>0</v>
      </c>
      <c r="AK604" s="149">
        <f t="shared" si="230"/>
        <v>0</v>
      </c>
      <c r="AL604" s="149">
        <f t="shared" si="231"/>
        <v>0</v>
      </c>
      <c r="AM604" s="149">
        <f t="shared" si="232"/>
        <v>0</v>
      </c>
      <c r="AN604" s="149">
        <f t="shared" si="233"/>
        <v>0</v>
      </c>
      <c r="AO604" s="150">
        <f t="shared" si="249"/>
        <v>0</v>
      </c>
      <c r="AQ604" s="151">
        <f t="shared" si="250"/>
        <v>0</v>
      </c>
    </row>
    <row r="605" spans="1:43" ht="15" customHeight="1">
      <c r="A605" s="82" t="e">
        <f t="shared" si="235"/>
        <v>#REF!</v>
      </c>
      <c r="B605" s="134">
        <v>105</v>
      </c>
      <c r="C605" s="135" t="s">
        <v>943</v>
      </c>
      <c r="D605" s="136" t="s">
        <v>274</v>
      </c>
      <c r="E605" s="137" t="s">
        <v>101</v>
      </c>
      <c r="F605" s="138" t="s">
        <v>585</v>
      </c>
      <c r="G605" s="139" t="s">
        <v>1061</v>
      </c>
      <c r="H605" s="140" t="str">
        <f t="shared" si="236"/>
        <v>Niet van toepassing</v>
      </c>
      <c r="I605" s="138" t="s">
        <v>82</v>
      </c>
      <c r="J605" s="138" t="s">
        <v>1172</v>
      </c>
      <c r="K605" s="141" t="str">
        <f t="shared" si="237"/>
        <v>NVT</v>
      </c>
      <c r="L605" s="141" t="str">
        <f t="shared" si="238"/>
        <v>NVT</v>
      </c>
      <c r="M605" s="141" t="str">
        <f t="shared" si="239"/>
        <v>NVT</v>
      </c>
      <c r="N605" s="141" t="str">
        <f t="shared" si="240"/>
        <v>NVT</v>
      </c>
      <c r="O605" s="141" t="str">
        <f t="shared" si="241"/>
        <v>NVT</v>
      </c>
      <c r="P605" s="141" t="str">
        <f t="shared" si="242"/>
        <v>NVT</v>
      </c>
      <c r="Q605" s="141" t="str">
        <f t="shared" si="243"/>
        <v>NVT</v>
      </c>
      <c r="R605" s="63" t="s">
        <v>1221</v>
      </c>
      <c r="S605" s="142">
        <f t="shared" si="234"/>
        <v>0</v>
      </c>
      <c r="T605" s="143">
        <f>(2.6*1.05)*1.3</f>
        <v>3.5490000000000008</v>
      </c>
      <c r="U605" s="144"/>
      <c r="V605" s="144"/>
      <c r="W605" s="144"/>
      <c r="X605" s="144"/>
      <c r="Y605" s="144">
        <f>(2.6+1.05+2.6+1.05)*3.6</f>
        <v>26.28</v>
      </c>
      <c r="Z605" s="145"/>
      <c r="AA605" s="145"/>
      <c r="AB605" s="145">
        <f>T605</f>
        <v>3.5490000000000008</v>
      </c>
      <c r="AC605" s="145"/>
      <c r="AD605" s="146"/>
      <c r="AE605" s="171">
        <v>1</v>
      </c>
      <c r="AF605" s="147">
        <f t="shared" si="244"/>
        <v>0</v>
      </c>
      <c r="AG605" s="147">
        <f t="shared" si="245"/>
        <v>0</v>
      </c>
      <c r="AH605" s="147">
        <f t="shared" si="246"/>
        <v>0</v>
      </c>
      <c r="AI605" s="147">
        <f t="shared" si="247"/>
        <v>0</v>
      </c>
      <c r="AJ605" s="148">
        <f t="shared" si="248"/>
        <v>0</v>
      </c>
      <c r="AK605" s="149">
        <f t="shared" si="230"/>
        <v>0</v>
      </c>
      <c r="AL605" s="149">
        <f t="shared" si="231"/>
        <v>0</v>
      </c>
      <c r="AM605" s="149">
        <f t="shared" si="232"/>
        <v>0</v>
      </c>
      <c r="AN605" s="149">
        <f t="shared" si="233"/>
        <v>0</v>
      </c>
      <c r="AO605" s="150">
        <f t="shared" si="249"/>
        <v>0</v>
      </c>
      <c r="AQ605" s="151">
        <f t="shared" si="250"/>
        <v>0</v>
      </c>
    </row>
    <row r="606" spans="1:43" ht="15" customHeight="1">
      <c r="A606" s="82" t="e">
        <f t="shared" si="235"/>
        <v>#REF!</v>
      </c>
      <c r="B606" s="134">
        <v>105</v>
      </c>
      <c r="C606" s="135" t="s">
        <v>943</v>
      </c>
      <c r="D606" s="136" t="s">
        <v>274</v>
      </c>
      <c r="E606" s="137" t="s">
        <v>101</v>
      </c>
      <c r="F606" s="138" t="s">
        <v>595</v>
      </c>
      <c r="G606" s="139" t="s">
        <v>907</v>
      </c>
      <c r="H606" s="140" t="str">
        <f t="shared" si="236"/>
        <v>Niet van toepassing</v>
      </c>
      <c r="I606" s="138" t="s">
        <v>269</v>
      </c>
      <c r="J606" s="138" t="s">
        <v>1172</v>
      </c>
      <c r="K606" s="141" t="str">
        <f t="shared" si="237"/>
        <v>NVT</v>
      </c>
      <c r="L606" s="141" t="str">
        <f t="shared" si="238"/>
        <v>NVT</v>
      </c>
      <c r="M606" s="141" t="str">
        <f t="shared" si="239"/>
        <v>NVT</v>
      </c>
      <c r="N606" s="141" t="str">
        <f t="shared" si="240"/>
        <v>NVT</v>
      </c>
      <c r="O606" s="141" t="str">
        <f t="shared" si="241"/>
        <v>NVT</v>
      </c>
      <c r="P606" s="141" t="str">
        <f t="shared" si="242"/>
        <v>NVT</v>
      </c>
      <c r="Q606" s="141" t="str">
        <f t="shared" si="243"/>
        <v>NVT</v>
      </c>
      <c r="R606" s="63" t="s">
        <v>1221</v>
      </c>
      <c r="S606" s="142">
        <f t="shared" si="234"/>
        <v>0</v>
      </c>
      <c r="T606" s="143">
        <f>(3.1*2.7)*1.3</f>
        <v>10.881000000000002</v>
      </c>
      <c r="U606" s="144"/>
      <c r="V606" s="144"/>
      <c r="W606" s="144">
        <f>(3.1+2.7+3.1+2.7)*3.3</f>
        <v>38.28</v>
      </c>
      <c r="X606" s="144"/>
      <c r="Y606" s="144"/>
      <c r="Z606" s="145"/>
      <c r="AA606" s="145"/>
      <c r="AB606" s="145">
        <f>T606</f>
        <v>10.881000000000002</v>
      </c>
      <c r="AC606" s="145"/>
      <c r="AD606" s="146"/>
      <c r="AE606" s="171">
        <v>1</v>
      </c>
      <c r="AF606" s="147">
        <f t="shared" si="244"/>
        <v>0</v>
      </c>
      <c r="AG606" s="147">
        <f t="shared" si="245"/>
        <v>0</v>
      </c>
      <c r="AH606" s="147">
        <f t="shared" si="246"/>
        <v>0</v>
      </c>
      <c r="AI606" s="147">
        <f t="shared" si="247"/>
        <v>0</v>
      </c>
      <c r="AJ606" s="148">
        <f t="shared" si="248"/>
        <v>0</v>
      </c>
      <c r="AK606" s="149">
        <f t="shared" si="230"/>
        <v>0</v>
      </c>
      <c r="AL606" s="149">
        <f t="shared" si="231"/>
        <v>0</v>
      </c>
      <c r="AM606" s="149">
        <f t="shared" si="232"/>
        <v>0</v>
      </c>
      <c r="AN606" s="149">
        <f t="shared" si="233"/>
        <v>0</v>
      </c>
      <c r="AO606" s="150">
        <f t="shared" si="249"/>
        <v>0</v>
      </c>
      <c r="AQ606" s="151">
        <f t="shared" si="250"/>
        <v>0</v>
      </c>
    </row>
    <row r="607" spans="1:43" ht="15" customHeight="1">
      <c r="A607" s="82" t="e">
        <f t="shared" si="235"/>
        <v>#REF!</v>
      </c>
      <c r="B607" s="134">
        <v>105</v>
      </c>
      <c r="C607" s="135" t="s">
        <v>943</v>
      </c>
      <c r="D607" s="136" t="s">
        <v>274</v>
      </c>
      <c r="E607" s="137" t="s">
        <v>101</v>
      </c>
      <c r="F607" s="138" t="s">
        <v>593</v>
      </c>
      <c r="G607" s="139" t="s">
        <v>908</v>
      </c>
      <c r="H607" s="140" t="str">
        <f t="shared" si="236"/>
        <v>Niet van toepassing</v>
      </c>
      <c r="I607" s="138" t="s">
        <v>269</v>
      </c>
      <c r="J607" s="138" t="s">
        <v>1172</v>
      </c>
      <c r="K607" s="141" t="str">
        <f t="shared" si="237"/>
        <v>NVT</v>
      </c>
      <c r="L607" s="141" t="str">
        <f t="shared" si="238"/>
        <v>NVT</v>
      </c>
      <c r="M607" s="141" t="str">
        <f t="shared" si="239"/>
        <v>NVT</v>
      </c>
      <c r="N607" s="141" t="str">
        <f t="shared" si="240"/>
        <v>NVT</v>
      </c>
      <c r="O607" s="141" t="str">
        <f t="shared" si="241"/>
        <v>NVT</v>
      </c>
      <c r="P607" s="141" t="str">
        <f t="shared" si="242"/>
        <v>NVT</v>
      </c>
      <c r="Q607" s="141" t="str">
        <f t="shared" si="243"/>
        <v>NVT</v>
      </c>
      <c r="R607" s="63" t="s">
        <v>1221</v>
      </c>
      <c r="S607" s="142">
        <f t="shared" si="234"/>
        <v>0</v>
      </c>
      <c r="T607" s="143">
        <f>(6.5*2.7)*1.3</f>
        <v>22.815000000000001</v>
      </c>
      <c r="U607" s="144"/>
      <c r="V607" s="144"/>
      <c r="W607" s="144">
        <f>(6.5+2.7+6.5+2.7)*3.3</f>
        <v>60.719999999999992</v>
      </c>
      <c r="X607" s="144"/>
      <c r="Y607" s="144"/>
      <c r="Z607" s="145"/>
      <c r="AA607" s="145">
        <f>T607</f>
        <v>22.815000000000001</v>
      </c>
      <c r="AB607" s="145"/>
      <c r="AC607" s="145"/>
      <c r="AD607" s="146"/>
      <c r="AE607" s="171">
        <v>1</v>
      </c>
      <c r="AF607" s="147">
        <f t="shared" si="244"/>
        <v>0</v>
      </c>
      <c r="AG607" s="147">
        <f t="shared" si="245"/>
        <v>0</v>
      </c>
      <c r="AH607" s="147">
        <f t="shared" si="246"/>
        <v>0</v>
      </c>
      <c r="AI607" s="147">
        <f t="shared" si="247"/>
        <v>0</v>
      </c>
      <c r="AJ607" s="148">
        <f t="shared" si="248"/>
        <v>0</v>
      </c>
      <c r="AK607" s="149">
        <f t="shared" si="230"/>
        <v>0</v>
      </c>
      <c r="AL607" s="149">
        <f t="shared" si="231"/>
        <v>0</v>
      </c>
      <c r="AM607" s="149">
        <f t="shared" si="232"/>
        <v>0</v>
      </c>
      <c r="AN607" s="149">
        <f t="shared" si="233"/>
        <v>0</v>
      </c>
      <c r="AO607" s="150">
        <f t="shared" si="249"/>
        <v>0</v>
      </c>
      <c r="AQ607" s="151">
        <f t="shared" si="250"/>
        <v>0</v>
      </c>
    </row>
    <row r="608" spans="1:43" ht="15" customHeight="1">
      <c r="A608" s="82" t="e">
        <f t="shared" si="235"/>
        <v>#REF!</v>
      </c>
      <c r="B608" s="134">
        <v>105</v>
      </c>
      <c r="C608" s="135" t="s">
        <v>943</v>
      </c>
      <c r="D608" s="136" t="s">
        <v>274</v>
      </c>
      <c r="E608" s="137" t="s">
        <v>101</v>
      </c>
      <c r="F608" s="138" t="s">
        <v>597</v>
      </c>
      <c r="G608" s="139" t="s">
        <v>910</v>
      </c>
      <c r="H608" s="140" t="str">
        <f t="shared" si="236"/>
        <v>Niet van toepassing</v>
      </c>
      <c r="I608" s="138" t="s">
        <v>270</v>
      </c>
      <c r="J608" s="138" t="s">
        <v>1172</v>
      </c>
      <c r="K608" s="141" t="str">
        <f t="shared" si="237"/>
        <v>NVT</v>
      </c>
      <c r="L608" s="141" t="str">
        <f t="shared" si="238"/>
        <v>NVT</v>
      </c>
      <c r="M608" s="141" t="str">
        <f t="shared" si="239"/>
        <v>NVT</v>
      </c>
      <c r="N608" s="141" t="str">
        <f t="shared" si="240"/>
        <v>NVT</v>
      </c>
      <c r="O608" s="141" t="str">
        <f t="shared" si="241"/>
        <v>NVT</v>
      </c>
      <c r="P608" s="141" t="str">
        <f t="shared" si="242"/>
        <v>NVT</v>
      </c>
      <c r="Q608" s="141" t="str">
        <f t="shared" si="243"/>
        <v>NVT</v>
      </c>
      <c r="R608" s="63" t="s">
        <v>1221</v>
      </c>
      <c r="S608" s="142">
        <f t="shared" si="234"/>
        <v>0</v>
      </c>
      <c r="T608" s="143">
        <f>((2.85*3.6)-(0.6*0.5))*1.3</f>
        <v>12.947999999999999</v>
      </c>
      <c r="U608" s="144"/>
      <c r="V608" s="144"/>
      <c r="W608" s="144"/>
      <c r="X608" s="144"/>
      <c r="Y608" s="144">
        <f>(0.6+0.5+2.25+3.6+2.85+3.1)*3.3</f>
        <v>42.57</v>
      </c>
      <c r="Z608" s="145"/>
      <c r="AA608" s="145"/>
      <c r="AB608" s="145">
        <f>T608</f>
        <v>12.947999999999999</v>
      </c>
      <c r="AC608" s="145"/>
      <c r="AD608" s="146"/>
      <c r="AE608" s="171">
        <v>1</v>
      </c>
      <c r="AF608" s="147">
        <f t="shared" si="244"/>
        <v>0</v>
      </c>
      <c r="AG608" s="147">
        <f t="shared" si="245"/>
        <v>0</v>
      </c>
      <c r="AH608" s="147">
        <f t="shared" si="246"/>
        <v>0</v>
      </c>
      <c r="AI608" s="147">
        <f t="shared" si="247"/>
        <v>0</v>
      </c>
      <c r="AJ608" s="148">
        <f t="shared" si="248"/>
        <v>0</v>
      </c>
      <c r="AK608" s="149">
        <f t="shared" si="230"/>
        <v>0</v>
      </c>
      <c r="AL608" s="149">
        <f t="shared" si="231"/>
        <v>0</v>
      </c>
      <c r="AM608" s="149">
        <f t="shared" si="232"/>
        <v>0</v>
      </c>
      <c r="AN608" s="149">
        <f t="shared" si="233"/>
        <v>0</v>
      </c>
      <c r="AO608" s="150">
        <f t="shared" si="249"/>
        <v>0</v>
      </c>
      <c r="AQ608" s="151">
        <f t="shared" si="250"/>
        <v>0</v>
      </c>
    </row>
    <row r="609" spans="1:43" ht="15" customHeight="1">
      <c r="A609" s="82" t="e">
        <f t="shared" si="235"/>
        <v>#REF!</v>
      </c>
      <c r="B609" s="134">
        <v>105</v>
      </c>
      <c r="C609" s="135" t="s">
        <v>943</v>
      </c>
      <c r="D609" s="136" t="s">
        <v>274</v>
      </c>
      <c r="E609" s="137" t="s">
        <v>101</v>
      </c>
      <c r="F609" s="138" t="s">
        <v>597</v>
      </c>
      <c r="G609" s="139" t="s">
        <v>911</v>
      </c>
      <c r="H609" s="140" t="str">
        <f t="shared" si="236"/>
        <v>Niet van toepassing</v>
      </c>
      <c r="I609" s="138" t="s">
        <v>270</v>
      </c>
      <c r="J609" s="138" t="s">
        <v>1172</v>
      </c>
      <c r="K609" s="141" t="str">
        <f t="shared" si="237"/>
        <v>NVT</v>
      </c>
      <c r="L609" s="141" t="str">
        <f t="shared" si="238"/>
        <v>NVT</v>
      </c>
      <c r="M609" s="141" t="str">
        <f t="shared" si="239"/>
        <v>NVT</v>
      </c>
      <c r="N609" s="141" t="str">
        <f t="shared" si="240"/>
        <v>NVT</v>
      </c>
      <c r="O609" s="141" t="str">
        <f t="shared" si="241"/>
        <v>NVT</v>
      </c>
      <c r="P609" s="141" t="str">
        <f t="shared" si="242"/>
        <v>NVT</v>
      </c>
      <c r="Q609" s="141" t="str">
        <f t="shared" si="243"/>
        <v>NVT</v>
      </c>
      <c r="R609" s="63" t="s">
        <v>1221</v>
      </c>
      <c r="S609" s="142">
        <f t="shared" si="234"/>
        <v>0</v>
      </c>
      <c r="T609" s="143">
        <f>((5.25*6.4)-(0.5*0.7))*1.3</f>
        <v>43.225000000000001</v>
      </c>
      <c r="U609" s="144"/>
      <c r="V609" s="144"/>
      <c r="W609" s="144"/>
      <c r="X609" s="144"/>
      <c r="Y609" s="144">
        <f>(5.25+6.4+5.25+6.4+0.5+0.5)*3.3</f>
        <v>80.189999999999984</v>
      </c>
      <c r="Z609" s="145"/>
      <c r="AA609" s="145"/>
      <c r="AB609" s="145">
        <f>T609</f>
        <v>43.225000000000001</v>
      </c>
      <c r="AC609" s="145"/>
      <c r="AD609" s="146"/>
      <c r="AE609" s="171">
        <v>1</v>
      </c>
      <c r="AF609" s="147">
        <f t="shared" si="244"/>
        <v>0</v>
      </c>
      <c r="AG609" s="147">
        <f t="shared" si="245"/>
        <v>0</v>
      </c>
      <c r="AH609" s="147">
        <f t="shared" si="246"/>
        <v>0</v>
      </c>
      <c r="AI609" s="147">
        <f t="shared" si="247"/>
        <v>0</v>
      </c>
      <c r="AJ609" s="148">
        <f t="shared" si="248"/>
        <v>0</v>
      </c>
      <c r="AK609" s="149">
        <f t="shared" si="230"/>
        <v>0</v>
      </c>
      <c r="AL609" s="149">
        <f t="shared" si="231"/>
        <v>0</v>
      </c>
      <c r="AM609" s="149">
        <f t="shared" si="232"/>
        <v>0</v>
      </c>
      <c r="AN609" s="149">
        <f t="shared" si="233"/>
        <v>0</v>
      </c>
      <c r="AO609" s="150">
        <f t="shared" si="249"/>
        <v>0</v>
      </c>
      <c r="AQ609" s="151">
        <f t="shared" si="250"/>
        <v>0</v>
      </c>
    </row>
    <row r="610" spans="1:43" ht="15" customHeight="1">
      <c r="A610" s="82" t="e">
        <f t="shared" si="235"/>
        <v>#REF!</v>
      </c>
      <c r="B610" s="134">
        <v>105</v>
      </c>
      <c r="C610" s="135" t="s">
        <v>943</v>
      </c>
      <c r="D610" s="136" t="s">
        <v>274</v>
      </c>
      <c r="E610" s="137" t="s">
        <v>101</v>
      </c>
      <c r="F610" s="138" t="s">
        <v>76</v>
      </c>
      <c r="G610" s="139" t="s">
        <v>1062</v>
      </c>
      <c r="H610" s="140" t="str">
        <f t="shared" si="236"/>
        <v>Niet van toepassing</v>
      </c>
      <c r="I610" s="138" t="s">
        <v>269</v>
      </c>
      <c r="J610" s="138" t="s">
        <v>1172</v>
      </c>
      <c r="K610" s="141" t="str">
        <f t="shared" si="237"/>
        <v>NVT</v>
      </c>
      <c r="L610" s="141" t="str">
        <f t="shared" si="238"/>
        <v>NVT</v>
      </c>
      <c r="M610" s="141" t="str">
        <f t="shared" si="239"/>
        <v>NVT</v>
      </c>
      <c r="N610" s="141" t="str">
        <f t="shared" si="240"/>
        <v>NVT</v>
      </c>
      <c r="O610" s="141" t="str">
        <f t="shared" si="241"/>
        <v>NVT</v>
      </c>
      <c r="P610" s="141" t="str">
        <f t="shared" si="242"/>
        <v>NVT</v>
      </c>
      <c r="Q610" s="141" t="str">
        <f t="shared" si="243"/>
        <v>NVT</v>
      </c>
      <c r="R610" s="63" t="s">
        <v>1221</v>
      </c>
      <c r="S610" s="142">
        <f t="shared" si="234"/>
        <v>0</v>
      </c>
      <c r="T610" s="143">
        <f>((0.75*2.2)+(1.95*3.25))*1.3</f>
        <v>10.383750000000001</v>
      </c>
      <c r="U610" s="144"/>
      <c r="V610" s="144"/>
      <c r="W610" s="144">
        <f>(0.75+1.05+1.95+3.25+2.7+2.2)*3.3</f>
        <v>39.269999999999996</v>
      </c>
      <c r="X610" s="144"/>
      <c r="Y610" s="144"/>
      <c r="Z610" s="145"/>
      <c r="AA610" s="145">
        <f>T610</f>
        <v>10.383750000000001</v>
      </c>
      <c r="AB610" s="145"/>
      <c r="AC610" s="145"/>
      <c r="AD610" s="146"/>
      <c r="AE610" s="171">
        <v>1</v>
      </c>
      <c r="AF610" s="147">
        <f t="shared" si="244"/>
        <v>0</v>
      </c>
      <c r="AG610" s="147">
        <f t="shared" si="245"/>
        <v>0</v>
      </c>
      <c r="AH610" s="147">
        <f t="shared" si="246"/>
        <v>0</v>
      </c>
      <c r="AI610" s="147">
        <f t="shared" si="247"/>
        <v>0</v>
      </c>
      <c r="AJ610" s="148">
        <f t="shared" si="248"/>
        <v>0</v>
      </c>
      <c r="AK610" s="149">
        <f t="shared" si="230"/>
        <v>0</v>
      </c>
      <c r="AL610" s="149">
        <f t="shared" si="231"/>
        <v>0</v>
      </c>
      <c r="AM610" s="149">
        <f t="shared" si="232"/>
        <v>0</v>
      </c>
      <c r="AN610" s="149">
        <f t="shared" si="233"/>
        <v>0</v>
      </c>
      <c r="AO610" s="150">
        <f t="shared" si="249"/>
        <v>0</v>
      </c>
      <c r="AQ610" s="151">
        <f t="shared" si="250"/>
        <v>0</v>
      </c>
    </row>
    <row r="611" spans="1:43" ht="15" customHeight="1">
      <c r="A611" s="82" t="e">
        <f t="shared" si="235"/>
        <v>#REF!</v>
      </c>
      <c r="B611" s="134">
        <v>105</v>
      </c>
      <c r="C611" s="135" t="s">
        <v>943</v>
      </c>
      <c r="D611" s="136" t="s">
        <v>274</v>
      </c>
      <c r="E611" s="137" t="s">
        <v>101</v>
      </c>
      <c r="F611" s="138" t="s">
        <v>619</v>
      </c>
      <c r="G611" s="139" t="s">
        <v>913</v>
      </c>
      <c r="H611" s="140" t="str">
        <f t="shared" si="236"/>
        <v>Niet van toepassing</v>
      </c>
      <c r="I611" s="138" t="s">
        <v>269</v>
      </c>
      <c r="J611" s="138" t="s">
        <v>1172</v>
      </c>
      <c r="K611" s="141" t="str">
        <f t="shared" si="237"/>
        <v>NVT</v>
      </c>
      <c r="L611" s="141" t="str">
        <f t="shared" si="238"/>
        <v>NVT</v>
      </c>
      <c r="M611" s="141" t="str">
        <f t="shared" si="239"/>
        <v>NVT</v>
      </c>
      <c r="N611" s="141" t="str">
        <f t="shared" si="240"/>
        <v>NVT</v>
      </c>
      <c r="O611" s="141" t="str">
        <f t="shared" si="241"/>
        <v>NVT</v>
      </c>
      <c r="P611" s="141" t="str">
        <f t="shared" si="242"/>
        <v>NVT</v>
      </c>
      <c r="Q611" s="141" t="str">
        <f t="shared" si="243"/>
        <v>NVT</v>
      </c>
      <c r="R611" s="63" t="s">
        <v>1221</v>
      </c>
      <c r="S611" s="142">
        <f t="shared" si="234"/>
        <v>0</v>
      </c>
      <c r="T611" s="143">
        <f>((4.3*4))*1.3</f>
        <v>22.36</v>
      </c>
      <c r="U611" s="144"/>
      <c r="V611" s="144"/>
      <c r="W611" s="144">
        <f>(4.3+4+4.3+4)*3.3</f>
        <v>54.78</v>
      </c>
      <c r="X611" s="144"/>
      <c r="Y611" s="144"/>
      <c r="Z611" s="145"/>
      <c r="AA611" s="145">
        <f>T611</f>
        <v>22.36</v>
      </c>
      <c r="AB611" s="145"/>
      <c r="AC611" s="145"/>
      <c r="AD611" s="146"/>
      <c r="AE611" s="171">
        <v>1</v>
      </c>
      <c r="AF611" s="147">
        <f t="shared" si="244"/>
        <v>0</v>
      </c>
      <c r="AG611" s="147">
        <f t="shared" si="245"/>
        <v>0</v>
      </c>
      <c r="AH611" s="147">
        <f t="shared" si="246"/>
        <v>0</v>
      </c>
      <c r="AI611" s="147">
        <f t="shared" si="247"/>
        <v>0</v>
      </c>
      <c r="AJ611" s="148">
        <f t="shared" si="248"/>
        <v>0</v>
      </c>
      <c r="AK611" s="149">
        <f t="shared" si="230"/>
        <v>0</v>
      </c>
      <c r="AL611" s="149">
        <f t="shared" si="231"/>
        <v>0</v>
      </c>
      <c r="AM611" s="149">
        <f t="shared" si="232"/>
        <v>0</v>
      </c>
      <c r="AN611" s="149">
        <f t="shared" si="233"/>
        <v>0</v>
      </c>
      <c r="AO611" s="150">
        <f t="shared" si="249"/>
        <v>0</v>
      </c>
      <c r="AQ611" s="151">
        <f t="shared" si="250"/>
        <v>0</v>
      </c>
    </row>
    <row r="612" spans="1:43" ht="15" customHeight="1">
      <c r="A612" s="82" t="e">
        <f t="shared" si="235"/>
        <v>#REF!</v>
      </c>
      <c r="B612" s="134">
        <v>105</v>
      </c>
      <c r="C612" s="135" t="s">
        <v>943</v>
      </c>
      <c r="D612" s="136" t="s">
        <v>274</v>
      </c>
      <c r="E612" s="137" t="s">
        <v>101</v>
      </c>
      <c r="F612" s="138" t="s">
        <v>619</v>
      </c>
      <c r="G612" s="139" t="s">
        <v>914</v>
      </c>
      <c r="H612" s="140" t="str">
        <f t="shared" si="236"/>
        <v>Niet van toepassing</v>
      </c>
      <c r="I612" s="138" t="s">
        <v>269</v>
      </c>
      <c r="J612" s="138" t="s">
        <v>1172</v>
      </c>
      <c r="K612" s="141" t="str">
        <f t="shared" si="237"/>
        <v>NVT</v>
      </c>
      <c r="L612" s="141" t="str">
        <f t="shared" si="238"/>
        <v>NVT</v>
      </c>
      <c r="M612" s="141" t="str">
        <f t="shared" si="239"/>
        <v>NVT</v>
      </c>
      <c r="N612" s="141" t="str">
        <f t="shared" si="240"/>
        <v>NVT</v>
      </c>
      <c r="O612" s="141" t="str">
        <f t="shared" si="241"/>
        <v>NVT</v>
      </c>
      <c r="P612" s="141" t="str">
        <f t="shared" si="242"/>
        <v>NVT</v>
      </c>
      <c r="Q612" s="141" t="str">
        <f t="shared" si="243"/>
        <v>NVT</v>
      </c>
      <c r="R612" s="63" t="s">
        <v>1221</v>
      </c>
      <c r="S612" s="142">
        <f t="shared" si="234"/>
        <v>0</v>
      </c>
      <c r="T612" s="143">
        <v>0</v>
      </c>
      <c r="U612" s="144"/>
      <c r="V612" s="144"/>
      <c r="W612" s="144">
        <v>30</v>
      </c>
      <c r="X612" s="144"/>
      <c r="Y612" s="144"/>
      <c r="Z612" s="145"/>
      <c r="AA612" s="145"/>
      <c r="AB612" s="145"/>
      <c r="AC612" s="145"/>
      <c r="AD612" s="146" t="s">
        <v>1244</v>
      </c>
      <c r="AE612" s="171">
        <v>1</v>
      </c>
      <c r="AF612" s="147">
        <f t="shared" si="244"/>
        <v>0</v>
      </c>
      <c r="AG612" s="147">
        <f t="shared" si="245"/>
        <v>0</v>
      </c>
      <c r="AH612" s="147">
        <f t="shared" si="246"/>
        <v>0</v>
      </c>
      <c r="AI612" s="147">
        <f t="shared" si="247"/>
        <v>0</v>
      </c>
      <c r="AJ612" s="148">
        <f t="shared" si="248"/>
        <v>0</v>
      </c>
      <c r="AK612" s="149">
        <f t="shared" si="230"/>
        <v>0</v>
      </c>
      <c r="AL612" s="149">
        <f t="shared" si="231"/>
        <v>0</v>
      </c>
      <c r="AM612" s="149">
        <f t="shared" si="232"/>
        <v>0</v>
      </c>
      <c r="AN612" s="149">
        <f t="shared" si="233"/>
        <v>0</v>
      </c>
      <c r="AO612" s="150">
        <f t="shared" si="249"/>
        <v>0</v>
      </c>
      <c r="AQ612" s="151">
        <f t="shared" si="250"/>
        <v>0</v>
      </c>
    </row>
    <row r="613" spans="1:43" ht="15" customHeight="1">
      <c r="A613" s="82" t="e">
        <f t="shared" si="235"/>
        <v>#REF!</v>
      </c>
      <c r="B613" s="134">
        <v>105</v>
      </c>
      <c r="C613" s="135" t="s">
        <v>943</v>
      </c>
      <c r="D613" s="136" t="s">
        <v>274</v>
      </c>
      <c r="E613" s="137" t="s">
        <v>101</v>
      </c>
      <c r="F613" s="138" t="s">
        <v>619</v>
      </c>
      <c r="G613" s="139" t="s">
        <v>777</v>
      </c>
      <c r="H613" s="140" t="str">
        <f t="shared" si="236"/>
        <v>Niet van toepassing</v>
      </c>
      <c r="I613" s="138" t="s">
        <v>82</v>
      </c>
      <c r="J613" s="138" t="s">
        <v>1172</v>
      </c>
      <c r="K613" s="141" t="str">
        <f t="shared" si="237"/>
        <v>NVT</v>
      </c>
      <c r="L613" s="141" t="str">
        <f t="shared" si="238"/>
        <v>NVT</v>
      </c>
      <c r="M613" s="141" t="str">
        <f t="shared" si="239"/>
        <v>NVT</v>
      </c>
      <c r="N613" s="141" t="str">
        <f t="shared" si="240"/>
        <v>NVT</v>
      </c>
      <c r="O613" s="141" t="str">
        <f t="shared" si="241"/>
        <v>NVT</v>
      </c>
      <c r="P613" s="141" t="str">
        <f t="shared" si="242"/>
        <v>NVT</v>
      </c>
      <c r="Q613" s="141" t="str">
        <f t="shared" si="243"/>
        <v>NVT</v>
      </c>
      <c r="R613" s="63" t="s">
        <v>1221</v>
      </c>
      <c r="S613" s="142">
        <f t="shared" si="234"/>
        <v>0</v>
      </c>
      <c r="T613" s="143">
        <f>(2.5*1.9)*1.3</f>
        <v>6.1749999999999998</v>
      </c>
      <c r="U613" s="144"/>
      <c r="V613" s="144"/>
      <c r="W613" s="144">
        <f>(2.5+1.9+2.5+1.9)*3.3</f>
        <v>29.04</v>
      </c>
      <c r="X613" s="144"/>
      <c r="Y613" s="144"/>
      <c r="Z613" s="145"/>
      <c r="AA613" s="145">
        <f>T613</f>
        <v>6.1749999999999998</v>
      </c>
      <c r="AB613" s="145"/>
      <c r="AC613" s="145"/>
      <c r="AD613" s="146"/>
      <c r="AE613" s="171">
        <v>1</v>
      </c>
      <c r="AF613" s="147">
        <f t="shared" si="244"/>
        <v>0</v>
      </c>
      <c r="AG613" s="147">
        <f t="shared" si="245"/>
        <v>0</v>
      </c>
      <c r="AH613" s="147">
        <f t="shared" si="246"/>
        <v>0</v>
      </c>
      <c r="AI613" s="147">
        <f t="shared" si="247"/>
        <v>0</v>
      </c>
      <c r="AJ613" s="148">
        <f t="shared" si="248"/>
        <v>0</v>
      </c>
      <c r="AK613" s="149">
        <f t="shared" si="230"/>
        <v>0</v>
      </c>
      <c r="AL613" s="149">
        <f t="shared" si="231"/>
        <v>0</v>
      </c>
      <c r="AM613" s="149">
        <f t="shared" si="232"/>
        <v>0</v>
      </c>
      <c r="AN613" s="149">
        <f t="shared" si="233"/>
        <v>0</v>
      </c>
      <c r="AO613" s="150">
        <f t="shared" si="249"/>
        <v>0</v>
      </c>
      <c r="AQ613" s="151">
        <f t="shared" si="250"/>
        <v>0</v>
      </c>
    </row>
    <row r="614" spans="1:43" ht="15" customHeight="1">
      <c r="A614" s="82" t="e">
        <f t="shared" si="235"/>
        <v>#REF!</v>
      </c>
      <c r="B614" s="134">
        <v>105</v>
      </c>
      <c r="C614" s="135" t="s">
        <v>943</v>
      </c>
      <c r="D614" s="136" t="s">
        <v>274</v>
      </c>
      <c r="E614" s="137" t="s">
        <v>101</v>
      </c>
      <c r="F614" s="138" t="s">
        <v>263</v>
      </c>
      <c r="G614" s="139" t="s">
        <v>915</v>
      </c>
      <c r="H614" s="140" t="str">
        <f t="shared" si="236"/>
        <v>Niet van toepassing</v>
      </c>
      <c r="I614" s="138" t="s">
        <v>82</v>
      </c>
      <c r="J614" s="138" t="s">
        <v>1172</v>
      </c>
      <c r="K614" s="141" t="str">
        <f t="shared" si="237"/>
        <v>NVT</v>
      </c>
      <c r="L614" s="141" t="str">
        <f t="shared" si="238"/>
        <v>NVT</v>
      </c>
      <c r="M614" s="141" t="str">
        <f t="shared" si="239"/>
        <v>NVT</v>
      </c>
      <c r="N614" s="141" t="str">
        <f t="shared" si="240"/>
        <v>NVT</v>
      </c>
      <c r="O614" s="141" t="str">
        <f t="shared" si="241"/>
        <v>NVT</v>
      </c>
      <c r="P614" s="141" t="str">
        <f t="shared" si="242"/>
        <v>NVT</v>
      </c>
      <c r="Q614" s="141" t="str">
        <f t="shared" si="243"/>
        <v>NVT</v>
      </c>
      <c r="R614" s="63" t="s">
        <v>1221</v>
      </c>
      <c r="S614" s="142">
        <f t="shared" si="234"/>
        <v>0</v>
      </c>
      <c r="T614" s="143">
        <f>((5.3+3.2+6.7)*2.6)*1.3</f>
        <v>51.375999999999998</v>
      </c>
      <c r="U614" s="144"/>
      <c r="V614" s="144"/>
      <c r="W614" s="144"/>
      <c r="X614" s="144"/>
      <c r="Y614" s="144">
        <f>(5.3*2.4)+(3.2*2.2)+(6.7*2.2)</f>
        <v>34.5</v>
      </c>
      <c r="Z614" s="145"/>
      <c r="AA614" s="145"/>
      <c r="AB614" s="145">
        <f>0.5*T614</f>
        <v>25.687999999999999</v>
      </c>
      <c r="AC614" s="145"/>
      <c r="AD614" s="146"/>
      <c r="AE614" s="171">
        <v>1</v>
      </c>
      <c r="AF614" s="147">
        <f t="shared" si="244"/>
        <v>0</v>
      </c>
      <c r="AG614" s="147">
        <f t="shared" si="245"/>
        <v>0</v>
      </c>
      <c r="AH614" s="147">
        <f t="shared" si="246"/>
        <v>0</v>
      </c>
      <c r="AI614" s="147">
        <f t="shared" si="247"/>
        <v>0</v>
      </c>
      <c r="AJ614" s="148">
        <f t="shared" si="248"/>
        <v>0</v>
      </c>
      <c r="AK614" s="149">
        <f t="shared" si="230"/>
        <v>0</v>
      </c>
      <c r="AL614" s="149">
        <f t="shared" si="231"/>
        <v>0</v>
      </c>
      <c r="AM614" s="149">
        <f t="shared" si="232"/>
        <v>0</v>
      </c>
      <c r="AN614" s="149">
        <f t="shared" si="233"/>
        <v>0</v>
      </c>
      <c r="AO614" s="150">
        <f t="shared" si="249"/>
        <v>0</v>
      </c>
      <c r="AQ614" s="151">
        <f t="shared" si="250"/>
        <v>0</v>
      </c>
    </row>
    <row r="615" spans="1:43" ht="15" customHeight="1">
      <c r="A615" s="82" t="e">
        <f t="shared" si="235"/>
        <v>#REF!</v>
      </c>
      <c r="B615" s="134">
        <v>105</v>
      </c>
      <c r="C615" s="135" t="s">
        <v>943</v>
      </c>
      <c r="D615" s="136" t="s">
        <v>274</v>
      </c>
      <c r="E615" s="137" t="s">
        <v>101</v>
      </c>
      <c r="F615" s="138" t="s">
        <v>263</v>
      </c>
      <c r="G615" s="139" t="s">
        <v>1063</v>
      </c>
      <c r="H615" s="140" t="str">
        <f t="shared" si="236"/>
        <v>Niet van toepassing</v>
      </c>
      <c r="I615" s="138" t="s">
        <v>82</v>
      </c>
      <c r="J615" s="138" t="s">
        <v>1172</v>
      </c>
      <c r="K615" s="141" t="str">
        <f t="shared" si="237"/>
        <v>NVT</v>
      </c>
      <c r="L615" s="141" t="str">
        <f t="shared" si="238"/>
        <v>NVT</v>
      </c>
      <c r="M615" s="141" t="str">
        <f t="shared" si="239"/>
        <v>NVT</v>
      </c>
      <c r="N615" s="141" t="str">
        <f t="shared" si="240"/>
        <v>NVT</v>
      </c>
      <c r="O615" s="141" t="str">
        <f t="shared" si="241"/>
        <v>NVT</v>
      </c>
      <c r="P615" s="141" t="str">
        <f t="shared" si="242"/>
        <v>NVT</v>
      </c>
      <c r="Q615" s="141" t="str">
        <f t="shared" si="243"/>
        <v>NVT</v>
      </c>
      <c r="R615" s="63" t="s">
        <v>1221</v>
      </c>
      <c r="S615" s="142">
        <f t="shared" si="234"/>
        <v>0</v>
      </c>
      <c r="T615" s="143">
        <f>((3.35*2.6)+(3.2*4)+(3.2*2.65)+(6.7*2.65))*1.3</f>
        <v>62.068500000000007</v>
      </c>
      <c r="U615" s="144"/>
      <c r="V615" s="144"/>
      <c r="W615" s="144">
        <f>((5.6+3.35+2.6+3.35+1.35+3.2+1.35+3.2)*2.2)+((6.7+2.65+6.7)*2.15)</f>
        <v>87.307500000000005</v>
      </c>
      <c r="X615" s="144"/>
      <c r="Y615" s="144"/>
      <c r="Z615" s="145"/>
      <c r="AA615" s="145"/>
      <c r="AB615" s="145">
        <f>0.5*T615</f>
        <v>31.034250000000004</v>
      </c>
      <c r="AC615" s="145"/>
      <c r="AD615" s="146"/>
      <c r="AE615" s="171">
        <v>1</v>
      </c>
      <c r="AF615" s="147">
        <f t="shared" si="244"/>
        <v>0</v>
      </c>
      <c r="AG615" s="147">
        <f t="shared" si="245"/>
        <v>0</v>
      </c>
      <c r="AH615" s="147">
        <f t="shared" si="246"/>
        <v>0</v>
      </c>
      <c r="AI615" s="147">
        <f t="shared" si="247"/>
        <v>0</v>
      </c>
      <c r="AJ615" s="148">
        <f t="shared" si="248"/>
        <v>0</v>
      </c>
      <c r="AK615" s="149">
        <f t="shared" si="230"/>
        <v>0</v>
      </c>
      <c r="AL615" s="149">
        <f t="shared" si="231"/>
        <v>0</v>
      </c>
      <c r="AM615" s="149">
        <f t="shared" si="232"/>
        <v>0</v>
      </c>
      <c r="AN615" s="149">
        <f t="shared" si="233"/>
        <v>0</v>
      </c>
      <c r="AO615" s="150">
        <f t="shared" si="249"/>
        <v>0</v>
      </c>
      <c r="AQ615" s="151">
        <f t="shared" si="250"/>
        <v>0</v>
      </c>
    </row>
    <row r="616" spans="1:43" ht="15" customHeight="1">
      <c r="A616" s="82" t="e">
        <f t="shared" si="235"/>
        <v>#REF!</v>
      </c>
      <c r="B616" s="134">
        <v>105</v>
      </c>
      <c r="C616" s="135" t="s">
        <v>943</v>
      </c>
      <c r="D616" s="136" t="s">
        <v>274</v>
      </c>
      <c r="E616" s="137" t="s">
        <v>101</v>
      </c>
      <c r="F616" s="138" t="s">
        <v>210</v>
      </c>
      <c r="G616" s="139" t="s">
        <v>1064</v>
      </c>
      <c r="H616" s="140" t="str">
        <f t="shared" si="236"/>
        <v>Niet van toepassing</v>
      </c>
      <c r="I616" s="138" t="s">
        <v>195</v>
      </c>
      <c r="J616" s="138" t="s">
        <v>1172</v>
      </c>
      <c r="K616" s="141" t="str">
        <f t="shared" si="237"/>
        <v>NVT</v>
      </c>
      <c r="L616" s="141" t="str">
        <f t="shared" si="238"/>
        <v>NVT</v>
      </c>
      <c r="M616" s="141" t="str">
        <f t="shared" si="239"/>
        <v>NVT</v>
      </c>
      <c r="N616" s="141" t="str">
        <f t="shared" si="240"/>
        <v>NVT</v>
      </c>
      <c r="O616" s="141" t="str">
        <f t="shared" si="241"/>
        <v>NVT</v>
      </c>
      <c r="P616" s="141" t="str">
        <f t="shared" si="242"/>
        <v>NVT</v>
      </c>
      <c r="Q616" s="141" t="str">
        <f t="shared" si="243"/>
        <v>NVT</v>
      </c>
      <c r="R616" s="63" t="s">
        <v>1221</v>
      </c>
      <c r="S616" s="142">
        <f t="shared" si="234"/>
        <v>0</v>
      </c>
      <c r="T616" s="143">
        <f>((3.1*1.7)+(0.3*1.3))*1.3</f>
        <v>7.3579999999999997</v>
      </c>
      <c r="U616" s="144"/>
      <c r="V616" s="144"/>
      <c r="W616" s="144"/>
      <c r="X616" s="144"/>
      <c r="Y616" s="144">
        <f>(3.1+1.7+1.8+0.3+1.3+2)*3.3</f>
        <v>33.659999999999997</v>
      </c>
      <c r="Z616" s="145"/>
      <c r="AA616" s="145"/>
      <c r="AB616" s="145">
        <f>T616</f>
        <v>7.3579999999999997</v>
      </c>
      <c r="AC616" s="145"/>
      <c r="AD616" s="146"/>
      <c r="AE616" s="171">
        <v>1</v>
      </c>
      <c r="AF616" s="147">
        <f t="shared" si="244"/>
        <v>0</v>
      </c>
      <c r="AG616" s="147">
        <f t="shared" si="245"/>
        <v>0</v>
      </c>
      <c r="AH616" s="147">
        <f t="shared" si="246"/>
        <v>0</v>
      </c>
      <c r="AI616" s="147">
        <f t="shared" si="247"/>
        <v>0</v>
      </c>
      <c r="AJ616" s="148">
        <f t="shared" si="248"/>
        <v>0</v>
      </c>
      <c r="AK616" s="149">
        <f t="shared" si="230"/>
        <v>0</v>
      </c>
      <c r="AL616" s="149">
        <f t="shared" si="231"/>
        <v>0</v>
      </c>
      <c r="AM616" s="149">
        <f t="shared" si="232"/>
        <v>0</v>
      </c>
      <c r="AN616" s="149">
        <f t="shared" si="233"/>
        <v>0</v>
      </c>
      <c r="AO616" s="150">
        <f t="shared" si="249"/>
        <v>0</v>
      </c>
      <c r="AQ616" s="151">
        <f t="shared" si="250"/>
        <v>0</v>
      </c>
    </row>
    <row r="617" spans="1:43" ht="15" customHeight="1">
      <c r="A617" s="82" t="e">
        <f t="shared" si="235"/>
        <v>#REF!</v>
      </c>
      <c r="B617" s="134">
        <v>105</v>
      </c>
      <c r="C617" s="135" t="s">
        <v>943</v>
      </c>
      <c r="D617" s="136" t="s">
        <v>274</v>
      </c>
      <c r="E617" s="137" t="s">
        <v>101</v>
      </c>
      <c r="F617" s="138" t="s">
        <v>646</v>
      </c>
      <c r="G617" s="139" t="s">
        <v>1065</v>
      </c>
      <c r="H617" s="140" t="str">
        <f t="shared" si="236"/>
        <v>Niet van toepassing</v>
      </c>
      <c r="I617" s="138" t="s">
        <v>270</v>
      </c>
      <c r="J617" s="138" t="s">
        <v>1172</v>
      </c>
      <c r="K617" s="141" t="str">
        <f t="shared" si="237"/>
        <v>NVT</v>
      </c>
      <c r="L617" s="141" t="str">
        <f t="shared" si="238"/>
        <v>NVT</v>
      </c>
      <c r="M617" s="141" t="str">
        <f t="shared" si="239"/>
        <v>NVT</v>
      </c>
      <c r="N617" s="141" t="str">
        <f t="shared" si="240"/>
        <v>NVT</v>
      </c>
      <c r="O617" s="141" t="str">
        <f t="shared" si="241"/>
        <v>NVT</v>
      </c>
      <c r="P617" s="141" t="str">
        <f t="shared" si="242"/>
        <v>NVT</v>
      </c>
      <c r="Q617" s="141" t="str">
        <f t="shared" si="243"/>
        <v>NVT</v>
      </c>
      <c r="R617" s="63" t="s">
        <v>1221</v>
      </c>
      <c r="S617" s="142">
        <f t="shared" si="234"/>
        <v>0</v>
      </c>
      <c r="T617" s="143">
        <f>(4*2.6)*1.3</f>
        <v>13.520000000000001</v>
      </c>
      <c r="U617" s="144"/>
      <c r="V617" s="144"/>
      <c r="W617" s="144"/>
      <c r="X617" s="144"/>
      <c r="Y617" s="144">
        <f>(4+2.6+4+2.6)*3.3</f>
        <v>43.559999999999995</v>
      </c>
      <c r="Z617" s="145"/>
      <c r="AA617" s="145"/>
      <c r="AB617" s="145">
        <f>T617</f>
        <v>13.520000000000001</v>
      </c>
      <c r="AC617" s="145"/>
      <c r="AD617" s="146"/>
      <c r="AE617" s="171">
        <v>1</v>
      </c>
      <c r="AF617" s="147">
        <f t="shared" si="244"/>
        <v>0</v>
      </c>
      <c r="AG617" s="147">
        <f t="shared" si="245"/>
        <v>0</v>
      </c>
      <c r="AH617" s="147">
        <f t="shared" si="246"/>
        <v>0</v>
      </c>
      <c r="AI617" s="147">
        <f t="shared" si="247"/>
        <v>0</v>
      </c>
      <c r="AJ617" s="148">
        <f t="shared" si="248"/>
        <v>0</v>
      </c>
      <c r="AK617" s="149">
        <f t="shared" si="230"/>
        <v>0</v>
      </c>
      <c r="AL617" s="149">
        <f t="shared" si="231"/>
        <v>0</v>
      </c>
      <c r="AM617" s="149">
        <f t="shared" si="232"/>
        <v>0</v>
      </c>
      <c r="AN617" s="149">
        <f t="shared" si="233"/>
        <v>0</v>
      </c>
      <c r="AO617" s="150">
        <f t="shared" si="249"/>
        <v>0</v>
      </c>
      <c r="AQ617" s="151">
        <f t="shared" si="250"/>
        <v>0</v>
      </c>
    </row>
    <row r="618" spans="1:43" ht="15" customHeight="1">
      <c r="A618" s="82" t="e">
        <f t="shared" si="235"/>
        <v>#REF!</v>
      </c>
      <c r="B618" s="134">
        <v>105</v>
      </c>
      <c r="C618" s="135" t="s">
        <v>943</v>
      </c>
      <c r="D618" s="136" t="s">
        <v>274</v>
      </c>
      <c r="E618" s="137" t="s">
        <v>101</v>
      </c>
      <c r="F618" s="138" t="s">
        <v>646</v>
      </c>
      <c r="G618" s="139" t="s">
        <v>1066</v>
      </c>
      <c r="H618" s="140" t="str">
        <f t="shared" si="236"/>
        <v>Niet van toepassing</v>
      </c>
      <c r="I618" s="138" t="s">
        <v>82</v>
      </c>
      <c r="J618" s="138" t="s">
        <v>1172</v>
      </c>
      <c r="K618" s="141" t="str">
        <f t="shared" si="237"/>
        <v>NVT</v>
      </c>
      <c r="L618" s="141" t="str">
        <f t="shared" si="238"/>
        <v>NVT</v>
      </c>
      <c r="M618" s="141" t="str">
        <f t="shared" si="239"/>
        <v>NVT</v>
      </c>
      <c r="N618" s="141" t="str">
        <f t="shared" si="240"/>
        <v>NVT</v>
      </c>
      <c r="O618" s="141" t="str">
        <f t="shared" si="241"/>
        <v>NVT</v>
      </c>
      <c r="P618" s="141" t="str">
        <f t="shared" si="242"/>
        <v>NVT</v>
      </c>
      <c r="Q618" s="141" t="str">
        <f t="shared" si="243"/>
        <v>NVT</v>
      </c>
      <c r="R618" s="63" t="s">
        <v>1221</v>
      </c>
      <c r="S618" s="142">
        <f t="shared" si="234"/>
        <v>0</v>
      </c>
      <c r="T618" s="143">
        <f>((1.35*2.5)+(1.3*3.8))*1.3</f>
        <v>10.8095</v>
      </c>
      <c r="U618" s="144"/>
      <c r="V618" s="144"/>
      <c r="W618" s="144">
        <f>(1.3+3.8+2.7+2.5+1.35+1.3)*2.15</f>
        <v>27.842500000000001</v>
      </c>
      <c r="X618" s="144"/>
      <c r="Y618" s="144"/>
      <c r="Z618" s="145"/>
      <c r="AA618" s="145"/>
      <c r="AB618" s="145"/>
      <c r="AC618" s="145"/>
      <c r="AD618" s="146"/>
      <c r="AE618" s="171">
        <v>1</v>
      </c>
      <c r="AF618" s="147">
        <f t="shared" si="244"/>
        <v>0</v>
      </c>
      <c r="AG618" s="147">
        <f t="shared" si="245"/>
        <v>0</v>
      </c>
      <c r="AH618" s="147">
        <f t="shared" si="246"/>
        <v>0</v>
      </c>
      <c r="AI618" s="147">
        <f t="shared" si="247"/>
        <v>0</v>
      </c>
      <c r="AJ618" s="148">
        <f t="shared" si="248"/>
        <v>0</v>
      </c>
      <c r="AK618" s="149">
        <f t="shared" si="230"/>
        <v>0</v>
      </c>
      <c r="AL618" s="149">
        <f t="shared" si="231"/>
        <v>0</v>
      </c>
      <c r="AM618" s="149">
        <f t="shared" si="232"/>
        <v>0</v>
      </c>
      <c r="AN618" s="149">
        <f t="shared" si="233"/>
        <v>0</v>
      </c>
      <c r="AO618" s="150">
        <f t="shared" si="249"/>
        <v>0</v>
      </c>
      <c r="AQ618" s="151">
        <f t="shared" si="250"/>
        <v>0</v>
      </c>
    </row>
    <row r="619" spans="1:43" ht="15" customHeight="1">
      <c r="A619" s="82" t="e">
        <f t="shared" si="235"/>
        <v>#REF!</v>
      </c>
      <c r="B619" s="134">
        <v>105</v>
      </c>
      <c r="C619" s="135" t="s">
        <v>943</v>
      </c>
      <c r="D619" s="136" t="s">
        <v>274</v>
      </c>
      <c r="E619" s="137" t="s">
        <v>759</v>
      </c>
      <c r="F619" s="138" t="s">
        <v>887</v>
      </c>
      <c r="G619" s="139" t="s">
        <v>557</v>
      </c>
      <c r="H619" s="140" t="str">
        <f t="shared" si="236"/>
        <v>Niet van toepassing</v>
      </c>
      <c r="I619" s="138"/>
      <c r="J619" s="138" t="s">
        <v>1172</v>
      </c>
      <c r="K619" s="141" t="str">
        <f t="shared" si="237"/>
        <v>NVT</v>
      </c>
      <c r="L619" s="141" t="str">
        <f t="shared" si="238"/>
        <v>NVT</v>
      </c>
      <c r="M619" s="141" t="str">
        <f t="shared" si="239"/>
        <v>NVT</v>
      </c>
      <c r="N619" s="141" t="str">
        <f t="shared" si="240"/>
        <v>NVT</v>
      </c>
      <c r="O619" s="141" t="str">
        <f t="shared" si="241"/>
        <v>NVT</v>
      </c>
      <c r="P619" s="141" t="str">
        <f t="shared" si="242"/>
        <v>NVT</v>
      </c>
      <c r="Q619" s="141" t="str">
        <f t="shared" si="243"/>
        <v>NVT</v>
      </c>
      <c r="R619" s="63" t="s">
        <v>1221</v>
      </c>
      <c r="S619" s="142">
        <f t="shared" si="234"/>
        <v>0</v>
      </c>
      <c r="T619" s="143">
        <v>0</v>
      </c>
      <c r="U619" s="144"/>
      <c r="V619" s="144"/>
      <c r="W619" s="144"/>
      <c r="X619" s="144"/>
      <c r="Y619" s="144"/>
      <c r="Z619" s="145"/>
      <c r="AA619" s="145"/>
      <c r="AB619" s="145"/>
      <c r="AC619" s="145"/>
      <c r="AD619" s="146"/>
      <c r="AE619" s="171">
        <v>1</v>
      </c>
      <c r="AF619" s="147">
        <f t="shared" si="244"/>
        <v>0</v>
      </c>
      <c r="AG619" s="147">
        <f t="shared" si="245"/>
        <v>0</v>
      </c>
      <c r="AH619" s="147">
        <f t="shared" si="246"/>
        <v>0</v>
      </c>
      <c r="AI619" s="147">
        <f t="shared" si="247"/>
        <v>0</v>
      </c>
      <c r="AJ619" s="148">
        <f t="shared" si="248"/>
        <v>0</v>
      </c>
      <c r="AK619" s="149">
        <f t="shared" si="230"/>
        <v>0</v>
      </c>
      <c r="AL619" s="149">
        <f t="shared" si="231"/>
        <v>0</v>
      </c>
      <c r="AM619" s="149">
        <f t="shared" si="232"/>
        <v>0</v>
      </c>
      <c r="AN619" s="149">
        <f t="shared" si="233"/>
        <v>0</v>
      </c>
      <c r="AO619" s="150">
        <f t="shared" si="249"/>
        <v>0</v>
      </c>
      <c r="AQ619" s="151">
        <f t="shared" si="250"/>
        <v>0</v>
      </c>
    </row>
    <row r="620" spans="1:43" ht="15" customHeight="1">
      <c r="A620" s="82" t="e">
        <f>1+#REF!</f>
        <v>#REF!</v>
      </c>
      <c r="B620" s="134">
        <v>105</v>
      </c>
      <c r="C620" s="135" t="s">
        <v>943</v>
      </c>
      <c r="D620" s="136" t="s">
        <v>274</v>
      </c>
      <c r="E620" s="137" t="s">
        <v>759</v>
      </c>
      <c r="F620" s="138" t="s">
        <v>765</v>
      </c>
      <c r="G620" s="139" t="s">
        <v>1067</v>
      </c>
      <c r="H620" s="140" t="str">
        <f t="shared" si="236"/>
        <v>Niet van toepassing</v>
      </c>
      <c r="I620" s="138" t="s">
        <v>35</v>
      </c>
      <c r="J620" s="138" t="s">
        <v>1172</v>
      </c>
      <c r="K620" s="141" t="str">
        <f t="shared" si="237"/>
        <v>NVT</v>
      </c>
      <c r="L620" s="141" t="str">
        <f t="shared" si="238"/>
        <v>NVT</v>
      </c>
      <c r="M620" s="141" t="str">
        <f t="shared" si="239"/>
        <v>NVT</v>
      </c>
      <c r="N620" s="141" t="str">
        <f t="shared" si="240"/>
        <v>NVT</v>
      </c>
      <c r="O620" s="141" t="str">
        <f t="shared" si="241"/>
        <v>NVT</v>
      </c>
      <c r="P620" s="141" t="str">
        <f t="shared" si="242"/>
        <v>NVT</v>
      </c>
      <c r="Q620" s="141" t="str">
        <f t="shared" si="243"/>
        <v>NVT</v>
      </c>
      <c r="R620" s="63" t="s">
        <v>1221</v>
      </c>
      <c r="S620" s="142">
        <f t="shared" si="234"/>
        <v>0</v>
      </c>
      <c r="T620" s="143">
        <v>361</v>
      </c>
      <c r="U620" s="144"/>
      <c r="V620" s="144"/>
      <c r="W620" s="144">
        <v>488</v>
      </c>
      <c r="X620" s="144"/>
      <c r="Y620" s="144"/>
      <c r="Z620" s="145"/>
      <c r="AA620" s="145">
        <f>T620</f>
        <v>361</v>
      </c>
      <c r="AB620" s="145"/>
      <c r="AC620" s="145"/>
      <c r="AD620" s="146"/>
      <c r="AE620" s="171">
        <v>1</v>
      </c>
      <c r="AF620" s="147">
        <f t="shared" si="244"/>
        <v>0</v>
      </c>
      <c r="AG620" s="147">
        <f t="shared" si="245"/>
        <v>0</v>
      </c>
      <c r="AH620" s="147">
        <f t="shared" si="246"/>
        <v>0</v>
      </c>
      <c r="AI620" s="147">
        <f t="shared" si="247"/>
        <v>0</v>
      </c>
      <c r="AJ620" s="148">
        <f t="shared" si="248"/>
        <v>0</v>
      </c>
      <c r="AK620" s="149">
        <f t="shared" si="230"/>
        <v>0</v>
      </c>
      <c r="AL620" s="149">
        <f t="shared" si="231"/>
        <v>0</v>
      </c>
      <c r="AM620" s="149">
        <f t="shared" si="232"/>
        <v>0</v>
      </c>
      <c r="AN620" s="149">
        <f t="shared" si="233"/>
        <v>0</v>
      </c>
      <c r="AO620" s="150">
        <f t="shared" si="249"/>
        <v>0</v>
      </c>
      <c r="AQ620" s="151">
        <f t="shared" si="250"/>
        <v>0</v>
      </c>
    </row>
    <row r="621" spans="1:43" ht="15" customHeight="1">
      <c r="A621" s="82" t="e">
        <f t="shared" si="235"/>
        <v>#REF!</v>
      </c>
      <c r="B621" s="134">
        <v>105</v>
      </c>
      <c r="C621" s="135" t="s">
        <v>943</v>
      </c>
      <c r="D621" s="136" t="s">
        <v>274</v>
      </c>
      <c r="E621" s="137" t="s">
        <v>759</v>
      </c>
      <c r="F621" s="138" t="s">
        <v>762</v>
      </c>
      <c r="G621" s="139" t="s">
        <v>1068</v>
      </c>
      <c r="H621" s="140" t="str">
        <f t="shared" si="236"/>
        <v>Niet van toepassing</v>
      </c>
      <c r="I621" s="138" t="s">
        <v>35</v>
      </c>
      <c r="J621" s="138" t="s">
        <v>1172</v>
      </c>
      <c r="K621" s="141" t="str">
        <f t="shared" si="237"/>
        <v>NVT</v>
      </c>
      <c r="L621" s="141" t="str">
        <f t="shared" si="238"/>
        <v>NVT</v>
      </c>
      <c r="M621" s="141" t="str">
        <f t="shared" si="239"/>
        <v>NVT</v>
      </c>
      <c r="N621" s="141" t="str">
        <f t="shared" si="240"/>
        <v>NVT</v>
      </c>
      <c r="O621" s="141" t="str">
        <f t="shared" si="241"/>
        <v>NVT</v>
      </c>
      <c r="P621" s="141" t="str">
        <f t="shared" si="242"/>
        <v>NVT</v>
      </c>
      <c r="Q621" s="141" t="str">
        <f t="shared" si="243"/>
        <v>NVT</v>
      </c>
      <c r="R621" s="63" t="s">
        <v>1221</v>
      </c>
      <c r="S621" s="142">
        <f t="shared" si="234"/>
        <v>0</v>
      </c>
      <c r="T621" s="143">
        <v>465</v>
      </c>
      <c r="U621" s="144"/>
      <c r="V621" s="144"/>
      <c r="W621" s="144">
        <v>532</v>
      </c>
      <c r="X621" s="144"/>
      <c r="Y621" s="144"/>
      <c r="Z621" s="145"/>
      <c r="AA621" s="145">
        <v>465</v>
      </c>
      <c r="AB621" s="145"/>
      <c r="AC621" s="145"/>
      <c r="AD621" s="146"/>
      <c r="AE621" s="171">
        <v>1</v>
      </c>
      <c r="AF621" s="147">
        <f t="shared" si="244"/>
        <v>0</v>
      </c>
      <c r="AG621" s="147">
        <f t="shared" si="245"/>
        <v>0</v>
      </c>
      <c r="AH621" s="147">
        <f t="shared" si="246"/>
        <v>0</v>
      </c>
      <c r="AI621" s="147">
        <f t="shared" si="247"/>
        <v>0</v>
      </c>
      <c r="AJ621" s="148">
        <f t="shared" si="248"/>
        <v>0</v>
      </c>
      <c r="AK621" s="149">
        <f t="shared" ref="AK621:AK681" si="251">IF($R621="",0,VLOOKUP($R621,Kengetal,5,FALSE))</f>
        <v>0</v>
      </c>
      <c r="AL621" s="149">
        <f t="shared" ref="AL621:AL681" si="252">IF($R621="",0,VLOOKUP($R621,Kengetal,6,FALSE))</f>
        <v>0</v>
      </c>
      <c r="AM621" s="149">
        <f t="shared" ref="AM621:AM681" si="253">IF($R621="",0,VLOOKUP($R621,Kengetal,7,FALSE))</f>
        <v>0</v>
      </c>
      <c r="AN621" s="149">
        <f t="shared" ref="AN621:AN681" si="254">IF($R621="",0,VLOOKUP($R621,Kengetal,8,FALSE))</f>
        <v>0</v>
      </c>
      <c r="AO621" s="150">
        <f t="shared" si="249"/>
        <v>0</v>
      </c>
      <c r="AQ621" s="151">
        <f t="shared" si="250"/>
        <v>0</v>
      </c>
    </row>
    <row r="622" spans="1:43" ht="15" customHeight="1">
      <c r="A622" s="82" t="e">
        <f t="shared" si="235"/>
        <v>#REF!</v>
      </c>
      <c r="B622" s="134">
        <v>105</v>
      </c>
      <c r="C622" s="135" t="s">
        <v>943</v>
      </c>
      <c r="D622" s="136" t="s">
        <v>274</v>
      </c>
      <c r="E622" s="137" t="s">
        <v>759</v>
      </c>
      <c r="F622" s="138" t="s">
        <v>762</v>
      </c>
      <c r="G622" s="139" t="s">
        <v>1069</v>
      </c>
      <c r="H622" s="140" t="str">
        <f t="shared" si="236"/>
        <v>Niet van toepassing</v>
      </c>
      <c r="I622" s="138" t="s">
        <v>35</v>
      </c>
      <c r="J622" s="138" t="s">
        <v>1172</v>
      </c>
      <c r="K622" s="141" t="str">
        <f t="shared" si="237"/>
        <v>NVT</v>
      </c>
      <c r="L622" s="141" t="str">
        <f t="shared" si="238"/>
        <v>NVT</v>
      </c>
      <c r="M622" s="141" t="str">
        <f t="shared" si="239"/>
        <v>NVT</v>
      </c>
      <c r="N622" s="141" t="str">
        <f t="shared" si="240"/>
        <v>NVT</v>
      </c>
      <c r="O622" s="141" t="str">
        <f t="shared" si="241"/>
        <v>NVT</v>
      </c>
      <c r="P622" s="141" t="str">
        <f t="shared" si="242"/>
        <v>NVT</v>
      </c>
      <c r="Q622" s="141" t="str">
        <f t="shared" si="243"/>
        <v>NVT</v>
      </c>
      <c r="R622" s="63" t="s">
        <v>1221</v>
      </c>
      <c r="S622" s="142">
        <f t="shared" si="234"/>
        <v>0</v>
      </c>
      <c r="T622" s="143">
        <v>436</v>
      </c>
      <c r="U622" s="144"/>
      <c r="V622" s="144"/>
      <c r="W622" s="144">
        <v>531</v>
      </c>
      <c r="X622" s="144"/>
      <c r="Y622" s="144"/>
      <c r="Z622" s="145"/>
      <c r="AA622" s="145">
        <v>436</v>
      </c>
      <c r="AB622" s="145"/>
      <c r="AC622" s="145"/>
      <c r="AD622" s="146"/>
      <c r="AE622" s="171">
        <v>1</v>
      </c>
      <c r="AF622" s="147">
        <f t="shared" si="244"/>
        <v>0</v>
      </c>
      <c r="AG622" s="147">
        <f t="shared" si="245"/>
        <v>0</v>
      </c>
      <c r="AH622" s="147">
        <f t="shared" si="246"/>
        <v>0</v>
      </c>
      <c r="AI622" s="147">
        <f t="shared" si="247"/>
        <v>0</v>
      </c>
      <c r="AJ622" s="148">
        <f t="shared" si="248"/>
        <v>0</v>
      </c>
      <c r="AK622" s="149">
        <f t="shared" si="251"/>
        <v>0</v>
      </c>
      <c r="AL622" s="149">
        <f t="shared" si="252"/>
        <v>0</v>
      </c>
      <c r="AM622" s="149">
        <f t="shared" si="253"/>
        <v>0</v>
      </c>
      <c r="AN622" s="149">
        <f t="shared" si="254"/>
        <v>0</v>
      </c>
      <c r="AO622" s="150">
        <f t="shared" si="249"/>
        <v>0</v>
      </c>
      <c r="AQ622" s="151">
        <f t="shared" si="250"/>
        <v>0</v>
      </c>
    </row>
    <row r="623" spans="1:43" ht="15" customHeight="1">
      <c r="A623" s="82" t="e">
        <f>1+#REF!</f>
        <v>#REF!</v>
      </c>
      <c r="B623" s="134">
        <v>105</v>
      </c>
      <c r="C623" s="135" t="s">
        <v>943</v>
      </c>
      <c r="D623" s="136" t="s">
        <v>274</v>
      </c>
      <c r="E623" s="137" t="s">
        <v>759</v>
      </c>
      <c r="F623" s="138" t="s">
        <v>765</v>
      </c>
      <c r="G623" s="139" t="s">
        <v>1070</v>
      </c>
      <c r="H623" s="140" t="str">
        <f t="shared" si="236"/>
        <v>Niet van toepassing</v>
      </c>
      <c r="I623" s="138" t="s">
        <v>269</v>
      </c>
      <c r="J623" s="138" t="s">
        <v>1172</v>
      </c>
      <c r="K623" s="141" t="str">
        <f t="shared" si="237"/>
        <v>NVT</v>
      </c>
      <c r="L623" s="141" t="str">
        <f t="shared" si="238"/>
        <v>NVT</v>
      </c>
      <c r="M623" s="141" t="str">
        <f t="shared" si="239"/>
        <v>NVT</v>
      </c>
      <c r="N623" s="141" t="str">
        <f t="shared" si="240"/>
        <v>NVT</v>
      </c>
      <c r="O623" s="141" t="str">
        <f t="shared" si="241"/>
        <v>NVT</v>
      </c>
      <c r="P623" s="141" t="str">
        <f t="shared" si="242"/>
        <v>NVT</v>
      </c>
      <c r="Q623" s="141" t="str">
        <f t="shared" si="243"/>
        <v>NVT</v>
      </c>
      <c r="R623" s="63" t="s">
        <v>1221</v>
      </c>
      <c r="S623" s="142">
        <f t="shared" si="234"/>
        <v>0</v>
      </c>
      <c r="T623" s="143">
        <v>85.410000000000011</v>
      </c>
      <c r="U623" s="144"/>
      <c r="V623" s="144"/>
      <c r="W623" s="144">
        <f>81.5*2.25</f>
        <v>183.375</v>
      </c>
      <c r="X623" s="144"/>
      <c r="Y623" s="144"/>
      <c r="Z623" s="145"/>
      <c r="AA623" s="145">
        <f>T623</f>
        <v>85.410000000000011</v>
      </c>
      <c r="AB623" s="145"/>
      <c r="AC623" s="145"/>
      <c r="AD623" s="146"/>
      <c r="AE623" s="171">
        <v>1</v>
      </c>
      <c r="AF623" s="147">
        <f t="shared" si="244"/>
        <v>0</v>
      </c>
      <c r="AG623" s="147">
        <f t="shared" si="245"/>
        <v>0</v>
      </c>
      <c r="AH623" s="147">
        <f t="shared" si="246"/>
        <v>0</v>
      </c>
      <c r="AI623" s="147">
        <f t="shared" si="247"/>
        <v>0</v>
      </c>
      <c r="AJ623" s="148">
        <f t="shared" si="248"/>
        <v>0</v>
      </c>
      <c r="AK623" s="149">
        <f t="shared" si="251"/>
        <v>0</v>
      </c>
      <c r="AL623" s="149">
        <f t="shared" si="252"/>
        <v>0</v>
      </c>
      <c r="AM623" s="149">
        <f t="shared" si="253"/>
        <v>0</v>
      </c>
      <c r="AN623" s="149">
        <f t="shared" si="254"/>
        <v>0</v>
      </c>
      <c r="AO623" s="150">
        <f t="shared" si="249"/>
        <v>0</v>
      </c>
      <c r="AQ623" s="151">
        <f t="shared" si="250"/>
        <v>0</v>
      </c>
    </row>
    <row r="624" spans="1:43" ht="15" customHeight="1">
      <c r="A624" s="82" t="e">
        <f t="shared" si="235"/>
        <v>#REF!</v>
      </c>
      <c r="B624" s="134">
        <v>105</v>
      </c>
      <c r="C624" s="135" t="s">
        <v>943</v>
      </c>
      <c r="D624" s="136" t="s">
        <v>274</v>
      </c>
      <c r="E624" s="137" t="s">
        <v>759</v>
      </c>
      <c r="F624" s="138" t="s">
        <v>928</v>
      </c>
      <c r="G624" s="139" t="s">
        <v>1071</v>
      </c>
      <c r="H624" s="140" t="str">
        <f t="shared" si="236"/>
        <v>Niet van toepassing</v>
      </c>
      <c r="I624" s="138" t="s">
        <v>35</v>
      </c>
      <c r="J624" s="138" t="s">
        <v>1172</v>
      </c>
      <c r="K624" s="141" t="str">
        <f t="shared" si="237"/>
        <v>NVT</v>
      </c>
      <c r="L624" s="141" t="str">
        <f t="shared" si="238"/>
        <v>NVT</v>
      </c>
      <c r="M624" s="141" t="str">
        <f t="shared" si="239"/>
        <v>NVT</v>
      </c>
      <c r="N624" s="141" t="str">
        <f t="shared" si="240"/>
        <v>NVT</v>
      </c>
      <c r="O624" s="141" t="str">
        <f t="shared" si="241"/>
        <v>NVT</v>
      </c>
      <c r="P624" s="141" t="str">
        <f t="shared" si="242"/>
        <v>NVT</v>
      </c>
      <c r="Q624" s="141" t="str">
        <f t="shared" si="243"/>
        <v>NVT</v>
      </c>
      <c r="R624" s="63" t="s">
        <v>1221</v>
      </c>
      <c r="S624" s="142">
        <f t="shared" si="234"/>
        <v>0</v>
      </c>
      <c r="T624" s="143">
        <v>13</v>
      </c>
      <c r="U624" s="144"/>
      <c r="V624" s="144"/>
      <c r="W624" s="144">
        <v>22</v>
      </c>
      <c r="X624" s="144"/>
      <c r="Y624" s="144"/>
      <c r="Z624" s="145"/>
      <c r="AA624" s="145">
        <v>13</v>
      </c>
      <c r="AB624" s="145"/>
      <c r="AC624" s="145"/>
      <c r="AD624" s="146"/>
      <c r="AE624" s="171">
        <v>1</v>
      </c>
      <c r="AF624" s="147">
        <f t="shared" si="244"/>
        <v>0</v>
      </c>
      <c r="AG624" s="147">
        <f t="shared" si="245"/>
        <v>0</v>
      </c>
      <c r="AH624" s="147">
        <f t="shared" si="246"/>
        <v>0</v>
      </c>
      <c r="AI624" s="147">
        <f t="shared" si="247"/>
        <v>0</v>
      </c>
      <c r="AJ624" s="148">
        <f t="shared" si="248"/>
        <v>0</v>
      </c>
      <c r="AK624" s="149">
        <f t="shared" si="251"/>
        <v>0</v>
      </c>
      <c r="AL624" s="149">
        <f t="shared" si="252"/>
        <v>0</v>
      </c>
      <c r="AM624" s="149">
        <f t="shared" si="253"/>
        <v>0</v>
      </c>
      <c r="AN624" s="149">
        <f t="shared" si="254"/>
        <v>0</v>
      </c>
      <c r="AO624" s="150">
        <f t="shared" si="249"/>
        <v>0</v>
      </c>
      <c r="AQ624" s="151">
        <f t="shared" si="250"/>
        <v>0</v>
      </c>
    </row>
    <row r="625" spans="1:43" ht="15" customHeight="1">
      <c r="A625" s="82" t="e">
        <f t="shared" si="235"/>
        <v>#REF!</v>
      </c>
      <c r="B625" s="134">
        <v>105</v>
      </c>
      <c r="C625" s="135" t="s">
        <v>943</v>
      </c>
      <c r="D625" s="136" t="s">
        <v>274</v>
      </c>
      <c r="E625" s="137" t="s">
        <v>759</v>
      </c>
      <c r="F625" s="138" t="s">
        <v>1072</v>
      </c>
      <c r="G625" s="139" t="s">
        <v>1073</v>
      </c>
      <c r="H625" s="140" t="str">
        <f t="shared" si="236"/>
        <v>Niet van toepassing</v>
      </c>
      <c r="I625" s="138"/>
      <c r="J625" s="138" t="s">
        <v>1172</v>
      </c>
      <c r="K625" s="141" t="str">
        <f t="shared" si="237"/>
        <v>NVT</v>
      </c>
      <c r="L625" s="141" t="str">
        <f t="shared" si="238"/>
        <v>NVT</v>
      </c>
      <c r="M625" s="141" t="str">
        <f t="shared" si="239"/>
        <v>NVT</v>
      </c>
      <c r="N625" s="141" t="str">
        <f t="shared" si="240"/>
        <v>NVT</v>
      </c>
      <c r="O625" s="141" t="str">
        <f t="shared" si="241"/>
        <v>NVT</v>
      </c>
      <c r="P625" s="141" t="str">
        <f t="shared" si="242"/>
        <v>NVT</v>
      </c>
      <c r="Q625" s="141" t="str">
        <f t="shared" si="243"/>
        <v>NVT</v>
      </c>
      <c r="R625" s="63" t="s">
        <v>1221</v>
      </c>
      <c r="S625" s="142">
        <f t="shared" si="234"/>
        <v>0</v>
      </c>
      <c r="T625" s="143">
        <v>0</v>
      </c>
      <c r="U625" s="144"/>
      <c r="V625" s="144"/>
      <c r="W625" s="144"/>
      <c r="X625" s="144"/>
      <c r="Y625" s="144"/>
      <c r="Z625" s="145"/>
      <c r="AA625" s="145"/>
      <c r="AB625" s="145"/>
      <c r="AC625" s="145"/>
      <c r="AD625" s="146" t="s">
        <v>1260</v>
      </c>
      <c r="AE625" s="171">
        <v>1</v>
      </c>
      <c r="AF625" s="147">
        <f t="shared" si="244"/>
        <v>0</v>
      </c>
      <c r="AG625" s="147">
        <f t="shared" si="245"/>
        <v>0</v>
      </c>
      <c r="AH625" s="147">
        <f t="shared" si="246"/>
        <v>0</v>
      </c>
      <c r="AI625" s="147">
        <f t="shared" si="247"/>
        <v>0</v>
      </c>
      <c r="AJ625" s="148">
        <f t="shared" si="248"/>
        <v>0</v>
      </c>
      <c r="AK625" s="149">
        <f t="shared" si="251"/>
        <v>0</v>
      </c>
      <c r="AL625" s="149">
        <f t="shared" si="252"/>
        <v>0</v>
      </c>
      <c r="AM625" s="149">
        <f t="shared" si="253"/>
        <v>0</v>
      </c>
      <c r="AN625" s="149">
        <f t="shared" si="254"/>
        <v>0</v>
      </c>
      <c r="AO625" s="150">
        <f t="shared" si="249"/>
        <v>0</v>
      </c>
      <c r="AQ625" s="151">
        <f t="shared" si="250"/>
        <v>0</v>
      </c>
    </row>
    <row r="626" spans="1:43" ht="15" customHeight="1">
      <c r="A626" s="82" t="e">
        <f t="shared" si="235"/>
        <v>#REF!</v>
      </c>
      <c r="B626" s="134">
        <v>105</v>
      </c>
      <c r="C626" s="135" t="s">
        <v>943</v>
      </c>
      <c r="D626" s="136" t="s">
        <v>274</v>
      </c>
      <c r="E626" s="137" t="s">
        <v>759</v>
      </c>
      <c r="F626" s="138" t="s">
        <v>932</v>
      </c>
      <c r="G626" s="139" t="s">
        <v>933</v>
      </c>
      <c r="H626" s="140" t="str">
        <f t="shared" si="236"/>
        <v>Niet van toepassing</v>
      </c>
      <c r="I626" s="138" t="s">
        <v>35</v>
      </c>
      <c r="J626" s="138" t="s">
        <v>1172</v>
      </c>
      <c r="K626" s="141" t="str">
        <f t="shared" si="237"/>
        <v>NVT</v>
      </c>
      <c r="L626" s="141" t="str">
        <f t="shared" si="238"/>
        <v>NVT</v>
      </c>
      <c r="M626" s="141" t="str">
        <f t="shared" si="239"/>
        <v>NVT</v>
      </c>
      <c r="N626" s="141" t="str">
        <f t="shared" si="240"/>
        <v>NVT</v>
      </c>
      <c r="O626" s="141" t="str">
        <f t="shared" si="241"/>
        <v>NVT</v>
      </c>
      <c r="P626" s="141" t="str">
        <f t="shared" si="242"/>
        <v>NVT</v>
      </c>
      <c r="Q626" s="141" t="str">
        <f t="shared" si="243"/>
        <v>NVT</v>
      </c>
      <c r="R626" s="63" t="s">
        <v>1221</v>
      </c>
      <c r="S626" s="142">
        <f t="shared" si="234"/>
        <v>0</v>
      </c>
      <c r="T626" s="143">
        <v>25</v>
      </c>
      <c r="U626" s="144"/>
      <c r="V626" s="144"/>
      <c r="W626" s="144">
        <f>2*(2.5+10)*1.8</f>
        <v>45</v>
      </c>
      <c r="X626" s="144"/>
      <c r="Y626" s="144"/>
      <c r="Z626" s="145"/>
      <c r="AA626" s="145">
        <v>25</v>
      </c>
      <c r="AB626" s="145"/>
      <c r="AC626" s="145"/>
      <c r="AD626" s="146"/>
      <c r="AE626" s="171">
        <v>1</v>
      </c>
      <c r="AF626" s="147">
        <f t="shared" si="244"/>
        <v>0</v>
      </c>
      <c r="AG626" s="147">
        <f t="shared" si="245"/>
        <v>0</v>
      </c>
      <c r="AH626" s="147">
        <f t="shared" si="246"/>
        <v>0</v>
      </c>
      <c r="AI626" s="147">
        <f t="shared" si="247"/>
        <v>0</v>
      </c>
      <c r="AJ626" s="148">
        <f t="shared" si="248"/>
        <v>0</v>
      </c>
      <c r="AK626" s="149">
        <f t="shared" si="251"/>
        <v>0</v>
      </c>
      <c r="AL626" s="149">
        <f t="shared" si="252"/>
        <v>0</v>
      </c>
      <c r="AM626" s="149">
        <f t="shared" si="253"/>
        <v>0</v>
      </c>
      <c r="AN626" s="149">
        <f t="shared" si="254"/>
        <v>0</v>
      </c>
      <c r="AO626" s="150">
        <f t="shared" si="249"/>
        <v>0</v>
      </c>
      <c r="AQ626" s="151">
        <f t="shared" si="250"/>
        <v>0</v>
      </c>
    </row>
    <row r="627" spans="1:43" ht="15" customHeight="1">
      <c r="A627" s="82" t="e">
        <f t="shared" si="235"/>
        <v>#REF!</v>
      </c>
      <c r="B627" s="134">
        <v>105</v>
      </c>
      <c r="C627" s="135" t="s">
        <v>943</v>
      </c>
      <c r="D627" s="136" t="s">
        <v>274</v>
      </c>
      <c r="E627" s="137" t="s">
        <v>759</v>
      </c>
      <c r="F627" s="138" t="s">
        <v>1016</v>
      </c>
      <c r="G627" s="139" t="s">
        <v>1017</v>
      </c>
      <c r="H627" s="140" t="str">
        <f t="shared" si="236"/>
        <v>Niet van toepassing</v>
      </c>
      <c r="I627" s="138" t="s">
        <v>35</v>
      </c>
      <c r="J627" s="138" t="s">
        <v>1172</v>
      </c>
      <c r="K627" s="141" t="str">
        <f t="shared" si="237"/>
        <v>NVT</v>
      </c>
      <c r="L627" s="141" t="str">
        <f t="shared" si="238"/>
        <v>NVT</v>
      </c>
      <c r="M627" s="141" t="str">
        <f t="shared" si="239"/>
        <v>NVT</v>
      </c>
      <c r="N627" s="141" t="str">
        <f t="shared" si="240"/>
        <v>NVT</v>
      </c>
      <c r="O627" s="141" t="str">
        <f t="shared" si="241"/>
        <v>NVT</v>
      </c>
      <c r="P627" s="141" t="str">
        <f t="shared" si="242"/>
        <v>NVT</v>
      </c>
      <c r="Q627" s="141" t="str">
        <f t="shared" si="243"/>
        <v>NVT</v>
      </c>
      <c r="R627" s="63" t="s">
        <v>1221</v>
      </c>
      <c r="S627" s="142">
        <f t="shared" si="234"/>
        <v>0</v>
      </c>
      <c r="T627" s="143">
        <v>17</v>
      </c>
      <c r="U627" s="144"/>
      <c r="V627" s="144"/>
      <c r="W627" s="144">
        <f>2*(2.7+6.4)*2.3</f>
        <v>41.860000000000007</v>
      </c>
      <c r="X627" s="144"/>
      <c r="Y627" s="144"/>
      <c r="Z627" s="145"/>
      <c r="AA627" s="145">
        <v>17</v>
      </c>
      <c r="AB627" s="145"/>
      <c r="AC627" s="145"/>
      <c r="AD627" s="146"/>
      <c r="AE627" s="171">
        <v>1</v>
      </c>
      <c r="AF627" s="147">
        <f t="shared" si="244"/>
        <v>0</v>
      </c>
      <c r="AG627" s="147">
        <f t="shared" si="245"/>
        <v>0</v>
      </c>
      <c r="AH627" s="147">
        <f t="shared" si="246"/>
        <v>0</v>
      </c>
      <c r="AI627" s="147">
        <f t="shared" si="247"/>
        <v>0</v>
      </c>
      <c r="AJ627" s="148">
        <f t="shared" si="248"/>
        <v>0</v>
      </c>
      <c r="AK627" s="149">
        <f t="shared" si="251"/>
        <v>0</v>
      </c>
      <c r="AL627" s="149">
        <f t="shared" si="252"/>
        <v>0</v>
      </c>
      <c r="AM627" s="149">
        <f t="shared" si="253"/>
        <v>0</v>
      </c>
      <c r="AN627" s="149">
        <f t="shared" si="254"/>
        <v>0</v>
      </c>
      <c r="AO627" s="150">
        <f t="shared" si="249"/>
        <v>0</v>
      </c>
      <c r="AQ627" s="151">
        <f t="shared" si="250"/>
        <v>0</v>
      </c>
    </row>
    <row r="628" spans="1:43" ht="15" customHeight="1">
      <c r="A628" s="82" t="e">
        <f t="shared" si="235"/>
        <v>#REF!</v>
      </c>
      <c r="B628" s="134">
        <v>105</v>
      </c>
      <c r="C628" s="135" t="s">
        <v>943</v>
      </c>
      <c r="D628" s="136" t="s">
        <v>274</v>
      </c>
      <c r="E628" s="137" t="s">
        <v>759</v>
      </c>
      <c r="F628" s="138" t="s">
        <v>736</v>
      </c>
      <c r="G628" s="139" t="s">
        <v>934</v>
      </c>
      <c r="H628" s="140" t="str">
        <f t="shared" si="236"/>
        <v>Niet van toepassing</v>
      </c>
      <c r="I628" s="138" t="s">
        <v>82</v>
      </c>
      <c r="J628" s="138" t="s">
        <v>1172</v>
      </c>
      <c r="K628" s="141" t="str">
        <f t="shared" si="237"/>
        <v>NVT</v>
      </c>
      <c r="L628" s="141" t="str">
        <f t="shared" si="238"/>
        <v>NVT</v>
      </c>
      <c r="M628" s="141" t="str">
        <f t="shared" si="239"/>
        <v>NVT</v>
      </c>
      <c r="N628" s="141" t="str">
        <f t="shared" si="240"/>
        <v>NVT</v>
      </c>
      <c r="O628" s="141" t="str">
        <f t="shared" si="241"/>
        <v>NVT</v>
      </c>
      <c r="P628" s="141" t="str">
        <f t="shared" si="242"/>
        <v>NVT</v>
      </c>
      <c r="Q628" s="141" t="str">
        <f t="shared" si="243"/>
        <v>NVT</v>
      </c>
      <c r="R628" s="63" t="s">
        <v>1221</v>
      </c>
      <c r="S628" s="142">
        <f t="shared" si="234"/>
        <v>0</v>
      </c>
      <c r="T628" s="143">
        <f>((5.15*2.6)+(2.8*4.4))*1.3</f>
        <v>33.423000000000002</v>
      </c>
      <c r="U628" s="144"/>
      <c r="V628" s="144"/>
      <c r="W628" s="144"/>
      <c r="X628" s="144"/>
      <c r="Y628" s="144">
        <f>(5.15+1.8+2.8+4.4+2.8+5.15+2.6)*2.25</f>
        <v>55.575000000000003</v>
      </c>
      <c r="Z628" s="145"/>
      <c r="AA628" s="145"/>
      <c r="AB628" s="145">
        <f>T628</f>
        <v>33.423000000000002</v>
      </c>
      <c r="AC628" s="145"/>
      <c r="AD628" s="146"/>
      <c r="AE628" s="171">
        <v>1</v>
      </c>
      <c r="AF628" s="147">
        <f t="shared" si="244"/>
        <v>0</v>
      </c>
      <c r="AG628" s="147">
        <f t="shared" si="245"/>
        <v>0</v>
      </c>
      <c r="AH628" s="147">
        <f t="shared" si="246"/>
        <v>0</v>
      </c>
      <c r="AI628" s="147">
        <f t="shared" si="247"/>
        <v>0</v>
      </c>
      <c r="AJ628" s="148">
        <f t="shared" si="248"/>
        <v>0</v>
      </c>
      <c r="AK628" s="149">
        <f t="shared" si="251"/>
        <v>0</v>
      </c>
      <c r="AL628" s="149">
        <f t="shared" si="252"/>
        <v>0</v>
      </c>
      <c r="AM628" s="149">
        <f t="shared" si="253"/>
        <v>0</v>
      </c>
      <c r="AN628" s="149">
        <f t="shared" si="254"/>
        <v>0</v>
      </c>
      <c r="AO628" s="150">
        <f t="shared" si="249"/>
        <v>0</v>
      </c>
      <c r="AQ628" s="151">
        <f t="shared" si="250"/>
        <v>0</v>
      </c>
    </row>
    <row r="629" spans="1:43" ht="15" customHeight="1">
      <c r="A629" s="82" t="e">
        <f t="shared" si="235"/>
        <v>#REF!</v>
      </c>
      <c r="B629" s="134">
        <v>105</v>
      </c>
      <c r="C629" s="135" t="s">
        <v>943</v>
      </c>
      <c r="D629" s="136" t="s">
        <v>274</v>
      </c>
      <c r="E629" s="137" t="s">
        <v>759</v>
      </c>
      <c r="F629" s="138" t="s">
        <v>775</v>
      </c>
      <c r="G629" s="139" t="s">
        <v>935</v>
      </c>
      <c r="H629" s="140" t="str">
        <f t="shared" si="236"/>
        <v>Niet van toepassing</v>
      </c>
      <c r="I629" s="138" t="s">
        <v>1245</v>
      </c>
      <c r="J629" s="138" t="s">
        <v>1172</v>
      </c>
      <c r="K629" s="141" t="str">
        <f t="shared" si="237"/>
        <v>NVT</v>
      </c>
      <c r="L629" s="141" t="str">
        <f t="shared" si="238"/>
        <v>NVT</v>
      </c>
      <c r="M629" s="141" t="str">
        <f t="shared" si="239"/>
        <v>NVT</v>
      </c>
      <c r="N629" s="141" t="str">
        <f t="shared" si="240"/>
        <v>NVT</v>
      </c>
      <c r="O629" s="141" t="str">
        <f t="shared" si="241"/>
        <v>NVT</v>
      </c>
      <c r="P629" s="141" t="str">
        <f t="shared" si="242"/>
        <v>NVT</v>
      </c>
      <c r="Q629" s="141" t="str">
        <f t="shared" si="243"/>
        <v>NVT</v>
      </c>
      <c r="R629" s="63" t="s">
        <v>1221</v>
      </c>
      <c r="S629" s="142">
        <f t="shared" si="234"/>
        <v>0</v>
      </c>
      <c r="T629" s="143">
        <v>27</v>
      </c>
      <c r="U629" s="144"/>
      <c r="V629" s="144"/>
      <c r="W629" s="144">
        <v>43</v>
      </c>
      <c r="X629" s="144"/>
      <c r="Y629" s="144"/>
      <c r="Z629" s="145"/>
      <c r="AA629" s="145"/>
      <c r="AB629" s="145">
        <v>27</v>
      </c>
      <c r="AC629" s="145"/>
      <c r="AD629" s="146"/>
      <c r="AE629" s="171">
        <v>1</v>
      </c>
      <c r="AF629" s="147">
        <f t="shared" si="244"/>
        <v>0</v>
      </c>
      <c r="AG629" s="147">
        <f t="shared" si="245"/>
        <v>0</v>
      </c>
      <c r="AH629" s="147">
        <f t="shared" si="246"/>
        <v>0</v>
      </c>
      <c r="AI629" s="147">
        <f t="shared" si="247"/>
        <v>0</v>
      </c>
      <c r="AJ629" s="148">
        <f t="shared" si="248"/>
        <v>0</v>
      </c>
      <c r="AK629" s="149">
        <f t="shared" si="251"/>
        <v>0</v>
      </c>
      <c r="AL629" s="149">
        <f t="shared" si="252"/>
        <v>0</v>
      </c>
      <c r="AM629" s="149">
        <f t="shared" si="253"/>
        <v>0</v>
      </c>
      <c r="AN629" s="149">
        <f t="shared" si="254"/>
        <v>0</v>
      </c>
      <c r="AO629" s="150">
        <f t="shared" si="249"/>
        <v>0</v>
      </c>
      <c r="AQ629" s="151">
        <f t="shared" si="250"/>
        <v>0</v>
      </c>
    </row>
    <row r="630" spans="1:43" ht="15" customHeight="1">
      <c r="A630" s="82" t="e">
        <f t="shared" si="235"/>
        <v>#REF!</v>
      </c>
      <c r="B630" s="134">
        <v>105</v>
      </c>
      <c r="C630" s="135" t="s">
        <v>943</v>
      </c>
      <c r="D630" s="136" t="s">
        <v>274</v>
      </c>
      <c r="E630" s="137" t="s">
        <v>759</v>
      </c>
      <c r="F630" s="138" t="s">
        <v>736</v>
      </c>
      <c r="G630" s="139" t="s">
        <v>801</v>
      </c>
      <c r="H630" s="140" t="str">
        <f t="shared" si="236"/>
        <v>Niet van toepassing</v>
      </c>
      <c r="I630" s="138" t="s">
        <v>82</v>
      </c>
      <c r="J630" s="138" t="s">
        <v>1172</v>
      </c>
      <c r="K630" s="141" t="str">
        <f t="shared" si="237"/>
        <v>NVT</v>
      </c>
      <c r="L630" s="141" t="str">
        <f t="shared" si="238"/>
        <v>NVT</v>
      </c>
      <c r="M630" s="141" t="str">
        <f t="shared" si="239"/>
        <v>NVT</v>
      </c>
      <c r="N630" s="141" t="str">
        <f t="shared" si="240"/>
        <v>NVT</v>
      </c>
      <c r="O630" s="141" t="str">
        <f t="shared" si="241"/>
        <v>NVT</v>
      </c>
      <c r="P630" s="141" t="str">
        <f t="shared" si="242"/>
        <v>NVT</v>
      </c>
      <c r="Q630" s="141" t="str">
        <f t="shared" si="243"/>
        <v>NVT</v>
      </c>
      <c r="R630" s="63" t="s">
        <v>1221</v>
      </c>
      <c r="S630" s="142">
        <f t="shared" si="234"/>
        <v>0</v>
      </c>
      <c r="T630" s="143">
        <f>(4.7*3)*1.3</f>
        <v>18.330000000000002</v>
      </c>
      <c r="U630" s="144"/>
      <c r="V630" s="144"/>
      <c r="W630" s="144"/>
      <c r="X630" s="144"/>
      <c r="Y630" s="144">
        <f>(4.7+3+4.7+3)*2.55</f>
        <v>39.269999999999996</v>
      </c>
      <c r="Z630" s="145"/>
      <c r="AA630" s="145"/>
      <c r="AB630" s="145">
        <f>T630</f>
        <v>18.330000000000002</v>
      </c>
      <c r="AC630" s="145"/>
      <c r="AD630" s="146"/>
      <c r="AE630" s="171">
        <v>1</v>
      </c>
      <c r="AF630" s="147">
        <f t="shared" si="244"/>
        <v>0</v>
      </c>
      <c r="AG630" s="147">
        <f t="shared" si="245"/>
        <v>0</v>
      </c>
      <c r="AH630" s="147">
        <f t="shared" si="246"/>
        <v>0</v>
      </c>
      <c r="AI630" s="147">
        <f t="shared" si="247"/>
        <v>0</v>
      </c>
      <c r="AJ630" s="148">
        <f t="shared" si="248"/>
        <v>0</v>
      </c>
      <c r="AK630" s="149">
        <f t="shared" si="251"/>
        <v>0</v>
      </c>
      <c r="AL630" s="149">
        <f t="shared" si="252"/>
        <v>0</v>
      </c>
      <c r="AM630" s="149">
        <f t="shared" si="253"/>
        <v>0</v>
      </c>
      <c r="AN630" s="149">
        <f t="shared" si="254"/>
        <v>0</v>
      </c>
      <c r="AO630" s="150">
        <f t="shared" si="249"/>
        <v>0</v>
      </c>
      <c r="AQ630" s="151">
        <f t="shared" si="250"/>
        <v>0</v>
      </c>
    </row>
    <row r="631" spans="1:43" ht="15" customHeight="1">
      <c r="A631" s="82" t="e">
        <f t="shared" si="235"/>
        <v>#REF!</v>
      </c>
      <c r="B631" s="134">
        <v>105</v>
      </c>
      <c r="C631" s="135" t="s">
        <v>943</v>
      </c>
      <c r="D631" s="136" t="s">
        <v>274</v>
      </c>
      <c r="E631" s="137" t="s">
        <v>759</v>
      </c>
      <c r="F631" s="138" t="s">
        <v>775</v>
      </c>
      <c r="G631" s="139" t="s">
        <v>802</v>
      </c>
      <c r="H631" s="140" t="str">
        <f t="shared" si="236"/>
        <v>Niet van toepassing</v>
      </c>
      <c r="I631" s="138" t="s">
        <v>35</v>
      </c>
      <c r="J631" s="138" t="s">
        <v>1172</v>
      </c>
      <c r="K631" s="141" t="str">
        <f t="shared" si="237"/>
        <v>NVT</v>
      </c>
      <c r="L631" s="141" t="str">
        <f t="shared" si="238"/>
        <v>NVT</v>
      </c>
      <c r="M631" s="141" t="str">
        <f t="shared" si="239"/>
        <v>NVT</v>
      </c>
      <c r="N631" s="141" t="str">
        <f t="shared" si="240"/>
        <v>NVT</v>
      </c>
      <c r="O631" s="141" t="str">
        <f t="shared" si="241"/>
        <v>NVT</v>
      </c>
      <c r="P631" s="141" t="str">
        <f t="shared" si="242"/>
        <v>NVT</v>
      </c>
      <c r="Q631" s="141" t="str">
        <f t="shared" si="243"/>
        <v>NVT</v>
      </c>
      <c r="R631" s="63" t="s">
        <v>1221</v>
      </c>
      <c r="S631" s="142">
        <f t="shared" si="234"/>
        <v>0</v>
      </c>
      <c r="T631" s="143">
        <v>40</v>
      </c>
      <c r="U631" s="144"/>
      <c r="V631" s="144"/>
      <c r="W631" s="144">
        <v>47</v>
      </c>
      <c r="X631" s="144"/>
      <c r="Y631" s="144"/>
      <c r="Z631" s="145"/>
      <c r="AA631" s="145"/>
      <c r="AB631" s="145">
        <v>40</v>
      </c>
      <c r="AC631" s="145"/>
      <c r="AD631" s="146"/>
      <c r="AE631" s="171">
        <v>1</v>
      </c>
      <c r="AF631" s="147">
        <f t="shared" si="244"/>
        <v>0</v>
      </c>
      <c r="AG631" s="147">
        <f t="shared" si="245"/>
        <v>0</v>
      </c>
      <c r="AH631" s="147">
        <f t="shared" si="246"/>
        <v>0</v>
      </c>
      <c r="AI631" s="147">
        <f t="shared" si="247"/>
        <v>0</v>
      </c>
      <c r="AJ631" s="148">
        <f t="shared" si="248"/>
        <v>0</v>
      </c>
      <c r="AK631" s="149">
        <f t="shared" si="251"/>
        <v>0</v>
      </c>
      <c r="AL631" s="149">
        <f t="shared" si="252"/>
        <v>0</v>
      </c>
      <c r="AM631" s="149">
        <f t="shared" si="253"/>
        <v>0</v>
      </c>
      <c r="AN631" s="149">
        <f t="shared" si="254"/>
        <v>0</v>
      </c>
      <c r="AO631" s="150">
        <f t="shared" si="249"/>
        <v>0</v>
      </c>
      <c r="AQ631" s="151">
        <f t="shared" si="250"/>
        <v>0</v>
      </c>
    </row>
    <row r="632" spans="1:43" ht="15" customHeight="1">
      <c r="A632" s="82" t="e">
        <f t="shared" si="235"/>
        <v>#REF!</v>
      </c>
      <c r="B632" s="134">
        <v>105</v>
      </c>
      <c r="C632" s="135" t="s">
        <v>943</v>
      </c>
      <c r="D632" s="136" t="s">
        <v>274</v>
      </c>
      <c r="E632" s="137" t="s">
        <v>759</v>
      </c>
      <c r="F632" s="138" t="s">
        <v>263</v>
      </c>
      <c r="G632" s="139" t="s">
        <v>938</v>
      </c>
      <c r="H632" s="140" t="str">
        <f t="shared" si="236"/>
        <v>Niet van toepassing</v>
      </c>
      <c r="I632" s="138"/>
      <c r="J632" s="138" t="s">
        <v>1172</v>
      </c>
      <c r="K632" s="141" t="str">
        <f t="shared" si="237"/>
        <v>NVT</v>
      </c>
      <c r="L632" s="141" t="str">
        <f t="shared" si="238"/>
        <v>NVT</v>
      </c>
      <c r="M632" s="141" t="str">
        <f t="shared" si="239"/>
        <v>NVT</v>
      </c>
      <c r="N632" s="141" t="str">
        <f t="shared" si="240"/>
        <v>NVT</v>
      </c>
      <c r="O632" s="141" t="str">
        <f t="shared" si="241"/>
        <v>NVT</v>
      </c>
      <c r="P632" s="141" t="str">
        <f t="shared" si="242"/>
        <v>NVT</v>
      </c>
      <c r="Q632" s="141" t="str">
        <f t="shared" si="243"/>
        <v>NVT</v>
      </c>
      <c r="R632" s="63" t="s">
        <v>1221</v>
      </c>
      <c r="S632" s="142">
        <f t="shared" si="234"/>
        <v>0</v>
      </c>
      <c r="T632" s="143">
        <v>0</v>
      </c>
      <c r="U632" s="144"/>
      <c r="V632" s="144"/>
      <c r="W632" s="144"/>
      <c r="X632" s="144"/>
      <c r="Y632" s="144"/>
      <c r="Z632" s="145"/>
      <c r="AA632" s="145"/>
      <c r="AB632" s="145"/>
      <c r="AC632" s="145"/>
      <c r="AD632" s="146" t="s">
        <v>1260</v>
      </c>
      <c r="AE632" s="171">
        <v>1</v>
      </c>
      <c r="AF632" s="147">
        <f t="shared" si="244"/>
        <v>0</v>
      </c>
      <c r="AG632" s="147">
        <f t="shared" si="245"/>
        <v>0</v>
      </c>
      <c r="AH632" s="147">
        <f t="shared" si="246"/>
        <v>0</v>
      </c>
      <c r="AI632" s="147">
        <f t="shared" si="247"/>
        <v>0</v>
      </c>
      <c r="AJ632" s="148">
        <f t="shared" si="248"/>
        <v>0</v>
      </c>
      <c r="AK632" s="149">
        <f t="shared" si="251"/>
        <v>0</v>
      </c>
      <c r="AL632" s="149">
        <f t="shared" si="252"/>
        <v>0</v>
      </c>
      <c r="AM632" s="149">
        <f t="shared" si="253"/>
        <v>0</v>
      </c>
      <c r="AN632" s="149">
        <f t="shared" si="254"/>
        <v>0</v>
      </c>
      <c r="AO632" s="150">
        <f t="shared" si="249"/>
        <v>0</v>
      </c>
      <c r="AQ632" s="151">
        <f t="shared" si="250"/>
        <v>0</v>
      </c>
    </row>
    <row r="633" spans="1:43" ht="15" customHeight="1">
      <c r="A633" s="82" t="e">
        <f t="shared" si="235"/>
        <v>#REF!</v>
      </c>
      <c r="B633" s="134">
        <v>105</v>
      </c>
      <c r="C633" s="135" t="s">
        <v>943</v>
      </c>
      <c r="D633" s="136" t="s">
        <v>274</v>
      </c>
      <c r="E633" s="137" t="s">
        <v>759</v>
      </c>
      <c r="F633" s="138" t="s">
        <v>263</v>
      </c>
      <c r="G633" s="139" t="s">
        <v>1074</v>
      </c>
      <c r="H633" s="140" t="str">
        <f t="shared" si="236"/>
        <v>Niet van toepassing</v>
      </c>
      <c r="I633" s="138"/>
      <c r="J633" s="138" t="s">
        <v>1172</v>
      </c>
      <c r="K633" s="141" t="str">
        <f t="shared" si="237"/>
        <v>NVT</v>
      </c>
      <c r="L633" s="141" t="str">
        <f t="shared" si="238"/>
        <v>NVT</v>
      </c>
      <c r="M633" s="141" t="str">
        <f t="shared" si="239"/>
        <v>NVT</v>
      </c>
      <c r="N633" s="141" t="str">
        <f t="shared" si="240"/>
        <v>NVT</v>
      </c>
      <c r="O633" s="141" t="str">
        <f t="shared" si="241"/>
        <v>NVT</v>
      </c>
      <c r="P633" s="141" t="str">
        <f t="shared" si="242"/>
        <v>NVT</v>
      </c>
      <c r="Q633" s="141" t="str">
        <f t="shared" si="243"/>
        <v>NVT</v>
      </c>
      <c r="R633" s="63" t="s">
        <v>1221</v>
      </c>
      <c r="S633" s="142">
        <f t="shared" si="234"/>
        <v>0</v>
      </c>
      <c r="T633" s="143">
        <v>0</v>
      </c>
      <c r="U633" s="144"/>
      <c r="V633" s="144"/>
      <c r="W633" s="144"/>
      <c r="X633" s="144"/>
      <c r="Y633" s="144"/>
      <c r="Z633" s="145"/>
      <c r="AA633" s="145"/>
      <c r="AB633" s="145"/>
      <c r="AC633" s="145"/>
      <c r="AD633" s="146" t="s">
        <v>1260</v>
      </c>
      <c r="AE633" s="171">
        <v>1</v>
      </c>
      <c r="AF633" s="147">
        <f t="shared" si="244"/>
        <v>0</v>
      </c>
      <c r="AG633" s="147">
        <f t="shared" si="245"/>
        <v>0</v>
      </c>
      <c r="AH633" s="147">
        <f t="shared" si="246"/>
        <v>0</v>
      </c>
      <c r="AI633" s="147">
        <f t="shared" si="247"/>
        <v>0</v>
      </c>
      <c r="AJ633" s="148">
        <f t="shared" si="248"/>
        <v>0</v>
      </c>
      <c r="AK633" s="149">
        <f t="shared" si="251"/>
        <v>0</v>
      </c>
      <c r="AL633" s="149">
        <f t="shared" si="252"/>
        <v>0</v>
      </c>
      <c r="AM633" s="149">
        <f t="shared" si="253"/>
        <v>0</v>
      </c>
      <c r="AN633" s="149">
        <f t="shared" si="254"/>
        <v>0</v>
      </c>
      <c r="AO633" s="150">
        <f t="shared" si="249"/>
        <v>0</v>
      </c>
      <c r="AQ633" s="151">
        <f t="shared" si="250"/>
        <v>0</v>
      </c>
    </row>
    <row r="634" spans="1:43" ht="15" customHeight="1">
      <c r="A634" s="82" t="e">
        <f>1+#REF!</f>
        <v>#REF!</v>
      </c>
      <c r="B634" s="134">
        <v>106</v>
      </c>
      <c r="C634" s="135" t="s">
        <v>1082</v>
      </c>
      <c r="D634" s="136" t="s">
        <v>39</v>
      </c>
      <c r="E634" s="137"/>
      <c r="F634" s="138" t="s">
        <v>441</v>
      </c>
      <c r="G634" s="139" t="s">
        <v>28</v>
      </c>
      <c r="H634" s="140" t="str">
        <f t="shared" si="236"/>
        <v>Niet van toepassing</v>
      </c>
      <c r="I634" s="138" t="s">
        <v>270</v>
      </c>
      <c r="J634" s="138" t="s">
        <v>1172</v>
      </c>
      <c r="K634" s="141" t="str">
        <f t="shared" si="237"/>
        <v>NVT</v>
      </c>
      <c r="L634" s="141" t="str">
        <f t="shared" si="238"/>
        <v>NVT</v>
      </c>
      <c r="M634" s="141" t="str">
        <f t="shared" si="239"/>
        <v>NVT</v>
      </c>
      <c r="N634" s="141" t="str">
        <f t="shared" si="240"/>
        <v>NVT</v>
      </c>
      <c r="O634" s="141" t="str">
        <f t="shared" si="241"/>
        <v>NVT</v>
      </c>
      <c r="P634" s="141" t="str">
        <f t="shared" si="242"/>
        <v>NVT</v>
      </c>
      <c r="Q634" s="141" t="str">
        <f t="shared" si="243"/>
        <v>NVT</v>
      </c>
      <c r="R634" s="63" t="s">
        <v>1221</v>
      </c>
      <c r="S634" s="142">
        <f t="shared" si="234"/>
        <v>0</v>
      </c>
      <c r="T634" s="143">
        <v>15</v>
      </c>
      <c r="U634" s="144"/>
      <c r="V634" s="144"/>
      <c r="W634" s="144"/>
      <c r="X634" s="144"/>
      <c r="Y634" s="144">
        <v>43</v>
      </c>
      <c r="Z634" s="145"/>
      <c r="AA634" s="145"/>
      <c r="AB634" s="145">
        <v>15</v>
      </c>
      <c r="AC634" s="145"/>
      <c r="AD634" s="146"/>
      <c r="AE634" s="171">
        <v>1</v>
      </c>
      <c r="AF634" s="147">
        <f t="shared" si="244"/>
        <v>0</v>
      </c>
      <c r="AG634" s="147">
        <f t="shared" si="245"/>
        <v>0</v>
      </c>
      <c r="AH634" s="147">
        <f t="shared" si="246"/>
        <v>0</v>
      </c>
      <c r="AI634" s="147">
        <f t="shared" si="247"/>
        <v>0</v>
      </c>
      <c r="AJ634" s="148">
        <f t="shared" si="248"/>
        <v>0</v>
      </c>
      <c r="AK634" s="149">
        <f t="shared" si="251"/>
        <v>0</v>
      </c>
      <c r="AL634" s="149">
        <f t="shared" si="252"/>
        <v>0</v>
      </c>
      <c r="AM634" s="149">
        <f t="shared" si="253"/>
        <v>0</v>
      </c>
      <c r="AN634" s="149">
        <f t="shared" si="254"/>
        <v>0</v>
      </c>
      <c r="AO634" s="150">
        <f t="shared" si="249"/>
        <v>0</v>
      </c>
      <c r="AQ634" s="151">
        <f t="shared" si="250"/>
        <v>0</v>
      </c>
    </row>
    <row r="635" spans="1:43" ht="15" customHeight="1">
      <c r="A635" s="82" t="e">
        <f t="shared" si="235"/>
        <v>#REF!</v>
      </c>
      <c r="B635" s="134">
        <v>106</v>
      </c>
      <c r="C635" s="135" t="s">
        <v>1082</v>
      </c>
      <c r="D635" s="136" t="s">
        <v>39</v>
      </c>
      <c r="E635" s="137"/>
      <c r="F635" s="138" t="s">
        <v>1083</v>
      </c>
      <c r="G635" s="139" t="s">
        <v>27</v>
      </c>
      <c r="H635" s="140" t="str">
        <f t="shared" si="236"/>
        <v>Niet van toepassing</v>
      </c>
      <c r="I635" s="138" t="s">
        <v>1083</v>
      </c>
      <c r="J635" s="138" t="s">
        <v>1172</v>
      </c>
      <c r="K635" s="141" t="str">
        <f t="shared" si="237"/>
        <v>NVT</v>
      </c>
      <c r="L635" s="141" t="str">
        <f t="shared" si="238"/>
        <v>NVT</v>
      </c>
      <c r="M635" s="141" t="str">
        <f t="shared" si="239"/>
        <v>NVT</v>
      </c>
      <c r="N635" s="141" t="str">
        <f t="shared" si="240"/>
        <v>NVT</v>
      </c>
      <c r="O635" s="141" t="str">
        <f t="shared" si="241"/>
        <v>NVT</v>
      </c>
      <c r="P635" s="141" t="str">
        <f t="shared" si="242"/>
        <v>NVT</v>
      </c>
      <c r="Q635" s="141" t="str">
        <f t="shared" si="243"/>
        <v>NVT</v>
      </c>
      <c r="R635" s="63" t="s">
        <v>1221</v>
      </c>
      <c r="S635" s="142">
        <f t="shared" si="234"/>
        <v>0</v>
      </c>
      <c r="T635" s="143">
        <v>22</v>
      </c>
      <c r="U635" s="144"/>
      <c r="V635" s="144"/>
      <c r="W635" s="144"/>
      <c r="X635" s="144"/>
      <c r="Y635" s="144">
        <v>58</v>
      </c>
      <c r="Z635" s="145"/>
      <c r="AA635" s="145"/>
      <c r="AB635" s="145">
        <v>22</v>
      </c>
      <c r="AC635" s="145"/>
      <c r="AD635" s="146"/>
      <c r="AE635" s="171">
        <v>1</v>
      </c>
      <c r="AF635" s="147">
        <f t="shared" si="244"/>
        <v>0</v>
      </c>
      <c r="AG635" s="147">
        <f t="shared" si="245"/>
        <v>0</v>
      </c>
      <c r="AH635" s="147">
        <f t="shared" si="246"/>
        <v>0</v>
      </c>
      <c r="AI635" s="147">
        <f t="shared" si="247"/>
        <v>0</v>
      </c>
      <c r="AJ635" s="148">
        <f t="shared" si="248"/>
        <v>0</v>
      </c>
      <c r="AK635" s="149">
        <f t="shared" si="251"/>
        <v>0</v>
      </c>
      <c r="AL635" s="149">
        <f t="shared" si="252"/>
        <v>0</v>
      </c>
      <c r="AM635" s="149">
        <f t="shared" si="253"/>
        <v>0</v>
      </c>
      <c r="AN635" s="149">
        <f t="shared" si="254"/>
        <v>0</v>
      </c>
      <c r="AO635" s="150">
        <f t="shared" si="249"/>
        <v>0</v>
      </c>
      <c r="AQ635" s="151">
        <f t="shared" si="250"/>
        <v>0</v>
      </c>
    </row>
    <row r="636" spans="1:43" ht="15" customHeight="1">
      <c r="A636" s="82" t="e">
        <f t="shared" ref="A636:A699" si="255">1+A635</f>
        <v>#REF!</v>
      </c>
      <c r="B636" s="134">
        <v>106</v>
      </c>
      <c r="C636" s="135" t="s">
        <v>1082</v>
      </c>
      <c r="D636" s="136" t="s">
        <v>39</v>
      </c>
      <c r="E636" s="137"/>
      <c r="F636" s="138" t="s">
        <v>1084</v>
      </c>
      <c r="G636" s="139" t="s">
        <v>24</v>
      </c>
      <c r="H636" s="140" t="str">
        <f t="shared" si="236"/>
        <v>Niet van toepassing</v>
      </c>
      <c r="I636" s="138" t="s">
        <v>1084</v>
      </c>
      <c r="J636" s="138" t="s">
        <v>1172</v>
      </c>
      <c r="K636" s="141" t="str">
        <f t="shared" si="237"/>
        <v>NVT</v>
      </c>
      <c r="L636" s="141" t="str">
        <f t="shared" si="238"/>
        <v>NVT</v>
      </c>
      <c r="M636" s="141" t="str">
        <f t="shared" si="239"/>
        <v>NVT</v>
      </c>
      <c r="N636" s="141" t="str">
        <f t="shared" si="240"/>
        <v>NVT</v>
      </c>
      <c r="O636" s="141" t="str">
        <f t="shared" si="241"/>
        <v>NVT</v>
      </c>
      <c r="P636" s="141" t="str">
        <f t="shared" si="242"/>
        <v>NVT</v>
      </c>
      <c r="Q636" s="141" t="str">
        <f t="shared" si="243"/>
        <v>NVT</v>
      </c>
      <c r="R636" s="63" t="s">
        <v>1221</v>
      </c>
      <c r="S636" s="142">
        <f t="shared" si="234"/>
        <v>0</v>
      </c>
      <c r="T636" s="143">
        <v>4</v>
      </c>
      <c r="U636" s="144"/>
      <c r="V636" s="144"/>
      <c r="W636" s="144"/>
      <c r="X636" s="144"/>
      <c r="Y636" s="144">
        <v>24</v>
      </c>
      <c r="Z636" s="145"/>
      <c r="AA636" s="145"/>
      <c r="AB636" s="145">
        <v>4</v>
      </c>
      <c r="AC636" s="145"/>
      <c r="AD636" s="146"/>
      <c r="AE636" s="171">
        <v>1</v>
      </c>
      <c r="AF636" s="147">
        <f t="shared" si="244"/>
        <v>0</v>
      </c>
      <c r="AG636" s="147">
        <f t="shared" si="245"/>
        <v>0</v>
      </c>
      <c r="AH636" s="147">
        <f t="shared" si="246"/>
        <v>0</v>
      </c>
      <c r="AI636" s="147">
        <f t="shared" si="247"/>
        <v>0</v>
      </c>
      <c r="AJ636" s="148">
        <f t="shared" si="248"/>
        <v>0</v>
      </c>
      <c r="AK636" s="149">
        <f t="shared" si="251"/>
        <v>0</v>
      </c>
      <c r="AL636" s="149">
        <f t="shared" si="252"/>
        <v>0</v>
      </c>
      <c r="AM636" s="149">
        <f t="shared" si="253"/>
        <v>0</v>
      </c>
      <c r="AN636" s="149">
        <f t="shared" si="254"/>
        <v>0</v>
      </c>
      <c r="AO636" s="150">
        <f t="shared" si="249"/>
        <v>0</v>
      </c>
      <c r="AQ636" s="151">
        <f t="shared" si="250"/>
        <v>0</v>
      </c>
    </row>
    <row r="637" spans="1:43" ht="15" customHeight="1">
      <c r="A637" s="82" t="e">
        <f t="shared" si="255"/>
        <v>#REF!</v>
      </c>
      <c r="B637" s="134">
        <v>106</v>
      </c>
      <c r="C637" s="135" t="s">
        <v>1082</v>
      </c>
      <c r="D637" s="136" t="s">
        <v>39</v>
      </c>
      <c r="E637" s="137"/>
      <c r="F637" s="138" t="s">
        <v>1085</v>
      </c>
      <c r="G637" s="139" t="s">
        <v>1086</v>
      </c>
      <c r="H637" s="140" t="str">
        <f t="shared" si="236"/>
        <v>Niet van toepassing</v>
      </c>
      <c r="I637" s="138" t="s">
        <v>1085</v>
      </c>
      <c r="J637" s="138" t="s">
        <v>1172</v>
      </c>
      <c r="K637" s="141" t="str">
        <f t="shared" si="237"/>
        <v>NVT</v>
      </c>
      <c r="L637" s="141" t="str">
        <f t="shared" si="238"/>
        <v>NVT</v>
      </c>
      <c r="M637" s="141" t="str">
        <f t="shared" si="239"/>
        <v>NVT</v>
      </c>
      <c r="N637" s="141" t="str">
        <f t="shared" si="240"/>
        <v>NVT</v>
      </c>
      <c r="O637" s="141" t="str">
        <f t="shared" si="241"/>
        <v>NVT</v>
      </c>
      <c r="P637" s="141" t="str">
        <f t="shared" si="242"/>
        <v>NVT</v>
      </c>
      <c r="Q637" s="141" t="str">
        <f t="shared" si="243"/>
        <v>NVT</v>
      </c>
      <c r="R637" s="63" t="s">
        <v>1221</v>
      </c>
      <c r="S637" s="142">
        <f t="shared" si="234"/>
        <v>0</v>
      </c>
      <c r="T637" s="143">
        <v>16</v>
      </c>
      <c r="U637" s="144"/>
      <c r="V637" s="144"/>
      <c r="W637" s="144"/>
      <c r="X637" s="144"/>
      <c r="Y637" s="144">
        <v>70</v>
      </c>
      <c r="Z637" s="145"/>
      <c r="AA637" s="145">
        <v>15</v>
      </c>
      <c r="AB637" s="145"/>
      <c r="AC637" s="145"/>
      <c r="AD637" s="146"/>
      <c r="AE637" s="171">
        <v>1</v>
      </c>
      <c r="AF637" s="147">
        <f t="shared" si="244"/>
        <v>0</v>
      </c>
      <c r="AG637" s="147">
        <f t="shared" si="245"/>
        <v>0</v>
      </c>
      <c r="AH637" s="147">
        <f t="shared" si="246"/>
        <v>0</v>
      </c>
      <c r="AI637" s="147">
        <f t="shared" si="247"/>
        <v>0</v>
      </c>
      <c r="AJ637" s="148">
        <f t="shared" si="248"/>
        <v>0</v>
      </c>
      <c r="AK637" s="149">
        <f t="shared" si="251"/>
        <v>0</v>
      </c>
      <c r="AL637" s="149">
        <f t="shared" si="252"/>
        <v>0</v>
      </c>
      <c r="AM637" s="149">
        <f t="shared" si="253"/>
        <v>0</v>
      </c>
      <c r="AN637" s="149">
        <f t="shared" si="254"/>
        <v>0</v>
      </c>
      <c r="AO637" s="150">
        <f t="shared" si="249"/>
        <v>0</v>
      </c>
      <c r="AQ637" s="151">
        <f t="shared" si="250"/>
        <v>0</v>
      </c>
    </row>
    <row r="638" spans="1:43" ht="15" customHeight="1">
      <c r="A638" s="82" t="e">
        <f t="shared" si="255"/>
        <v>#REF!</v>
      </c>
      <c r="B638" s="134">
        <v>107</v>
      </c>
      <c r="C638" s="135" t="s">
        <v>437</v>
      </c>
      <c r="D638" s="136" t="s">
        <v>39</v>
      </c>
      <c r="E638" s="137"/>
      <c r="F638" s="138" t="s">
        <v>421</v>
      </c>
      <c r="G638" s="139" t="s">
        <v>422</v>
      </c>
      <c r="H638" s="140" t="str">
        <f t="shared" si="236"/>
        <v>Perrons</v>
      </c>
      <c r="I638" s="138" t="s">
        <v>254</v>
      </c>
      <c r="J638" s="138" t="s">
        <v>1170</v>
      </c>
      <c r="K638" s="141" t="str">
        <f t="shared" si="237"/>
        <v>Volledig</v>
      </c>
      <c r="L638" s="141" t="str">
        <f t="shared" si="238"/>
        <v>naloop</v>
      </c>
      <c r="M638" s="141" t="str">
        <f t="shared" si="239"/>
        <v>naloop</v>
      </c>
      <c r="N638" s="141" t="str">
        <f t="shared" si="240"/>
        <v>Volledig</v>
      </c>
      <c r="O638" s="141" t="str">
        <f t="shared" si="241"/>
        <v>naloop</v>
      </c>
      <c r="P638" s="141" t="str">
        <f t="shared" si="242"/>
        <v>naloop</v>
      </c>
      <c r="Q638" s="141" t="str">
        <f t="shared" si="243"/>
        <v>naloop</v>
      </c>
      <c r="R638" s="63" t="s">
        <v>1472</v>
      </c>
      <c r="S638" s="142">
        <f t="shared" si="234"/>
        <v>365</v>
      </c>
      <c r="T638" s="143">
        <v>1200.48</v>
      </c>
      <c r="U638" s="144"/>
      <c r="V638" s="144"/>
      <c r="W638" s="144"/>
      <c r="X638" s="144"/>
      <c r="Y638" s="144"/>
      <c r="Z638" s="145">
        <f>34.84*10.13</f>
        <v>352.92920000000004</v>
      </c>
      <c r="AA638" s="145"/>
      <c r="AB638" s="145"/>
      <c r="AC638" s="145"/>
      <c r="AD638" s="146"/>
      <c r="AE638" s="171">
        <v>1</v>
      </c>
      <c r="AF638" s="147">
        <f t="shared" si="244"/>
        <v>0</v>
      </c>
      <c r="AG638" s="147">
        <f t="shared" si="245"/>
        <v>0</v>
      </c>
      <c r="AH638" s="147">
        <f t="shared" si="246"/>
        <v>0</v>
      </c>
      <c r="AI638" s="147">
        <f t="shared" si="247"/>
        <v>0</v>
      </c>
      <c r="AJ638" s="148" t="str">
        <f t="shared" si="248"/>
        <v>ja</v>
      </c>
      <c r="AK638" s="149">
        <f t="shared" si="251"/>
        <v>0</v>
      </c>
      <c r="AL638" s="149">
        <f t="shared" si="252"/>
        <v>0</v>
      </c>
      <c r="AM638" s="149">
        <f t="shared" si="253"/>
        <v>0</v>
      </c>
      <c r="AN638" s="149">
        <f t="shared" si="254"/>
        <v>0</v>
      </c>
      <c r="AO638" s="150" t="str">
        <f t="shared" si="249"/>
        <v>V</v>
      </c>
      <c r="AQ638" s="151">
        <f t="shared" si="250"/>
        <v>438175.2</v>
      </c>
    </row>
    <row r="639" spans="1:43" ht="15" customHeight="1">
      <c r="A639" s="82" t="e">
        <f t="shared" si="255"/>
        <v>#REF!</v>
      </c>
      <c r="B639" s="134">
        <v>107</v>
      </c>
      <c r="C639" s="135" t="s">
        <v>437</v>
      </c>
      <c r="D639" s="136" t="s">
        <v>39</v>
      </c>
      <c r="E639" s="137"/>
      <c r="F639" s="138" t="s">
        <v>423</v>
      </c>
      <c r="G639" s="139" t="s">
        <v>102</v>
      </c>
      <c r="H639" s="140" t="str">
        <f t="shared" si="236"/>
        <v>Perrons</v>
      </c>
      <c r="I639" s="138" t="s">
        <v>254</v>
      </c>
      <c r="J639" s="138" t="s">
        <v>1170</v>
      </c>
      <c r="K639" s="141" t="str">
        <f t="shared" si="237"/>
        <v>Volledig</v>
      </c>
      <c r="L639" s="141" t="str">
        <f t="shared" si="238"/>
        <v>naloop</v>
      </c>
      <c r="M639" s="141" t="str">
        <f t="shared" si="239"/>
        <v>naloop</v>
      </c>
      <c r="N639" s="141" t="str">
        <f t="shared" si="240"/>
        <v>Volledig</v>
      </c>
      <c r="O639" s="141" t="str">
        <f t="shared" si="241"/>
        <v>naloop</v>
      </c>
      <c r="P639" s="141" t="str">
        <f t="shared" si="242"/>
        <v>naloop</v>
      </c>
      <c r="Q639" s="141" t="str">
        <f t="shared" si="243"/>
        <v>naloop</v>
      </c>
      <c r="R639" s="63" t="s">
        <v>1472</v>
      </c>
      <c r="S639" s="142">
        <f t="shared" si="234"/>
        <v>365</v>
      </c>
      <c r="T639" s="143">
        <v>1345.42</v>
      </c>
      <c r="U639" s="144"/>
      <c r="V639" s="144"/>
      <c r="W639" s="144"/>
      <c r="X639" s="144"/>
      <c r="Y639" s="144"/>
      <c r="Z639" s="145">
        <f>34.84*10.13</f>
        <v>352.92920000000004</v>
      </c>
      <c r="AA639" s="145"/>
      <c r="AB639" s="145"/>
      <c r="AC639" s="145"/>
      <c r="AD639" s="146"/>
      <c r="AE639" s="171">
        <v>1</v>
      </c>
      <c r="AF639" s="147">
        <f t="shared" si="244"/>
        <v>0</v>
      </c>
      <c r="AG639" s="147">
        <f t="shared" si="245"/>
        <v>0</v>
      </c>
      <c r="AH639" s="147">
        <f t="shared" si="246"/>
        <v>0</v>
      </c>
      <c r="AI639" s="147">
        <f t="shared" si="247"/>
        <v>0</v>
      </c>
      <c r="AJ639" s="148" t="str">
        <f t="shared" si="248"/>
        <v>ja</v>
      </c>
      <c r="AK639" s="149">
        <f t="shared" si="251"/>
        <v>0</v>
      </c>
      <c r="AL639" s="149">
        <f t="shared" si="252"/>
        <v>0</v>
      </c>
      <c r="AM639" s="149">
        <f t="shared" si="253"/>
        <v>0</v>
      </c>
      <c r="AN639" s="149">
        <f t="shared" si="254"/>
        <v>0</v>
      </c>
      <c r="AO639" s="150" t="str">
        <f t="shared" si="249"/>
        <v>V</v>
      </c>
      <c r="AQ639" s="151">
        <f t="shared" si="250"/>
        <v>491078.30000000005</v>
      </c>
    </row>
    <row r="640" spans="1:43" ht="15" customHeight="1">
      <c r="A640" s="82" t="e">
        <f t="shared" si="255"/>
        <v>#REF!</v>
      </c>
      <c r="B640" s="134">
        <v>108</v>
      </c>
      <c r="C640" s="135" t="s">
        <v>437</v>
      </c>
      <c r="D640" s="136" t="s">
        <v>39</v>
      </c>
      <c r="E640" s="137"/>
      <c r="F640" s="138" t="s">
        <v>387</v>
      </c>
      <c r="G640" s="139" t="s">
        <v>313</v>
      </c>
      <c r="H640" s="140" t="str">
        <f t="shared" si="236"/>
        <v>Roltrappen(inclusief aangrenzende bouwdelen)</v>
      </c>
      <c r="I640" s="138" t="s">
        <v>1251</v>
      </c>
      <c r="J640" s="138" t="s">
        <v>1170</v>
      </c>
      <c r="K640" s="141" t="str">
        <f t="shared" si="237"/>
        <v>Volledig</v>
      </c>
      <c r="L640" s="141" t="str">
        <f t="shared" si="238"/>
        <v>naloop</v>
      </c>
      <c r="M640" s="141" t="str">
        <f t="shared" si="239"/>
        <v>naloop</v>
      </c>
      <c r="N640" s="141" t="str">
        <f t="shared" si="240"/>
        <v>Volledig</v>
      </c>
      <c r="O640" s="141" t="str">
        <f t="shared" si="241"/>
        <v>naloop</v>
      </c>
      <c r="P640" s="141" t="str">
        <f t="shared" si="242"/>
        <v>naloop</v>
      </c>
      <c r="Q640" s="141" t="str">
        <f t="shared" si="243"/>
        <v>naloop</v>
      </c>
      <c r="R640" s="63" t="s">
        <v>1480</v>
      </c>
      <c r="S640" s="142">
        <f t="shared" si="234"/>
        <v>365</v>
      </c>
      <c r="T640" s="143">
        <v>27.6</v>
      </c>
      <c r="U640" s="144"/>
      <c r="V640" s="144"/>
      <c r="W640" s="144"/>
      <c r="X640" s="144"/>
      <c r="Y640" s="144"/>
      <c r="Z640" s="145"/>
      <c r="AA640" s="145"/>
      <c r="AB640" s="145"/>
      <c r="AC640" s="145"/>
      <c r="AD640" s="146"/>
      <c r="AE640" s="171">
        <v>1</v>
      </c>
      <c r="AF640" s="147">
        <f t="shared" si="244"/>
        <v>0</v>
      </c>
      <c r="AG640" s="147">
        <f t="shared" si="245"/>
        <v>0</v>
      </c>
      <c r="AH640" s="147">
        <f t="shared" si="246"/>
        <v>0</v>
      </c>
      <c r="AI640" s="147">
        <f t="shared" si="247"/>
        <v>0</v>
      </c>
      <c r="AJ640" s="148" t="str">
        <f t="shared" si="248"/>
        <v>ja</v>
      </c>
      <c r="AK640" s="149">
        <f t="shared" si="251"/>
        <v>0</v>
      </c>
      <c r="AL640" s="149">
        <f t="shared" si="252"/>
        <v>0</v>
      </c>
      <c r="AM640" s="149">
        <f t="shared" si="253"/>
        <v>0</v>
      </c>
      <c r="AN640" s="149">
        <f t="shared" si="254"/>
        <v>0</v>
      </c>
      <c r="AO640" s="150" t="str">
        <f t="shared" si="249"/>
        <v>V</v>
      </c>
      <c r="AQ640" s="151">
        <f t="shared" si="250"/>
        <v>10074</v>
      </c>
    </row>
    <row r="641" spans="1:43" ht="15" customHeight="1">
      <c r="A641" s="82" t="e">
        <f t="shared" si="255"/>
        <v>#REF!</v>
      </c>
      <c r="B641" s="134">
        <v>108</v>
      </c>
      <c r="C641" s="135" t="s">
        <v>437</v>
      </c>
      <c r="D641" s="136" t="s">
        <v>39</v>
      </c>
      <c r="E641" s="137"/>
      <c r="F641" s="138" t="s">
        <v>388</v>
      </c>
      <c r="G641" s="139" t="s">
        <v>313</v>
      </c>
      <c r="H641" s="140" t="str">
        <f t="shared" si="236"/>
        <v>Roltrappen(inclusief aangrenzende bouwdelen)</v>
      </c>
      <c r="I641" s="138" t="s">
        <v>1251</v>
      </c>
      <c r="J641" s="138" t="s">
        <v>1170</v>
      </c>
      <c r="K641" s="141" t="str">
        <f t="shared" si="237"/>
        <v>Volledig</v>
      </c>
      <c r="L641" s="141" t="str">
        <f t="shared" si="238"/>
        <v>naloop</v>
      </c>
      <c r="M641" s="141" t="str">
        <f t="shared" si="239"/>
        <v>naloop</v>
      </c>
      <c r="N641" s="141" t="str">
        <f t="shared" si="240"/>
        <v>Volledig</v>
      </c>
      <c r="O641" s="141" t="str">
        <f t="shared" si="241"/>
        <v>naloop</v>
      </c>
      <c r="P641" s="141" t="str">
        <f t="shared" si="242"/>
        <v>naloop</v>
      </c>
      <c r="Q641" s="141" t="str">
        <f t="shared" si="243"/>
        <v>naloop</v>
      </c>
      <c r="R641" s="63" t="s">
        <v>1480</v>
      </c>
      <c r="S641" s="142">
        <f t="shared" si="234"/>
        <v>365</v>
      </c>
      <c r="T641" s="143">
        <v>27.68</v>
      </c>
      <c r="U641" s="144"/>
      <c r="V641" s="144"/>
      <c r="W641" s="144"/>
      <c r="X641" s="144"/>
      <c r="Y641" s="144"/>
      <c r="Z641" s="145"/>
      <c r="AA641" s="145"/>
      <c r="AB641" s="145"/>
      <c r="AC641" s="145"/>
      <c r="AD641" s="146"/>
      <c r="AE641" s="171">
        <v>1</v>
      </c>
      <c r="AF641" s="147">
        <f t="shared" si="244"/>
        <v>0</v>
      </c>
      <c r="AG641" s="147">
        <f t="shared" si="245"/>
        <v>0</v>
      </c>
      <c r="AH641" s="147">
        <f t="shared" si="246"/>
        <v>0</v>
      </c>
      <c r="AI641" s="147">
        <f t="shared" si="247"/>
        <v>0</v>
      </c>
      <c r="AJ641" s="148" t="str">
        <f t="shared" si="248"/>
        <v>ja</v>
      </c>
      <c r="AK641" s="149">
        <f t="shared" si="251"/>
        <v>0</v>
      </c>
      <c r="AL641" s="149">
        <f t="shared" si="252"/>
        <v>0</v>
      </c>
      <c r="AM641" s="149">
        <f t="shared" si="253"/>
        <v>0</v>
      </c>
      <c r="AN641" s="149">
        <f t="shared" si="254"/>
        <v>0</v>
      </c>
      <c r="AO641" s="150" t="str">
        <f t="shared" si="249"/>
        <v>V</v>
      </c>
      <c r="AQ641" s="151">
        <f t="shared" si="250"/>
        <v>10103.200000000001</v>
      </c>
    </row>
    <row r="642" spans="1:43" ht="15" customHeight="1">
      <c r="A642" s="82" t="e">
        <f t="shared" si="255"/>
        <v>#REF!</v>
      </c>
      <c r="B642" s="134">
        <v>107</v>
      </c>
      <c r="C642" s="135" t="s">
        <v>437</v>
      </c>
      <c r="D642" s="136" t="s">
        <v>39</v>
      </c>
      <c r="E642" s="137"/>
      <c r="F642" s="138" t="s">
        <v>114</v>
      </c>
      <c r="G642" s="139" t="s">
        <v>168</v>
      </c>
      <c r="H642" s="140" t="str">
        <f t="shared" si="236"/>
        <v>Trappen</v>
      </c>
      <c r="I642" s="138" t="s">
        <v>118</v>
      </c>
      <c r="J642" s="138" t="s">
        <v>1170</v>
      </c>
      <c r="K642" s="141" t="str">
        <f t="shared" si="237"/>
        <v>Volledig</v>
      </c>
      <c r="L642" s="141" t="str">
        <f t="shared" si="238"/>
        <v>naloop</v>
      </c>
      <c r="M642" s="141" t="str">
        <f t="shared" si="239"/>
        <v>naloop</v>
      </c>
      <c r="N642" s="141" t="str">
        <f t="shared" si="240"/>
        <v>Volledig</v>
      </c>
      <c r="O642" s="141" t="str">
        <f t="shared" si="241"/>
        <v>naloop</v>
      </c>
      <c r="P642" s="141" t="str">
        <f t="shared" si="242"/>
        <v>naloop</v>
      </c>
      <c r="Q642" s="141" t="str">
        <f t="shared" si="243"/>
        <v>naloop</v>
      </c>
      <c r="R642" s="63" t="s">
        <v>1476</v>
      </c>
      <c r="S642" s="142">
        <f t="shared" si="234"/>
        <v>365</v>
      </c>
      <c r="T642" s="143">
        <v>61.9</v>
      </c>
      <c r="U642" s="144" t="s">
        <v>1111</v>
      </c>
      <c r="V642" s="144"/>
      <c r="W642" s="144"/>
      <c r="X642" s="144"/>
      <c r="Y642" s="144"/>
      <c r="Z642" s="145"/>
      <c r="AA642" s="145"/>
      <c r="AB642" s="145"/>
      <c r="AC642" s="145"/>
      <c r="AD642" s="146"/>
      <c r="AE642" s="171">
        <v>1</v>
      </c>
      <c r="AF642" s="147">
        <f t="shared" si="244"/>
        <v>0</v>
      </c>
      <c r="AG642" s="147">
        <f t="shared" si="245"/>
        <v>0</v>
      </c>
      <c r="AH642" s="147">
        <f t="shared" si="246"/>
        <v>0</v>
      </c>
      <c r="AI642" s="147">
        <f t="shared" si="247"/>
        <v>0</v>
      </c>
      <c r="AJ642" s="148" t="str">
        <f t="shared" si="248"/>
        <v>ja</v>
      </c>
      <c r="AK642" s="149">
        <f t="shared" si="251"/>
        <v>0</v>
      </c>
      <c r="AL642" s="149">
        <f t="shared" si="252"/>
        <v>0</v>
      </c>
      <c r="AM642" s="149">
        <f t="shared" si="253"/>
        <v>0</v>
      </c>
      <c r="AN642" s="149">
        <f t="shared" si="254"/>
        <v>0</v>
      </c>
      <c r="AO642" s="150" t="str">
        <f t="shared" si="249"/>
        <v>V</v>
      </c>
      <c r="AQ642" s="151">
        <f t="shared" si="250"/>
        <v>22593.5</v>
      </c>
    </row>
    <row r="643" spans="1:43" ht="15" customHeight="1">
      <c r="A643" s="82" t="e">
        <f t="shared" si="255"/>
        <v>#REF!</v>
      </c>
      <c r="B643" s="134">
        <v>107</v>
      </c>
      <c r="C643" s="135" t="s">
        <v>437</v>
      </c>
      <c r="D643" s="136" t="s">
        <v>39</v>
      </c>
      <c r="E643" s="137"/>
      <c r="F643" s="138" t="s">
        <v>114</v>
      </c>
      <c r="G643" s="139" t="s">
        <v>170</v>
      </c>
      <c r="H643" s="140" t="str">
        <f t="shared" si="236"/>
        <v>Trappen</v>
      </c>
      <c r="I643" s="138" t="s">
        <v>118</v>
      </c>
      <c r="J643" s="138" t="s">
        <v>1170</v>
      </c>
      <c r="K643" s="141" t="str">
        <f t="shared" si="237"/>
        <v>Volledig</v>
      </c>
      <c r="L643" s="141" t="str">
        <f t="shared" si="238"/>
        <v>naloop</v>
      </c>
      <c r="M643" s="141" t="str">
        <f t="shared" si="239"/>
        <v>naloop</v>
      </c>
      <c r="N643" s="141" t="str">
        <f t="shared" si="240"/>
        <v>Volledig</v>
      </c>
      <c r="O643" s="141" t="str">
        <f t="shared" si="241"/>
        <v>naloop</v>
      </c>
      <c r="P643" s="141" t="str">
        <f t="shared" si="242"/>
        <v>naloop</v>
      </c>
      <c r="Q643" s="141" t="str">
        <f t="shared" si="243"/>
        <v>naloop</v>
      </c>
      <c r="R643" s="63" t="s">
        <v>1476</v>
      </c>
      <c r="S643" s="142">
        <f t="shared" si="234"/>
        <v>365</v>
      </c>
      <c r="T643" s="143">
        <v>61.9</v>
      </c>
      <c r="U643" s="144" t="s">
        <v>1111</v>
      </c>
      <c r="V643" s="144"/>
      <c r="W643" s="144"/>
      <c r="X643" s="144"/>
      <c r="Y643" s="144"/>
      <c r="Z643" s="145"/>
      <c r="AA643" s="145"/>
      <c r="AB643" s="145"/>
      <c r="AC643" s="145"/>
      <c r="AD643" s="146"/>
      <c r="AE643" s="171">
        <v>1</v>
      </c>
      <c r="AF643" s="147">
        <f t="shared" si="244"/>
        <v>0</v>
      </c>
      <c r="AG643" s="147">
        <f t="shared" si="245"/>
        <v>0</v>
      </c>
      <c r="AH643" s="147">
        <f t="shared" si="246"/>
        <v>0</v>
      </c>
      <c r="AI643" s="147">
        <f t="shared" si="247"/>
        <v>0</v>
      </c>
      <c r="AJ643" s="148" t="str">
        <f t="shared" si="248"/>
        <v>ja</v>
      </c>
      <c r="AK643" s="149">
        <f t="shared" si="251"/>
        <v>0</v>
      </c>
      <c r="AL643" s="149">
        <f t="shared" si="252"/>
        <v>0</v>
      </c>
      <c r="AM643" s="149">
        <f t="shared" si="253"/>
        <v>0</v>
      </c>
      <c r="AN643" s="149">
        <f t="shared" si="254"/>
        <v>0</v>
      </c>
      <c r="AO643" s="150" t="str">
        <f t="shared" si="249"/>
        <v>V</v>
      </c>
      <c r="AQ643" s="151">
        <f t="shared" si="250"/>
        <v>22593.5</v>
      </c>
    </row>
    <row r="644" spans="1:43" ht="15" customHeight="1">
      <c r="A644" s="82" t="e">
        <f t="shared" si="255"/>
        <v>#REF!</v>
      </c>
      <c r="B644" s="134">
        <v>107</v>
      </c>
      <c r="C644" s="135" t="s">
        <v>437</v>
      </c>
      <c r="D644" s="136" t="s">
        <v>39</v>
      </c>
      <c r="E644" s="137"/>
      <c r="F644" s="138" t="s">
        <v>210</v>
      </c>
      <c r="G644" s="139" t="s">
        <v>173</v>
      </c>
      <c r="H644" s="140" t="str">
        <f t="shared" si="236"/>
        <v>Niet van toepassing</v>
      </c>
      <c r="I644" s="138" t="s">
        <v>118</v>
      </c>
      <c r="J644" s="138" t="s">
        <v>1172</v>
      </c>
      <c r="K644" s="141" t="str">
        <f t="shared" si="237"/>
        <v>NVT</v>
      </c>
      <c r="L644" s="141" t="str">
        <f t="shared" si="238"/>
        <v>NVT</v>
      </c>
      <c r="M644" s="141" t="str">
        <f t="shared" si="239"/>
        <v>NVT</v>
      </c>
      <c r="N644" s="141" t="str">
        <f t="shared" si="240"/>
        <v>NVT</v>
      </c>
      <c r="O644" s="141" t="str">
        <f t="shared" si="241"/>
        <v>NVT</v>
      </c>
      <c r="P644" s="141" t="str">
        <f t="shared" si="242"/>
        <v>NVT</v>
      </c>
      <c r="Q644" s="141" t="str">
        <f t="shared" si="243"/>
        <v>NVT</v>
      </c>
      <c r="R644" s="63" t="s">
        <v>1221</v>
      </c>
      <c r="S644" s="142">
        <f t="shared" si="234"/>
        <v>0</v>
      </c>
      <c r="T644" s="143">
        <v>5.51</v>
      </c>
      <c r="U644" s="144"/>
      <c r="V644" s="144"/>
      <c r="W644" s="144"/>
      <c r="X644" s="144"/>
      <c r="Y644" s="144"/>
      <c r="Z644" s="145"/>
      <c r="AA644" s="145"/>
      <c r="AB644" s="145"/>
      <c r="AC644" s="145"/>
      <c r="AD644" s="146" t="s">
        <v>434</v>
      </c>
      <c r="AE644" s="171">
        <v>1</v>
      </c>
      <c r="AF644" s="147">
        <f t="shared" si="244"/>
        <v>0</v>
      </c>
      <c r="AG644" s="147">
        <f t="shared" si="245"/>
        <v>0</v>
      </c>
      <c r="AH644" s="147">
        <f t="shared" si="246"/>
        <v>0</v>
      </c>
      <c r="AI644" s="147">
        <f t="shared" si="247"/>
        <v>0</v>
      </c>
      <c r="AJ644" s="148">
        <f t="shared" si="248"/>
        <v>0</v>
      </c>
      <c r="AK644" s="149">
        <f t="shared" si="251"/>
        <v>0</v>
      </c>
      <c r="AL644" s="149">
        <f t="shared" si="252"/>
        <v>0</v>
      </c>
      <c r="AM644" s="149">
        <f t="shared" si="253"/>
        <v>0</v>
      </c>
      <c r="AN644" s="149">
        <f t="shared" si="254"/>
        <v>0</v>
      </c>
      <c r="AO644" s="150">
        <f t="shared" si="249"/>
        <v>0</v>
      </c>
      <c r="AQ644" s="151">
        <f t="shared" si="250"/>
        <v>0</v>
      </c>
    </row>
    <row r="645" spans="1:43" ht="15" customHeight="1">
      <c r="A645" s="82" t="e">
        <f t="shared" si="255"/>
        <v>#REF!</v>
      </c>
      <c r="B645" s="134">
        <v>107</v>
      </c>
      <c r="C645" s="135" t="s">
        <v>437</v>
      </c>
      <c r="D645" s="136" t="s">
        <v>39</v>
      </c>
      <c r="E645" s="137"/>
      <c r="F645" s="138" t="s">
        <v>210</v>
      </c>
      <c r="G645" s="139" t="s">
        <v>424</v>
      </c>
      <c r="H645" s="140" t="str">
        <f t="shared" ref="H645:H708" si="256">VLOOKUP(R645,Kengetal,3,FALSE)</f>
        <v>Niet van toepassing</v>
      </c>
      <c r="I645" s="138" t="s">
        <v>118</v>
      </c>
      <c r="J645" s="138" t="s">
        <v>1172</v>
      </c>
      <c r="K645" s="141" t="str">
        <f t="shared" ref="K645:K708" si="257">IF($R645="",0,VLOOKUP($R645,Kengetal,14,FALSE))</f>
        <v>NVT</v>
      </c>
      <c r="L645" s="141" t="str">
        <f t="shared" ref="L645:L708" si="258">IF($R645="",0,VLOOKUP($R645,Kengetal,15,FALSE))</f>
        <v>NVT</v>
      </c>
      <c r="M645" s="141" t="str">
        <f t="shared" ref="M645:M708" si="259">IF($R645="",0,VLOOKUP($R645,Kengetal,16,FALSE))</f>
        <v>NVT</v>
      </c>
      <c r="N645" s="141" t="str">
        <f t="shared" ref="N645:N708" si="260">IF($R645="",0,VLOOKUP($R645,Kengetal,17,FALSE))</f>
        <v>NVT</v>
      </c>
      <c r="O645" s="141" t="str">
        <f t="shared" ref="O645:O708" si="261">IF($R645="",0,VLOOKUP($R645,Kengetal,18,FALSE))</f>
        <v>NVT</v>
      </c>
      <c r="P645" s="141" t="str">
        <f t="shared" ref="P645:P708" si="262">IF($R645="",0,VLOOKUP($R645,Kengetal,19,FALSE))</f>
        <v>NVT</v>
      </c>
      <c r="Q645" s="141" t="str">
        <f t="shared" ref="Q645:Q708" si="263">IF($R645="",0,VLOOKUP($R645,Kengetal,20,FALSE))</f>
        <v>NVT</v>
      </c>
      <c r="R645" s="63" t="s">
        <v>1221</v>
      </c>
      <c r="S645" s="142">
        <f t="shared" si="234"/>
        <v>0</v>
      </c>
      <c r="T645" s="143">
        <v>5.51</v>
      </c>
      <c r="U645" s="144"/>
      <c r="V645" s="144"/>
      <c r="W645" s="144"/>
      <c r="X645" s="144"/>
      <c r="Y645" s="144"/>
      <c r="Z645" s="145"/>
      <c r="AA645" s="145"/>
      <c r="AB645" s="145"/>
      <c r="AC645" s="145"/>
      <c r="AD645" s="146" t="s">
        <v>434</v>
      </c>
      <c r="AE645" s="171">
        <v>1</v>
      </c>
      <c r="AF645" s="147">
        <f t="shared" ref="AF645:AF708" si="264">T645*AK645*AE645</f>
        <v>0</v>
      </c>
      <c r="AG645" s="147">
        <f t="shared" ref="AG645:AG708" si="265">T645*AL645*AE645</f>
        <v>0</v>
      </c>
      <c r="AH645" s="147">
        <f t="shared" ref="AH645:AH708" si="266">T645*AM645*AE645</f>
        <v>0</v>
      </c>
      <c r="AI645" s="147">
        <f t="shared" ref="AI645:AI708" si="267">T645*AN645*AE645</f>
        <v>0</v>
      </c>
      <c r="AJ645" s="148">
        <f t="shared" ref="AJ645:AJ708" si="268">IF($R645="",0,VLOOKUP($R645,Kengetal,12,FALSE))</f>
        <v>0</v>
      </c>
      <c r="AK645" s="149">
        <f t="shared" si="251"/>
        <v>0</v>
      </c>
      <c r="AL645" s="149">
        <f t="shared" si="252"/>
        <v>0</v>
      </c>
      <c r="AM645" s="149">
        <f t="shared" si="253"/>
        <v>0</v>
      </c>
      <c r="AN645" s="149">
        <f t="shared" si="254"/>
        <v>0</v>
      </c>
      <c r="AO645" s="150">
        <f t="shared" ref="AO645:AO708" si="269">IF($R645="",0,VLOOKUP($R645,Kengetal,13,FALSE))</f>
        <v>0</v>
      </c>
      <c r="AQ645" s="151">
        <f t="shared" ref="AQ645:AQ708" si="270">T645*S645</f>
        <v>0</v>
      </c>
    </row>
    <row r="646" spans="1:43" ht="15" customHeight="1">
      <c r="A646" s="82" t="e">
        <f t="shared" si="255"/>
        <v>#REF!</v>
      </c>
      <c r="B646" s="134">
        <v>107</v>
      </c>
      <c r="C646" s="135" t="s">
        <v>437</v>
      </c>
      <c r="D646" s="136" t="s">
        <v>39</v>
      </c>
      <c r="E646" s="137"/>
      <c r="F646" s="138" t="s">
        <v>232</v>
      </c>
      <c r="G646" s="139" t="s">
        <v>41</v>
      </c>
      <c r="H646" s="140" t="str">
        <f t="shared" si="256"/>
        <v>Hallen</v>
      </c>
      <c r="I646" s="138" t="s">
        <v>195</v>
      </c>
      <c r="J646" s="138" t="s">
        <v>1170</v>
      </c>
      <c r="K646" s="141" t="str">
        <f t="shared" si="257"/>
        <v>Volledig</v>
      </c>
      <c r="L646" s="141" t="str">
        <f t="shared" si="258"/>
        <v>naloop</v>
      </c>
      <c r="M646" s="141" t="str">
        <f t="shared" si="259"/>
        <v>naloop</v>
      </c>
      <c r="N646" s="141" t="str">
        <f t="shared" si="260"/>
        <v>Volledig</v>
      </c>
      <c r="O646" s="141" t="str">
        <f t="shared" si="261"/>
        <v>naloop</v>
      </c>
      <c r="P646" s="141" t="str">
        <f t="shared" si="262"/>
        <v>naloop</v>
      </c>
      <c r="Q646" s="141" t="str">
        <f t="shared" si="263"/>
        <v>naloop</v>
      </c>
      <c r="R646" s="63" t="s">
        <v>1478</v>
      </c>
      <c r="S646" s="142">
        <f t="shared" si="234"/>
        <v>365</v>
      </c>
      <c r="T646" s="143">
        <v>367.11864406779659</v>
      </c>
      <c r="U646" s="144"/>
      <c r="V646" s="144"/>
      <c r="W646" s="144"/>
      <c r="X646" s="144"/>
      <c r="Y646" s="144">
        <v>721</v>
      </c>
      <c r="Z646" s="145"/>
      <c r="AA646" s="145"/>
      <c r="AB646" s="145">
        <v>198.8</v>
      </c>
      <c r="AC646" s="145"/>
      <c r="AD646" s="146" t="s">
        <v>435</v>
      </c>
      <c r="AE646" s="171">
        <v>1</v>
      </c>
      <c r="AF646" s="147">
        <f t="shared" si="264"/>
        <v>0</v>
      </c>
      <c r="AG646" s="147">
        <f t="shared" si="265"/>
        <v>0</v>
      </c>
      <c r="AH646" s="147">
        <f t="shared" si="266"/>
        <v>0</v>
      </c>
      <c r="AI646" s="147">
        <f t="shared" si="267"/>
        <v>0</v>
      </c>
      <c r="AJ646" s="148" t="str">
        <f t="shared" si="268"/>
        <v>ja</v>
      </c>
      <c r="AK646" s="149">
        <f t="shared" si="251"/>
        <v>0</v>
      </c>
      <c r="AL646" s="149">
        <f t="shared" si="252"/>
        <v>0</v>
      </c>
      <c r="AM646" s="149">
        <f t="shared" si="253"/>
        <v>0</v>
      </c>
      <c r="AN646" s="149">
        <f t="shared" si="254"/>
        <v>0</v>
      </c>
      <c r="AO646" s="150" t="str">
        <f t="shared" si="269"/>
        <v>V</v>
      </c>
      <c r="AQ646" s="151">
        <f t="shared" si="270"/>
        <v>133998.30508474575</v>
      </c>
    </row>
    <row r="647" spans="1:43" ht="15" customHeight="1">
      <c r="A647" s="82" t="e">
        <f t="shared" si="255"/>
        <v>#REF!</v>
      </c>
      <c r="B647" s="134">
        <v>107</v>
      </c>
      <c r="C647" s="135" t="s">
        <v>437</v>
      </c>
      <c r="D647" s="136" t="s">
        <v>39</v>
      </c>
      <c r="E647" s="137"/>
      <c r="F647" s="138" t="s">
        <v>197</v>
      </c>
      <c r="G647" s="139" t="s">
        <v>47</v>
      </c>
      <c r="H647" s="140" t="str">
        <f t="shared" si="256"/>
        <v>Niet van toepassing</v>
      </c>
      <c r="I647" s="138" t="s">
        <v>195</v>
      </c>
      <c r="J647" s="138" t="s">
        <v>1172</v>
      </c>
      <c r="K647" s="141" t="str">
        <f t="shared" si="257"/>
        <v>NVT</v>
      </c>
      <c r="L647" s="141" t="str">
        <f t="shared" si="258"/>
        <v>NVT</v>
      </c>
      <c r="M647" s="141" t="str">
        <f t="shared" si="259"/>
        <v>NVT</v>
      </c>
      <c r="N647" s="141" t="str">
        <f t="shared" si="260"/>
        <v>NVT</v>
      </c>
      <c r="O647" s="141" t="str">
        <f t="shared" si="261"/>
        <v>NVT</v>
      </c>
      <c r="P647" s="141" t="str">
        <f t="shared" si="262"/>
        <v>NVT</v>
      </c>
      <c r="Q647" s="141" t="str">
        <f t="shared" si="263"/>
        <v>NVT</v>
      </c>
      <c r="R647" s="63" t="s">
        <v>1221</v>
      </c>
      <c r="S647" s="142">
        <f t="shared" si="234"/>
        <v>0</v>
      </c>
      <c r="T647" s="143">
        <v>13</v>
      </c>
      <c r="U647" s="144"/>
      <c r="V647" s="144"/>
      <c r="W647" s="144"/>
      <c r="X647" s="144"/>
      <c r="Y647" s="144">
        <v>49.9</v>
      </c>
      <c r="Z647" s="145"/>
      <c r="AA647" s="145"/>
      <c r="AB647" s="145">
        <f>T647</f>
        <v>13</v>
      </c>
      <c r="AC647" s="145"/>
      <c r="AD647" s="146"/>
      <c r="AE647" s="171">
        <v>1</v>
      </c>
      <c r="AF647" s="147">
        <f t="shared" si="264"/>
        <v>0</v>
      </c>
      <c r="AG647" s="147">
        <f t="shared" si="265"/>
        <v>0</v>
      </c>
      <c r="AH647" s="147">
        <f t="shared" si="266"/>
        <v>0</v>
      </c>
      <c r="AI647" s="147">
        <f t="shared" si="267"/>
        <v>0</v>
      </c>
      <c r="AJ647" s="148">
        <f t="shared" si="268"/>
        <v>0</v>
      </c>
      <c r="AK647" s="149">
        <f t="shared" si="251"/>
        <v>0</v>
      </c>
      <c r="AL647" s="149">
        <f t="shared" si="252"/>
        <v>0</v>
      </c>
      <c r="AM647" s="149">
        <f t="shared" si="253"/>
        <v>0</v>
      </c>
      <c r="AN647" s="149">
        <f t="shared" si="254"/>
        <v>0</v>
      </c>
      <c r="AO647" s="150">
        <f t="shared" si="269"/>
        <v>0</v>
      </c>
      <c r="AQ647" s="151">
        <f t="shared" si="270"/>
        <v>0</v>
      </c>
    </row>
    <row r="648" spans="1:43" ht="15" customHeight="1">
      <c r="A648" s="82" t="e">
        <f t="shared" si="255"/>
        <v>#REF!</v>
      </c>
      <c r="B648" s="134">
        <v>107</v>
      </c>
      <c r="C648" s="135" t="s">
        <v>437</v>
      </c>
      <c r="D648" s="136" t="s">
        <v>39</v>
      </c>
      <c r="E648" s="137"/>
      <c r="F648" s="138" t="s">
        <v>197</v>
      </c>
      <c r="G648" s="139" t="s">
        <v>48</v>
      </c>
      <c r="H648" s="140" t="str">
        <f t="shared" si="256"/>
        <v>Niet van toepassing</v>
      </c>
      <c r="I648" s="138" t="s">
        <v>254</v>
      </c>
      <c r="J648" s="138" t="s">
        <v>1172</v>
      </c>
      <c r="K648" s="141" t="str">
        <f t="shared" si="257"/>
        <v>NVT</v>
      </c>
      <c r="L648" s="141" t="str">
        <f t="shared" si="258"/>
        <v>NVT</v>
      </c>
      <c r="M648" s="141" t="str">
        <f t="shared" si="259"/>
        <v>NVT</v>
      </c>
      <c r="N648" s="141" t="str">
        <f t="shared" si="260"/>
        <v>NVT</v>
      </c>
      <c r="O648" s="141" t="str">
        <f t="shared" si="261"/>
        <v>NVT</v>
      </c>
      <c r="P648" s="141" t="str">
        <f t="shared" si="262"/>
        <v>NVT</v>
      </c>
      <c r="Q648" s="141" t="str">
        <f t="shared" si="263"/>
        <v>NVT</v>
      </c>
      <c r="R648" s="63" t="s">
        <v>1221</v>
      </c>
      <c r="S648" s="142">
        <f t="shared" si="234"/>
        <v>0</v>
      </c>
      <c r="T648" s="143">
        <v>13.1</v>
      </c>
      <c r="U648" s="144"/>
      <c r="V648" s="144"/>
      <c r="W648" s="144">
        <v>54.800000000000004</v>
      </c>
      <c r="X648" s="144"/>
      <c r="Y648" s="144">
        <v>54</v>
      </c>
      <c r="Z648" s="145"/>
      <c r="AA648" s="145">
        <f>T648</f>
        <v>13.1</v>
      </c>
      <c r="AB648" s="145"/>
      <c r="AC648" s="145"/>
      <c r="AD648" s="146"/>
      <c r="AE648" s="171">
        <v>1</v>
      </c>
      <c r="AF648" s="147">
        <f t="shared" si="264"/>
        <v>0</v>
      </c>
      <c r="AG648" s="147">
        <f t="shared" si="265"/>
        <v>0</v>
      </c>
      <c r="AH648" s="147">
        <f t="shared" si="266"/>
        <v>0</v>
      </c>
      <c r="AI648" s="147">
        <f t="shared" si="267"/>
        <v>0</v>
      </c>
      <c r="AJ648" s="148">
        <f t="shared" si="268"/>
        <v>0</v>
      </c>
      <c r="AK648" s="149">
        <f t="shared" si="251"/>
        <v>0</v>
      </c>
      <c r="AL648" s="149">
        <f t="shared" si="252"/>
        <v>0</v>
      </c>
      <c r="AM648" s="149">
        <f t="shared" si="253"/>
        <v>0</v>
      </c>
      <c r="AN648" s="149">
        <f t="shared" si="254"/>
        <v>0</v>
      </c>
      <c r="AO648" s="150">
        <f t="shared" si="269"/>
        <v>0</v>
      </c>
      <c r="AQ648" s="151">
        <f t="shared" si="270"/>
        <v>0</v>
      </c>
    </row>
    <row r="649" spans="1:43" ht="15" customHeight="1">
      <c r="A649" s="82" t="e">
        <f t="shared" si="255"/>
        <v>#REF!</v>
      </c>
      <c r="B649" s="134">
        <v>107</v>
      </c>
      <c r="C649" s="135" t="s">
        <v>437</v>
      </c>
      <c r="D649" s="136" t="s">
        <v>39</v>
      </c>
      <c r="E649" s="137"/>
      <c r="F649" s="138" t="s">
        <v>234</v>
      </c>
      <c r="G649" s="139" t="s">
        <v>49</v>
      </c>
      <c r="H649" s="140" t="str">
        <f t="shared" si="256"/>
        <v>Niet van toepassing</v>
      </c>
      <c r="I649" s="138" t="s">
        <v>195</v>
      </c>
      <c r="J649" s="138" t="s">
        <v>1172</v>
      </c>
      <c r="K649" s="141" t="str">
        <f t="shared" si="257"/>
        <v>NVT</v>
      </c>
      <c r="L649" s="141" t="str">
        <f t="shared" si="258"/>
        <v>NVT</v>
      </c>
      <c r="M649" s="141" t="str">
        <f t="shared" si="259"/>
        <v>NVT</v>
      </c>
      <c r="N649" s="141" t="str">
        <f t="shared" si="260"/>
        <v>NVT</v>
      </c>
      <c r="O649" s="141" t="str">
        <f t="shared" si="261"/>
        <v>NVT</v>
      </c>
      <c r="P649" s="141" t="str">
        <f t="shared" si="262"/>
        <v>NVT</v>
      </c>
      <c r="Q649" s="141" t="str">
        <f t="shared" si="263"/>
        <v>NVT</v>
      </c>
      <c r="R649" s="63" t="s">
        <v>1221</v>
      </c>
      <c r="S649" s="142">
        <f t="shared" si="234"/>
        <v>0</v>
      </c>
      <c r="T649" s="143">
        <v>3.7</v>
      </c>
      <c r="U649" s="144"/>
      <c r="V649" s="144"/>
      <c r="W649" s="144">
        <v>8</v>
      </c>
      <c r="X649" s="144"/>
      <c r="Y649" s="144"/>
      <c r="Z649" s="145"/>
      <c r="AA649" s="145">
        <f>T649</f>
        <v>3.7</v>
      </c>
      <c r="AB649" s="145"/>
      <c r="AC649" s="145"/>
      <c r="AD649" s="146"/>
      <c r="AE649" s="171">
        <v>1</v>
      </c>
      <c r="AF649" s="147">
        <f t="shared" si="264"/>
        <v>0</v>
      </c>
      <c r="AG649" s="147">
        <f t="shared" si="265"/>
        <v>0</v>
      </c>
      <c r="AH649" s="147">
        <f t="shared" si="266"/>
        <v>0</v>
      </c>
      <c r="AI649" s="147">
        <f t="shared" si="267"/>
        <v>0</v>
      </c>
      <c r="AJ649" s="148">
        <f t="shared" si="268"/>
        <v>0</v>
      </c>
      <c r="AK649" s="149">
        <f t="shared" si="251"/>
        <v>0</v>
      </c>
      <c r="AL649" s="149">
        <f t="shared" si="252"/>
        <v>0</v>
      </c>
      <c r="AM649" s="149">
        <f t="shared" si="253"/>
        <v>0</v>
      </c>
      <c r="AN649" s="149">
        <f t="shared" si="254"/>
        <v>0</v>
      </c>
      <c r="AO649" s="150">
        <f t="shared" si="269"/>
        <v>0</v>
      </c>
      <c r="AQ649" s="151">
        <f t="shared" si="270"/>
        <v>0</v>
      </c>
    </row>
    <row r="650" spans="1:43" ht="15" customHeight="1">
      <c r="A650" s="82" t="e">
        <f t="shared" si="255"/>
        <v>#REF!</v>
      </c>
      <c r="B650" s="134">
        <v>107</v>
      </c>
      <c r="C650" s="135" t="s">
        <v>437</v>
      </c>
      <c r="D650" s="136" t="s">
        <v>39</v>
      </c>
      <c r="E650" s="137"/>
      <c r="F650" s="138" t="s">
        <v>57</v>
      </c>
      <c r="G650" s="139" t="s">
        <v>58</v>
      </c>
      <c r="H650" s="140" t="str">
        <f t="shared" si="256"/>
        <v>Niet van toepassing</v>
      </c>
      <c r="I650" s="138" t="s">
        <v>270</v>
      </c>
      <c r="J650" s="138" t="s">
        <v>1172</v>
      </c>
      <c r="K650" s="141" t="str">
        <f t="shared" si="257"/>
        <v>NVT</v>
      </c>
      <c r="L650" s="141" t="str">
        <f t="shared" si="258"/>
        <v>NVT</v>
      </c>
      <c r="M650" s="141" t="str">
        <f t="shared" si="259"/>
        <v>NVT</v>
      </c>
      <c r="N650" s="141" t="str">
        <f t="shared" si="260"/>
        <v>NVT</v>
      </c>
      <c r="O650" s="141" t="str">
        <f t="shared" si="261"/>
        <v>NVT</v>
      </c>
      <c r="P650" s="141" t="str">
        <f t="shared" si="262"/>
        <v>NVT</v>
      </c>
      <c r="Q650" s="141" t="str">
        <f t="shared" si="263"/>
        <v>NVT</v>
      </c>
      <c r="R650" s="63" t="s">
        <v>1221</v>
      </c>
      <c r="S650" s="142">
        <f t="shared" si="234"/>
        <v>0</v>
      </c>
      <c r="T650" s="143">
        <v>11.8</v>
      </c>
      <c r="U650" s="144"/>
      <c r="V650" s="144"/>
      <c r="W650" s="144">
        <v>51</v>
      </c>
      <c r="X650" s="144"/>
      <c r="Y650" s="144"/>
      <c r="Z650" s="145"/>
      <c r="AA650" s="145"/>
      <c r="AB650" s="145">
        <f>T650</f>
        <v>11.8</v>
      </c>
      <c r="AC650" s="145"/>
      <c r="AD650" s="146"/>
      <c r="AE650" s="171">
        <v>1</v>
      </c>
      <c r="AF650" s="147">
        <f t="shared" si="264"/>
        <v>0</v>
      </c>
      <c r="AG650" s="147">
        <f t="shared" si="265"/>
        <v>0</v>
      </c>
      <c r="AH650" s="147">
        <f t="shared" si="266"/>
        <v>0</v>
      </c>
      <c r="AI650" s="147">
        <f t="shared" si="267"/>
        <v>0</v>
      </c>
      <c r="AJ650" s="148">
        <f t="shared" si="268"/>
        <v>0</v>
      </c>
      <c r="AK650" s="149">
        <f t="shared" si="251"/>
        <v>0</v>
      </c>
      <c r="AL650" s="149">
        <f t="shared" si="252"/>
        <v>0</v>
      </c>
      <c r="AM650" s="149">
        <f t="shared" si="253"/>
        <v>0</v>
      </c>
      <c r="AN650" s="149">
        <f t="shared" si="254"/>
        <v>0</v>
      </c>
      <c r="AO650" s="150">
        <f t="shared" si="269"/>
        <v>0</v>
      </c>
      <c r="AQ650" s="151">
        <f t="shared" si="270"/>
        <v>0</v>
      </c>
    </row>
    <row r="651" spans="1:43" ht="15" customHeight="1">
      <c r="A651" s="82" t="e">
        <f t="shared" si="255"/>
        <v>#REF!</v>
      </c>
      <c r="B651" s="134">
        <v>107</v>
      </c>
      <c r="C651" s="135" t="s">
        <v>437</v>
      </c>
      <c r="D651" s="136" t="s">
        <v>39</v>
      </c>
      <c r="E651" s="137"/>
      <c r="F651" s="138" t="s">
        <v>66</v>
      </c>
      <c r="G651" s="139" t="s">
        <v>65</v>
      </c>
      <c r="H651" s="140" t="str">
        <f t="shared" si="256"/>
        <v>Niet van toepassing</v>
      </c>
      <c r="I651" s="138" t="s">
        <v>254</v>
      </c>
      <c r="J651" s="138" t="s">
        <v>1172</v>
      </c>
      <c r="K651" s="141" t="str">
        <f t="shared" si="257"/>
        <v>NVT</v>
      </c>
      <c r="L651" s="141" t="str">
        <f t="shared" si="258"/>
        <v>NVT</v>
      </c>
      <c r="M651" s="141" t="str">
        <f t="shared" si="259"/>
        <v>NVT</v>
      </c>
      <c r="N651" s="141" t="str">
        <f t="shared" si="260"/>
        <v>NVT</v>
      </c>
      <c r="O651" s="141" t="str">
        <f t="shared" si="261"/>
        <v>NVT</v>
      </c>
      <c r="P651" s="141" t="str">
        <f t="shared" si="262"/>
        <v>NVT</v>
      </c>
      <c r="Q651" s="141" t="str">
        <f t="shared" si="263"/>
        <v>NVT</v>
      </c>
      <c r="R651" s="63" t="s">
        <v>1221</v>
      </c>
      <c r="S651" s="142">
        <f t="shared" si="234"/>
        <v>0</v>
      </c>
      <c r="T651" s="143">
        <v>17.5</v>
      </c>
      <c r="U651" s="144"/>
      <c r="V651" s="144"/>
      <c r="W651" s="144">
        <v>62.2</v>
      </c>
      <c r="X651" s="144"/>
      <c r="Y651" s="144"/>
      <c r="Z651" s="145"/>
      <c r="AA651" s="145">
        <f>T651</f>
        <v>17.5</v>
      </c>
      <c r="AB651" s="145"/>
      <c r="AC651" s="145"/>
      <c r="AD651" s="146"/>
      <c r="AE651" s="171">
        <v>1</v>
      </c>
      <c r="AF651" s="147">
        <f t="shared" si="264"/>
        <v>0</v>
      </c>
      <c r="AG651" s="147">
        <f t="shared" si="265"/>
        <v>0</v>
      </c>
      <c r="AH651" s="147">
        <f t="shared" si="266"/>
        <v>0</v>
      </c>
      <c r="AI651" s="147">
        <f t="shared" si="267"/>
        <v>0</v>
      </c>
      <c r="AJ651" s="148">
        <f t="shared" si="268"/>
        <v>0</v>
      </c>
      <c r="AK651" s="149">
        <f t="shared" si="251"/>
        <v>0</v>
      </c>
      <c r="AL651" s="149">
        <f t="shared" si="252"/>
        <v>0</v>
      </c>
      <c r="AM651" s="149">
        <f t="shared" si="253"/>
        <v>0</v>
      </c>
      <c r="AN651" s="149">
        <f t="shared" si="254"/>
        <v>0</v>
      </c>
      <c r="AO651" s="150">
        <f t="shared" si="269"/>
        <v>0</v>
      </c>
      <c r="AQ651" s="151">
        <f t="shared" si="270"/>
        <v>0</v>
      </c>
    </row>
    <row r="652" spans="1:43" ht="15" customHeight="1">
      <c r="A652" s="82" t="e">
        <f t="shared" si="255"/>
        <v>#REF!</v>
      </c>
      <c r="B652" s="134">
        <v>107</v>
      </c>
      <c r="C652" s="135" t="s">
        <v>437</v>
      </c>
      <c r="D652" s="136" t="s">
        <v>39</v>
      </c>
      <c r="E652" s="137"/>
      <c r="F652" s="138" t="s">
        <v>68</v>
      </c>
      <c r="G652" s="139" t="s">
        <v>69</v>
      </c>
      <c r="H652" s="140" t="str">
        <f t="shared" si="256"/>
        <v>Niet van toepassing</v>
      </c>
      <c r="I652" s="138" t="s">
        <v>254</v>
      </c>
      <c r="J652" s="138" t="s">
        <v>1172</v>
      </c>
      <c r="K652" s="141" t="str">
        <f t="shared" si="257"/>
        <v>NVT</v>
      </c>
      <c r="L652" s="141" t="str">
        <f t="shared" si="258"/>
        <v>NVT</v>
      </c>
      <c r="M652" s="141" t="str">
        <f t="shared" si="259"/>
        <v>NVT</v>
      </c>
      <c r="N652" s="141" t="str">
        <f t="shared" si="260"/>
        <v>NVT</v>
      </c>
      <c r="O652" s="141" t="str">
        <f t="shared" si="261"/>
        <v>NVT</v>
      </c>
      <c r="P652" s="141" t="str">
        <f t="shared" si="262"/>
        <v>NVT</v>
      </c>
      <c r="Q652" s="141" t="str">
        <f t="shared" si="263"/>
        <v>NVT</v>
      </c>
      <c r="R652" s="63" t="s">
        <v>1221</v>
      </c>
      <c r="S652" s="142">
        <f t="shared" ref="S652:S715" si="271">VLOOKUP(R652,Kengetal,2,FALSE)</f>
        <v>0</v>
      </c>
      <c r="T652" s="143">
        <v>14</v>
      </c>
      <c r="U652" s="144"/>
      <c r="V652" s="144"/>
      <c r="W652" s="144">
        <v>58.3</v>
      </c>
      <c r="X652" s="144"/>
      <c r="Y652" s="144"/>
      <c r="Z652" s="145"/>
      <c r="AA652" s="145">
        <f>T652</f>
        <v>14</v>
      </c>
      <c r="AB652" s="145"/>
      <c r="AC652" s="145"/>
      <c r="AD652" s="146"/>
      <c r="AE652" s="171">
        <v>1</v>
      </c>
      <c r="AF652" s="147">
        <f t="shared" si="264"/>
        <v>0</v>
      </c>
      <c r="AG652" s="147">
        <f t="shared" si="265"/>
        <v>0</v>
      </c>
      <c r="AH652" s="147">
        <f t="shared" si="266"/>
        <v>0</v>
      </c>
      <c r="AI652" s="147">
        <f t="shared" si="267"/>
        <v>0</v>
      </c>
      <c r="AJ652" s="148">
        <f t="shared" si="268"/>
        <v>0</v>
      </c>
      <c r="AK652" s="149">
        <f t="shared" si="251"/>
        <v>0</v>
      </c>
      <c r="AL652" s="149">
        <f t="shared" si="252"/>
        <v>0</v>
      </c>
      <c r="AM652" s="149">
        <f t="shared" si="253"/>
        <v>0</v>
      </c>
      <c r="AN652" s="149">
        <f t="shared" si="254"/>
        <v>0</v>
      </c>
      <c r="AO652" s="150">
        <f t="shared" si="269"/>
        <v>0</v>
      </c>
      <c r="AQ652" s="151">
        <f t="shared" si="270"/>
        <v>0</v>
      </c>
    </row>
    <row r="653" spans="1:43" ht="15" customHeight="1">
      <c r="A653" s="82" t="e">
        <f t="shared" si="255"/>
        <v>#REF!</v>
      </c>
      <c r="B653" s="134">
        <v>107</v>
      </c>
      <c r="C653" s="135" t="s">
        <v>437</v>
      </c>
      <c r="D653" s="136" t="s">
        <v>39</v>
      </c>
      <c r="E653" s="137"/>
      <c r="F653" s="138" t="s">
        <v>425</v>
      </c>
      <c r="G653" s="139" t="s">
        <v>71</v>
      </c>
      <c r="H653" s="140" t="str">
        <f t="shared" si="256"/>
        <v>Berging/opslag/magazijn</v>
      </c>
      <c r="I653" s="138" t="s">
        <v>254</v>
      </c>
      <c r="J653" s="138" t="s">
        <v>1255</v>
      </c>
      <c r="K653" s="141" t="str">
        <f t="shared" si="257"/>
        <v>Volledig</v>
      </c>
      <c r="L653" s="141" t="str">
        <f t="shared" si="258"/>
        <v>naloop</v>
      </c>
      <c r="M653" s="141" t="str">
        <f t="shared" si="259"/>
        <v>naloop</v>
      </c>
      <c r="N653" s="141" t="str">
        <f t="shared" si="260"/>
        <v>Volledig</v>
      </c>
      <c r="O653" s="141" t="str">
        <f t="shared" si="261"/>
        <v>naloop</v>
      </c>
      <c r="P653" s="141" t="str">
        <f t="shared" si="262"/>
        <v>naloop</v>
      </c>
      <c r="Q653" s="141" t="str">
        <f t="shared" si="263"/>
        <v>naloop</v>
      </c>
      <c r="R653" s="63" t="s">
        <v>1267</v>
      </c>
      <c r="S653" s="142">
        <f t="shared" si="271"/>
        <v>365</v>
      </c>
      <c r="T653" s="143">
        <v>19.899999999999999</v>
      </c>
      <c r="U653" s="144"/>
      <c r="V653" s="144"/>
      <c r="W653" s="144"/>
      <c r="X653" s="144"/>
      <c r="Y653" s="144">
        <v>27.6</v>
      </c>
      <c r="Z653" s="145"/>
      <c r="AA653" s="145"/>
      <c r="AB653" s="145">
        <f>T653</f>
        <v>19.899999999999999</v>
      </c>
      <c r="AC653" s="145"/>
      <c r="AD653" s="146"/>
      <c r="AE653" s="171">
        <v>1</v>
      </c>
      <c r="AF653" s="147">
        <f t="shared" si="264"/>
        <v>0</v>
      </c>
      <c r="AG653" s="147">
        <f t="shared" si="265"/>
        <v>0</v>
      </c>
      <c r="AH653" s="147">
        <f t="shared" si="266"/>
        <v>0</v>
      </c>
      <c r="AI653" s="147">
        <f t="shared" si="267"/>
        <v>0</v>
      </c>
      <c r="AJ653" s="148" t="str">
        <f t="shared" si="268"/>
        <v>nee</v>
      </c>
      <c r="AK653" s="149">
        <f t="shared" si="251"/>
        <v>0</v>
      </c>
      <c r="AL653" s="149">
        <f t="shared" si="252"/>
        <v>0</v>
      </c>
      <c r="AM653" s="149">
        <f t="shared" si="253"/>
        <v>0</v>
      </c>
      <c r="AN653" s="149">
        <f t="shared" si="254"/>
        <v>0</v>
      </c>
      <c r="AO653" s="150" t="str">
        <f t="shared" si="269"/>
        <v>V</v>
      </c>
      <c r="AQ653" s="151">
        <f t="shared" si="270"/>
        <v>7263.4999999999991</v>
      </c>
    </row>
    <row r="654" spans="1:43" ht="15" customHeight="1">
      <c r="A654" s="82" t="e">
        <f t="shared" si="255"/>
        <v>#REF!</v>
      </c>
      <c r="B654" s="134">
        <v>107</v>
      </c>
      <c r="C654" s="135" t="s">
        <v>437</v>
      </c>
      <c r="D654" s="136" t="s">
        <v>39</v>
      </c>
      <c r="E654" s="137"/>
      <c r="F654" s="138" t="s">
        <v>212</v>
      </c>
      <c r="G654" s="139" t="s">
        <v>426</v>
      </c>
      <c r="H654" s="140" t="str">
        <f t="shared" si="256"/>
        <v>Liften</v>
      </c>
      <c r="I654" s="138" t="s">
        <v>1109</v>
      </c>
      <c r="J654" s="138" t="s">
        <v>1170</v>
      </c>
      <c r="K654" s="141" t="str">
        <f t="shared" si="257"/>
        <v>Volledig</v>
      </c>
      <c r="L654" s="141" t="str">
        <f t="shared" si="258"/>
        <v>naloop</v>
      </c>
      <c r="M654" s="141" t="str">
        <f t="shared" si="259"/>
        <v>naloop</v>
      </c>
      <c r="N654" s="141" t="str">
        <f t="shared" si="260"/>
        <v>Volledig</v>
      </c>
      <c r="O654" s="141" t="str">
        <f t="shared" si="261"/>
        <v>naloop</v>
      </c>
      <c r="P654" s="141" t="str">
        <f t="shared" si="262"/>
        <v>naloop</v>
      </c>
      <c r="Q654" s="141" t="str">
        <f t="shared" si="263"/>
        <v>naloop</v>
      </c>
      <c r="R654" s="63" t="s">
        <v>1474</v>
      </c>
      <c r="S654" s="142">
        <f t="shared" si="271"/>
        <v>365</v>
      </c>
      <c r="T654" s="143">
        <v>2.8</v>
      </c>
      <c r="U654" s="144"/>
      <c r="V654" s="144"/>
      <c r="W654" s="144"/>
      <c r="X654" s="144">
        <v>11.5</v>
      </c>
      <c r="Y654" s="144">
        <v>3.5</v>
      </c>
      <c r="Z654" s="145"/>
      <c r="AA654" s="145"/>
      <c r="AB654" s="145"/>
      <c r="AC654" s="145">
        <f>T654</f>
        <v>2.8</v>
      </c>
      <c r="AD654" s="146" t="s">
        <v>1110</v>
      </c>
      <c r="AE654" s="171">
        <v>1</v>
      </c>
      <c r="AF654" s="147">
        <f t="shared" si="264"/>
        <v>0</v>
      </c>
      <c r="AG654" s="147">
        <f t="shared" si="265"/>
        <v>0</v>
      </c>
      <c r="AH654" s="147">
        <f t="shared" si="266"/>
        <v>0</v>
      </c>
      <c r="AI654" s="147">
        <f t="shared" si="267"/>
        <v>0</v>
      </c>
      <c r="AJ654" s="148" t="str">
        <f t="shared" si="268"/>
        <v>ja</v>
      </c>
      <c r="AK654" s="149">
        <f t="shared" si="251"/>
        <v>0</v>
      </c>
      <c r="AL654" s="149">
        <f t="shared" si="252"/>
        <v>0</v>
      </c>
      <c r="AM654" s="149">
        <f t="shared" si="253"/>
        <v>0</v>
      </c>
      <c r="AN654" s="149">
        <f t="shared" si="254"/>
        <v>0</v>
      </c>
      <c r="AO654" s="150" t="str">
        <f t="shared" si="269"/>
        <v>V</v>
      </c>
      <c r="AQ654" s="151">
        <f t="shared" si="270"/>
        <v>1021.9999999999999</v>
      </c>
    </row>
    <row r="655" spans="1:43" ht="15" customHeight="1">
      <c r="A655" s="82" t="e">
        <f t="shared" si="255"/>
        <v>#REF!</v>
      </c>
      <c r="B655" s="134">
        <v>107</v>
      </c>
      <c r="C655" s="135" t="s">
        <v>437</v>
      </c>
      <c r="D655" s="136" t="s">
        <v>39</v>
      </c>
      <c r="E655" s="137"/>
      <c r="F655" s="138" t="s">
        <v>212</v>
      </c>
      <c r="G655" s="139" t="s">
        <v>427</v>
      </c>
      <c r="H655" s="140" t="str">
        <f t="shared" si="256"/>
        <v>Liften</v>
      </c>
      <c r="I655" s="138" t="s">
        <v>1109</v>
      </c>
      <c r="J655" s="138" t="s">
        <v>1170</v>
      </c>
      <c r="K655" s="141" t="str">
        <f t="shared" si="257"/>
        <v>Volledig</v>
      </c>
      <c r="L655" s="141" t="str">
        <f t="shared" si="258"/>
        <v>naloop</v>
      </c>
      <c r="M655" s="141" t="str">
        <f t="shared" si="259"/>
        <v>naloop</v>
      </c>
      <c r="N655" s="141" t="str">
        <f t="shared" si="260"/>
        <v>Volledig</v>
      </c>
      <c r="O655" s="141" t="str">
        <f t="shared" si="261"/>
        <v>naloop</v>
      </c>
      <c r="P655" s="141" t="str">
        <f t="shared" si="262"/>
        <v>naloop</v>
      </c>
      <c r="Q655" s="141" t="str">
        <f t="shared" si="263"/>
        <v>naloop</v>
      </c>
      <c r="R655" s="63" t="s">
        <v>1474</v>
      </c>
      <c r="S655" s="142">
        <f t="shared" si="271"/>
        <v>365</v>
      </c>
      <c r="T655" s="143">
        <v>2.8</v>
      </c>
      <c r="U655" s="144"/>
      <c r="V655" s="144"/>
      <c r="W655" s="144"/>
      <c r="X655" s="144">
        <v>11.5</v>
      </c>
      <c r="Y655" s="144">
        <v>3.5</v>
      </c>
      <c r="Z655" s="145"/>
      <c r="AA655" s="145"/>
      <c r="AB655" s="145"/>
      <c r="AC655" s="145">
        <f>T655</f>
        <v>2.8</v>
      </c>
      <c r="AD655" s="146" t="s">
        <v>1110</v>
      </c>
      <c r="AE655" s="171">
        <v>1</v>
      </c>
      <c r="AF655" s="147">
        <f t="shared" si="264"/>
        <v>0</v>
      </c>
      <c r="AG655" s="147">
        <f t="shared" si="265"/>
        <v>0</v>
      </c>
      <c r="AH655" s="147">
        <f t="shared" si="266"/>
        <v>0</v>
      </c>
      <c r="AI655" s="147">
        <f t="shared" si="267"/>
        <v>0</v>
      </c>
      <c r="AJ655" s="148" t="str">
        <f t="shared" si="268"/>
        <v>ja</v>
      </c>
      <c r="AK655" s="149">
        <f t="shared" si="251"/>
        <v>0</v>
      </c>
      <c r="AL655" s="149">
        <f t="shared" si="252"/>
        <v>0</v>
      </c>
      <c r="AM655" s="149">
        <f t="shared" si="253"/>
        <v>0</v>
      </c>
      <c r="AN655" s="149">
        <f t="shared" si="254"/>
        <v>0</v>
      </c>
      <c r="AO655" s="150" t="str">
        <f t="shared" si="269"/>
        <v>V</v>
      </c>
      <c r="AQ655" s="151">
        <f t="shared" si="270"/>
        <v>1021.9999999999999</v>
      </c>
    </row>
    <row r="656" spans="1:43" ht="15" customHeight="1">
      <c r="A656" s="82" t="e">
        <f t="shared" si="255"/>
        <v>#REF!</v>
      </c>
      <c r="B656" s="134">
        <v>107</v>
      </c>
      <c r="C656" s="135" t="s">
        <v>437</v>
      </c>
      <c r="D656" s="136" t="s">
        <v>39</v>
      </c>
      <c r="E656" s="137"/>
      <c r="F656" s="138" t="s">
        <v>428</v>
      </c>
      <c r="G656" s="139" t="s">
        <v>429</v>
      </c>
      <c r="H656" s="140" t="str">
        <f t="shared" si="256"/>
        <v>Niet van toepassing</v>
      </c>
      <c r="I656" s="138" t="s">
        <v>270</v>
      </c>
      <c r="J656" s="138" t="s">
        <v>1172</v>
      </c>
      <c r="K656" s="141" t="str">
        <f t="shared" si="257"/>
        <v>NVT</v>
      </c>
      <c r="L656" s="141" t="str">
        <f t="shared" si="258"/>
        <v>NVT</v>
      </c>
      <c r="M656" s="141" t="str">
        <f t="shared" si="259"/>
        <v>NVT</v>
      </c>
      <c r="N656" s="141" t="str">
        <f t="shared" si="260"/>
        <v>NVT</v>
      </c>
      <c r="O656" s="141" t="str">
        <f t="shared" si="261"/>
        <v>NVT</v>
      </c>
      <c r="P656" s="141" t="str">
        <f t="shared" si="262"/>
        <v>NVT</v>
      </c>
      <c r="Q656" s="141" t="str">
        <f t="shared" si="263"/>
        <v>NVT</v>
      </c>
      <c r="R656" s="63" t="s">
        <v>1221</v>
      </c>
      <c r="S656" s="142">
        <f t="shared" si="271"/>
        <v>0</v>
      </c>
      <c r="T656" s="143">
        <v>14.9</v>
      </c>
      <c r="U656" s="144"/>
      <c r="V656" s="144"/>
      <c r="W656" s="144"/>
      <c r="X656" s="144"/>
      <c r="Y656" s="144">
        <v>56.800000000000004</v>
      </c>
      <c r="Z656" s="145"/>
      <c r="AA656" s="145"/>
      <c r="AB656" s="145">
        <f>T656</f>
        <v>14.9</v>
      </c>
      <c r="AC656" s="145"/>
      <c r="AD656" s="146"/>
      <c r="AE656" s="171">
        <v>1</v>
      </c>
      <c r="AF656" s="147">
        <f t="shared" si="264"/>
        <v>0</v>
      </c>
      <c r="AG656" s="147">
        <f t="shared" si="265"/>
        <v>0</v>
      </c>
      <c r="AH656" s="147">
        <f t="shared" si="266"/>
        <v>0</v>
      </c>
      <c r="AI656" s="147">
        <f t="shared" si="267"/>
        <v>0</v>
      </c>
      <c r="AJ656" s="148">
        <f t="shared" si="268"/>
        <v>0</v>
      </c>
      <c r="AK656" s="149">
        <f t="shared" si="251"/>
        <v>0</v>
      </c>
      <c r="AL656" s="149">
        <f t="shared" si="252"/>
        <v>0</v>
      </c>
      <c r="AM656" s="149">
        <f t="shared" si="253"/>
        <v>0</v>
      </c>
      <c r="AN656" s="149">
        <f t="shared" si="254"/>
        <v>0</v>
      </c>
      <c r="AO656" s="150">
        <f t="shared" si="269"/>
        <v>0</v>
      </c>
      <c r="AQ656" s="151">
        <f t="shared" si="270"/>
        <v>0</v>
      </c>
    </row>
    <row r="657" spans="1:43" ht="15" customHeight="1">
      <c r="A657" s="82" t="e">
        <f t="shared" si="255"/>
        <v>#REF!</v>
      </c>
      <c r="B657" s="134">
        <v>107</v>
      </c>
      <c r="C657" s="135" t="s">
        <v>437</v>
      </c>
      <c r="D657" s="136" t="s">
        <v>39</v>
      </c>
      <c r="E657" s="137"/>
      <c r="F657" s="138" t="s">
        <v>430</v>
      </c>
      <c r="G657" s="139" t="s">
        <v>100</v>
      </c>
      <c r="H657" s="140" t="str">
        <f t="shared" si="256"/>
        <v>Niet van toepassing</v>
      </c>
      <c r="I657" s="138" t="s">
        <v>195</v>
      </c>
      <c r="J657" s="138" t="s">
        <v>1172</v>
      </c>
      <c r="K657" s="141" t="str">
        <f t="shared" si="257"/>
        <v>NVT</v>
      </c>
      <c r="L657" s="141" t="str">
        <f t="shared" si="258"/>
        <v>NVT</v>
      </c>
      <c r="M657" s="141" t="str">
        <f t="shared" si="259"/>
        <v>NVT</v>
      </c>
      <c r="N657" s="141" t="str">
        <f t="shared" si="260"/>
        <v>NVT</v>
      </c>
      <c r="O657" s="141" t="str">
        <f t="shared" si="261"/>
        <v>NVT</v>
      </c>
      <c r="P657" s="141" t="str">
        <f t="shared" si="262"/>
        <v>NVT</v>
      </c>
      <c r="Q657" s="141" t="str">
        <f t="shared" si="263"/>
        <v>NVT</v>
      </c>
      <c r="R657" s="63" t="s">
        <v>1221</v>
      </c>
      <c r="S657" s="142">
        <f t="shared" si="271"/>
        <v>0</v>
      </c>
      <c r="T657" s="143">
        <v>3.7</v>
      </c>
      <c r="U657" s="144"/>
      <c r="V657" s="144"/>
      <c r="W657" s="144">
        <v>27.400000000000002</v>
      </c>
      <c r="X657" s="144"/>
      <c r="Y657" s="144"/>
      <c r="Z657" s="145"/>
      <c r="AA657" s="145">
        <f>T657</f>
        <v>3.7</v>
      </c>
      <c r="AB657" s="145"/>
      <c r="AC657" s="145"/>
      <c r="AD657" s="146"/>
      <c r="AE657" s="171">
        <v>1</v>
      </c>
      <c r="AF657" s="147">
        <f t="shared" si="264"/>
        <v>0</v>
      </c>
      <c r="AG657" s="147">
        <f t="shared" si="265"/>
        <v>0</v>
      </c>
      <c r="AH657" s="147">
        <f t="shared" si="266"/>
        <v>0</v>
      </c>
      <c r="AI657" s="147">
        <f t="shared" si="267"/>
        <v>0</v>
      </c>
      <c r="AJ657" s="148">
        <f t="shared" si="268"/>
        <v>0</v>
      </c>
      <c r="AK657" s="149">
        <f t="shared" si="251"/>
        <v>0</v>
      </c>
      <c r="AL657" s="149">
        <f t="shared" si="252"/>
        <v>0</v>
      </c>
      <c r="AM657" s="149">
        <f t="shared" si="253"/>
        <v>0</v>
      </c>
      <c r="AN657" s="149">
        <f t="shared" si="254"/>
        <v>0</v>
      </c>
      <c r="AO657" s="150">
        <f t="shared" si="269"/>
        <v>0</v>
      </c>
      <c r="AQ657" s="151">
        <f t="shared" si="270"/>
        <v>0</v>
      </c>
    </row>
    <row r="658" spans="1:43" ht="15" customHeight="1">
      <c r="A658" s="82" t="e">
        <f t="shared" si="255"/>
        <v>#REF!</v>
      </c>
      <c r="B658" s="134">
        <v>107</v>
      </c>
      <c r="C658" s="135" t="s">
        <v>437</v>
      </c>
      <c r="D658" s="136" t="s">
        <v>39</v>
      </c>
      <c r="E658" s="137"/>
      <c r="F658" s="138" t="s">
        <v>215</v>
      </c>
      <c r="G658" s="139" t="s">
        <v>157</v>
      </c>
      <c r="H658" s="140" t="str">
        <f t="shared" si="256"/>
        <v>Niet van toepassing</v>
      </c>
      <c r="I658" s="138" t="s">
        <v>18</v>
      </c>
      <c r="J658" s="138" t="s">
        <v>1172</v>
      </c>
      <c r="K658" s="141" t="str">
        <f t="shared" si="257"/>
        <v>NVT</v>
      </c>
      <c r="L658" s="141" t="str">
        <f t="shared" si="258"/>
        <v>NVT</v>
      </c>
      <c r="M658" s="141" t="str">
        <f t="shared" si="259"/>
        <v>NVT</v>
      </c>
      <c r="N658" s="141" t="str">
        <f t="shared" si="260"/>
        <v>NVT</v>
      </c>
      <c r="O658" s="141" t="str">
        <f t="shared" si="261"/>
        <v>NVT</v>
      </c>
      <c r="P658" s="141" t="str">
        <f t="shared" si="262"/>
        <v>NVT</v>
      </c>
      <c r="Q658" s="141" t="str">
        <f t="shared" si="263"/>
        <v>NVT</v>
      </c>
      <c r="R658" s="63" t="s">
        <v>1221</v>
      </c>
      <c r="S658" s="142">
        <f t="shared" si="271"/>
        <v>0</v>
      </c>
      <c r="T658" s="143">
        <v>9.8000000000000007</v>
      </c>
      <c r="U658" s="144"/>
      <c r="V658" s="144"/>
      <c r="W658" s="144">
        <v>11.2</v>
      </c>
      <c r="X658" s="144"/>
      <c r="Y658" s="144">
        <v>23</v>
      </c>
      <c r="Z658" s="145"/>
      <c r="AA658" s="145">
        <f>T658</f>
        <v>9.8000000000000007</v>
      </c>
      <c r="AB658" s="145"/>
      <c r="AC658" s="145"/>
      <c r="AD658" s="146"/>
      <c r="AE658" s="171">
        <v>1</v>
      </c>
      <c r="AF658" s="147">
        <f t="shared" si="264"/>
        <v>0</v>
      </c>
      <c r="AG658" s="147">
        <f t="shared" si="265"/>
        <v>0</v>
      </c>
      <c r="AH658" s="147">
        <f t="shared" si="266"/>
        <v>0</v>
      </c>
      <c r="AI658" s="147">
        <f t="shared" si="267"/>
        <v>0</v>
      </c>
      <c r="AJ658" s="148">
        <f t="shared" si="268"/>
        <v>0</v>
      </c>
      <c r="AK658" s="149">
        <f t="shared" si="251"/>
        <v>0</v>
      </c>
      <c r="AL658" s="149">
        <f t="shared" si="252"/>
        <v>0</v>
      </c>
      <c r="AM658" s="149">
        <f t="shared" si="253"/>
        <v>0</v>
      </c>
      <c r="AN658" s="149">
        <f t="shared" si="254"/>
        <v>0</v>
      </c>
      <c r="AO658" s="150">
        <f t="shared" si="269"/>
        <v>0</v>
      </c>
      <c r="AQ658" s="151">
        <f t="shared" si="270"/>
        <v>0</v>
      </c>
    </row>
    <row r="659" spans="1:43" ht="15" customHeight="1">
      <c r="A659" s="82" t="e">
        <f t="shared" si="255"/>
        <v>#REF!</v>
      </c>
      <c r="B659" s="134">
        <v>107</v>
      </c>
      <c r="C659" s="135" t="s">
        <v>437</v>
      </c>
      <c r="D659" s="136" t="s">
        <v>39</v>
      </c>
      <c r="E659" s="137"/>
      <c r="F659" s="138" t="s">
        <v>292</v>
      </c>
      <c r="G659" s="139" t="s">
        <v>431</v>
      </c>
      <c r="H659" s="140" t="str">
        <f t="shared" si="256"/>
        <v>Niet van toepassing</v>
      </c>
      <c r="I659" s="138" t="s">
        <v>254</v>
      </c>
      <c r="J659" s="138" t="s">
        <v>1172</v>
      </c>
      <c r="K659" s="141" t="str">
        <f t="shared" si="257"/>
        <v>NVT</v>
      </c>
      <c r="L659" s="141" t="str">
        <f t="shared" si="258"/>
        <v>NVT</v>
      </c>
      <c r="M659" s="141" t="str">
        <f t="shared" si="259"/>
        <v>NVT</v>
      </c>
      <c r="N659" s="141" t="str">
        <f t="shared" si="260"/>
        <v>NVT</v>
      </c>
      <c r="O659" s="141" t="str">
        <f t="shared" si="261"/>
        <v>NVT</v>
      </c>
      <c r="P659" s="141" t="str">
        <f t="shared" si="262"/>
        <v>NVT</v>
      </c>
      <c r="Q659" s="141" t="str">
        <f t="shared" si="263"/>
        <v>NVT</v>
      </c>
      <c r="R659" s="63" t="s">
        <v>1221</v>
      </c>
      <c r="S659" s="142">
        <f t="shared" si="271"/>
        <v>0</v>
      </c>
      <c r="T659" s="143">
        <v>10.9</v>
      </c>
      <c r="U659" s="144"/>
      <c r="V659" s="144"/>
      <c r="W659" s="144">
        <v>51.800000000000004</v>
      </c>
      <c r="X659" s="144"/>
      <c r="Y659" s="144"/>
      <c r="Z659" s="145"/>
      <c r="AA659" s="145">
        <f>T659</f>
        <v>10.9</v>
      </c>
      <c r="AB659" s="145"/>
      <c r="AC659" s="145"/>
      <c r="AD659" s="146"/>
      <c r="AE659" s="171">
        <v>1</v>
      </c>
      <c r="AF659" s="147">
        <f t="shared" si="264"/>
        <v>0</v>
      </c>
      <c r="AG659" s="147">
        <f t="shared" si="265"/>
        <v>0</v>
      </c>
      <c r="AH659" s="147">
        <f t="shared" si="266"/>
        <v>0</v>
      </c>
      <c r="AI659" s="147">
        <f t="shared" si="267"/>
        <v>0</v>
      </c>
      <c r="AJ659" s="148">
        <f t="shared" si="268"/>
        <v>0</v>
      </c>
      <c r="AK659" s="149">
        <f t="shared" si="251"/>
        <v>0</v>
      </c>
      <c r="AL659" s="149">
        <f t="shared" si="252"/>
        <v>0</v>
      </c>
      <c r="AM659" s="149">
        <f t="shared" si="253"/>
        <v>0</v>
      </c>
      <c r="AN659" s="149">
        <f t="shared" si="254"/>
        <v>0</v>
      </c>
      <c r="AO659" s="150">
        <f t="shared" si="269"/>
        <v>0</v>
      </c>
      <c r="AQ659" s="151">
        <f t="shared" si="270"/>
        <v>0</v>
      </c>
    </row>
    <row r="660" spans="1:43" ht="15" customHeight="1">
      <c r="A660" s="82" t="e">
        <f t="shared" si="255"/>
        <v>#REF!</v>
      </c>
      <c r="B660" s="134">
        <v>107</v>
      </c>
      <c r="C660" s="135" t="s">
        <v>437</v>
      </c>
      <c r="D660" s="136" t="s">
        <v>39</v>
      </c>
      <c r="E660" s="137"/>
      <c r="F660" s="138" t="s">
        <v>398</v>
      </c>
      <c r="G660" s="139" t="s">
        <v>432</v>
      </c>
      <c r="H660" s="140" t="str">
        <f t="shared" si="256"/>
        <v>Kantoren/spreekkamers</v>
      </c>
      <c r="I660" s="138" t="s">
        <v>270</v>
      </c>
      <c r="J660" s="138" t="s">
        <v>1170</v>
      </c>
      <c r="K660" s="141" t="str">
        <f t="shared" si="257"/>
        <v>Volledig</v>
      </c>
      <c r="L660" s="141" t="str">
        <f t="shared" si="258"/>
        <v>naloop</v>
      </c>
      <c r="M660" s="141" t="str">
        <f t="shared" si="259"/>
        <v>naloop</v>
      </c>
      <c r="N660" s="141" t="str">
        <f t="shared" si="260"/>
        <v>Volledig</v>
      </c>
      <c r="O660" s="141" t="str">
        <f t="shared" si="261"/>
        <v>naloop</v>
      </c>
      <c r="P660" s="141" t="str">
        <f t="shared" si="262"/>
        <v>naloop</v>
      </c>
      <c r="Q660" s="141" t="str">
        <f t="shared" si="263"/>
        <v>naloop</v>
      </c>
      <c r="R660" s="63" t="s">
        <v>1219</v>
      </c>
      <c r="S660" s="142">
        <f t="shared" si="271"/>
        <v>365</v>
      </c>
      <c r="T660" s="143">
        <v>15.7</v>
      </c>
      <c r="U660" s="144">
        <v>9.4</v>
      </c>
      <c r="V660" s="144"/>
      <c r="W660" s="144"/>
      <c r="X660" s="144"/>
      <c r="Y660" s="144">
        <v>14.8</v>
      </c>
      <c r="Z660" s="145"/>
      <c r="AA660" s="145"/>
      <c r="AB660" s="145">
        <f>T660</f>
        <v>15.7</v>
      </c>
      <c r="AC660" s="145"/>
      <c r="AD660" s="146" t="s">
        <v>436</v>
      </c>
      <c r="AE660" s="171">
        <v>1</v>
      </c>
      <c r="AF660" s="147">
        <f t="shared" si="264"/>
        <v>0</v>
      </c>
      <c r="AG660" s="147">
        <f t="shared" si="265"/>
        <v>0</v>
      </c>
      <c r="AH660" s="147">
        <f t="shared" si="266"/>
        <v>0</v>
      </c>
      <c r="AI660" s="147">
        <f t="shared" si="267"/>
        <v>0</v>
      </c>
      <c r="AJ660" s="148" t="str">
        <f t="shared" si="268"/>
        <v>nee</v>
      </c>
      <c r="AK660" s="149">
        <f t="shared" si="251"/>
        <v>0</v>
      </c>
      <c r="AL660" s="149">
        <f t="shared" si="252"/>
        <v>0</v>
      </c>
      <c r="AM660" s="149">
        <f t="shared" si="253"/>
        <v>0</v>
      </c>
      <c r="AN660" s="149">
        <f t="shared" si="254"/>
        <v>0</v>
      </c>
      <c r="AO660" s="150" t="str">
        <f t="shared" si="269"/>
        <v>B</v>
      </c>
      <c r="AQ660" s="151">
        <f t="shared" si="270"/>
        <v>5730.5</v>
      </c>
    </row>
    <row r="661" spans="1:43" ht="15" customHeight="1">
      <c r="A661" s="82" t="e">
        <f t="shared" si="255"/>
        <v>#REF!</v>
      </c>
      <c r="B661" s="134">
        <v>107</v>
      </c>
      <c r="C661" s="135" t="s">
        <v>437</v>
      </c>
      <c r="D661" s="136" t="s">
        <v>39</v>
      </c>
      <c r="E661" s="137"/>
      <c r="F661" s="138" t="s">
        <v>433</v>
      </c>
      <c r="G661" s="139" t="s">
        <v>217</v>
      </c>
      <c r="H661" s="140" t="str">
        <f t="shared" si="256"/>
        <v>Niet van toepassing</v>
      </c>
      <c r="I661" s="138" t="s">
        <v>35</v>
      </c>
      <c r="J661" s="138" t="s">
        <v>1172</v>
      </c>
      <c r="K661" s="141" t="str">
        <f t="shared" si="257"/>
        <v>NVT</v>
      </c>
      <c r="L661" s="141" t="str">
        <f t="shared" si="258"/>
        <v>NVT</v>
      </c>
      <c r="M661" s="141" t="str">
        <f t="shared" si="259"/>
        <v>NVT</v>
      </c>
      <c r="N661" s="141" t="str">
        <f t="shared" si="260"/>
        <v>NVT</v>
      </c>
      <c r="O661" s="141" t="str">
        <f t="shared" si="261"/>
        <v>NVT</v>
      </c>
      <c r="P661" s="141" t="str">
        <f t="shared" si="262"/>
        <v>NVT</v>
      </c>
      <c r="Q661" s="141" t="str">
        <f t="shared" si="263"/>
        <v>NVT</v>
      </c>
      <c r="R661" s="63" t="s">
        <v>1221</v>
      </c>
      <c r="S661" s="142">
        <f t="shared" si="271"/>
        <v>0</v>
      </c>
      <c r="T661" s="143">
        <v>2.2999999999999998</v>
      </c>
      <c r="U661" s="144"/>
      <c r="V661" s="144"/>
      <c r="W661" s="144">
        <v>15.499999999999998</v>
      </c>
      <c r="X661" s="144"/>
      <c r="Y661" s="144"/>
      <c r="Z661" s="145"/>
      <c r="AA661" s="145">
        <f>T661</f>
        <v>2.2999999999999998</v>
      </c>
      <c r="AB661" s="145"/>
      <c r="AC661" s="145"/>
      <c r="AD661" s="146"/>
      <c r="AE661" s="171">
        <v>1</v>
      </c>
      <c r="AF661" s="147">
        <f t="shared" si="264"/>
        <v>0</v>
      </c>
      <c r="AG661" s="147">
        <f t="shared" si="265"/>
        <v>0</v>
      </c>
      <c r="AH661" s="147">
        <f t="shared" si="266"/>
        <v>0</v>
      </c>
      <c r="AI661" s="147">
        <f t="shared" si="267"/>
        <v>0</v>
      </c>
      <c r="AJ661" s="148">
        <f t="shared" si="268"/>
        <v>0</v>
      </c>
      <c r="AK661" s="149">
        <f t="shared" si="251"/>
        <v>0</v>
      </c>
      <c r="AL661" s="149">
        <f t="shared" si="252"/>
        <v>0</v>
      </c>
      <c r="AM661" s="149">
        <f t="shared" si="253"/>
        <v>0</v>
      </c>
      <c r="AN661" s="149">
        <f t="shared" si="254"/>
        <v>0</v>
      </c>
      <c r="AO661" s="150">
        <f t="shared" si="269"/>
        <v>0</v>
      </c>
      <c r="AQ661" s="151">
        <f t="shared" si="270"/>
        <v>0</v>
      </c>
    </row>
    <row r="662" spans="1:43" ht="15" customHeight="1">
      <c r="A662" s="82" t="e">
        <f t="shared" si="255"/>
        <v>#REF!</v>
      </c>
      <c r="B662" s="134">
        <v>107</v>
      </c>
      <c r="C662" s="135" t="s">
        <v>437</v>
      </c>
      <c r="D662" s="136" t="s">
        <v>39</v>
      </c>
      <c r="E662" s="137"/>
      <c r="F662" s="138" t="s">
        <v>433</v>
      </c>
      <c r="G662" s="139" t="s">
        <v>243</v>
      </c>
      <c r="H662" s="140" t="str">
        <f t="shared" si="256"/>
        <v>Niet van toepassing</v>
      </c>
      <c r="I662" s="138" t="s">
        <v>35</v>
      </c>
      <c r="J662" s="138" t="s">
        <v>1172</v>
      </c>
      <c r="K662" s="141" t="str">
        <f t="shared" si="257"/>
        <v>NVT</v>
      </c>
      <c r="L662" s="141" t="str">
        <f t="shared" si="258"/>
        <v>NVT</v>
      </c>
      <c r="M662" s="141" t="str">
        <f t="shared" si="259"/>
        <v>NVT</v>
      </c>
      <c r="N662" s="141" t="str">
        <f t="shared" si="260"/>
        <v>NVT</v>
      </c>
      <c r="O662" s="141" t="str">
        <f t="shared" si="261"/>
        <v>NVT</v>
      </c>
      <c r="P662" s="141" t="str">
        <f t="shared" si="262"/>
        <v>NVT</v>
      </c>
      <c r="Q662" s="141" t="str">
        <f t="shared" si="263"/>
        <v>NVT</v>
      </c>
      <c r="R662" s="63" t="s">
        <v>1221</v>
      </c>
      <c r="S662" s="142">
        <f t="shared" si="271"/>
        <v>0</v>
      </c>
      <c r="T662" s="143">
        <v>2.2000000000000002</v>
      </c>
      <c r="U662" s="144"/>
      <c r="V662" s="144"/>
      <c r="W662" s="144">
        <v>14.299999999999999</v>
      </c>
      <c r="X662" s="144"/>
      <c r="Y662" s="144"/>
      <c r="Z662" s="145"/>
      <c r="AA662" s="145">
        <f>T662</f>
        <v>2.2000000000000002</v>
      </c>
      <c r="AB662" s="145"/>
      <c r="AC662" s="145"/>
      <c r="AD662" s="146"/>
      <c r="AE662" s="171">
        <v>1</v>
      </c>
      <c r="AF662" s="147">
        <f t="shared" si="264"/>
        <v>0</v>
      </c>
      <c r="AG662" s="147">
        <f t="shared" si="265"/>
        <v>0</v>
      </c>
      <c r="AH662" s="147">
        <f t="shared" si="266"/>
        <v>0</v>
      </c>
      <c r="AI662" s="147">
        <f t="shared" si="267"/>
        <v>0</v>
      </c>
      <c r="AJ662" s="148">
        <f t="shared" si="268"/>
        <v>0</v>
      </c>
      <c r="AK662" s="149">
        <f t="shared" si="251"/>
        <v>0</v>
      </c>
      <c r="AL662" s="149">
        <f t="shared" si="252"/>
        <v>0</v>
      </c>
      <c r="AM662" s="149">
        <f t="shared" si="253"/>
        <v>0</v>
      </c>
      <c r="AN662" s="149">
        <f t="shared" si="254"/>
        <v>0</v>
      </c>
      <c r="AO662" s="150">
        <f t="shared" si="269"/>
        <v>0</v>
      </c>
      <c r="AQ662" s="151">
        <f t="shared" si="270"/>
        <v>0</v>
      </c>
    </row>
    <row r="663" spans="1:43" ht="15" customHeight="1">
      <c r="A663" s="82" t="e">
        <f t="shared" si="255"/>
        <v>#REF!</v>
      </c>
      <c r="B663" s="134">
        <v>108</v>
      </c>
      <c r="C663" s="135" t="s">
        <v>381</v>
      </c>
      <c r="D663" s="136" t="s">
        <v>39</v>
      </c>
      <c r="E663" s="137"/>
      <c r="F663" s="138" t="s">
        <v>382</v>
      </c>
      <c r="G663" s="139" t="s">
        <v>383</v>
      </c>
      <c r="H663" s="140" t="str">
        <f t="shared" si="256"/>
        <v>Perrons</v>
      </c>
      <c r="I663" s="138" t="s">
        <v>254</v>
      </c>
      <c r="J663" s="138" t="s">
        <v>1170</v>
      </c>
      <c r="K663" s="141" t="str">
        <f t="shared" si="257"/>
        <v>Volledig</v>
      </c>
      <c r="L663" s="141" t="str">
        <f t="shared" si="258"/>
        <v>naloop</v>
      </c>
      <c r="M663" s="141" t="str">
        <f t="shared" si="259"/>
        <v>naloop</v>
      </c>
      <c r="N663" s="141" t="str">
        <f t="shared" si="260"/>
        <v>Volledig</v>
      </c>
      <c r="O663" s="141" t="str">
        <f t="shared" si="261"/>
        <v>naloop</v>
      </c>
      <c r="P663" s="141" t="str">
        <f t="shared" si="262"/>
        <v>naloop</v>
      </c>
      <c r="Q663" s="141" t="str">
        <f t="shared" si="263"/>
        <v>naloop</v>
      </c>
      <c r="R663" s="63" t="s">
        <v>1472</v>
      </c>
      <c r="S663" s="142">
        <f t="shared" si="271"/>
        <v>365</v>
      </c>
      <c r="T663" s="143">
        <v>1452.88</v>
      </c>
      <c r="U663" s="144"/>
      <c r="V663" s="144"/>
      <c r="W663" s="144"/>
      <c r="X663" s="144"/>
      <c r="Y663" s="144"/>
      <c r="Z663" s="145">
        <f>49.49*10.2</f>
        <v>504.798</v>
      </c>
      <c r="AA663" s="145"/>
      <c r="AB663" s="145"/>
      <c r="AC663" s="145"/>
      <c r="AD663" s="146"/>
      <c r="AE663" s="171">
        <v>1</v>
      </c>
      <c r="AF663" s="147">
        <f t="shared" si="264"/>
        <v>0</v>
      </c>
      <c r="AG663" s="147">
        <f t="shared" si="265"/>
        <v>0</v>
      </c>
      <c r="AH663" s="147">
        <f t="shared" si="266"/>
        <v>0</v>
      </c>
      <c r="AI663" s="147">
        <f t="shared" si="267"/>
        <v>0</v>
      </c>
      <c r="AJ663" s="148" t="str">
        <f t="shared" si="268"/>
        <v>ja</v>
      </c>
      <c r="AK663" s="149">
        <f t="shared" si="251"/>
        <v>0</v>
      </c>
      <c r="AL663" s="149">
        <f t="shared" si="252"/>
        <v>0</v>
      </c>
      <c r="AM663" s="149">
        <f t="shared" si="253"/>
        <v>0</v>
      </c>
      <c r="AN663" s="149">
        <f t="shared" si="254"/>
        <v>0</v>
      </c>
      <c r="AO663" s="150" t="str">
        <f t="shared" si="269"/>
        <v>V</v>
      </c>
      <c r="AQ663" s="151">
        <f t="shared" si="270"/>
        <v>530301.20000000007</v>
      </c>
    </row>
    <row r="664" spans="1:43" ht="15" customHeight="1">
      <c r="A664" s="82" t="e">
        <f t="shared" si="255"/>
        <v>#REF!</v>
      </c>
      <c r="B664" s="134">
        <v>108</v>
      </c>
      <c r="C664" s="135" t="s">
        <v>381</v>
      </c>
      <c r="D664" s="136" t="s">
        <v>39</v>
      </c>
      <c r="E664" s="137"/>
      <c r="F664" s="138" t="s">
        <v>384</v>
      </c>
      <c r="G664" s="139" t="s">
        <v>185</v>
      </c>
      <c r="H664" s="140" t="str">
        <f t="shared" si="256"/>
        <v>Perrons</v>
      </c>
      <c r="I664" s="138" t="s">
        <v>254</v>
      </c>
      <c r="J664" s="138" t="s">
        <v>1170</v>
      </c>
      <c r="K664" s="141" t="str">
        <f t="shared" si="257"/>
        <v>Volledig</v>
      </c>
      <c r="L664" s="141" t="str">
        <f t="shared" si="258"/>
        <v>naloop</v>
      </c>
      <c r="M664" s="141" t="str">
        <f t="shared" si="259"/>
        <v>naloop</v>
      </c>
      <c r="N664" s="141" t="str">
        <f t="shared" si="260"/>
        <v>Volledig</v>
      </c>
      <c r="O664" s="141" t="str">
        <f t="shared" si="261"/>
        <v>naloop</v>
      </c>
      <c r="P664" s="141" t="str">
        <f t="shared" si="262"/>
        <v>naloop</v>
      </c>
      <c r="Q664" s="141" t="str">
        <f t="shared" si="263"/>
        <v>naloop</v>
      </c>
      <c r="R664" s="63" t="s">
        <v>1472</v>
      </c>
      <c r="S664" s="142">
        <f t="shared" si="271"/>
        <v>365</v>
      </c>
      <c r="T664" s="143">
        <v>1460.63</v>
      </c>
      <c r="U664" s="144"/>
      <c r="V664" s="144"/>
      <c r="W664" s="144"/>
      <c r="X664" s="144"/>
      <c r="Y664" s="144"/>
      <c r="Z664" s="145">
        <f>49.49*10.2</f>
        <v>504.798</v>
      </c>
      <c r="AA664" s="145"/>
      <c r="AB664" s="145"/>
      <c r="AC664" s="145"/>
      <c r="AD664" s="146"/>
      <c r="AE664" s="171">
        <v>1</v>
      </c>
      <c r="AF664" s="147">
        <f t="shared" si="264"/>
        <v>0</v>
      </c>
      <c r="AG664" s="147">
        <f t="shared" si="265"/>
        <v>0</v>
      </c>
      <c r="AH664" s="147">
        <f t="shared" si="266"/>
        <v>0</v>
      </c>
      <c r="AI664" s="147">
        <f t="shared" si="267"/>
        <v>0</v>
      </c>
      <c r="AJ664" s="148" t="str">
        <f t="shared" si="268"/>
        <v>ja</v>
      </c>
      <c r="AK664" s="149">
        <f t="shared" si="251"/>
        <v>0</v>
      </c>
      <c r="AL664" s="149">
        <f t="shared" si="252"/>
        <v>0</v>
      </c>
      <c r="AM664" s="149">
        <f t="shared" si="253"/>
        <v>0</v>
      </c>
      <c r="AN664" s="149">
        <f t="shared" si="254"/>
        <v>0</v>
      </c>
      <c r="AO664" s="150" t="str">
        <f t="shared" si="269"/>
        <v>V</v>
      </c>
      <c r="AQ664" s="151">
        <f t="shared" si="270"/>
        <v>533129.95000000007</v>
      </c>
    </row>
    <row r="665" spans="1:43" ht="15" customHeight="1">
      <c r="A665" s="82" t="e">
        <f t="shared" si="255"/>
        <v>#REF!</v>
      </c>
      <c r="B665" s="134">
        <v>108</v>
      </c>
      <c r="C665" s="135" t="s">
        <v>381</v>
      </c>
      <c r="D665" s="136" t="s">
        <v>39</v>
      </c>
      <c r="E665" s="137"/>
      <c r="F665" s="138" t="s">
        <v>385</v>
      </c>
      <c r="G665" s="139" t="s">
        <v>187</v>
      </c>
      <c r="H665" s="140" t="str">
        <f t="shared" si="256"/>
        <v>Trappen</v>
      </c>
      <c r="I665" s="138" t="s">
        <v>118</v>
      </c>
      <c r="J665" s="138" t="s">
        <v>1170</v>
      </c>
      <c r="K665" s="141" t="str">
        <f t="shared" si="257"/>
        <v>Volledig</v>
      </c>
      <c r="L665" s="141" t="str">
        <f t="shared" si="258"/>
        <v>naloop</v>
      </c>
      <c r="M665" s="141" t="str">
        <f t="shared" si="259"/>
        <v>naloop</v>
      </c>
      <c r="N665" s="141" t="str">
        <f t="shared" si="260"/>
        <v>Volledig</v>
      </c>
      <c r="O665" s="141" t="str">
        <f t="shared" si="261"/>
        <v>naloop</v>
      </c>
      <c r="P665" s="141" t="str">
        <f t="shared" si="262"/>
        <v>naloop</v>
      </c>
      <c r="Q665" s="141" t="str">
        <f t="shared" si="263"/>
        <v>naloop</v>
      </c>
      <c r="R665" s="63" t="s">
        <v>1476</v>
      </c>
      <c r="S665" s="142">
        <f t="shared" si="271"/>
        <v>365</v>
      </c>
      <c r="T665" s="143">
        <v>45.6</v>
      </c>
      <c r="U665" s="144"/>
      <c r="V665" s="144"/>
      <c r="W665" s="144"/>
      <c r="X665" s="144"/>
      <c r="Y665" s="144"/>
      <c r="Z665" s="145"/>
      <c r="AA665" s="145"/>
      <c r="AB665" s="145"/>
      <c r="AC665" s="145"/>
      <c r="AD665" s="146"/>
      <c r="AE665" s="171">
        <v>1</v>
      </c>
      <c r="AF665" s="147">
        <f t="shared" si="264"/>
        <v>0</v>
      </c>
      <c r="AG665" s="147">
        <f t="shared" si="265"/>
        <v>0</v>
      </c>
      <c r="AH665" s="147">
        <f t="shared" si="266"/>
        <v>0</v>
      </c>
      <c r="AI665" s="147">
        <f t="shared" si="267"/>
        <v>0</v>
      </c>
      <c r="AJ665" s="148" t="str">
        <f t="shared" si="268"/>
        <v>ja</v>
      </c>
      <c r="AK665" s="149">
        <f t="shared" si="251"/>
        <v>0</v>
      </c>
      <c r="AL665" s="149">
        <f t="shared" si="252"/>
        <v>0</v>
      </c>
      <c r="AM665" s="149">
        <f t="shared" si="253"/>
        <v>0</v>
      </c>
      <c r="AN665" s="149">
        <f t="shared" si="254"/>
        <v>0</v>
      </c>
      <c r="AO665" s="150" t="str">
        <f t="shared" si="269"/>
        <v>V</v>
      </c>
      <c r="AQ665" s="151">
        <f t="shared" si="270"/>
        <v>16644</v>
      </c>
    </row>
    <row r="666" spans="1:43" ht="15" customHeight="1">
      <c r="A666" s="82" t="e">
        <f t="shared" si="255"/>
        <v>#REF!</v>
      </c>
      <c r="B666" s="134">
        <v>108</v>
      </c>
      <c r="C666" s="135" t="s">
        <v>381</v>
      </c>
      <c r="D666" s="136" t="s">
        <v>39</v>
      </c>
      <c r="E666" s="137"/>
      <c r="F666" s="138" t="s">
        <v>386</v>
      </c>
      <c r="G666" s="139" t="s">
        <v>189</v>
      </c>
      <c r="H666" s="140" t="str">
        <f t="shared" si="256"/>
        <v>Trappen</v>
      </c>
      <c r="I666" s="138" t="s">
        <v>118</v>
      </c>
      <c r="J666" s="138" t="s">
        <v>1170</v>
      </c>
      <c r="K666" s="141" t="str">
        <f t="shared" si="257"/>
        <v>Volledig</v>
      </c>
      <c r="L666" s="141" t="str">
        <f t="shared" si="258"/>
        <v>naloop</v>
      </c>
      <c r="M666" s="141" t="str">
        <f t="shared" si="259"/>
        <v>naloop</v>
      </c>
      <c r="N666" s="141" t="str">
        <f t="shared" si="260"/>
        <v>Volledig</v>
      </c>
      <c r="O666" s="141" t="str">
        <f t="shared" si="261"/>
        <v>naloop</v>
      </c>
      <c r="P666" s="141" t="str">
        <f t="shared" si="262"/>
        <v>naloop</v>
      </c>
      <c r="Q666" s="141" t="str">
        <f t="shared" si="263"/>
        <v>naloop</v>
      </c>
      <c r="R666" s="63" t="s">
        <v>1476</v>
      </c>
      <c r="S666" s="142">
        <f t="shared" si="271"/>
        <v>365</v>
      </c>
      <c r="T666" s="143">
        <v>45.6</v>
      </c>
      <c r="U666" s="144"/>
      <c r="V666" s="144"/>
      <c r="W666" s="144"/>
      <c r="X666" s="144"/>
      <c r="Y666" s="144"/>
      <c r="Z666" s="145"/>
      <c r="AA666" s="145"/>
      <c r="AB666" s="145"/>
      <c r="AC666" s="145"/>
      <c r="AD666" s="146"/>
      <c r="AE666" s="171">
        <v>1</v>
      </c>
      <c r="AF666" s="147">
        <f t="shared" si="264"/>
        <v>0</v>
      </c>
      <c r="AG666" s="147">
        <f t="shared" si="265"/>
        <v>0</v>
      </c>
      <c r="AH666" s="147">
        <f t="shared" si="266"/>
        <v>0</v>
      </c>
      <c r="AI666" s="147">
        <f t="shared" si="267"/>
        <v>0</v>
      </c>
      <c r="AJ666" s="148" t="str">
        <f t="shared" si="268"/>
        <v>ja</v>
      </c>
      <c r="AK666" s="149">
        <f t="shared" si="251"/>
        <v>0</v>
      </c>
      <c r="AL666" s="149">
        <f t="shared" si="252"/>
        <v>0</v>
      </c>
      <c r="AM666" s="149">
        <f t="shared" si="253"/>
        <v>0</v>
      </c>
      <c r="AN666" s="149">
        <f t="shared" si="254"/>
        <v>0</v>
      </c>
      <c r="AO666" s="150" t="str">
        <f t="shared" si="269"/>
        <v>V</v>
      </c>
      <c r="AQ666" s="151">
        <f t="shared" si="270"/>
        <v>16644</v>
      </c>
    </row>
    <row r="667" spans="1:43" ht="15" customHeight="1">
      <c r="A667" s="82" t="e">
        <f t="shared" si="255"/>
        <v>#REF!</v>
      </c>
      <c r="B667" s="134">
        <v>108</v>
      </c>
      <c r="C667" s="135" t="s">
        <v>381</v>
      </c>
      <c r="D667" s="136" t="s">
        <v>39</v>
      </c>
      <c r="E667" s="137"/>
      <c r="F667" s="138" t="s">
        <v>387</v>
      </c>
      <c r="G667" s="139" t="s">
        <v>191</v>
      </c>
      <c r="H667" s="140" t="str">
        <f t="shared" si="256"/>
        <v>Roltrappen(inclusief aangrenzende bouwdelen)</v>
      </c>
      <c r="I667" s="138" t="s">
        <v>1251</v>
      </c>
      <c r="J667" s="138" t="s">
        <v>1170</v>
      </c>
      <c r="K667" s="141" t="str">
        <f t="shared" si="257"/>
        <v>Volledig</v>
      </c>
      <c r="L667" s="141" t="str">
        <f t="shared" si="258"/>
        <v>naloop</v>
      </c>
      <c r="M667" s="141" t="str">
        <f t="shared" si="259"/>
        <v>naloop</v>
      </c>
      <c r="N667" s="141" t="str">
        <f t="shared" si="260"/>
        <v>Volledig</v>
      </c>
      <c r="O667" s="141" t="str">
        <f t="shared" si="261"/>
        <v>naloop</v>
      </c>
      <c r="P667" s="141" t="str">
        <f t="shared" si="262"/>
        <v>naloop</v>
      </c>
      <c r="Q667" s="141" t="str">
        <f t="shared" si="263"/>
        <v>naloop</v>
      </c>
      <c r="R667" s="63" t="s">
        <v>1480</v>
      </c>
      <c r="S667" s="142">
        <f t="shared" si="271"/>
        <v>365</v>
      </c>
      <c r="T667" s="143">
        <v>27.6</v>
      </c>
      <c r="U667" s="144"/>
      <c r="V667" s="144"/>
      <c r="W667" s="144"/>
      <c r="X667" s="144"/>
      <c r="Y667" s="144"/>
      <c r="Z667" s="145"/>
      <c r="AA667" s="145"/>
      <c r="AB667" s="145"/>
      <c r="AC667" s="145"/>
      <c r="AD667" s="146"/>
      <c r="AE667" s="171">
        <v>1</v>
      </c>
      <c r="AF667" s="147">
        <f t="shared" si="264"/>
        <v>0</v>
      </c>
      <c r="AG667" s="147">
        <f t="shared" si="265"/>
        <v>0</v>
      </c>
      <c r="AH667" s="147">
        <f t="shared" si="266"/>
        <v>0</v>
      </c>
      <c r="AI667" s="147">
        <f t="shared" si="267"/>
        <v>0</v>
      </c>
      <c r="AJ667" s="148" t="str">
        <f t="shared" si="268"/>
        <v>ja</v>
      </c>
      <c r="AK667" s="149">
        <f t="shared" si="251"/>
        <v>0</v>
      </c>
      <c r="AL667" s="149">
        <f t="shared" si="252"/>
        <v>0</v>
      </c>
      <c r="AM667" s="149">
        <f t="shared" si="253"/>
        <v>0</v>
      </c>
      <c r="AN667" s="149">
        <f t="shared" si="254"/>
        <v>0</v>
      </c>
      <c r="AO667" s="150" t="str">
        <f t="shared" si="269"/>
        <v>V</v>
      </c>
      <c r="AQ667" s="151">
        <f t="shared" si="270"/>
        <v>10074</v>
      </c>
    </row>
    <row r="668" spans="1:43" ht="15" customHeight="1">
      <c r="A668" s="82" t="e">
        <f t="shared" si="255"/>
        <v>#REF!</v>
      </c>
      <c r="B668" s="134">
        <v>108</v>
      </c>
      <c r="C668" s="135" t="s">
        <v>381</v>
      </c>
      <c r="D668" s="136" t="s">
        <v>39</v>
      </c>
      <c r="E668" s="137"/>
      <c r="F668" s="138" t="s">
        <v>388</v>
      </c>
      <c r="G668" s="139" t="s">
        <v>193</v>
      </c>
      <c r="H668" s="140" t="str">
        <f t="shared" si="256"/>
        <v>Roltrappen(inclusief aangrenzende bouwdelen)</v>
      </c>
      <c r="I668" s="138" t="s">
        <v>1251</v>
      </c>
      <c r="J668" s="138" t="s">
        <v>1170</v>
      </c>
      <c r="K668" s="141" t="str">
        <f t="shared" si="257"/>
        <v>Volledig</v>
      </c>
      <c r="L668" s="141" t="str">
        <f t="shared" si="258"/>
        <v>naloop</v>
      </c>
      <c r="M668" s="141" t="str">
        <f t="shared" si="259"/>
        <v>naloop</v>
      </c>
      <c r="N668" s="141" t="str">
        <f t="shared" si="260"/>
        <v>Volledig</v>
      </c>
      <c r="O668" s="141" t="str">
        <f t="shared" si="261"/>
        <v>naloop</v>
      </c>
      <c r="P668" s="141" t="str">
        <f t="shared" si="262"/>
        <v>naloop</v>
      </c>
      <c r="Q668" s="141" t="str">
        <f t="shared" si="263"/>
        <v>naloop</v>
      </c>
      <c r="R668" s="63" t="s">
        <v>1480</v>
      </c>
      <c r="S668" s="142">
        <f t="shared" si="271"/>
        <v>365</v>
      </c>
      <c r="T668" s="143">
        <v>27.68</v>
      </c>
      <c r="U668" s="144"/>
      <c r="V668" s="144"/>
      <c r="W668" s="144"/>
      <c r="X668" s="144"/>
      <c r="Y668" s="144"/>
      <c r="Z668" s="145"/>
      <c r="AA668" s="145"/>
      <c r="AB668" s="145"/>
      <c r="AC668" s="145"/>
      <c r="AD668" s="146"/>
      <c r="AE668" s="171">
        <v>1</v>
      </c>
      <c r="AF668" s="147">
        <f t="shared" si="264"/>
        <v>0</v>
      </c>
      <c r="AG668" s="147">
        <f t="shared" si="265"/>
        <v>0</v>
      </c>
      <c r="AH668" s="147">
        <f t="shared" si="266"/>
        <v>0</v>
      </c>
      <c r="AI668" s="147">
        <f t="shared" si="267"/>
        <v>0</v>
      </c>
      <c r="AJ668" s="148" t="str">
        <f t="shared" si="268"/>
        <v>ja</v>
      </c>
      <c r="AK668" s="149">
        <f t="shared" si="251"/>
        <v>0</v>
      </c>
      <c r="AL668" s="149">
        <f t="shared" si="252"/>
        <v>0</v>
      </c>
      <c r="AM668" s="149">
        <f t="shared" si="253"/>
        <v>0</v>
      </c>
      <c r="AN668" s="149">
        <f t="shared" si="254"/>
        <v>0</v>
      </c>
      <c r="AO668" s="150" t="str">
        <f t="shared" si="269"/>
        <v>V</v>
      </c>
      <c r="AQ668" s="151">
        <f t="shared" si="270"/>
        <v>10103.200000000001</v>
      </c>
    </row>
    <row r="669" spans="1:43" ht="15" customHeight="1">
      <c r="A669" s="82" t="e">
        <f t="shared" si="255"/>
        <v>#REF!</v>
      </c>
      <c r="B669" s="134">
        <v>108</v>
      </c>
      <c r="C669" s="135" t="s">
        <v>381</v>
      </c>
      <c r="D669" s="136" t="s">
        <v>39</v>
      </c>
      <c r="E669" s="137"/>
      <c r="F669" s="138" t="s">
        <v>232</v>
      </c>
      <c r="G669" s="139" t="s">
        <v>389</v>
      </c>
      <c r="H669" s="140" t="str">
        <f t="shared" si="256"/>
        <v>Hallen</v>
      </c>
      <c r="I669" s="138" t="s">
        <v>195</v>
      </c>
      <c r="J669" s="138" t="s">
        <v>1170</v>
      </c>
      <c r="K669" s="141" t="str">
        <f t="shared" si="257"/>
        <v>Volledig</v>
      </c>
      <c r="L669" s="141" t="str">
        <f t="shared" si="258"/>
        <v>naloop</v>
      </c>
      <c r="M669" s="141" t="str">
        <f t="shared" si="259"/>
        <v>naloop</v>
      </c>
      <c r="N669" s="141" t="str">
        <f t="shared" si="260"/>
        <v>Volledig</v>
      </c>
      <c r="O669" s="141" t="str">
        <f t="shared" si="261"/>
        <v>naloop</v>
      </c>
      <c r="P669" s="141" t="str">
        <f t="shared" si="262"/>
        <v>naloop</v>
      </c>
      <c r="Q669" s="141" t="str">
        <f t="shared" si="263"/>
        <v>naloop</v>
      </c>
      <c r="R669" s="63" t="s">
        <v>1478</v>
      </c>
      <c r="S669" s="142">
        <f t="shared" si="271"/>
        <v>365</v>
      </c>
      <c r="T669" s="143">
        <v>338.83</v>
      </c>
      <c r="U669" s="144"/>
      <c r="V669" s="144"/>
      <c r="W669" s="144"/>
      <c r="X669" s="144"/>
      <c r="Y669" s="144">
        <v>975</v>
      </c>
      <c r="Z669" s="145"/>
      <c r="AA669" s="145"/>
      <c r="AB669" s="145">
        <f>T669</f>
        <v>338.83</v>
      </c>
      <c r="AC669" s="145"/>
      <c r="AD669" s="146" t="s">
        <v>419</v>
      </c>
      <c r="AE669" s="171">
        <v>1</v>
      </c>
      <c r="AF669" s="147">
        <f t="shared" si="264"/>
        <v>0</v>
      </c>
      <c r="AG669" s="147">
        <f t="shared" si="265"/>
        <v>0</v>
      </c>
      <c r="AH669" s="147">
        <f t="shared" si="266"/>
        <v>0</v>
      </c>
      <c r="AI669" s="147">
        <f t="shared" si="267"/>
        <v>0</v>
      </c>
      <c r="AJ669" s="148" t="str">
        <f t="shared" si="268"/>
        <v>ja</v>
      </c>
      <c r="AK669" s="149">
        <f t="shared" si="251"/>
        <v>0</v>
      </c>
      <c r="AL669" s="149">
        <f t="shared" si="252"/>
        <v>0</v>
      </c>
      <c r="AM669" s="149">
        <f t="shared" si="253"/>
        <v>0</v>
      </c>
      <c r="AN669" s="149">
        <f t="shared" si="254"/>
        <v>0</v>
      </c>
      <c r="AO669" s="150" t="str">
        <f t="shared" si="269"/>
        <v>V</v>
      </c>
      <c r="AQ669" s="151">
        <f t="shared" si="270"/>
        <v>123672.95</v>
      </c>
    </row>
    <row r="670" spans="1:43" ht="15" customHeight="1">
      <c r="A670" s="82" t="e">
        <f t="shared" si="255"/>
        <v>#REF!</v>
      </c>
      <c r="B670" s="134">
        <v>108</v>
      </c>
      <c r="C670" s="135" t="s">
        <v>381</v>
      </c>
      <c r="D670" s="136" t="s">
        <v>39</v>
      </c>
      <c r="E670" s="137"/>
      <c r="F670" s="138" t="s">
        <v>197</v>
      </c>
      <c r="G670" s="139" t="s">
        <v>390</v>
      </c>
      <c r="H670" s="140" t="str">
        <f t="shared" si="256"/>
        <v>Niet van toepassing</v>
      </c>
      <c r="I670" s="138" t="s">
        <v>195</v>
      </c>
      <c r="J670" s="138" t="s">
        <v>1172</v>
      </c>
      <c r="K670" s="141" t="str">
        <f t="shared" si="257"/>
        <v>NVT</v>
      </c>
      <c r="L670" s="141" t="str">
        <f t="shared" si="258"/>
        <v>NVT</v>
      </c>
      <c r="M670" s="141" t="str">
        <f t="shared" si="259"/>
        <v>NVT</v>
      </c>
      <c r="N670" s="141" t="str">
        <f t="shared" si="260"/>
        <v>NVT</v>
      </c>
      <c r="O670" s="141" t="str">
        <f t="shared" si="261"/>
        <v>NVT</v>
      </c>
      <c r="P670" s="141" t="str">
        <f t="shared" si="262"/>
        <v>NVT</v>
      </c>
      <c r="Q670" s="141" t="str">
        <f t="shared" si="263"/>
        <v>NVT</v>
      </c>
      <c r="R670" s="63" t="s">
        <v>1221</v>
      </c>
      <c r="S670" s="142">
        <f t="shared" si="271"/>
        <v>0</v>
      </c>
      <c r="T670" s="143">
        <v>13.88</v>
      </c>
      <c r="U670" s="144"/>
      <c r="V670" s="144"/>
      <c r="W670" s="144">
        <v>8.1999999999999993</v>
      </c>
      <c r="X670" s="144"/>
      <c r="Y670" s="144">
        <v>24.7</v>
      </c>
      <c r="Z670" s="145"/>
      <c r="AA670" s="145"/>
      <c r="AB670" s="145">
        <f>T670</f>
        <v>13.88</v>
      </c>
      <c r="AC670" s="145"/>
      <c r="AD670" s="146"/>
      <c r="AE670" s="171">
        <v>1</v>
      </c>
      <c r="AF670" s="147">
        <f t="shared" si="264"/>
        <v>0</v>
      </c>
      <c r="AG670" s="147">
        <f t="shared" si="265"/>
        <v>0</v>
      </c>
      <c r="AH670" s="147">
        <f t="shared" si="266"/>
        <v>0</v>
      </c>
      <c r="AI670" s="147">
        <f t="shared" si="267"/>
        <v>0</v>
      </c>
      <c r="AJ670" s="148">
        <f t="shared" si="268"/>
        <v>0</v>
      </c>
      <c r="AK670" s="149">
        <f t="shared" si="251"/>
        <v>0</v>
      </c>
      <c r="AL670" s="149">
        <f t="shared" si="252"/>
        <v>0</v>
      </c>
      <c r="AM670" s="149">
        <f t="shared" si="253"/>
        <v>0</v>
      </c>
      <c r="AN670" s="149">
        <f t="shared" si="254"/>
        <v>0</v>
      </c>
      <c r="AO670" s="150">
        <f t="shared" si="269"/>
        <v>0</v>
      </c>
      <c r="AQ670" s="151">
        <f t="shared" si="270"/>
        <v>0</v>
      </c>
    </row>
    <row r="671" spans="1:43" ht="15" customHeight="1">
      <c r="A671" s="82" t="e">
        <f t="shared" si="255"/>
        <v>#REF!</v>
      </c>
      <c r="B671" s="134">
        <v>108</v>
      </c>
      <c r="C671" s="135" t="s">
        <v>381</v>
      </c>
      <c r="D671" s="136" t="s">
        <v>39</v>
      </c>
      <c r="E671" s="137"/>
      <c r="F671" s="138" t="s">
        <v>76</v>
      </c>
      <c r="G671" s="139" t="s">
        <v>391</v>
      </c>
      <c r="H671" s="140" t="str">
        <f t="shared" si="256"/>
        <v>Niet van toepassing</v>
      </c>
      <c r="I671" s="138" t="s">
        <v>254</v>
      </c>
      <c r="J671" s="138" t="s">
        <v>1172</v>
      </c>
      <c r="K671" s="141" t="str">
        <f t="shared" si="257"/>
        <v>NVT</v>
      </c>
      <c r="L671" s="141" t="str">
        <f t="shared" si="258"/>
        <v>NVT</v>
      </c>
      <c r="M671" s="141" t="str">
        <f t="shared" si="259"/>
        <v>NVT</v>
      </c>
      <c r="N671" s="141" t="str">
        <f t="shared" si="260"/>
        <v>NVT</v>
      </c>
      <c r="O671" s="141" t="str">
        <f t="shared" si="261"/>
        <v>NVT</v>
      </c>
      <c r="P671" s="141" t="str">
        <f t="shared" si="262"/>
        <v>NVT</v>
      </c>
      <c r="Q671" s="141" t="str">
        <f t="shared" si="263"/>
        <v>NVT</v>
      </c>
      <c r="R671" s="63" t="s">
        <v>1221</v>
      </c>
      <c r="S671" s="142">
        <f t="shared" si="271"/>
        <v>0</v>
      </c>
      <c r="T671" s="143">
        <v>7.3</v>
      </c>
      <c r="U671" s="144"/>
      <c r="V671" s="144"/>
      <c r="W671" s="144"/>
      <c r="X671" s="144"/>
      <c r="Y671" s="144">
        <v>22.900000000000002</v>
      </c>
      <c r="Z671" s="145"/>
      <c r="AA671" s="145"/>
      <c r="AB671" s="145">
        <f>T671</f>
        <v>7.3</v>
      </c>
      <c r="AC671" s="145"/>
      <c r="AD671" s="146"/>
      <c r="AE671" s="171">
        <v>1</v>
      </c>
      <c r="AF671" s="147">
        <f t="shared" si="264"/>
        <v>0</v>
      </c>
      <c r="AG671" s="147">
        <f t="shared" si="265"/>
        <v>0</v>
      </c>
      <c r="AH671" s="147">
        <f t="shared" si="266"/>
        <v>0</v>
      </c>
      <c r="AI671" s="147">
        <f t="shared" si="267"/>
        <v>0</v>
      </c>
      <c r="AJ671" s="148">
        <f t="shared" si="268"/>
        <v>0</v>
      </c>
      <c r="AK671" s="149">
        <f t="shared" si="251"/>
        <v>0</v>
      </c>
      <c r="AL671" s="149">
        <f t="shared" si="252"/>
        <v>0</v>
      </c>
      <c r="AM671" s="149">
        <f t="shared" si="253"/>
        <v>0</v>
      </c>
      <c r="AN671" s="149">
        <f t="shared" si="254"/>
        <v>0</v>
      </c>
      <c r="AO671" s="150">
        <f t="shared" si="269"/>
        <v>0</v>
      </c>
      <c r="AQ671" s="151">
        <f t="shared" si="270"/>
        <v>0</v>
      </c>
    </row>
    <row r="672" spans="1:43" ht="15" customHeight="1">
      <c r="A672" s="82" t="e">
        <f t="shared" si="255"/>
        <v>#REF!</v>
      </c>
      <c r="B672" s="134">
        <v>108</v>
      </c>
      <c r="C672" s="135" t="s">
        <v>381</v>
      </c>
      <c r="D672" s="136" t="s">
        <v>39</v>
      </c>
      <c r="E672" s="137"/>
      <c r="F672" s="138" t="s">
        <v>206</v>
      </c>
      <c r="G672" s="139" t="s">
        <v>392</v>
      </c>
      <c r="H672" s="140" t="str">
        <f t="shared" si="256"/>
        <v>Berging/opslag/magazijn</v>
      </c>
      <c r="I672" s="138" t="s">
        <v>254</v>
      </c>
      <c r="J672" s="138" t="s">
        <v>1207</v>
      </c>
      <c r="K672" s="141" t="str">
        <f t="shared" si="257"/>
        <v>Zie Freq</v>
      </c>
      <c r="L672" s="141" t="str">
        <f t="shared" si="258"/>
        <v>Zie Freq</v>
      </c>
      <c r="M672" s="141" t="str">
        <f t="shared" si="259"/>
        <v>Zie Freq</v>
      </c>
      <c r="N672" s="141" t="str">
        <f t="shared" si="260"/>
        <v>Zie Freq</v>
      </c>
      <c r="O672" s="141" t="str">
        <f t="shared" si="261"/>
        <v>Zie Freq</v>
      </c>
      <c r="P672" s="141" t="str">
        <f t="shared" si="262"/>
        <v>NVT</v>
      </c>
      <c r="Q672" s="141" t="str">
        <f t="shared" si="263"/>
        <v>NVT</v>
      </c>
      <c r="R672" s="63" t="s">
        <v>1264</v>
      </c>
      <c r="S672" s="142">
        <f t="shared" si="271"/>
        <v>2</v>
      </c>
      <c r="T672" s="143">
        <v>4.3</v>
      </c>
      <c r="U672" s="144"/>
      <c r="V672" s="144"/>
      <c r="W672" s="144"/>
      <c r="X672" s="144"/>
      <c r="Y672" s="144">
        <v>26.3</v>
      </c>
      <c r="Z672" s="145"/>
      <c r="AA672" s="145"/>
      <c r="AB672" s="145">
        <f>T672</f>
        <v>4.3</v>
      </c>
      <c r="AC672" s="145"/>
      <c r="AD672" s="146"/>
      <c r="AE672" s="171">
        <v>1</v>
      </c>
      <c r="AF672" s="147">
        <f t="shared" si="264"/>
        <v>0</v>
      </c>
      <c r="AG672" s="147">
        <f t="shared" si="265"/>
        <v>0</v>
      </c>
      <c r="AH672" s="147">
        <f t="shared" si="266"/>
        <v>0</v>
      </c>
      <c r="AI672" s="147">
        <f t="shared" si="267"/>
        <v>0</v>
      </c>
      <c r="AJ672" s="148" t="str">
        <f t="shared" si="268"/>
        <v>nee</v>
      </c>
      <c r="AK672" s="149">
        <f t="shared" si="251"/>
        <v>0</v>
      </c>
      <c r="AL672" s="149">
        <f t="shared" si="252"/>
        <v>0</v>
      </c>
      <c r="AM672" s="149">
        <f t="shared" si="253"/>
        <v>0</v>
      </c>
      <c r="AN672" s="149">
        <f t="shared" si="254"/>
        <v>0</v>
      </c>
      <c r="AO672" s="150" t="str">
        <f t="shared" si="269"/>
        <v>V</v>
      </c>
      <c r="AQ672" s="151">
        <f t="shared" si="270"/>
        <v>8.6</v>
      </c>
    </row>
    <row r="673" spans="1:43" ht="15" customHeight="1">
      <c r="A673" s="82" t="e">
        <f t="shared" si="255"/>
        <v>#REF!</v>
      </c>
      <c r="B673" s="134">
        <v>108</v>
      </c>
      <c r="C673" s="135" t="s">
        <v>381</v>
      </c>
      <c r="D673" s="136" t="s">
        <v>39</v>
      </c>
      <c r="E673" s="137"/>
      <c r="F673" s="138" t="s">
        <v>393</v>
      </c>
      <c r="G673" s="139" t="s">
        <v>394</v>
      </c>
      <c r="H673" s="140" t="str">
        <f t="shared" si="256"/>
        <v>Kantoren/spreekkamers</v>
      </c>
      <c r="I673" s="138" t="s">
        <v>270</v>
      </c>
      <c r="J673" s="138" t="s">
        <v>1170</v>
      </c>
      <c r="K673" s="141" t="str">
        <f t="shared" si="257"/>
        <v>Volledig</v>
      </c>
      <c r="L673" s="141" t="str">
        <f t="shared" si="258"/>
        <v>naloop</v>
      </c>
      <c r="M673" s="141" t="str">
        <f t="shared" si="259"/>
        <v>naloop</v>
      </c>
      <c r="N673" s="141" t="str">
        <f t="shared" si="260"/>
        <v>Volledig</v>
      </c>
      <c r="O673" s="141" t="str">
        <f t="shared" si="261"/>
        <v>naloop</v>
      </c>
      <c r="P673" s="141" t="str">
        <f t="shared" si="262"/>
        <v>naloop</v>
      </c>
      <c r="Q673" s="141" t="str">
        <f t="shared" si="263"/>
        <v>naloop</v>
      </c>
      <c r="R673" s="63" t="s">
        <v>1219</v>
      </c>
      <c r="S673" s="142">
        <f t="shared" si="271"/>
        <v>365</v>
      </c>
      <c r="T673" s="143">
        <v>26.18</v>
      </c>
      <c r="U673" s="144">
        <v>1.4</v>
      </c>
      <c r="V673" s="144"/>
      <c r="W673" s="144"/>
      <c r="X673" s="144"/>
      <c r="Y673" s="144">
        <v>47.5</v>
      </c>
      <c r="Z673" s="145"/>
      <c r="AA673" s="145"/>
      <c r="AB673" s="145">
        <f>T673</f>
        <v>26.18</v>
      </c>
      <c r="AC673" s="145"/>
      <c r="AD673" s="146"/>
      <c r="AE673" s="171">
        <v>1</v>
      </c>
      <c r="AF673" s="147">
        <f t="shared" si="264"/>
        <v>0</v>
      </c>
      <c r="AG673" s="147">
        <f t="shared" si="265"/>
        <v>0</v>
      </c>
      <c r="AH673" s="147">
        <f t="shared" si="266"/>
        <v>0</v>
      </c>
      <c r="AI673" s="147">
        <f t="shared" si="267"/>
        <v>0</v>
      </c>
      <c r="AJ673" s="148" t="str">
        <f t="shared" si="268"/>
        <v>nee</v>
      </c>
      <c r="AK673" s="149">
        <f t="shared" si="251"/>
        <v>0</v>
      </c>
      <c r="AL673" s="149">
        <f t="shared" si="252"/>
        <v>0</v>
      </c>
      <c r="AM673" s="149">
        <f t="shared" si="253"/>
        <v>0</v>
      </c>
      <c r="AN673" s="149">
        <f t="shared" si="254"/>
        <v>0</v>
      </c>
      <c r="AO673" s="150" t="str">
        <f t="shared" si="269"/>
        <v>B</v>
      </c>
      <c r="AQ673" s="151">
        <f t="shared" si="270"/>
        <v>9555.7000000000007</v>
      </c>
    </row>
    <row r="674" spans="1:43" ht="15" customHeight="1">
      <c r="A674" s="82" t="e">
        <f t="shared" si="255"/>
        <v>#REF!</v>
      </c>
      <c r="B674" s="134">
        <v>108</v>
      </c>
      <c r="C674" s="135" t="s">
        <v>381</v>
      </c>
      <c r="D674" s="136" t="s">
        <v>39</v>
      </c>
      <c r="E674" s="137"/>
      <c r="F674" s="138" t="s">
        <v>208</v>
      </c>
      <c r="G674" s="139" t="s">
        <v>395</v>
      </c>
      <c r="H674" s="140" t="str">
        <f t="shared" si="256"/>
        <v>Sanitair</v>
      </c>
      <c r="I674" s="138" t="s">
        <v>237</v>
      </c>
      <c r="J674" s="138" t="s">
        <v>1170</v>
      </c>
      <c r="K674" s="141" t="str">
        <f t="shared" si="257"/>
        <v>Volledig</v>
      </c>
      <c r="L674" s="141" t="str">
        <f t="shared" si="258"/>
        <v>naloop</v>
      </c>
      <c r="M674" s="141" t="str">
        <f t="shared" si="259"/>
        <v>naloop</v>
      </c>
      <c r="N674" s="141" t="str">
        <f t="shared" si="260"/>
        <v>Volledig</v>
      </c>
      <c r="O674" s="141" t="str">
        <f t="shared" si="261"/>
        <v>naloop</v>
      </c>
      <c r="P674" s="141" t="str">
        <f t="shared" si="262"/>
        <v>naloop</v>
      </c>
      <c r="Q674" s="141" t="str">
        <f t="shared" si="263"/>
        <v>naloop</v>
      </c>
      <c r="R674" s="63" t="s">
        <v>1210</v>
      </c>
      <c r="S674" s="142">
        <f t="shared" si="271"/>
        <v>365</v>
      </c>
      <c r="T674" s="143">
        <v>3.17</v>
      </c>
      <c r="U674" s="144">
        <v>16.8</v>
      </c>
      <c r="V674" s="144"/>
      <c r="W674" s="144"/>
      <c r="X674" s="144"/>
      <c r="Y674" s="144"/>
      <c r="Z674" s="145"/>
      <c r="AA674" s="145"/>
      <c r="AB674" s="145"/>
      <c r="AC674" s="145">
        <f>T674</f>
        <v>3.17</v>
      </c>
      <c r="AD674" s="146"/>
      <c r="AE674" s="171">
        <v>1</v>
      </c>
      <c r="AF674" s="147">
        <f t="shared" si="264"/>
        <v>0</v>
      </c>
      <c r="AG674" s="147">
        <f t="shared" si="265"/>
        <v>0</v>
      </c>
      <c r="AH674" s="147">
        <f t="shared" si="266"/>
        <v>0</v>
      </c>
      <c r="AI674" s="147">
        <f t="shared" si="267"/>
        <v>0</v>
      </c>
      <c r="AJ674" s="148" t="str">
        <f t="shared" si="268"/>
        <v>ja</v>
      </c>
      <c r="AK674" s="149">
        <f t="shared" si="251"/>
        <v>0</v>
      </c>
      <c r="AL674" s="149">
        <f t="shared" si="252"/>
        <v>0</v>
      </c>
      <c r="AM674" s="149">
        <f t="shared" si="253"/>
        <v>0</v>
      </c>
      <c r="AN674" s="149">
        <f t="shared" si="254"/>
        <v>0</v>
      </c>
      <c r="AO674" s="150" t="str">
        <f t="shared" si="269"/>
        <v>S</v>
      </c>
      <c r="AQ674" s="151">
        <f t="shared" si="270"/>
        <v>1157.05</v>
      </c>
    </row>
    <row r="675" spans="1:43" ht="15" customHeight="1">
      <c r="A675" s="82" t="e">
        <f t="shared" si="255"/>
        <v>#REF!</v>
      </c>
      <c r="B675" s="134">
        <v>108</v>
      </c>
      <c r="C675" s="135" t="s">
        <v>381</v>
      </c>
      <c r="D675" s="136" t="s">
        <v>39</v>
      </c>
      <c r="E675" s="137"/>
      <c r="F675" s="138" t="s">
        <v>207</v>
      </c>
      <c r="G675" s="139" t="s">
        <v>396</v>
      </c>
      <c r="H675" s="140" t="str">
        <f t="shared" si="256"/>
        <v>Sanitair</v>
      </c>
      <c r="I675" s="138" t="s">
        <v>237</v>
      </c>
      <c r="J675" s="138" t="s">
        <v>1170</v>
      </c>
      <c r="K675" s="141" t="str">
        <f t="shared" si="257"/>
        <v>Volledig</v>
      </c>
      <c r="L675" s="141" t="str">
        <f t="shared" si="258"/>
        <v>naloop</v>
      </c>
      <c r="M675" s="141" t="str">
        <f t="shared" si="259"/>
        <v>naloop</v>
      </c>
      <c r="N675" s="141" t="str">
        <f t="shared" si="260"/>
        <v>Volledig</v>
      </c>
      <c r="O675" s="141" t="str">
        <f t="shared" si="261"/>
        <v>naloop</v>
      </c>
      <c r="P675" s="141" t="str">
        <f t="shared" si="262"/>
        <v>naloop</v>
      </c>
      <c r="Q675" s="141" t="str">
        <f t="shared" si="263"/>
        <v>naloop</v>
      </c>
      <c r="R675" s="63" t="s">
        <v>1210</v>
      </c>
      <c r="S675" s="142">
        <f t="shared" si="271"/>
        <v>365</v>
      </c>
      <c r="T675" s="143">
        <v>3.17</v>
      </c>
      <c r="U675" s="144">
        <v>16.8</v>
      </c>
      <c r="V675" s="144"/>
      <c r="W675" s="144"/>
      <c r="X675" s="144"/>
      <c r="Y675" s="144"/>
      <c r="Z675" s="145"/>
      <c r="AA675" s="145"/>
      <c r="AB675" s="145"/>
      <c r="AC675" s="145">
        <f>T675</f>
        <v>3.17</v>
      </c>
      <c r="AD675" s="146"/>
      <c r="AE675" s="171">
        <v>1</v>
      </c>
      <c r="AF675" s="147">
        <f t="shared" si="264"/>
        <v>0</v>
      </c>
      <c r="AG675" s="147">
        <f t="shared" si="265"/>
        <v>0</v>
      </c>
      <c r="AH675" s="147">
        <f t="shared" si="266"/>
        <v>0</v>
      </c>
      <c r="AI675" s="147">
        <f t="shared" si="267"/>
        <v>0</v>
      </c>
      <c r="AJ675" s="148" t="str">
        <f t="shared" si="268"/>
        <v>ja</v>
      </c>
      <c r="AK675" s="149">
        <f t="shared" si="251"/>
        <v>0</v>
      </c>
      <c r="AL675" s="149">
        <f t="shared" si="252"/>
        <v>0</v>
      </c>
      <c r="AM675" s="149">
        <f t="shared" si="253"/>
        <v>0</v>
      </c>
      <c r="AN675" s="149">
        <f t="shared" si="254"/>
        <v>0</v>
      </c>
      <c r="AO675" s="150" t="str">
        <f t="shared" si="269"/>
        <v>S</v>
      </c>
      <c r="AQ675" s="151">
        <f t="shared" si="270"/>
        <v>1157.05</v>
      </c>
    </row>
    <row r="676" spans="1:43" ht="15" customHeight="1">
      <c r="A676" s="82" t="e">
        <f t="shared" si="255"/>
        <v>#REF!</v>
      </c>
      <c r="B676" s="134">
        <v>108</v>
      </c>
      <c r="C676" s="135" t="s">
        <v>381</v>
      </c>
      <c r="D676" s="136" t="s">
        <v>39</v>
      </c>
      <c r="E676" s="137"/>
      <c r="F676" s="138" t="s">
        <v>214</v>
      </c>
      <c r="G676" s="139" t="s">
        <v>397</v>
      </c>
      <c r="H676" s="140" t="str">
        <f t="shared" si="256"/>
        <v>Niet van toepassing</v>
      </c>
      <c r="I676" s="138" t="s">
        <v>270</v>
      </c>
      <c r="J676" s="138" t="s">
        <v>1172</v>
      </c>
      <c r="K676" s="141" t="str">
        <f t="shared" si="257"/>
        <v>NVT</v>
      </c>
      <c r="L676" s="141" t="str">
        <f t="shared" si="258"/>
        <v>NVT</v>
      </c>
      <c r="M676" s="141" t="str">
        <f t="shared" si="259"/>
        <v>NVT</v>
      </c>
      <c r="N676" s="141" t="str">
        <f t="shared" si="260"/>
        <v>NVT</v>
      </c>
      <c r="O676" s="141" t="str">
        <f t="shared" si="261"/>
        <v>NVT</v>
      </c>
      <c r="P676" s="141" t="str">
        <f t="shared" si="262"/>
        <v>NVT</v>
      </c>
      <c r="Q676" s="141" t="str">
        <f t="shared" si="263"/>
        <v>NVT</v>
      </c>
      <c r="R676" s="63" t="s">
        <v>1221</v>
      </c>
      <c r="S676" s="142">
        <f t="shared" si="271"/>
        <v>0</v>
      </c>
      <c r="T676" s="143">
        <v>6.22</v>
      </c>
      <c r="U676" s="144"/>
      <c r="V676" s="144"/>
      <c r="W676" s="144">
        <v>30</v>
      </c>
      <c r="X676" s="144"/>
      <c r="Y676" s="144"/>
      <c r="Z676" s="145"/>
      <c r="AA676" s="145"/>
      <c r="AB676" s="145"/>
      <c r="AC676" s="145"/>
      <c r="AD676" s="146"/>
      <c r="AE676" s="171">
        <v>1</v>
      </c>
      <c r="AF676" s="147">
        <f t="shared" si="264"/>
        <v>0</v>
      </c>
      <c r="AG676" s="147">
        <f t="shared" si="265"/>
        <v>0</v>
      </c>
      <c r="AH676" s="147">
        <f t="shared" si="266"/>
        <v>0</v>
      </c>
      <c r="AI676" s="147">
        <f t="shared" si="267"/>
        <v>0</v>
      </c>
      <c r="AJ676" s="148">
        <f t="shared" si="268"/>
        <v>0</v>
      </c>
      <c r="AK676" s="149">
        <f t="shared" si="251"/>
        <v>0</v>
      </c>
      <c r="AL676" s="149">
        <f t="shared" si="252"/>
        <v>0</v>
      </c>
      <c r="AM676" s="149">
        <f t="shared" si="253"/>
        <v>0</v>
      </c>
      <c r="AN676" s="149">
        <f t="shared" si="254"/>
        <v>0</v>
      </c>
      <c r="AO676" s="150">
        <f t="shared" si="269"/>
        <v>0</v>
      </c>
      <c r="AQ676" s="151">
        <f t="shared" si="270"/>
        <v>0</v>
      </c>
    </row>
    <row r="677" spans="1:43" ht="15" customHeight="1">
      <c r="A677" s="82" t="e">
        <f t="shared" si="255"/>
        <v>#REF!</v>
      </c>
      <c r="B677" s="134">
        <v>108</v>
      </c>
      <c r="C677" s="135" t="s">
        <v>381</v>
      </c>
      <c r="D677" s="136" t="s">
        <v>39</v>
      </c>
      <c r="E677" s="137"/>
      <c r="F677" s="138" t="s">
        <v>398</v>
      </c>
      <c r="G677" s="139" t="s">
        <v>399</v>
      </c>
      <c r="H677" s="140" t="str">
        <f t="shared" si="256"/>
        <v>Kantoren/spreekkamers</v>
      </c>
      <c r="I677" s="138" t="s">
        <v>270</v>
      </c>
      <c r="J677" s="138" t="s">
        <v>1170</v>
      </c>
      <c r="K677" s="141" t="str">
        <f t="shared" si="257"/>
        <v>Volledig</v>
      </c>
      <c r="L677" s="141" t="str">
        <f t="shared" si="258"/>
        <v>naloop</v>
      </c>
      <c r="M677" s="141" t="str">
        <f t="shared" si="259"/>
        <v>naloop</v>
      </c>
      <c r="N677" s="141" t="str">
        <f t="shared" si="260"/>
        <v>Volledig</v>
      </c>
      <c r="O677" s="141" t="str">
        <f t="shared" si="261"/>
        <v>naloop</v>
      </c>
      <c r="P677" s="141" t="str">
        <f t="shared" si="262"/>
        <v>naloop</v>
      </c>
      <c r="Q677" s="141" t="str">
        <f t="shared" si="263"/>
        <v>naloop</v>
      </c>
      <c r="R677" s="63" t="s">
        <v>1219</v>
      </c>
      <c r="S677" s="142">
        <f t="shared" si="271"/>
        <v>365</v>
      </c>
      <c r="T677" s="143">
        <v>12.81</v>
      </c>
      <c r="U677" s="144"/>
      <c r="V677" s="144"/>
      <c r="W677" s="144"/>
      <c r="X677" s="144"/>
      <c r="Y677" s="144">
        <v>19.5</v>
      </c>
      <c r="Z677" s="145"/>
      <c r="AA677" s="145"/>
      <c r="AB677" s="145">
        <f>T677</f>
        <v>12.81</v>
      </c>
      <c r="AC677" s="145"/>
      <c r="AD677" s="146"/>
      <c r="AE677" s="171">
        <v>1</v>
      </c>
      <c r="AF677" s="147">
        <f t="shared" si="264"/>
        <v>0</v>
      </c>
      <c r="AG677" s="147">
        <f t="shared" si="265"/>
        <v>0</v>
      </c>
      <c r="AH677" s="147">
        <f t="shared" si="266"/>
        <v>0</v>
      </c>
      <c r="AI677" s="147">
        <f t="shared" si="267"/>
        <v>0</v>
      </c>
      <c r="AJ677" s="148" t="str">
        <f t="shared" si="268"/>
        <v>nee</v>
      </c>
      <c r="AK677" s="149">
        <f t="shared" si="251"/>
        <v>0</v>
      </c>
      <c r="AL677" s="149">
        <f t="shared" si="252"/>
        <v>0</v>
      </c>
      <c r="AM677" s="149">
        <f t="shared" si="253"/>
        <v>0</v>
      </c>
      <c r="AN677" s="149">
        <f t="shared" si="254"/>
        <v>0</v>
      </c>
      <c r="AO677" s="150" t="str">
        <f t="shared" si="269"/>
        <v>B</v>
      </c>
      <c r="AQ677" s="151">
        <f t="shared" si="270"/>
        <v>4675.6500000000005</v>
      </c>
    </row>
    <row r="678" spans="1:43" ht="15" customHeight="1">
      <c r="A678" s="82" t="e">
        <f t="shared" si="255"/>
        <v>#REF!</v>
      </c>
      <c r="B678" s="134">
        <v>108</v>
      </c>
      <c r="C678" s="135" t="s">
        <v>381</v>
      </c>
      <c r="D678" s="136" t="s">
        <v>39</v>
      </c>
      <c r="E678" s="137"/>
      <c r="F678" s="138" t="s">
        <v>197</v>
      </c>
      <c r="G678" s="139" t="s">
        <v>47</v>
      </c>
      <c r="H678" s="140" t="str">
        <f t="shared" si="256"/>
        <v>Niet van toepassing</v>
      </c>
      <c r="I678" s="138" t="s">
        <v>1254</v>
      </c>
      <c r="J678" s="138" t="s">
        <v>1172</v>
      </c>
      <c r="K678" s="141" t="str">
        <f t="shared" si="257"/>
        <v>NVT</v>
      </c>
      <c r="L678" s="141" t="str">
        <f t="shared" si="258"/>
        <v>NVT</v>
      </c>
      <c r="M678" s="141" t="str">
        <f t="shared" si="259"/>
        <v>NVT</v>
      </c>
      <c r="N678" s="141" t="str">
        <f t="shared" si="260"/>
        <v>NVT</v>
      </c>
      <c r="O678" s="141" t="str">
        <f t="shared" si="261"/>
        <v>NVT</v>
      </c>
      <c r="P678" s="141" t="str">
        <f t="shared" si="262"/>
        <v>NVT</v>
      </c>
      <c r="Q678" s="141" t="str">
        <f t="shared" si="263"/>
        <v>NVT</v>
      </c>
      <c r="R678" s="63" t="s">
        <v>1221</v>
      </c>
      <c r="S678" s="142">
        <f t="shared" si="271"/>
        <v>0</v>
      </c>
      <c r="T678" s="143">
        <v>51.35</v>
      </c>
      <c r="U678" s="144"/>
      <c r="V678" s="144"/>
      <c r="W678" s="144"/>
      <c r="X678" s="144"/>
      <c r="Y678" s="144">
        <v>96.9</v>
      </c>
      <c r="Z678" s="145"/>
      <c r="AA678" s="145"/>
      <c r="AB678" s="145">
        <f>T678</f>
        <v>51.35</v>
      </c>
      <c r="AC678" s="145"/>
      <c r="AD678" s="146"/>
      <c r="AE678" s="171">
        <v>1</v>
      </c>
      <c r="AF678" s="147">
        <f t="shared" si="264"/>
        <v>0</v>
      </c>
      <c r="AG678" s="147">
        <f t="shared" si="265"/>
        <v>0</v>
      </c>
      <c r="AH678" s="147">
        <f t="shared" si="266"/>
        <v>0</v>
      </c>
      <c r="AI678" s="147">
        <f t="shared" si="267"/>
        <v>0</v>
      </c>
      <c r="AJ678" s="148">
        <f t="shared" si="268"/>
        <v>0</v>
      </c>
      <c r="AK678" s="149">
        <f t="shared" si="251"/>
        <v>0</v>
      </c>
      <c r="AL678" s="149">
        <f t="shared" si="252"/>
        <v>0</v>
      </c>
      <c r="AM678" s="149">
        <f t="shared" si="253"/>
        <v>0</v>
      </c>
      <c r="AN678" s="149">
        <f t="shared" si="254"/>
        <v>0</v>
      </c>
      <c r="AO678" s="150">
        <f t="shared" si="269"/>
        <v>0</v>
      </c>
      <c r="AQ678" s="151">
        <f t="shared" si="270"/>
        <v>0</v>
      </c>
    </row>
    <row r="679" spans="1:43" ht="15" customHeight="1">
      <c r="A679" s="82" t="e">
        <f t="shared" si="255"/>
        <v>#REF!</v>
      </c>
      <c r="B679" s="134">
        <v>108</v>
      </c>
      <c r="C679" s="135" t="s">
        <v>381</v>
      </c>
      <c r="D679" s="136" t="s">
        <v>39</v>
      </c>
      <c r="E679" s="137"/>
      <c r="F679" s="138" t="s">
        <v>400</v>
      </c>
      <c r="G679" s="139" t="s">
        <v>119</v>
      </c>
      <c r="H679" s="140" t="str">
        <f t="shared" si="256"/>
        <v>Niet van toepassing</v>
      </c>
      <c r="I679" s="138" t="s">
        <v>270</v>
      </c>
      <c r="J679" s="138" t="s">
        <v>1172</v>
      </c>
      <c r="K679" s="141" t="str">
        <f t="shared" si="257"/>
        <v>NVT</v>
      </c>
      <c r="L679" s="141" t="str">
        <f t="shared" si="258"/>
        <v>NVT</v>
      </c>
      <c r="M679" s="141" t="str">
        <f t="shared" si="259"/>
        <v>NVT</v>
      </c>
      <c r="N679" s="141" t="str">
        <f t="shared" si="260"/>
        <v>NVT</v>
      </c>
      <c r="O679" s="141" t="str">
        <f t="shared" si="261"/>
        <v>NVT</v>
      </c>
      <c r="P679" s="141" t="str">
        <f t="shared" si="262"/>
        <v>NVT</v>
      </c>
      <c r="Q679" s="141" t="str">
        <f t="shared" si="263"/>
        <v>NVT</v>
      </c>
      <c r="R679" s="63" t="s">
        <v>1221</v>
      </c>
      <c r="S679" s="142">
        <f t="shared" si="271"/>
        <v>0</v>
      </c>
      <c r="T679" s="143">
        <v>22.2</v>
      </c>
      <c r="U679" s="144"/>
      <c r="V679" s="144"/>
      <c r="W679" s="144"/>
      <c r="X679" s="144"/>
      <c r="Y679" s="144">
        <v>63.6</v>
      </c>
      <c r="Z679" s="145"/>
      <c r="AA679" s="145"/>
      <c r="AB679" s="145">
        <f>T679</f>
        <v>22.2</v>
      </c>
      <c r="AC679" s="145"/>
      <c r="AD679" s="146"/>
      <c r="AE679" s="171">
        <v>1</v>
      </c>
      <c r="AF679" s="147">
        <f t="shared" si="264"/>
        <v>0</v>
      </c>
      <c r="AG679" s="147">
        <f t="shared" si="265"/>
        <v>0</v>
      </c>
      <c r="AH679" s="147">
        <f t="shared" si="266"/>
        <v>0</v>
      </c>
      <c r="AI679" s="147">
        <f t="shared" si="267"/>
        <v>0</v>
      </c>
      <c r="AJ679" s="148">
        <f t="shared" si="268"/>
        <v>0</v>
      </c>
      <c r="AK679" s="149">
        <f t="shared" si="251"/>
        <v>0</v>
      </c>
      <c r="AL679" s="149">
        <f t="shared" si="252"/>
        <v>0</v>
      </c>
      <c r="AM679" s="149">
        <f t="shared" si="253"/>
        <v>0</v>
      </c>
      <c r="AN679" s="149">
        <f t="shared" si="254"/>
        <v>0</v>
      </c>
      <c r="AO679" s="150">
        <f t="shared" si="269"/>
        <v>0</v>
      </c>
      <c r="AQ679" s="151">
        <f t="shared" si="270"/>
        <v>0</v>
      </c>
    </row>
    <row r="680" spans="1:43" ht="15" customHeight="1">
      <c r="A680" s="82" t="e">
        <f t="shared" si="255"/>
        <v>#REF!</v>
      </c>
      <c r="B680" s="134">
        <v>108</v>
      </c>
      <c r="C680" s="135" t="s">
        <v>381</v>
      </c>
      <c r="D680" s="136" t="s">
        <v>39</v>
      </c>
      <c r="E680" s="137"/>
      <c r="F680" s="138" t="s">
        <v>201</v>
      </c>
      <c r="G680" s="139" t="s">
        <v>58</v>
      </c>
      <c r="H680" s="140" t="str">
        <f t="shared" si="256"/>
        <v>Niet van toepassing</v>
      </c>
      <c r="I680" s="138" t="s">
        <v>270</v>
      </c>
      <c r="J680" s="138" t="s">
        <v>1172</v>
      </c>
      <c r="K680" s="141" t="str">
        <f t="shared" si="257"/>
        <v>NVT</v>
      </c>
      <c r="L680" s="141" t="str">
        <f t="shared" si="258"/>
        <v>NVT</v>
      </c>
      <c r="M680" s="141" t="str">
        <f t="shared" si="259"/>
        <v>NVT</v>
      </c>
      <c r="N680" s="141" t="str">
        <f t="shared" si="260"/>
        <v>NVT</v>
      </c>
      <c r="O680" s="141" t="str">
        <f t="shared" si="261"/>
        <v>NVT</v>
      </c>
      <c r="P680" s="141" t="str">
        <f t="shared" si="262"/>
        <v>NVT</v>
      </c>
      <c r="Q680" s="141" t="str">
        <f t="shared" si="263"/>
        <v>NVT</v>
      </c>
      <c r="R680" s="63" t="s">
        <v>1221</v>
      </c>
      <c r="S680" s="142">
        <f t="shared" si="271"/>
        <v>0</v>
      </c>
      <c r="T680" s="143">
        <v>22.2</v>
      </c>
      <c r="U680" s="144"/>
      <c r="V680" s="144"/>
      <c r="W680" s="144"/>
      <c r="X680" s="144"/>
      <c r="Y680" s="144">
        <v>63.6</v>
      </c>
      <c r="Z680" s="145"/>
      <c r="AA680" s="145"/>
      <c r="AB680" s="145">
        <f>T680</f>
        <v>22.2</v>
      </c>
      <c r="AC680" s="145"/>
      <c r="AD680" s="146"/>
      <c r="AE680" s="171">
        <v>1</v>
      </c>
      <c r="AF680" s="147">
        <f t="shared" si="264"/>
        <v>0</v>
      </c>
      <c r="AG680" s="147">
        <f t="shared" si="265"/>
        <v>0</v>
      </c>
      <c r="AH680" s="147">
        <f t="shared" si="266"/>
        <v>0</v>
      </c>
      <c r="AI680" s="147">
        <f t="shared" si="267"/>
        <v>0</v>
      </c>
      <c r="AJ680" s="148">
        <f t="shared" si="268"/>
        <v>0</v>
      </c>
      <c r="AK680" s="149">
        <f t="shared" si="251"/>
        <v>0</v>
      </c>
      <c r="AL680" s="149">
        <f t="shared" si="252"/>
        <v>0</v>
      </c>
      <c r="AM680" s="149">
        <f t="shared" si="253"/>
        <v>0</v>
      </c>
      <c r="AN680" s="149">
        <f t="shared" si="254"/>
        <v>0</v>
      </c>
      <c r="AO680" s="150">
        <f t="shared" si="269"/>
        <v>0</v>
      </c>
      <c r="AQ680" s="151">
        <f t="shared" si="270"/>
        <v>0</v>
      </c>
    </row>
    <row r="681" spans="1:43" ht="15" customHeight="1">
      <c r="A681" s="82" t="e">
        <f t="shared" si="255"/>
        <v>#REF!</v>
      </c>
      <c r="B681" s="134">
        <v>108</v>
      </c>
      <c r="C681" s="135" t="s">
        <v>381</v>
      </c>
      <c r="D681" s="136" t="s">
        <v>39</v>
      </c>
      <c r="E681" s="137"/>
      <c r="F681" s="138" t="s">
        <v>66</v>
      </c>
      <c r="G681" s="139" t="s">
        <v>65</v>
      </c>
      <c r="H681" s="140" t="str">
        <f t="shared" si="256"/>
        <v>Niet van toepassing</v>
      </c>
      <c r="I681" s="138" t="s">
        <v>254</v>
      </c>
      <c r="J681" s="138" t="s">
        <v>1172</v>
      </c>
      <c r="K681" s="141" t="str">
        <f t="shared" si="257"/>
        <v>NVT</v>
      </c>
      <c r="L681" s="141" t="str">
        <f t="shared" si="258"/>
        <v>NVT</v>
      </c>
      <c r="M681" s="141" t="str">
        <f t="shared" si="259"/>
        <v>NVT</v>
      </c>
      <c r="N681" s="141" t="str">
        <f t="shared" si="260"/>
        <v>NVT</v>
      </c>
      <c r="O681" s="141" t="str">
        <f t="shared" si="261"/>
        <v>NVT</v>
      </c>
      <c r="P681" s="141" t="str">
        <f t="shared" si="262"/>
        <v>NVT</v>
      </c>
      <c r="Q681" s="141" t="str">
        <f t="shared" si="263"/>
        <v>NVT</v>
      </c>
      <c r="R681" s="63" t="s">
        <v>1221</v>
      </c>
      <c r="S681" s="142">
        <f t="shared" si="271"/>
        <v>0</v>
      </c>
      <c r="T681" s="143">
        <v>32.700000000000003</v>
      </c>
      <c r="U681" s="144"/>
      <c r="V681" s="144"/>
      <c r="W681" s="144">
        <v>47.4</v>
      </c>
      <c r="X681" s="144"/>
      <c r="Y681" s="144"/>
      <c r="Z681" s="145"/>
      <c r="AA681" s="145">
        <f>T681</f>
        <v>32.700000000000003</v>
      </c>
      <c r="AB681" s="145"/>
      <c r="AC681" s="145"/>
      <c r="AD681" s="146"/>
      <c r="AE681" s="171">
        <v>1</v>
      </c>
      <c r="AF681" s="147">
        <f t="shared" si="264"/>
        <v>0</v>
      </c>
      <c r="AG681" s="147">
        <f t="shared" si="265"/>
        <v>0</v>
      </c>
      <c r="AH681" s="147">
        <f t="shared" si="266"/>
        <v>0</v>
      </c>
      <c r="AI681" s="147">
        <f t="shared" si="267"/>
        <v>0</v>
      </c>
      <c r="AJ681" s="148">
        <f t="shared" si="268"/>
        <v>0</v>
      </c>
      <c r="AK681" s="149">
        <f t="shared" si="251"/>
        <v>0</v>
      </c>
      <c r="AL681" s="149">
        <f t="shared" si="252"/>
        <v>0</v>
      </c>
      <c r="AM681" s="149">
        <f t="shared" si="253"/>
        <v>0</v>
      </c>
      <c r="AN681" s="149">
        <f t="shared" si="254"/>
        <v>0</v>
      </c>
      <c r="AO681" s="150">
        <f t="shared" si="269"/>
        <v>0</v>
      </c>
      <c r="AQ681" s="151">
        <f t="shared" si="270"/>
        <v>0</v>
      </c>
    </row>
    <row r="682" spans="1:43" ht="15" customHeight="1">
      <c r="A682" s="82" t="e">
        <f t="shared" si="255"/>
        <v>#REF!</v>
      </c>
      <c r="B682" s="134">
        <v>108</v>
      </c>
      <c r="C682" s="135" t="s">
        <v>381</v>
      </c>
      <c r="D682" s="136" t="s">
        <v>39</v>
      </c>
      <c r="E682" s="137"/>
      <c r="F682" s="138" t="s">
        <v>68</v>
      </c>
      <c r="G682" s="139" t="s">
        <v>69</v>
      </c>
      <c r="H682" s="140" t="str">
        <f t="shared" si="256"/>
        <v>Niet van toepassing</v>
      </c>
      <c r="I682" s="138" t="s">
        <v>254</v>
      </c>
      <c r="J682" s="138" t="s">
        <v>1172</v>
      </c>
      <c r="K682" s="141" t="str">
        <f t="shared" si="257"/>
        <v>NVT</v>
      </c>
      <c r="L682" s="141" t="str">
        <f t="shared" si="258"/>
        <v>NVT</v>
      </c>
      <c r="M682" s="141" t="str">
        <f t="shared" si="259"/>
        <v>NVT</v>
      </c>
      <c r="N682" s="141" t="str">
        <f t="shared" si="260"/>
        <v>NVT</v>
      </c>
      <c r="O682" s="141" t="str">
        <f t="shared" si="261"/>
        <v>NVT</v>
      </c>
      <c r="P682" s="141" t="str">
        <f t="shared" si="262"/>
        <v>NVT</v>
      </c>
      <c r="Q682" s="141" t="str">
        <f t="shared" si="263"/>
        <v>NVT</v>
      </c>
      <c r="R682" s="63" t="s">
        <v>1221</v>
      </c>
      <c r="S682" s="142">
        <f t="shared" si="271"/>
        <v>0</v>
      </c>
      <c r="T682" s="143">
        <v>17.899999999999999</v>
      </c>
      <c r="U682" s="144"/>
      <c r="V682" s="144"/>
      <c r="W682" s="144"/>
      <c r="X682" s="144"/>
      <c r="Y682" s="144"/>
      <c r="Z682" s="145"/>
      <c r="AA682" s="145">
        <f>T682</f>
        <v>17.899999999999999</v>
      </c>
      <c r="AB682" s="145"/>
      <c r="AC682" s="145"/>
      <c r="AD682" s="146"/>
      <c r="AE682" s="171">
        <v>1</v>
      </c>
      <c r="AF682" s="147">
        <f t="shared" si="264"/>
        <v>0</v>
      </c>
      <c r="AG682" s="147">
        <f t="shared" si="265"/>
        <v>0</v>
      </c>
      <c r="AH682" s="147">
        <f t="shared" si="266"/>
        <v>0</v>
      </c>
      <c r="AI682" s="147">
        <f t="shared" si="267"/>
        <v>0</v>
      </c>
      <c r="AJ682" s="148">
        <f t="shared" si="268"/>
        <v>0</v>
      </c>
      <c r="AK682" s="149">
        <f t="shared" ref="AK682:AK746" si="272">IF($R682="",0,VLOOKUP($R682,Kengetal,5,FALSE))</f>
        <v>0</v>
      </c>
      <c r="AL682" s="149">
        <f t="shared" ref="AL682:AL746" si="273">IF($R682="",0,VLOOKUP($R682,Kengetal,6,FALSE))</f>
        <v>0</v>
      </c>
      <c r="AM682" s="149">
        <f t="shared" ref="AM682:AM746" si="274">IF($R682="",0,VLOOKUP($R682,Kengetal,7,FALSE))</f>
        <v>0</v>
      </c>
      <c r="AN682" s="149">
        <f t="shared" ref="AN682:AN746" si="275">IF($R682="",0,VLOOKUP($R682,Kengetal,8,FALSE))</f>
        <v>0</v>
      </c>
      <c r="AO682" s="150">
        <f t="shared" si="269"/>
        <v>0</v>
      </c>
      <c r="AQ682" s="151">
        <f t="shared" si="270"/>
        <v>0</v>
      </c>
    </row>
    <row r="683" spans="1:43" ht="15" customHeight="1">
      <c r="A683" s="82" t="e">
        <f t="shared" si="255"/>
        <v>#REF!</v>
      </c>
      <c r="B683" s="134">
        <v>108</v>
      </c>
      <c r="C683" s="135" t="s">
        <v>381</v>
      </c>
      <c r="D683" s="136" t="s">
        <v>39</v>
      </c>
      <c r="E683" s="137"/>
      <c r="F683" s="138" t="s">
        <v>401</v>
      </c>
      <c r="G683" s="139" t="s">
        <v>121</v>
      </c>
      <c r="H683" s="140" t="str">
        <f t="shared" si="256"/>
        <v>Niet van toepassing</v>
      </c>
      <c r="I683" s="138" t="s">
        <v>491</v>
      </c>
      <c r="J683" s="138" t="s">
        <v>1172</v>
      </c>
      <c r="K683" s="141" t="str">
        <f t="shared" si="257"/>
        <v>NVT</v>
      </c>
      <c r="L683" s="141" t="str">
        <f t="shared" si="258"/>
        <v>NVT</v>
      </c>
      <c r="M683" s="141" t="str">
        <f t="shared" si="259"/>
        <v>NVT</v>
      </c>
      <c r="N683" s="141" t="str">
        <f t="shared" si="260"/>
        <v>NVT</v>
      </c>
      <c r="O683" s="141" t="str">
        <f t="shared" si="261"/>
        <v>NVT</v>
      </c>
      <c r="P683" s="141" t="str">
        <f t="shared" si="262"/>
        <v>NVT</v>
      </c>
      <c r="Q683" s="141" t="str">
        <f t="shared" si="263"/>
        <v>NVT</v>
      </c>
      <c r="R683" s="63" t="s">
        <v>1221</v>
      </c>
      <c r="S683" s="142">
        <f t="shared" si="271"/>
        <v>0</v>
      </c>
      <c r="T683" s="143">
        <v>7.2</v>
      </c>
      <c r="U683" s="144"/>
      <c r="V683" s="144"/>
      <c r="W683" s="144"/>
      <c r="X683" s="144"/>
      <c r="Y683" s="144"/>
      <c r="Z683" s="145"/>
      <c r="AA683" s="145">
        <f>T683</f>
        <v>7.2</v>
      </c>
      <c r="AB683" s="145"/>
      <c r="AC683" s="145"/>
      <c r="AD683" s="146"/>
      <c r="AE683" s="171">
        <v>1</v>
      </c>
      <c r="AF683" s="147">
        <f t="shared" si="264"/>
        <v>0</v>
      </c>
      <c r="AG683" s="147">
        <f t="shared" si="265"/>
        <v>0</v>
      </c>
      <c r="AH683" s="147">
        <f t="shared" si="266"/>
        <v>0</v>
      </c>
      <c r="AI683" s="147">
        <f t="shared" si="267"/>
        <v>0</v>
      </c>
      <c r="AJ683" s="148">
        <f t="shared" si="268"/>
        <v>0</v>
      </c>
      <c r="AK683" s="149">
        <f t="shared" si="272"/>
        <v>0</v>
      </c>
      <c r="AL683" s="149">
        <f t="shared" si="273"/>
        <v>0</v>
      </c>
      <c r="AM683" s="149">
        <f t="shared" si="274"/>
        <v>0</v>
      </c>
      <c r="AN683" s="149">
        <f t="shared" si="275"/>
        <v>0</v>
      </c>
      <c r="AO683" s="150">
        <f t="shared" si="269"/>
        <v>0</v>
      </c>
      <c r="AQ683" s="151">
        <f t="shared" si="270"/>
        <v>0</v>
      </c>
    </row>
    <row r="684" spans="1:43" ht="15" customHeight="1">
      <c r="A684" s="82" t="e">
        <f t="shared" si="255"/>
        <v>#REF!</v>
      </c>
      <c r="B684" s="134">
        <v>108</v>
      </c>
      <c r="C684" s="135" t="s">
        <v>381</v>
      </c>
      <c r="D684" s="136" t="s">
        <v>39</v>
      </c>
      <c r="E684" s="137"/>
      <c r="F684" s="138" t="s">
        <v>402</v>
      </c>
      <c r="G684" s="139" t="s">
        <v>81</v>
      </c>
      <c r="H684" s="140" t="str">
        <f t="shared" si="256"/>
        <v>Niet van toepassing</v>
      </c>
      <c r="I684" s="138" t="s">
        <v>254</v>
      </c>
      <c r="J684" s="138" t="s">
        <v>1172</v>
      </c>
      <c r="K684" s="141" t="str">
        <f t="shared" si="257"/>
        <v>NVT</v>
      </c>
      <c r="L684" s="141" t="str">
        <f t="shared" si="258"/>
        <v>NVT</v>
      </c>
      <c r="M684" s="141" t="str">
        <f t="shared" si="259"/>
        <v>NVT</v>
      </c>
      <c r="N684" s="141" t="str">
        <f t="shared" si="260"/>
        <v>NVT</v>
      </c>
      <c r="O684" s="141" t="str">
        <f t="shared" si="261"/>
        <v>NVT</v>
      </c>
      <c r="P684" s="141" t="str">
        <f t="shared" si="262"/>
        <v>NVT</v>
      </c>
      <c r="Q684" s="141" t="str">
        <f t="shared" si="263"/>
        <v>NVT</v>
      </c>
      <c r="R684" s="63" t="s">
        <v>1221</v>
      </c>
      <c r="S684" s="142">
        <f t="shared" si="271"/>
        <v>0</v>
      </c>
      <c r="T684" s="143">
        <v>36.69</v>
      </c>
      <c r="U684" s="144"/>
      <c r="V684" s="144"/>
      <c r="W684" s="144"/>
      <c r="X684" s="144"/>
      <c r="Y684" s="144">
        <v>136</v>
      </c>
      <c r="Z684" s="145"/>
      <c r="AA684" s="145"/>
      <c r="AB684" s="145">
        <f>T684</f>
        <v>36.69</v>
      </c>
      <c r="AC684" s="145"/>
      <c r="AD684" s="146"/>
      <c r="AE684" s="171">
        <v>1</v>
      </c>
      <c r="AF684" s="147">
        <f t="shared" si="264"/>
        <v>0</v>
      </c>
      <c r="AG684" s="147">
        <f t="shared" si="265"/>
        <v>0</v>
      </c>
      <c r="AH684" s="147">
        <f t="shared" si="266"/>
        <v>0</v>
      </c>
      <c r="AI684" s="147">
        <f t="shared" si="267"/>
        <v>0</v>
      </c>
      <c r="AJ684" s="148">
        <f t="shared" si="268"/>
        <v>0</v>
      </c>
      <c r="AK684" s="149">
        <f t="shared" si="272"/>
        <v>0</v>
      </c>
      <c r="AL684" s="149">
        <f t="shared" si="273"/>
        <v>0</v>
      </c>
      <c r="AM684" s="149">
        <f t="shared" si="274"/>
        <v>0</v>
      </c>
      <c r="AN684" s="149">
        <f t="shared" si="275"/>
        <v>0</v>
      </c>
      <c r="AO684" s="150">
        <f t="shared" si="269"/>
        <v>0</v>
      </c>
      <c r="AQ684" s="151">
        <f t="shared" si="270"/>
        <v>0</v>
      </c>
    </row>
    <row r="685" spans="1:43" ht="15" customHeight="1">
      <c r="A685" s="82" t="e">
        <f t="shared" si="255"/>
        <v>#REF!</v>
      </c>
      <c r="B685" s="134">
        <v>108</v>
      </c>
      <c r="C685" s="135" t="s">
        <v>381</v>
      </c>
      <c r="D685" s="136" t="s">
        <v>39</v>
      </c>
      <c r="E685" s="137"/>
      <c r="F685" s="138" t="s">
        <v>403</v>
      </c>
      <c r="G685" s="139" t="s">
        <v>84</v>
      </c>
      <c r="H685" s="140" t="str">
        <f t="shared" si="256"/>
        <v>Niet van toepassing</v>
      </c>
      <c r="I685" s="138" t="s">
        <v>195</v>
      </c>
      <c r="J685" s="138" t="s">
        <v>1172</v>
      </c>
      <c r="K685" s="141" t="str">
        <f t="shared" si="257"/>
        <v>NVT</v>
      </c>
      <c r="L685" s="141" t="str">
        <f t="shared" si="258"/>
        <v>NVT</v>
      </c>
      <c r="M685" s="141" t="str">
        <f t="shared" si="259"/>
        <v>NVT</v>
      </c>
      <c r="N685" s="141" t="str">
        <f t="shared" si="260"/>
        <v>NVT</v>
      </c>
      <c r="O685" s="141" t="str">
        <f t="shared" si="261"/>
        <v>NVT</v>
      </c>
      <c r="P685" s="141" t="str">
        <f t="shared" si="262"/>
        <v>NVT</v>
      </c>
      <c r="Q685" s="141" t="str">
        <f t="shared" si="263"/>
        <v>NVT</v>
      </c>
      <c r="R685" s="63" t="s">
        <v>1221</v>
      </c>
      <c r="S685" s="142">
        <f t="shared" si="271"/>
        <v>0</v>
      </c>
      <c r="T685" s="143">
        <v>6.65</v>
      </c>
      <c r="U685" s="144"/>
      <c r="V685" s="144"/>
      <c r="W685" s="144"/>
      <c r="X685" s="144"/>
      <c r="Y685" s="144">
        <v>34.800000000000004</v>
      </c>
      <c r="Z685" s="145"/>
      <c r="AA685" s="145"/>
      <c r="AB685" s="145">
        <f>T685</f>
        <v>6.65</v>
      </c>
      <c r="AC685" s="145"/>
      <c r="AD685" s="146"/>
      <c r="AE685" s="171">
        <v>1</v>
      </c>
      <c r="AF685" s="147">
        <f t="shared" si="264"/>
        <v>0</v>
      </c>
      <c r="AG685" s="147">
        <f t="shared" si="265"/>
        <v>0</v>
      </c>
      <c r="AH685" s="147">
        <f t="shared" si="266"/>
        <v>0</v>
      </c>
      <c r="AI685" s="147">
        <f t="shared" si="267"/>
        <v>0</v>
      </c>
      <c r="AJ685" s="148">
        <f t="shared" si="268"/>
        <v>0</v>
      </c>
      <c r="AK685" s="149">
        <f t="shared" si="272"/>
        <v>0</v>
      </c>
      <c r="AL685" s="149">
        <f t="shared" si="273"/>
        <v>0</v>
      </c>
      <c r="AM685" s="149">
        <f t="shared" si="274"/>
        <v>0</v>
      </c>
      <c r="AN685" s="149">
        <f t="shared" si="275"/>
        <v>0</v>
      </c>
      <c r="AO685" s="150">
        <f t="shared" si="269"/>
        <v>0</v>
      </c>
      <c r="AQ685" s="151">
        <f t="shared" si="270"/>
        <v>0</v>
      </c>
    </row>
    <row r="686" spans="1:43" ht="15" customHeight="1">
      <c r="A686" s="82" t="e">
        <f t="shared" si="255"/>
        <v>#REF!</v>
      </c>
      <c r="B686" s="134">
        <v>108</v>
      </c>
      <c r="C686" s="135" t="s">
        <v>381</v>
      </c>
      <c r="D686" s="136" t="s">
        <v>39</v>
      </c>
      <c r="E686" s="137"/>
      <c r="F686" s="138" t="s">
        <v>404</v>
      </c>
      <c r="G686" s="139" t="s">
        <v>153</v>
      </c>
      <c r="H686" s="140" t="str">
        <f t="shared" si="256"/>
        <v>Niet van toepassing</v>
      </c>
      <c r="I686" s="138" t="s">
        <v>254</v>
      </c>
      <c r="J686" s="138" t="s">
        <v>1172</v>
      </c>
      <c r="K686" s="141" t="str">
        <f t="shared" si="257"/>
        <v>NVT</v>
      </c>
      <c r="L686" s="141" t="str">
        <f t="shared" si="258"/>
        <v>NVT</v>
      </c>
      <c r="M686" s="141" t="str">
        <f t="shared" si="259"/>
        <v>NVT</v>
      </c>
      <c r="N686" s="141" t="str">
        <f t="shared" si="260"/>
        <v>NVT</v>
      </c>
      <c r="O686" s="141" t="str">
        <f t="shared" si="261"/>
        <v>NVT</v>
      </c>
      <c r="P686" s="141" t="str">
        <f t="shared" si="262"/>
        <v>NVT</v>
      </c>
      <c r="Q686" s="141" t="str">
        <f t="shared" si="263"/>
        <v>NVT</v>
      </c>
      <c r="R686" s="63" t="s">
        <v>1221</v>
      </c>
      <c r="S686" s="142">
        <f t="shared" si="271"/>
        <v>0</v>
      </c>
      <c r="T686" s="143">
        <v>38.04</v>
      </c>
      <c r="U686" s="144"/>
      <c r="V686" s="144"/>
      <c r="W686" s="144"/>
      <c r="X686" s="144"/>
      <c r="Y686" s="144">
        <v>136</v>
      </c>
      <c r="Z686" s="145"/>
      <c r="AA686" s="145"/>
      <c r="AB686" s="145">
        <f>T686</f>
        <v>38.04</v>
      </c>
      <c r="AC686" s="145"/>
      <c r="AD686" s="146"/>
      <c r="AE686" s="171">
        <v>1</v>
      </c>
      <c r="AF686" s="147">
        <f t="shared" si="264"/>
        <v>0</v>
      </c>
      <c r="AG686" s="147">
        <f t="shared" si="265"/>
        <v>0</v>
      </c>
      <c r="AH686" s="147">
        <f t="shared" si="266"/>
        <v>0</v>
      </c>
      <c r="AI686" s="147">
        <f t="shared" si="267"/>
        <v>0</v>
      </c>
      <c r="AJ686" s="148">
        <f t="shared" si="268"/>
        <v>0</v>
      </c>
      <c r="AK686" s="149">
        <f t="shared" si="272"/>
        <v>0</v>
      </c>
      <c r="AL686" s="149">
        <f t="shared" si="273"/>
        <v>0</v>
      </c>
      <c r="AM686" s="149">
        <f t="shared" si="274"/>
        <v>0</v>
      </c>
      <c r="AN686" s="149">
        <f t="shared" si="275"/>
        <v>0</v>
      </c>
      <c r="AO686" s="150">
        <f t="shared" si="269"/>
        <v>0</v>
      </c>
      <c r="AQ686" s="151">
        <f t="shared" si="270"/>
        <v>0</v>
      </c>
    </row>
    <row r="687" spans="1:43" ht="15" customHeight="1">
      <c r="A687" s="82" t="e">
        <f t="shared" si="255"/>
        <v>#REF!</v>
      </c>
      <c r="B687" s="134">
        <v>108</v>
      </c>
      <c r="C687" s="135" t="s">
        <v>381</v>
      </c>
      <c r="D687" s="136" t="s">
        <v>39</v>
      </c>
      <c r="E687" s="137"/>
      <c r="F687" s="138" t="s">
        <v>405</v>
      </c>
      <c r="G687" s="139" t="s">
        <v>88</v>
      </c>
      <c r="H687" s="140" t="str">
        <f t="shared" si="256"/>
        <v>Niet van toepassing</v>
      </c>
      <c r="I687" s="138" t="s">
        <v>195</v>
      </c>
      <c r="J687" s="138" t="s">
        <v>1172</v>
      </c>
      <c r="K687" s="141" t="str">
        <f t="shared" si="257"/>
        <v>NVT</v>
      </c>
      <c r="L687" s="141" t="str">
        <f t="shared" si="258"/>
        <v>NVT</v>
      </c>
      <c r="M687" s="141" t="str">
        <f t="shared" si="259"/>
        <v>NVT</v>
      </c>
      <c r="N687" s="141" t="str">
        <f t="shared" si="260"/>
        <v>NVT</v>
      </c>
      <c r="O687" s="141" t="str">
        <f t="shared" si="261"/>
        <v>NVT</v>
      </c>
      <c r="P687" s="141" t="str">
        <f t="shared" si="262"/>
        <v>NVT</v>
      </c>
      <c r="Q687" s="141" t="str">
        <f t="shared" si="263"/>
        <v>NVT</v>
      </c>
      <c r="R687" s="63" t="s">
        <v>1221</v>
      </c>
      <c r="S687" s="142">
        <f t="shared" si="271"/>
        <v>0</v>
      </c>
      <c r="T687" s="143">
        <v>6.88</v>
      </c>
      <c r="U687" s="144"/>
      <c r="V687" s="144"/>
      <c r="W687" s="144"/>
      <c r="X687" s="144"/>
      <c r="Y687" s="144">
        <v>34.800000000000004</v>
      </c>
      <c r="Z687" s="145"/>
      <c r="AA687" s="145"/>
      <c r="AB687" s="145">
        <f>T687</f>
        <v>6.88</v>
      </c>
      <c r="AC687" s="145"/>
      <c r="AD687" s="146"/>
      <c r="AE687" s="171">
        <v>1</v>
      </c>
      <c r="AF687" s="147">
        <f t="shared" si="264"/>
        <v>0</v>
      </c>
      <c r="AG687" s="147">
        <f t="shared" si="265"/>
        <v>0</v>
      </c>
      <c r="AH687" s="147">
        <f t="shared" si="266"/>
        <v>0</v>
      </c>
      <c r="AI687" s="147">
        <f t="shared" si="267"/>
        <v>0</v>
      </c>
      <c r="AJ687" s="148">
        <f t="shared" si="268"/>
        <v>0</v>
      </c>
      <c r="AK687" s="149">
        <f t="shared" si="272"/>
        <v>0</v>
      </c>
      <c r="AL687" s="149">
        <f t="shared" si="273"/>
        <v>0</v>
      </c>
      <c r="AM687" s="149">
        <f t="shared" si="274"/>
        <v>0</v>
      </c>
      <c r="AN687" s="149">
        <f t="shared" si="275"/>
        <v>0</v>
      </c>
      <c r="AO687" s="150">
        <f t="shared" si="269"/>
        <v>0</v>
      </c>
      <c r="AQ687" s="151">
        <f t="shared" si="270"/>
        <v>0</v>
      </c>
    </row>
    <row r="688" spans="1:43" ht="15" customHeight="1">
      <c r="A688" s="82" t="e">
        <f t="shared" si="255"/>
        <v>#REF!</v>
      </c>
      <c r="B688" s="134">
        <v>108</v>
      </c>
      <c r="C688" s="135" t="s">
        <v>381</v>
      </c>
      <c r="D688" s="136" t="s">
        <v>39</v>
      </c>
      <c r="E688" s="137"/>
      <c r="F688" s="138" t="s">
        <v>406</v>
      </c>
      <c r="G688" s="139" t="s">
        <v>407</v>
      </c>
      <c r="H688" s="140" t="str">
        <f t="shared" si="256"/>
        <v>Liften</v>
      </c>
      <c r="I688" s="138" t="s">
        <v>1109</v>
      </c>
      <c r="J688" s="138" t="s">
        <v>1170</v>
      </c>
      <c r="K688" s="141" t="str">
        <f t="shared" si="257"/>
        <v>Volledig</v>
      </c>
      <c r="L688" s="141" t="str">
        <f t="shared" si="258"/>
        <v>naloop</v>
      </c>
      <c r="M688" s="141" t="str">
        <f t="shared" si="259"/>
        <v>naloop</v>
      </c>
      <c r="N688" s="141" t="str">
        <f t="shared" si="260"/>
        <v>Volledig</v>
      </c>
      <c r="O688" s="141" t="str">
        <f t="shared" si="261"/>
        <v>naloop</v>
      </c>
      <c r="P688" s="141" t="str">
        <f t="shared" si="262"/>
        <v>naloop</v>
      </c>
      <c r="Q688" s="141" t="str">
        <f t="shared" si="263"/>
        <v>naloop</v>
      </c>
      <c r="R688" s="63" t="s">
        <v>1474</v>
      </c>
      <c r="S688" s="142">
        <f t="shared" si="271"/>
        <v>365</v>
      </c>
      <c r="T688" s="143">
        <v>2.8</v>
      </c>
      <c r="U688" s="144"/>
      <c r="V688" s="144"/>
      <c r="W688" s="144"/>
      <c r="X688" s="144">
        <v>11.5</v>
      </c>
      <c r="Y688" s="144">
        <v>3.5</v>
      </c>
      <c r="Z688" s="145"/>
      <c r="AA688" s="145"/>
      <c r="AB688" s="145"/>
      <c r="AC688" s="145">
        <f>T688</f>
        <v>2.8</v>
      </c>
      <c r="AD688" s="146" t="s">
        <v>1110</v>
      </c>
      <c r="AE688" s="171">
        <v>1</v>
      </c>
      <c r="AF688" s="147">
        <f t="shared" si="264"/>
        <v>0</v>
      </c>
      <c r="AG688" s="147">
        <f t="shared" si="265"/>
        <v>0</v>
      </c>
      <c r="AH688" s="147">
        <f t="shared" si="266"/>
        <v>0</v>
      </c>
      <c r="AI688" s="147">
        <f t="shared" si="267"/>
        <v>0</v>
      </c>
      <c r="AJ688" s="148" t="str">
        <f t="shared" si="268"/>
        <v>ja</v>
      </c>
      <c r="AK688" s="149">
        <f t="shared" si="272"/>
        <v>0</v>
      </c>
      <c r="AL688" s="149">
        <f t="shared" si="273"/>
        <v>0</v>
      </c>
      <c r="AM688" s="149">
        <f t="shared" si="274"/>
        <v>0</v>
      </c>
      <c r="AN688" s="149">
        <f t="shared" si="275"/>
        <v>0</v>
      </c>
      <c r="AO688" s="150" t="str">
        <f t="shared" si="269"/>
        <v>V</v>
      </c>
      <c r="AQ688" s="151">
        <f t="shared" si="270"/>
        <v>1021.9999999999999</v>
      </c>
    </row>
    <row r="689" spans="1:43" ht="15" customHeight="1">
      <c r="A689" s="82" t="e">
        <f t="shared" si="255"/>
        <v>#REF!</v>
      </c>
      <c r="B689" s="134">
        <v>108</v>
      </c>
      <c r="C689" s="135" t="s">
        <v>381</v>
      </c>
      <c r="D689" s="136" t="s">
        <v>39</v>
      </c>
      <c r="E689" s="137"/>
      <c r="F689" s="138" t="s">
        <v>408</v>
      </c>
      <c r="G689" s="139" t="s">
        <v>409</v>
      </c>
      <c r="H689" s="140" t="str">
        <f t="shared" si="256"/>
        <v>Liften</v>
      </c>
      <c r="I689" s="138" t="s">
        <v>1109</v>
      </c>
      <c r="J689" s="138" t="s">
        <v>1170</v>
      </c>
      <c r="K689" s="141" t="str">
        <f t="shared" si="257"/>
        <v>Volledig</v>
      </c>
      <c r="L689" s="141" t="str">
        <f t="shared" si="258"/>
        <v>naloop</v>
      </c>
      <c r="M689" s="141" t="str">
        <f t="shared" si="259"/>
        <v>naloop</v>
      </c>
      <c r="N689" s="141" t="str">
        <f t="shared" si="260"/>
        <v>Volledig</v>
      </c>
      <c r="O689" s="141" t="str">
        <f t="shared" si="261"/>
        <v>naloop</v>
      </c>
      <c r="P689" s="141" t="str">
        <f t="shared" si="262"/>
        <v>naloop</v>
      </c>
      <c r="Q689" s="141" t="str">
        <f t="shared" si="263"/>
        <v>naloop</v>
      </c>
      <c r="R689" s="63" t="s">
        <v>1474</v>
      </c>
      <c r="S689" s="142">
        <f t="shared" si="271"/>
        <v>365</v>
      </c>
      <c r="T689" s="143">
        <v>2.8</v>
      </c>
      <c r="U689" s="144"/>
      <c r="V689" s="144"/>
      <c r="W689" s="144"/>
      <c r="X689" s="144">
        <v>11.5</v>
      </c>
      <c r="Y689" s="144">
        <v>3.5</v>
      </c>
      <c r="Z689" s="145"/>
      <c r="AA689" s="145"/>
      <c r="AB689" s="145"/>
      <c r="AC689" s="145">
        <f>T689</f>
        <v>2.8</v>
      </c>
      <c r="AD689" s="146" t="s">
        <v>1110</v>
      </c>
      <c r="AE689" s="171">
        <v>1</v>
      </c>
      <c r="AF689" s="147">
        <f t="shared" si="264"/>
        <v>0</v>
      </c>
      <c r="AG689" s="147">
        <f t="shared" si="265"/>
        <v>0</v>
      </c>
      <c r="AH689" s="147">
        <f t="shared" si="266"/>
        <v>0</v>
      </c>
      <c r="AI689" s="147">
        <f t="shared" si="267"/>
        <v>0</v>
      </c>
      <c r="AJ689" s="148" t="str">
        <f t="shared" si="268"/>
        <v>ja</v>
      </c>
      <c r="AK689" s="149">
        <f t="shared" si="272"/>
        <v>0</v>
      </c>
      <c r="AL689" s="149">
        <f t="shared" si="273"/>
        <v>0</v>
      </c>
      <c r="AM689" s="149">
        <f t="shared" si="274"/>
        <v>0</v>
      </c>
      <c r="AN689" s="149">
        <f t="shared" si="275"/>
        <v>0</v>
      </c>
      <c r="AO689" s="150" t="str">
        <f t="shared" si="269"/>
        <v>V</v>
      </c>
      <c r="AQ689" s="151">
        <f t="shared" si="270"/>
        <v>1021.9999999999999</v>
      </c>
    </row>
    <row r="690" spans="1:43" ht="15" customHeight="1">
      <c r="A690" s="82" t="e">
        <f t="shared" si="255"/>
        <v>#REF!</v>
      </c>
      <c r="B690" s="134">
        <v>108</v>
      </c>
      <c r="C690" s="135" t="s">
        <v>381</v>
      </c>
      <c r="D690" s="136" t="s">
        <v>39</v>
      </c>
      <c r="E690" s="137"/>
      <c r="F690" s="138" t="s">
        <v>410</v>
      </c>
      <c r="G690" s="139" t="s">
        <v>411</v>
      </c>
      <c r="H690" s="140" t="str">
        <f t="shared" si="256"/>
        <v>Liften</v>
      </c>
      <c r="I690" s="138" t="s">
        <v>1109</v>
      </c>
      <c r="J690" s="138" t="s">
        <v>1170</v>
      </c>
      <c r="K690" s="141" t="str">
        <f t="shared" si="257"/>
        <v>Volledig</v>
      </c>
      <c r="L690" s="141" t="str">
        <f t="shared" si="258"/>
        <v>naloop</v>
      </c>
      <c r="M690" s="141" t="str">
        <f t="shared" si="259"/>
        <v>naloop</v>
      </c>
      <c r="N690" s="141" t="str">
        <f t="shared" si="260"/>
        <v>Volledig</v>
      </c>
      <c r="O690" s="141" t="str">
        <f t="shared" si="261"/>
        <v>naloop</v>
      </c>
      <c r="P690" s="141" t="str">
        <f t="shared" si="262"/>
        <v>naloop</v>
      </c>
      <c r="Q690" s="141" t="str">
        <f t="shared" si="263"/>
        <v>naloop</v>
      </c>
      <c r="R690" s="63" t="s">
        <v>1474</v>
      </c>
      <c r="S690" s="142">
        <f t="shared" si="271"/>
        <v>365</v>
      </c>
      <c r="T690" s="143">
        <v>2.8</v>
      </c>
      <c r="U690" s="144"/>
      <c r="V690" s="144"/>
      <c r="W690" s="144"/>
      <c r="X690" s="144">
        <v>11.5</v>
      </c>
      <c r="Y690" s="144">
        <v>3.5</v>
      </c>
      <c r="Z690" s="145"/>
      <c r="AA690" s="145"/>
      <c r="AB690" s="145"/>
      <c r="AC690" s="145">
        <f>T690</f>
        <v>2.8</v>
      </c>
      <c r="AD690" s="146" t="s">
        <v>1110</v>
      </c>
      <c r="AE690" s="171">
        <v>1</v>
      </c>
      <c r="AF690" s="147">
        <f t="shared" si="264"/>
        <v>0</v>
      </c>
      <c r="AG690" s="147">
        <f t="shared" si="265"/>
        <v>0</v>
      </c>
      <c r="AH690" s="147">
        <f t="shared" si="266"/>
        <v>0</v>
      </c>
      <c r="AI690" s="147">
        <f t="shared" si="267"/>
        <v>0</v>
      </c>
      <c r="AJ690" s="148" t="str">
        <f t="shared" si="268"/>
        <v>ja</v>
      </c>
      <c r="AK690" s="149">
        <f t="shared" si="272"/>
        <v>0</v>
      </c>
      <c r="AL690" s="149">
        <f t="shared" si="273"/>
        <v>0</v>
      </c>
      <c r="AM690" s="149">
        <f t="shared" si="274"/>
        <v>0</v>
      </c>
      <c r="AN690" s="149">
        <f t="shared" si="275"/>
        <v>0</v>
      </c>
      <c r="AO690" s="150" t="str">
        <f t="shared" si="269"/>
        <v>V</v>
      </c>
      <c r="AQ690" s="151">
        <f t="shared" si="270"/>
        <v>1021.9999999999999</v>
      </c>
    </row>
    <row r="691" spans="1:43" ht="15" customHeight="1">
      <c r="A691" s="82" t="e">
        <f t="shared" si="255"/>
        <v>#REF!</v>
      </c>
      <c r="B691" s="134">
        <v>108</v>
      </c>
      <c r="C691" s="135" t="s">
        <v>381</v>
      </c>
      <c r="D691" s="136" t="s">
        <v>39</v>
      </c>
      <c r="E691" s="137"/>
      <c r="F691" s="138" t="s">
        <v>412</v>
      </c>
      <c r="G691" s="139" t="s">
        <v>413</v>
      </c>
      <c r="H691" s="140" t="str">
        <f t="shared" si="256"/>
        <v>Niet van toepassing</v>
      </c>
      <c r="I691" s="138" t="s">
        <v>195</v>
      </c>
      <c r="J691" s="138" t="s">
        <v>1172</v>
      </c>
      <c r="K691" s="141" t="str">
        <f t="shared" si="257"/>
        <v>NVT</v>
      </c>
      <c r="L691" s="141" t="str">
        <f t="shared" si="258"/>
        <v>NVT</v>
      </c>
      <c r="M691" s="141" t="str">
        <f t="shared" si="259"/>
        <v>NVT</v>
      </c>
      <c r="N691" s="141" t="str">
        <f t="shared" si="260"/>
        <v>NVT</v>
      </c>
      <c r="O691" s="141" t="str">
        <f t="shared" si="261"/>
        <v>NVT</v>
      </c>
      <c r="P691" s="141" t="str">
        <f t="shared" si="262"/>
        <v>NVT</v>
      </c>
      <c r="Q691" s="141" t="str">
        <f t="shared" si="263"/>
        <v>NVT</v>
      </c>
      <c r="R691" s="63" t="s">
        <v>1221</v>
      </c>
      <c r="S691" s="142">
        <f t="shared" si="271"/>
        <v>0</v>
      </c>
      <c r="T691" s="143">
        <v>6.7</v>
      </c>
      <c r="U691" s="144"/>
      <c r="V691" s="144"/>
      <c r="W691" s="144"/>
      <c r="X691" s="144"/>
      <c r="Y691" s="144">
        <v>26.4</v>
      </c>
      <c r="Z691" s="145"/>
      <c r="AA691" s="145"/>
      <c r="AB691" s="145">
        <f>T691</f>
        <v>6.7</v>
      </c>
      <c r="AC691" s="145"/>
      <c r="AD691" s="146"/>
      <c r="AE691" s="171">
        <v>1</v>
      </c>
      <c r="AF691" s="147">
        <f t="shared" si="264"/>
        <v>0</v>
      </c>
      <c r="AG691" s="147">
        <f t="shared" si="265"/>
        <v>0</v>
      </c>
      <c r="AH691" s="147">
        <f t="shared" si="266"/>
        <v>0</v>
      </c>
      <c r="AI691" s="147">
        <f t="shared" si="267"/>
        <v>0</v>
      </c>
      <c r="AJ691" s="148">
        <f t="shared" si="268"/>
        <v>0</v>
      </c>
      <c r="AK691" s="149">
        <f t="shared" si="272"/>
        <v>0</v>
      </c>
      <c r="AL691" s="149">
        <f t="shared" si="273"/>
        <v>0</v>
      </c>
      <c r="AM691" s="149">
        <f t="shared" si="274"/>
        <v>0</v>
      </c>
      <c r="AN691" s="149">
        <f t="shared" si="275"/>
        <v>0</v>
      </c>
      <c r="AO691" s="150">
        <f t="shared" si="269"/>
        <v>0</v>
      </c>
      <c r="AQ691" s="151">
        <f t="shared" si="270"/>
        <v>0</v>
      </c>
    </row>
    <row r="692" spans="1:43" ht="15" customHeight="1">
      <c r="A692" s="82" t="e">
        <f t="shared" si="255"/>
        <v>#REF!</v>
      </c>
      <c r="B692" s="134">
        <v>108</v>
      </c>
      <c r="C692" s="135" t="s">
        <v>381</v>
      </c>
      <c r="D692" s="136" t="s">
        <v>39</v>
      </c>
      <c r="E692" s="137"/>
      <c r="F692" s="138" t="s">
        <v>414</v>
      </c>
      <c r="G692" s="139" t="s">
        <v>100</v>
      </c>
      <c r="H692" s="140" t="str">
        <f t="shared" si="256"/>
        <v>Niet van toepassing</v>
      </c>
      <c r="I692" s="138" t="s">
        <v>1254</v>
      </c>
      <c r="J692" s="138" t="s">
        <v>1172</v>
      </c>
      <c r="K692" s="141" t="str">
        <f t="shared" si="257"/>
        <v>NVT</v>
      </c>
      <c r="L692" s="141" t="str">
        <f t="shared" si="258"/>
        <v>NVT</v>
      </c>
      <c r="M692" s="141" t="str">
        <f t="shared" si="259"/>
        <v>NVT</v>
      </c>
      <c r="N692" s="141" t="str">
        <f t="shared" si="260"/>
        <v>NVT</v>
      </c>
      <c r="O692" s="141" t="str">
        <f t="shared" si="261"/>
        <v>NVT</v>
      </c>
      <c r="P692" s="141" t="str">
        <f t="shared" si="262"/>
        <v>NVT</v>
      </c>
      <c r="Q692" s="141" t="str">
        <f t="shared" si="263"/>
        <v>NVT</v>
      </c>
      <c r="R692" s="63" t="s">
        <v>1221</v>
      </c>
      <c r="S692" s="142">
        <f t="shared" si="271"/>
        <v>0</v>
      </c>
      <c r="T692" s="143">
        <v>62.31</v>
      </c>
      <c r="U692" s="144"/>
      <c r="V692" s="144"/>
      <c r="W692" s="144"/>
      <c r="X692" s="144"/>
      <c r="Y692" s="144"/>
      <c r="Z692" s="145"/>
      <c r="AA692" s="145">
        <f>T692</f>
        <v>62.31</v>
      </c>
      <c r="AB692" s="145"/>
      <c r="AC692" s="145"/>
      <c r="AD692" s="146" t="s">
        <v>420</v>
      </c>
      <c r="AE692" s="171">
        <v>1</v>
      </c>
      <c r="AF692" s="147">
        <f t="shared" si="264"/>
        <v>0</v>
      </c>
      <c r="AG692" s="147">
        <f t="shared" si="265"/>
        <v>0</v>
      </c>
      <c r="AH692" s="147">
        <f t="shared" si="266"/>
        <v>0</v>
      </c>
      <c r="AI692" s="147">
        <f t="shared" si="267"/>
        <v>0</v>
      </c>
      <c r="AJ692" s="148">
        <f t="shared" si="268"/>
        <v>0</v>
      </c>
      <c r="AK692" s="149">
        <f t="shared" si="272"/>
        <v>0</v>
      </c>
      <c r="AL692" s="149">
        <f t="shared" si="273"/>
        <v>0</v>
      </c>
      <c r="AM692" s="149">
        <f t="shared" si="274"/>
        <v>0</v>
      </c>
      <c r="AN692" s="149">
        <f t="shared" si="275"/>
        <v>0</v>
      </c>
      <c r="AO692" s="150">
        <f t="shared" si="269"/>
        <v>0</v>
      </c>
      <c r="AQ692" s="151">
        <f t="shared" si="270"/>
        <v>0</v>
      </c>
    </row>
    <row r="693" spans="1:43" ht="15" customHeight="1">
      <c r="A693" s="82" t="e">
        <f t="shared" si="255"/>
        <v>#REF!</v>
      </c>
      <c r="B693" s="134">
        <v>108</v>
      </c>
      <c r="C693" s="135" t="s">
        <v>381</v>
      </c>
      <c r="D693" s="136" t="s">
        <v>39</v>
      </c>
      <c r="E693" s="137"/>
      <c r="F693" s="138" t="s">
        <v>415</v>
      </c>
      <c r="G693" s="139" t="s">
        <v>416</v>
      </c>
      <c r="H693" s="140" t="str">
        <f t="shared" si="256"/>
        <v>Niet van toepassing</v>
      </c>
      <c r="I693" s="138" t="s">
        <v>418</v>
      </c>
      <c r="J693" s="138" t="s">
        <v>1172</v>
      </c>
      <c r="K693" s="141" t="str">
        <f t="shared" si="257"/>
        <v>NVT</v>
      </c>
      <c r="L693" s="141" t="str">
        <f t="shared" si="258"/>
        <v>NVT</v>
      </c>
      <c r="M693" s="141" t="str">
        <f t="shared" si="259"/>
        <v>NVT</v>
      </c>
      <c r="N693" s="141" t="str">
        <f t="shared" si="260"/>
        <v>NVT</v>
      </c>
      <c r="O693" s="141" t="str">
        <f t="shared" si="261"/>
        <v>NVT</v>
      </c>
      <c r="P693" s="141" t="str">
        <f t="shared" si="262"/>
        <v>NVT</v>
      </c>
      <c r="Q693" s="141" t="str">
        <f t="shared" si="263"/>
        <v>NVT</v>
      </c>
      <c r="R693" s="63" t="s">
        <v>1221</v>
      </c>
      <c r="S693" s="142">
        <f t="shared" si="271"/>
        <v>0</v>
      </c>
      <c r="T693" s="143">
        <v>0.52</v>
      </c>
      <c r="U693" s="144"/>
      <c r="V693" s="144"/>
      <c r="W693" s="144">
        <v>8.6999999999999993</v>
      </c>
      <c r="X693" s="144"/>
      <c r="Y693" s="144"/>
      <c r="Z693" s="145"/>
      <c r="AA693" s="145">
        <f>T693</f>
        <v>0.52</v>
      </c>
      <c r="AB693" s="145"/>
      <c r="AC693" s="145"/>
      <c r="AD693" s="146"/>
      <c r="AE693" s="171">
        <v>1</v>
      </c>
      <c r="AF693" s="147">
        <f t="shared" si="264"/>
        <v>0</v>
      </c>
      <c r="AG693" s="147">
        <f t="shared" si="265"/>
        <v>0</v>
      </c>
      <c r="AH693" s="147">
        <f t="shared" si="266"/>
        <v>0</v>
      </c>
      <c r="AI693" s="147">
        <f t="shared" si="267"/>
        <v>0</v>
      </c>
      <c r="AJ693" s="148">
        <f t="shared" si="268"/>
        <v>0</v>
      </c>
      <c r="AK693" s="149">
        <f t="shared" si="272"/>
        <v>0</v>
      </c>
      <c r="AL693" s="149">
        <f t="shared" si="273"/>
        <v>0</v>
      </c>
      <c r="AM693" s="149">
        <f t="shared" si="274"/>
        <v>0</v>
      </c>
      <c r="AN693" s="149">
        <f t="shared" si="275"/>
        <v>0</v>
      </c>
      <c r="AO693" s="150">
        <f t="shared" si="269"/>
        <v>0</v>
      </c>
      <c r="AQ693" s="151">
        <f t="shared" si="270"/>
        <v>0</v>
      </c>
    </row>
    <row r="694" spans="1:43" ht="15" customHeight="1">
      <c r="A694" s="82" t="e">
        <f t="shared" si="255"/>
        <v>#REF!</v>
      </c>
      <c r="B694" s="134">
        <v>108</v>
      </c>
      <c r="C694" s="135" t="s">
        <v>381</v>
      </c>
      <c r="D694" s="136" t="s">
        <v>39</v>
      </c>
      <c r="E694" s="137"/>
      <c r="F694" s="138" t="s">
        <v>417</v>
      </c>
      <c r="G694" s="139" t="s">
        <v>264</v>
      </c>
      <c r="H694" s="140" t="str">
        <f t="shared" si="256"/>
        <v>Trappen</v>
      </c>
      <c r="I694" s="138" t="s">
        <v>118</v>
      </c>
      <c r="J694" s="138" t="s">
        <v>1170</v>
      </c>
      <c r="K694" s="141" t="str">
        <f t="shared" si="257"/>
        <v>Volledig</v>
      </c>
      <c r="L694" s="141" t="str">
        <f t="shared" si="258"/>
        <v>naloop</v>
      </c>
      <c r="M694" s="141" t="str">
        <f t="shared" si="259"/>
        <v>naloop</v>
      </c>
      <c r="N694" s="141" t="str">
        <f t="shared" si="260"/>
        <v>Volledig</v>
      </c>
      <c r="O694" s="141" t="str">
        <f t="shared" si="261"/>
        <v>naloop</v>
      </c>
      <c r="P694" s="141" t="str">
        <f t="shared" si="262"/>
        <v>naloop</v>
      </c>
      <c r="Q694" s="141" t="str">
        <f t="shared" si="263"/>
        <v>naloop</v>
      </c>
      <c r="R694" s="63" t="s">
        <v>1476</v>
      </c>
      <c r="S694" s="142">
        <f t="shared" si="271"/>
        <v>365</v>
      </c>
      <c r="T694" s="143">
        <v>21.4</v>
      </c>
      <c r="U694" s="144"/>
      <c r="V694" s="144"/>
      <c r="W694" s="144"/>
      <c r="X694" s="144"/>
      <c r="Y694" s="144"/>
      <c r="Z694" s="145"/>
      <c r="AA694" s="145"/>
      <c r="AB694" s="145"/>
      <c r="AC694" s="145"/>
      <c r="AD694" s="146"/>
      <c r="AE694" s="171">
        <v>1</v>
      </c>
      <c r="AF694" s="147">
        <f t="shared" si="264"/>
        <v>0</v>
      </c>
      <c r="AG694" s="147">
        <f t="shared" si="265"/>
        <v>0</v>
      </c>
      <c r="AH694" s="147">
        <f t="shared" si="266"/>
        <v>0</v>
      </c>
      <c r="AI694" s="147">
        <f t="shared" si="267"/>
        <v>0</v>
      </c>
      <c r="AJ694" s="148" t="str">
        <f t="shared" si="268"/>
        <v>ja</v>
      </c>
      <c r="AK694" s="149">
        <f t="shared" si="272"/>
        <v>0</v>
      </c>
      <c r="AL694" s="149">
        <f t="shared" si="273"/>
        <v>0</v>
      </c>
      <c r="AM694" s="149">
        <f t="shared" si="274"/>
        <v>0</v>
      </c>
      <c r="AN694" s="149">
        <f t="shared" si="275"/>
        <v>0</v>
      </c>
      <c r="AO694" s="150" t="str">
        <f t="shared" si="269"/>
        <v>V</v>
      </c>
      <c r="AQ694" s="151">
        <f t="shared" si="270"/>
        <v>7810.9999999999991</v>
      </c>
    </row>
    <row r="695" spans="1:43" ht="15" customHeight="1">
      <c r="A695" s="82" t="e">
        <f t="shared" si="255"/>
        <v>#REF!</v>
      </c>
      <c r="B695" s="134">
        <v>109</v>
      </c>
      <c r="C695" s="135" t="s">
        <v>944</v>
      </c>
      <c r="D695" s="136" t="s">
        <v>39</v>
      </c>
      <c r="E695" s="137"/>
      <c r="F695" s="138" t="s">
        <v>1088</v>
      </c>
      <c r="G695" s="139" t="s">
        <v>29</v>
      </c>
      <c r="H695" s="140" t="str">
        <f t="shared" si="256"/>
        <v>Niet van toepassing</v>
      </c>
      <c r="I695" s="138" t="s">
        <v>254</v>
      </c>
      <c r="J695" s="138" t="s">
        <v>1172</v>
      </c>
      <c r="K695" s="141" t="str">
        <f t="shared" si="257"/>
        <v>NVT</v>
      </c>
      <c r="L695" s="141" t="str">
        <f t="shared" si="258"/>
        <v>NVT</v>
      </c>
      <c r="M695" s="141" t="str">
        <f t="shared" si="259"/>
        <v>NVT</v>
      </c>
      <c r="N695" s="141" t="str">
        <f t="shared" si="260"/>
        <v>NVT</v>
      </c>
      <c r="O695" s="141" t="str">
        <f t="shared" si="261"/>
        <v>NVT</v>
      </c>
      <c r="P695" s="141" t="str">
        <f t="shared" si="262"/>
        <v>NVT</v>
      </c>
      <c r="Q695" s="141" t="str">
        <f t="shared" si="263"/>
        <v>NVT</v>
      </c>
      <c r="R695" s="63" t="s">
        <v>1221</v>
      </c>
      <c r="S695" s="142">
        <f t="shared" si="271"/>
        <v>0</v>
      </c>
      <c r="T695" s="143">
        <v>15</v>
      </c>
      <c r="U695" s="144"/>
      <c r="V695" s="144"/>
      <c r="W695" s="144">
        <v>42</v>
      </c>
      <c r="X695" s="144"/>
      <c r="Y695" s="144"/>
      <c r="Z695" s="145"/>
      <c r="AA695" s="145"/>
      <c r="AB695" s="145">
        <v>15</v>
      </c>
      <c r="AC695" s="145"/>
      <c r="AD695" s="146"/>
      <c r="AE695" s="171">
        <v>1</v>
      </c>
      <c r="AF695" s="147">
        <f t="shared" si="264"/>
        <v>0</v>
      </c>
      <c r="AG695" s="147">
        <f t="shared" si="265"/>
        <v>0</v>
      </c>
      <c r="AH695" s="147">
        <f t="shared" si="266"/>
        <v>0</v>
      </c>
      <c r="AI695" s="147">
        <f t="shared" si="267"/>
        <v>0</v>
      </c>
      <c r="AJ695" s="148">
        <f t="shared" si="268"/>
        <v>0</v>
      </c>
      <c r="AK695" s="149">
        <f t="shared" si="272"/>
        <v>0</v>
      </c>
      <c r="AL695" s="149">
        <f t="shared" si="273"/>
        <v>0</v>
      </c>
      <c r="AM695" s="149">
        <f t="shared" si="274"/>
        <v>0</v>
      </c>
      <c r="AN695" s="149">
        <f t="shared" si="275"/>
        <v>0</v>
      </c>
      <c r="AO695" s="150">
        <f t="shared" si="269"/>
        <v>0</v>
      </c>
      <c r="AQ695" s="151">
        <f t="shared" si="270"/>
        <v>0</v>
      </c>
    </row>
    <row r="696" spans="1:43" ht="15" customHeight="1">
      <c r="A696" s="82" t="e">
        <f t="shared" si="255"/>
        <v>#REF!</v>
      </c>
      <c r="B696" s="134">
        <v>109</v>
      </c>
      <c r="C696" s="135" t="s">
        <v>944</v>
      </c>
      <c r="D696" s="136" t="s">
        <v>39</v>
      </c>
      <c r="E696" s="137"/>
      <c r="F696" s="138" t="s">
        <v>1089</v>
      </c>
      <c r="G696" s="139" t="s">
        <v>288</v>
      </c>
      <c r="H696" s="140" t="str">
        <f t="shared" si="256"/>
        <v>Niet van toepassing</v>
      </c>
      <c r="I696" s="138" t="s">
        <v>254</v>
      </c>
      <c r="J696" s="138" t="s">
        <v>1172</v>
      </c>
      <c r="K696" s="141" t="str">
        <f t="shared" si="257"/>
        <v>NVT</v>
      </c>
      <c r="L696" s="141" t="str">
        <f t="shared" si="258"/>
        <v>NVT</v>
      </c>
      <c r="M696" s="141" t="str">
        <f t="shared" si="259"/>
        <v>NVT</v>
      </c>
      <c r="N696" s="141" t="str">
        <f t="shared" si="260"/>
        <v>NVT</v>
      </c>
      <c r="O696" s="141" t="str">
        <f t="shared" si="261"/>
        <v>NVT</v>
      </c>
      <c r="P696" s="141" t="str">
        <f t="shared" si="262"/>
        <v>NVT</v>
      </c>
      <c r="Q696" s="141" t="str">
        <f t="shared" si="263"/>
        <v>NVT</v>
      </c>
      <c r="R696" s="63" t="s">
        <v>1221</v>
      </c>
      <c r="S696" s="142">
        <f t="shared" si="271"/>
        <v>0</v>
      </c>
      <c r="T696" s="143">
        <v>11</v>
      </c>
      <c r="U696" s="144"/>
      <c r="V696" s="144"/>
      <c r="W696" s="144">
        <v>37</v>
      </c>
      <c r="X696" s="144"/>
      <c r="Y696" s="144"/>
      <c r="Z696" s="145"/>
      <c r="AA696" s="145"/>
      <c r="AB696" s="145">
        <v>11</v>
      </c>
      <c r="AC696" s="145"/>
      <c r="AD696" s="146"/>
      <c r="AE696" s="171">
        <v>1</v>
      </c>
      <c r="AF696" s="147">
        <f t="shared" si="264"/>
        <v>0</v>
      </c>
      <c r="AG696" s="147">
        <f t="shared" si="265"/>
        <v>0</v>
      </c>
      <c r="AH696" s="147">
        <f t="shared" si="266"/>
        <v>0</v>
      </c>
      <c r="AI696" s="147">
        <f t="shared" si="267"/>
        <v>0</v>
      </c>
      <c r="AJ696" s="148">
        <f t="shared" si="268"/>
        <v>0</v>
      </c>
      <c r="AK696" s="149">
        <f t="shared" si="272"/>
        <v>0</v>
      </c>
      <c r="AL696" s="149">
        <f t="shared" si="273"/>
        <v>0</v>
      </c>
      <c r="AM696" s="149">
        <f t="shared" si="274"/>
        <v>0</v>
      </c>
      <c r="AN696" s="149">
        <f t="shared" si="275"/>
        <v>0</v>
      </c>
      <c r="AO696" s="150">
        <f t="shared" si="269"/>
        <v>0</v>
      </c>
      <c r="AQ696" s="151">
        <f t="shared" si="270"/>
        <v>0</v>
      </c>
    </row>
    <row r="697" spans="1:43" ht="15" customHeight="1">
      <c r="A697" s="82" t="e">
        <f t="shared" si="255"/>
        <v>#REF!</v>
      </c>
      <c r="B697" s="134">
        <v>109</v>
      </c>
      <c r="C697" s="135" t="s">
        <v>944</v>
      </c>
      <c r="D697" s="136" t="s">
        <v>39</v>
      </c>
      <c r="E697" s="137"/>
      <c r="F697" s="138" t="s">
        <v>441</v>
      </c>
      <c r="G697" s="139" t="s">
        <v>1090</v>
      </c>
      <c r="H697" s="140" t="str">
        <f t="shared" si="256"/>
        <v>Niet van toepassing</v>
      </c>
      <c r="I697" s="138" t="s">
        <v>195</v>
      </c>
      <c r="J697" s="138" t="s">
        <v>1172</v>
      </c>
      <c r="K697" s="141" t="str">
        <f t="shared" si="257"/>
        <v>NVT</v>
      </c>
      <c r="L697" s="141" t="str">
        <f t="shared" si="258"/>
        <v>NVT</v>
      </c>
      <c r="M697" s="141" t="str">
        <f t="shared" si="259"/>
        <v>NVT</v>
      </c>
      <c r="N697" s="141" t="str">
        <f t="shared" si="260"/>
        <v>NVT</v>
      </c>
      <c r="O697" s="141" t="str">
        <f t="shared" si="261"/>
        <v>NVT</v>
      </c>
      <c r="P697" s="141" t="str">
        <f t="shared" si="262"/>
        <v>NVT</v>
      </c>
      <c r="Q697" s="141" t="str">
        <f t="shared" si="263"/>
        <v>NVT</v>
      </c>
      <c r="R697" s="63" t="s">
        <v>1221</v>
      </c>
      <c r="S697" s="142">
        <f t="shared" si="271"/>
        <v>0</v>
      </c>
      <c r="T697" s="143">
        <v>11</v>
      </c>
      <c r="U697" s="144"/>
      <c r="V697" s="144"/>
      <c r="W697" s="144">
        <v>37</v>
      </c>
      <c r="X697" s="144"/>
      <c r="Y697" s="144"/>
      <c r="Z697" s="145"/>
      <c r="AA697" s="145"/>
      <c r="AB697" s="145">
        <v>11</v>
      </c>
      <c r="AC697" s="145"/>
      <c r="AD697" s="146"/>
      <c r="AE697" s="171">
        <v>1</v>
      </c>
      <c r="AF697" s="147">
        <f t="shared" si="264"/>
        <v>0</v>
      </c>
      <c r="AG697" s="147">
        <f t="shared" si="265"/>
        <v>0</v>
      </c>
      <c r="AH697" s="147">
        <f t="shared" si="266"/>
        <v>0</v>
      </c>
      <c r="AI697" s="147">
        <f t="shared" si="267"/>
        <v>0</v>
      </c>
      <c r="AJ697" s="148">
        <f t="shared" si="268"/>
        <v>0</v>
      </c>
      <c r="AK697" s="149">
        <f t="shared" si="272"/>
        <v>0</v>
      </c>
      <c r="AL697" s="149">
        <f t="shared" si="273"/>
        <v>0</v>
      </c>
      <c r="AM697" s="149">
        <f t="shared" si="274"/>
        <v>0</v>
      </c>
      <c r="AN697" s="149">
        <f t="shared" si="275"/>
        <v>0</v>
      </c>
      <c r="AO697" s="150">
        <f t="shared" si="269"/>
        <v>0</v>
      </c>
      <c r="AQ697" s="151">
        <f t="shared" si="270"/>
        <v>0</v>
      </c>
    </row>
    <row r="698" spans="1:43" ht="15" customHeight="1">
      <c r="A698" s="82" t="e">
        <f t="shared" si="255"/>
        <v>#REF!</v>
      </c>
      <c r="B698" s="134">
        <v>109</v>
      </c>
      <c r="C698" s="135" t="s">
        <v>944</v>
      </c>
      <c r="D698" s="136" t="s">
        <v>39</v>
      </c>
      <c r="E698" s="137"/>
      <c r="F698" s="138" t="s">
        <v>1091</v>
      </c>
      <c r="G698" s="139" t="s">
        <v>28</v>
      </c>
      <c r="H698" s="140" t="str">
        <f t="shared" si="256"/>
        <v>Niet van toepassing</v>
      </c>
      <c r="I698" s="138" t="s">
        <v>270</v>
      </c>
      <c r="J698" s="138" t="s">
        <v>1172</v>
      </c>
      <c r="K698" s="141" t="str">
        <f t="shared" si="257"/>
        <v>NVT</v>
      </c>
      <c r="L698" s="141" t="str">
        <f t="shared" si="258"/>
        <v>NVT</v>
      </c>
      <c r="M698" s="141" t="str">
        <f t="shared" si="259"/>
        <v>NVT</v>
      </c>
      <c r="N698" s="141" t="str">
        <f t="shared" si="260"/>
        <v>NVT</v>
      </c>
      <c r="O698" s="141" t="str">
        <f t="shared" si="261"/>
        <v>NVT</v>
      </c>
      <c r="P698" s="141" t="str">
        <f t="shared" si="262"/>
        <v>NVT</v>
      </c>
      <c r="Q698" s="141" t="str">
        <f t="shared" si="263"/>
        <v>NVT</v>
      </c>
      <c r="R698" s="63" t="s">
        <v>1221</v>
      </c>
      <c r="S698" s="142">
        <f t="shared" si="271"/>
        <v>0</v>
      </c>
      <c r="T698" s="143">
        <v>12</v>
      </c>
      <c r="U698" s="144"/>
      <c r="V698" s="144"/>
      <c r="W698" s="144">
        <v>40</v>
      </c>
      <c r="X698" s="144"/>
      <c r="Y698" s="144"/>
      <c r="Z698" s="145"/>
      <c r="AA698" s="145"/>
      <c r="AB698" s="145">
        <v>12</v>
      </c>
      <c r="AC698" s="145"/>
      <c r="AD698" s="146"/>
      <c r="AE698" s="171">
        <v>1</v>
      </c>
      <c r="AF698" s="147">
        <f t="shared" si="264"/>
        <v>0</v>
      </c>
      <c r="AG698" s="147">
        <f t="shared" si="265"/>
        <v>0</v>
      </c>
      <c r="AH698" s="147">
        <f t="shared" si="266"/>
        <v>0</v>
      </c>
      <c r="AI698" s="147">
        <f t="shared" si="267"/>
        <v>0</v>
      </c>
      <c r="AJ698" s="148">
        <f t="shared" si="268"/>
        <v>0</v>
      </c>
      <c r="AK698" s="149">
        <f t="shared" si="272"/>
        <v>0</v>
      </c>
      <c r="AL698" s="149">
        <f t="shared" si="273"/>
        <v>0</v>
      </c>
      <c r="AM698" s="149">
        <f t="shared" si="274"/>
        <v>0</v>
      </c>
      <c r="AN698" s="149">
        <f t="shared" si="275"/>
        <v>0</v>
      </c>
      <c r="AO698" s="150">
        <f t="shared" si="269"/>
        <v>0</v>
      </c>
      <c r="AQ698" s="151">
        <f t="shared" si="270"/>
        <v>0</v>
      </c>
    </row>
    <row r="699" spans="1:43" ht="15" customHeight="1">
      <c r="A699" s="82" t="e">
        <f t="shared" si="255"/>
        <v>#REF!</v>
      </c>
      <c r="B699" s="134">
        <v>110</v>
      </c>
      <c r="C699" s="135" t="s">
        <v>184</v>
      </c>
      <c r="D699" s="136" t="s">
        <v>39</v>
      </c>
      <c r="E699" s="137"/>
      <c r="F699" s="138" t="s">
        <v>1318</v>
      </c>
      <c r="G699" s="139"/>
      <c r="H699" s="140" t="str">
        <f t="shared" si="256"/>
        <v>Bestrating</v>
      </c>
      <c r="I699" s="138" t="s">
        <v>1319</v>
      </c>
      <c r="J699" s="138" t="s">
        <v>1170</v>
      </c>
      <c r="K699" s="141" t="str">
        <f t="shared" si="257"/>
        <v>Zie Freq</v>
      </c>
      <c r="L699" s="141" t="str">
        <f t="shared" si="258"/>
        <v>Zie Freq</v>
      </c>
      <c r="M699" s="141" t="str">
        <f t="shared" si="259"/>
        <v>Zie Freq</v>
      </c>
      <c r="N699" s="141" t="str">
        <f t="shared" si="260"/>
        <v>Zie Freq</v>
      </c>
      <c r="O699" s="141" t="str">
        <f t="shared" si="261"/>
        <v>Zie Freq</v>
      </c>
      <c r="P699" s="141" t="str">
        <f t="shared" si="262"/>
        <v>NVT</v>
      </c>
      <c r="Q699" s="141" t="str">
        <f t="shared" si="263"/>
        <v>NVT</v>
      </c>
      <c r="R699" s="63" t="s">
        <v>1320</v>
      </c>
      <c r="S699" s="142">
        <f t="shared" si="271"/>
        <v>12</v>
      </c>
      <c r="T699" s="143">
        <v>48</v>
      </c>
      <c r="U699" s="144"/>
      <c r="V699" s="144"/>
      <c r="W699" s="144"/>
      <c r="X699" s="144"/>
      <c r="Y699" s="144"/>
      <c r="Z699" s="145"/>
      <c r="AA699" s="145"/>
      <c r="AB699" s="145"/>
      <c r="AC699" s="145"/>
      <c r="AD699" s="146"/>
      <c r="AE699" s="171">
        <v>1</v>
      </c>
      <c r="AF699" s="147">
        <f t="shared" si="264"/>
        <v>0</v>
      </c>
      <c r="AG699" s="147">
        <f t="shared" si="265"/>
        <v>0</v>
      </c>
      <c r="AH699" s="147">
        <f t="shared" si="266"/>
        <v>0</v>
      </c>
      <c r="AI699" s="147">
        <f t="shared" si="267"/>
        <v>0</v>
      </c>
      <c r="AJ699" s="148" t="str">
        <f t="shared" si="268"/>
        <v>ja</v>
      </c>
      <c r="AK699" s="149">
        <f t="shared" si="272"/>
        <v>0</v>
      </c>
      <c r="AL699" s="149">
        <f t="shared" si="273"/>
        <v>0</v>
      </c>
      <c r="AM699" s="149">
        <f t="shared" si="274"/>
        <v>0</v>
      </c>
      <c r="AN699" s="149">
        <f t="shared" si="275"/>
        <v>0</v>
      </c>
      <c r="AO699" s="150" t="str">
        <f t="shared" si="269"/>
        <v>V</v>
      </c>
      <c r="AQ699" s="151">
        <f t="shared" si="270"/>
        <v>576</v>
      </c>
    </row>
    <row r="700" spans="1:43" ht="15" customHeight="1">
      <c r="A700" s="82" t="e">
        <f t="shared" ref="A700:A763" si="276">1+A699</f>
        <v>#REF!</v>
      </c>
      <c r="B700" s="134">
        <v>110</v>
      </c>
      <c r="C700" s="135" t="s">
        <v>184</v>
      </c>
      <c r="D700" s="136" t="s">
        <v>39</v>
      </c>
      <c r="E700" s="137"/>
      <c r="F700" s="138" t="s">
        <v>101</v>
      </c>
      <c r="G700" s="139" t="s">
        <v>185</v>
      </c>
      <c r="H700" s="140" t="str">
        <f t="shared" si="256"/>
        <v>Perrons</v>
      </c>
      <c r="I700" s="138" t="s">
        <v>199</v>
      </c>
      <c r="J700" s="138" t="s">
        <v>1170</v>
      </c>
      <c r="K700" s="141" t="str">
        <f t="shared" si="257"/>
        <v>Volledig</v>
      </c>
      <c r="L700" s="141" t="str">
        <f t="shared" si="258"/>
        <v>naloop</v>
      </c>
      <c r="M700" s="141" t="str">
        <f t="shared" si="259"/>
        <v>naloop</v>
      </c>
      <c r="N700" s="141" t="str">
        <f t="shared" si="260"/>
        <v>Volledig</v>
      </c>
      <c r="O700" s="141" t="str">
        <f t="shared" si="261"/>
        <v>naloop</v>
      </c>
      <c r="P700" s="141" t="str">
        <f t="shared" si="262"/>
        <v>naloop</v>
      </c>
      <c r="Q700" s="141" t="str">
        <f t="shared" si="263"/>
        <v>naloop</v>
      </c>
      <c r="R700" s="63" t="s">
        <v>1472</v>
      </c>
      <c r="S700" s="142">
        <f t="shared" si="271"/>
        <v>365</v>
      </c>
      <c r="T700" s="143">
        <v>1503.23</v>
      </c>
      <c r="U700" s="144"/>
      <c r="V700" s="144"/>
      <c r="W700" s="144"/>
      <c r="X700" s="144"/>
      <c r="Y700" s="144"/>
      <c r="Z700" s="145">
        <f>165.16*9.82</f>
        <v>1621.8712</v>
      </c>
      <c r="AA700" s="145"/>
      <c r="AB700" s="145"/>
      <c r="AC700" s="145"/>
      <c r="AD700" s="146"/>
      <c r="AE700" s="171">
        <v>1</v>
      </c>
      <c r="AF700" s="147">
        <f t="shared" si="264"/>
        <v>0</v>
      </c>
      <c r="AG700" s="147">
        <f t="shared" si="265"/>
        <v>0</v>
      </c>
      <c r="AH700" s="147">
        <f t="shared" si="266"/>
        <v>0</v>
      </c>
      <c r="AI700" s="147">
        <f t="shared" si="267"/>
        <v>0</v>
      </c>
      <c r="AJ700" s="148" t="str">
        <f t="shared" si="268"/>
        <v>ja</v>
      </c>
      <c r="AK700" s="149">
        <f t="shared" si="272"/>
        <v>0</v>
      </c>
      <c r="AL700" s="149">
        <f t="shared" si="273"/>
        <v>0</v>
      </c>
      <c r="AM700" s="149">
        <f t="shared" si="274"/>
        <v>0</v>
      </c>
      <c r="AN700" s="149">
        <f t="shared" si="275"/>
        <v>0</v>
      </c>
      <c r="AO700" s="150" t="str">
        <f t="shared" si="269"/>
        <v>V</v>
      </c>
      <c r="AQ700" s="151">
        <f t="shared" si="270"/>
        <v>548678.94999999995</v>
      </c>
    </row>
    <row r="701" spans="1:43" ht="15" customHeight="1">
      <c r="A701" s="82" t="e">
        <f t="shared" si="276"/>
        <v>#REF!</v>
      </c>
      <c r="B701" s="134">
        <v>110</v>
      </c>
      <c r="C701" s="135" t="s">
        <v>184</v>
      </c>
      <c r="D701" s="136" t="s">
        <v>39</v>
      </c>
      <c r="E701" s="137"/>
      <c r="F701" s="138" t="s">
        <v>186</v>
      </c>
      <c r="G701" s="139" t="s">
        <v>187</v>
      </c>
      <c r="H701" s="140" t="str">
        <f t="shared" si="256"/>
        <v>Trappen</v>
      </c>
      <c r="I701" s="138" t="s">
        <v>118</v>
      </c>
      <c r="J701" s="138" t="s">
        <v>1170</v>
      </c>
      <c r="K701" s="141" t="str">
        <f t="shared" si="257"/>
        <v>Volledig</v>
      </c>
      <c r="L701" s="141" t="str">
        <f t="shared" si="258"/>
        <v>naloop</v>
      </c>
      <c r="M701" s="141" t="str">
        <f t="shared" si="259"/>
        <v>naloop</v>
      </c>
      <c r="N701" s="141" t="str">
        <f t="shared" si="260"/>
        <v>Volledig</v>
      </c>
      <c r="O701" s="141" t="str">
        <f t="shared" si="261"/>
        <v>naloop</v>
      </c>
      <c r="P701" s="141" t="str">
        <f t="shared" si="262"/>
        <v>naloop</v>
      </c>
      <c r="Q701" s="141" t="str">
        <f t="shared" si="263"/>
        <v>naloop</v>
      </c>
      <c r="R701" s="63" t="s">
        <v>1476</v>
      </c>
      <c r="S701" s="142">
        <f t="shared" si="271"/>
        <v>365</v>
      </c>
      <c r="T701" s="143">
        <v>42.69</v>
      </c>
      <c r="U701" s="144" t="s">
        <v>1111</v>
      </c>
      <c r="V701" s="144"/>
      <c r="W701" s="144"/>
      <c r="X701" s="144"/>
      <c r="Y701" s="144"/>
      <c r="Z701" s="145"/>
      <c r="AA701" s="145"/>
      <c r="AB701" s="145"/>
      <c r="AC701" s="145"/>
      <c r="AD701" s="146" t="s">
        <v>221</v>
      </c>
      <c r="AE701" s="171">
        <v>1</v>
      </c>
      <c r="AF701" s="147">
        <f t="shared" si="264"/>
        <v>0</v>
      </c>
      <c r="AG701" s="147">
        <f t="shared" si="265"/>
        <v>0</v>
      </c>
      <c r="AH701" s="147">
        <f t="shared" si="266"/>
        <v>0</v>
      </c>
      <c r="AI701" s="147">
        <f t="shared" si="267"/>
        <v>0</v>
      </c>
      <c r="AJ701" s="148" t="str">
        <f t="shared" si="268"/>
        <v>ja</v>
      </c>
      <c r="AK701" s="149">
        <f t="shared" si="272"/>
        <v>0</v>
      </c>
      <c r="AL701" s="149">
        <f t="shared" si="273"/>
        <v>0</v>
      </c>
      <c r="AM701" s="149">
        <f t="shared" si="274"/>
        <v>0</v>
      </c>
      <c r="AN701" s="149">
        <f t="shared" si="275"/>
        <v>0</v>
      </c>
      <c r="AO701" s="150" t="str">
        <f t="shared" si="269"/>
        <v>V</v>
      </c>
      <c r="AQ701" s="151">
        <f t="shared" si="270"/>
        <v>15581.849999999999</v>
      </c>
    </row>
    <row r="702" spans="1:43" ht="15" customHeight="1">
      <c r="A702" s="82" t="e">
        <f t="shared" si="276"/>
        <v>#REF!</v>
      </c>
      <c r="B702" s="134">
        <v>110</v>
      </c>
      <c r="C702" s="135" t="s">
        <v>184</v>
      </c>
      <c r="D702" s="136" t="s">
        <v>39</v>
      </c>
      <c r="E702" s="137"/>
      <c r="F702" s="138" t="s">
        <v>188</v>
      </c>
      <c r="G702" s="139" t="s">
        <v>189</v>
      </c>
      <c r="H702" s="140" t="str">
        <f t="shared" si="256"/>
        <v>Trappen</v>
      </c>
      <c r="I702" s="138" t="s">
        <v>118</v>
      </c>
      <c r="J702" s="138" t="s">
        <v>1170</v>
      </c>
      <c r="K702" s="141" t="str">
        <f t="shared" si="257"/>
        <v>Volledig</v>
      </c>
      <c r="L702" s="141" t="str">
        <f t="shared" si="258"/>
        <v>naloop</v>
      </c>
      <c r="M702" s="141" t="str">
        <f t="shared" si="259"/>
        <v>naloop</v>
      </c>
      <c r="N702" s="141" t="str">
        <f t="shared" si="260"/>
        <v>Volledig</v>
      </c>
      <c r="O702" s="141" t="str">
        <f t="shared" si="261"/>
        <v>naloop</v>
      </c>
      <c r="P702" s="141" t="str">
        <f t="shared" si="262"/>
        <v>naloop</v>
      </c>
      <c r="Q702" s="141" t="str">
        <f t="shared" si="263"/>
        <v>naloop</v>
      </c>
      <c r="R702" s="63" t="s">
        <v>1476</v>
      </c>
      <c r="S702" s="142">
        <f t="shared" si="271"/>
        <v>365</v>
      </c>
      <c r="T702" s="143">
        <v>42.68</v>
      </c>
      <c r="U702" s="144" t="s">
        <v>1111</v>
      </c>
      <c r="V702" s="144"/>
      <c r="W702" s="144"/>
      <c r="X702" s="144"/>
      <c r="Y702" s="144"/>
      <c r="Z702" s="145"/>
      <c r="AA702" s="145"/>
      <c r="AB702" s="145"/>
      <c r="AC702" s="145"/>
      <c r="AD702" s="146" t="s">
        <v>222</v>
      </c>
      <c r="AE702" s="171">
        <v>1</v>
      </c>
      <c r="AF702" s="147">
        <f t="shared" si="264"/>
        <v>0</v>
      </c>
      <c r="AG702" s="147">
        <f t="shared" si="265"/>
        <v>0</v>
      </c>
      <c r="AH702" s="147">
        <f t="shared" si="266"/>
        <v>0</v>
      </c>
      <c r="AI702" s="147">
        <f t="shared" si="267"/>
        <v>0</v>
      </c>
      <c r="AJ702" s="148" t="str">
        <f t="shared" si="268"/>
        <v>ja</v>
      </c>
      <c r="AK702" s="149">
        <f t="shared" si="272"/>
        <v>0</v>
      </c>
      <c r="AL702" s="149">
        <f t="shared" si="273"/>
        <v>0</v>
      </c>
      <c r="AM702" s="149">
        <f t="shared" si="274"/>
        <v>0</v>
      </c>
      <c r="AN702" s="149">
        <f t="shared" si="275"/>
        <v>0</v>
      </c>
      <c r="AO702" s="150" t="str">
        <f t="shared" si="269"/>
        <v>V</v>
      </c>
      <c r="AQ702" s="151">
        <f t="shared" si="270"/>
        <v>15578.2</v>
      </c>
    </row>
    <row r="703" spans="1:43" ht="15" customHeight="1">
      <c r="A703" s="82" t="e">
        <f t="shared" si="276"/>
        <v>#REF!</v>
      </c>
      <c r="B703" s="134">
        <v>110</v>
      </c>
      <c r="C703" s="135" t="s">
        <v>184</v>
      </c>
      <c r="D703" s="136" t="s">
        <v>39</v>
      </c>
      <c r="E703" s="137"/>
      <c r="F703" s="138" t="s">
        <v>190</v>
      </c>
      <c r="G703" s="139" t="s">
        <v>191</v>
      </c>
      <c r="H703" s="140" t="str">
        <f t="shared" si="256"/>
        <v>Roltrappen(inclusief aangrenzende bouwdelen)</v>
      </c>
      <c r="I703" s="138" t="s">
        <v>1251</v>
      </c>
      <c r="J703" s="138" t="s">
        <v>1170</v>
      </c>
      <c r="K703" s="141" t="str">
        <f t="shared" si="257"/>
        <v>Volledig</v>
      </c>
      <c r="L703" s="141" t="str">
        <f t="shared" si="258"/>
        <v>naloop</v>
      </c>
      <c r="M703" s="141" t="str">
        <f t="shared" si="259"/>
        <v>naloop</v>
      </c>
      <c r="N703" s="141" t="str">
        <f t="shared" si="260"/>
        <v>Volledig</v>
      </c>
      <c r="O703" s="141" t="str">
        <f t="shared" si="261"/>
        <v>naloop</v>
      </c>
      <c r="P703" s="141" t="str">
        <f t="shared" si="262"/>
        <v>naloop</v>
      </c>
      <c r="Q703" s="141" t="str">
        <f t="shared" si="263"/>
        <v>naloop</v>
      </c>
      <c r="R703" s="63" t="s">
        <v>1480</v>
      </c>
      <c r="S703" s="142">
        <f t="shared" si="271"/>
        <v>365</v>
      </c>
      <c r="T703" s="143">
        <v>31.63</v>
      </c>
      <c r="U703" s="144"/>
      <c r="V703" s="144"/>
      <c r="W703" s="144"/>
      <c r="X703" s="144"/>
      <c r="Y703" s="144"/>
      <c r="Z703" s="145"/>
      <c r="AA703" s="145"/>
      <c r="AB703" s="145"/>
      <c r="AC703" s="145"/>
      <c r="AD703" s="146" t="s">
        <v>221</v>
      </c>
      <c r="AE703" s="171">
        <v>1</v>
      </c>
      <c r="AF703" s="147">
        <f t="shared" si="264"/>
        <v>0</v>
      </c>
      <c r="AG703" s="147">
        <f t="shared" si="265"/>
        <v>0</v>
      </c>
      <c r="AH703" s="147">
        <f t="shared" si="266"/>
        <v>0</v>
      </c>
      <c r="AI703" s="147">
        <f t="shared" si="267"/>
        <v>0</v>
      </c>
      <c r="AJ703" s="148" t="str">
        <f t="shared" si="268"/>
        <v>ja</v>
      </c>
      <c r="AK703" s="149">
        <f t="shared" si="272"/>
        <v>0</v>
      </c>
      <c r="AL703" s="149">
        <f t="shared" si="273"/>
        <v>0</v>
      </c>
      <c r="AM703" s="149">
        <f t="shared" si="274"/>
        <v>0</v>
      </c>
      <c r="AN703" s="149">
        <f t="shared" si="275"/>
        <v>0</v>
      </c>
      <c r="AO703" s="150" t="str">
        <f t="shared" si="269"/>
        <v>V</v>
      </c>
      <c r="AQ703" s="151">
        <f t="shared" si="270"/>
        <v>11544.949999999999</v>
      </c>
    </row>
    <row r="704" spans="1:43" ht="15" customHeight="1">
      <c r="A704" s="82" t="e">
        <f t="shared" si="276"/>
        <v>#REF!</v>
      </c>
      <c r="B704" s="134">
        <v>110</v>
      </c>
      <c r="C704" s="135" t="s">
        <v>184</v>
      </c>
      <c r="D704" s="136" t="s">
        <v>39</v>
      </c>
      <c r="E704" s="137"/>
      <c r="F704" s="138" t="s">
        <v>192</v>
      </c>
      <c r="G704" s="139" t="s">
        <v>193</v>
      </c>
      <c r="H704" s="140" t="str">
        <f t="shared" si="256"/>
        <v>Roltrappen(inclusief aangrenzende bouwdelen)</v>
      </c>
      <c r="I704" s="138" t="s">
        <v>920</v>
      </c>
      <c r="J704" s="138" t="s">
        <v>1170</v>
      </c>
      <c r="K704" s="141" t="str">
        <f t="shared" si="257"/>
        <v>Volledig</v>
      </c>
      <c r="L704" s="141" t="str">
        <f t="shared" si="258"/>
        <v>naloop</v>
      </c>
      <c r="M704" s="141" t="str">
        <f t="shared" si="259"/>
        <v>naloop</v>
      </c>
      <c r="N704" s="141" t="str">
        <f t="shared" si="260"/>
        <v>Volledig</v>
      </c>
      <c r="O704" s="141" t="str">
        <f t="shared" si="261"/>
        <v>naloop</v>
      </c>
      <c r="P704" s="141" t="str">
        <f t="shared" si="262"/>
        <v>naloop</v>
      </c>
      <c r="Q704" s="141" t="str">
        <f t="shared" si="263"/>
        <v>naloop</v>
      </c>
      <c r="R704" s="63" t="s">
        <v>1480</v>
      </c>
      <c r="S704" s="142">
        <f t="shared" si="271"/>
        <v>365</v>
      </c>
      <c r="T704" s="143">
        <v>31.68</v>
      </c>
      <c r="U704" s="144"/>
      <c r="V704" s="144"/>
      <c r="W704" s="144"/>
      <c r="X704" s="144"/>
      <c r="Y704" s="144"/>
      <c r="Z704" s="145"/>
      <c r="AA704" s="145"/>
      <c r="AB704" s="145"/>
      <c r="AC704" s="145"/>
      <c r="AD704" s="146" t="s">
        <v>222</v>
      </c>
      <c r="AE704" s="171">
        <v>1</v>
      </c>
      <c r="AF704" s="147">
        <f t="shared" si="264"/>
        <v>0</v>
      </c>
      <c r="AG704" s="147">
        <f t="shared" si="265"/>
        <v>0</v>
      </c>
      <c r="AH704" s="147">
        <f t="shared" si="266"/>
        <v>0</v>
      </c>
      <c r="AI704" s="147">
        <f t="shared" si="267"/>
        <v>0</v>
      </c>
      <c r="AJ704" s="148" t="str">
        <f t="shared" si="268"/>
        <v>ja</v>
      </c>
      <c r="AK704" s="149">
        <f t="shared" si="272"/>
        <v>0</v>
      </c>
      <c r="AL704" s="149">
        <f t="shared" si="273"/>
        <v>0</v>
      </c>
      <c r="AM704" s="149">
        <f t="shared" si="274"/>
        <v>0</v>
      </c>
      <c r="AN704" s="149">
        <f t="shared" si="275"/>
        <v>0</v>
      </c>
      <c r="AO704" s="150" t="str">
        <f t="shared" si="269"/>
        <v>V</v>
      </c>
      <c r="AQ704" s="151">
        <f t="shared" si="270"/>
        <v>11563.2</v>
      </c>
    </row>
    <row r="705" spans="1:43" ht="15" customHeight="1">
      <c r="A705" s="82" t="e">
        <f t="shared" si="276"/>
        <v>#REF!</v>
      </c>
      <c r="B705" s="134">
        <v>110</v>
      </c>
      <c r="C705" s="135" t="s">
        <v>184</v>
      </c>
      <c r="D705" s="136" t="s">
        <v>39</v>
      </c>
      <c r="E705" s="137"/>
      <c r="F705" s="138" t="s">
        <v>194</v>
      </c>
      <c r="G705" s="139" t="s">
        <v>41</v>
      </c>
      <c r="H705" s="140" t="str">
        <f t="shared" si="256"/>
        <v>Hallen</v>
      </c>
      <c r="I705" s="138" t="s">
        <v>195</v>
      </c>
      <c r="J705" s="138" t="s">
        <v>1170</v>
      </c>
      <c r="K705" s="141" t="str">
        <f t="shared" si="257"/>
        <v>Volledig</v>
      </c>
      <c r="L705" s="141" t="str">
        <f t="shared" si="258"/>
        <v>naloop</v>
      </c>
      <c r="M705" s="141" t="str">
        <f t="shared" si="259"/>
        <v>naloop</v>
      </c>
      <c r="N705" s="141" t="str">
        <f t="shared" si="260"/>
        <v>Volledig</v>
      </c>
      <c r="O705" s="141" t="str">
        <f t="shared" si="261"/>
        <v>naloop</v>
      </c>
      <c r="P705" s="141" t="str">
        <f t="shared" si="262"/>
        <v>naloop</v>
      </c>
      <c r="Q705" s="141" t="str">
        <f t="shared" si="263"/>
        <v>naloop</v>
      </c>
      <c r="R705" s="63" t="s">
        <v>1478</v>
      </c>
      <c r="S705" s="142">
        <f t="shared" si="271"/>
        <v>365</v>
      </c>
      <c r="T705" s="143">
        <v>224.45</v>
      </c>
      <c r="U705" s="144"/>
      <c r="V705" s="144"/>
      <c r="W705" s="144"/>
      <c r="X705" s="144">
        <v>20</v>
      </c>
      <c r="Y705" s="144">
        <v>589</v>
      </c>
      <c r="Z705" s="145"/>
      <c r="AA705" s="145"/>
      <c r="AB705" s="145">
        <f>224.5+33.6/1.5+(12.7+2.9+3)</f>
        <v>265.5</v>
      </c>
      <c r="AC705" s="145"/>
      <c r="AD705" s="146" t="s">
        <v>222</v>
      </c>
      <c r="AE705" s="171">
        <v>1</v>
      </c>
      <c r="AF705" s="147">
        <f t="shared" si="264"/>
        <v>0</v>
      </c>
      <c r="AG705" s="147">
        <f t="shared" si="265"/>
        <v>0</v>
      </c>
      <c r="AH705" s="147">
        <f t="shared" si="266"/>
        <v>0</v>
      </c>
      <c r="AI705" s="147">
        <f t="shared" si="267"/>
        <v>0</v>
      </c>
      <c r="AJ705" s="148" t="str">
        <f t="shared" si="268"/>
        <v>ja</v>
      </c>
      <c r="AK705" s="149">
        <f t="shared" si="272"/>
        <v>0</v>
      </c>
      <c r="AL705" s="149">
        <f t="shared" si="273"/>
        <v>0</v>
      </c>
      <c r="AM705" s="149">
        <f t="shared" si="274"/>
        <v>0</v>
      </c>
      <c r="AN705" s="149">
        <f t="shared" si="275"/>
        <v>0</v>
      </c>
      <c r="AO705" s="150" t="str">
        <f t="shared" si="269"/>
        <v>V</v>
      </c>
      <c r="AQ705" s="151">
        <f t="shared" si="270"/>
        <v>81924.25</v>
      </c>
    </row>
    <row r="706" spans="1:43" ht="15" customHeight="1">
      <c r="A706" s="82" t="e">
        <f t="shared" si="276"/>
        <v>#REF!</v>
      </c>
      <c r="B706" s="134">
        <v>110</v>
      </c>
      <c r="C706" s="135" t="s">
        <v>184</v>
      </c>
      <c r="D706" s="136" t="s">
        <v>39</v>
      </c>
      <c r="E706" s="137"/>
      <c r="F706" s="138" t="s">
        <v>196</v>
      </c>
      <c r="G706" s="139" t="s">
        <v>44</v>
      </c>
      <c r="H706" s="140" t="str">
        <f t="shared" si="256"/>
        <v>Hallen</v>
      </c>
      <c r="I706" s="138" t="s">
        <v>195</v>
      </c>
      <c r="J706" s="138" t="s">
        <v>1170</v>
      </c>
      <c r="K706" s="141" t="str">
        <f t="shared" si="257"/>
        <v>Volledig</v>
      </c>
      <c r="L706" s="141" t="str">
        <f t="shared" si="258"/>
        <v>naloop</v>
      </c>
      <c r="M706" s="141" t="str">
        <f t="shared" si="259"/>
        <v>naloop</v>
      </c>
      <c r="N706" s="141" t="str">
        <f t="shared" si="260"/>
        <v>Volledig</v>
      </c>
      <c r="O706" s="141" t="str">
        <f t="shared" si="261"/>
        <v>naloop</v>
      </c>
      <c r="P706" s="141" t="str">
        <f t="shared" si="262"/>
        <v>naloop</v>
      </c>
      <c r="Q706" s="141" t="str">
        <f t="shared" si="263"/>
        <v>naloop</v>
      </c>
      <c r="R706" s="63" t="s">
        <v>1478</v>
      </c>
      <c r="S706" s="142">
        <f t="shared" si="271"/>
        <v>365</v>
      </c>
      <c r="T706" s="143">
        <v>243.2</v>
      </c>
      <c r="U706" s="144"/>
      <c r="V706" s="144"/>
      <c r="W706" s="144"/>
      <c r="X706" s="144">
        <v>20</v>
      </c>
      <c r="Y706" s="144">
        <v>593</v>
      </c>
      <c r="Z706" s="145"/>
      <c r="AA706" s="145"/>
      <c r="AB706" s="145">
        <f>243.2+33.6/1.5+(12.7+2.9+3)</f>
        <v>284.2</v>
      </c>
      <c r="AC706" s="145"/>
      <c r="AD706" s="146" t="s">
        <v>221</v>
      </c>
      <c r="AE706" s="171">
        <v>1</v>
      </c>
      <c r="AF706" s="147">
        <f t="shared" si="264"/>
        <v>0</v>
      </c>
      <c r="AG706" s="147">
        <f t="shared" si="265"/>
        <v>0</v>
      </c>
      <c r="AH706" s="147">
        <f t="shared" si="266"/>
        <v>0</v>
      </c>
      <c r="AI706" s="147">
        <f t="shared" si="267"/>
        <v>0</v>
      </c>
      <c r="AJ706" s="148" t="str">
        <f t="shared" si="268"/>
        <v>ja</v>
      </c>
      <c r="AK706" s="149">
        <f t="shared" si="272"/>
        <v>0</v>
      </c>
      <c r="AL706" s="149">
        <f t="shared" si="273"/>
        <v>0</v>
      </c>
      <c r="AM706" s="149">
        <f t="shared" si="274"/>
        <v>0</v>
      </c>
      <c r="AN706" s="149">
        <f t="shared" si="275"/>
        <v>0</v>
      </c>
      <c r="AO706" s="150" t="str">
        <f t="shared" si="269"/>
        <v>V</v>
      </c>
      <c r="AQ706" s="151">
        <f t="shared" si="270"/>
        <v>88768</v>
      </c>
    </row>
    <row r="707" spans="1:43" ht="15" customHeight="1">
      <c r="A707" s="82" t="e">
        <f t="shared" si="276"/>
        <v>#REF!</v>
      </c>
      <c r="B707" s="134">
        <v>110</v>
      </c>
      <c r="C707" s="135" t="s">
        <v>184</v>
      </c>
      <c r="D707" s="136" t="s">
        <v>39</v>
      </c>
      <c r="E707" s="137"/>
      <c r="F707" s="138" t="s">
        <v>197</v>
      </c>
      <c r="G707" s="139" t="s">
        <v>47</v>
      </c>
      <c r="H707" s="140" t="str">
        <f t="shared" si="256"/>
        <v>Niet van toepassing</v>
      </c>
      <c r="I707" s="138" t="s">
        <v>195</v>
      </c>
      <c r="J707" s="138" t="s">
        <v>1172</v>
      </c>
      <c r="K707" s="141" t="str">
        <f t="shared" si="257"/>
        <v>NVT</v>
      </c>
      <c r="L707" s="141" t="str">
        <f t="shared" si="258"/>
        <v>NVT</v>
      </c>
      <c r="M707" s="141" t="str">
        <f t="shared" si="259"/>
        <v>NVT</v>
      </c>
      <c r="N707" s="141" t="str">
        <f t="shared" si="260"/>
        <v>NVT</v>
      </c>
      <c r="O707" s="141" t="str">
        <f t="shared" si="261"/>
        <v>NVT</v>
      </c>
      <c r="P707" s="141" t="str">
        <f t="shared" si="262"/>
        <v>NVT</v>
      </c>
      <c r="Q707" s="141" t="str">
        <f t="shared" si="263"/>
        <v>NVT</v>
      </c>
      <c r="R707" s="63" t="s">
        <v>1221</v>
      </c>
      <c r="S707" s="142">
        <f t="shared" si="271"/>
        <v>0</v>
      </c>
      <c r="T707" s="143">
        <v>12.9</v>
      </c>
      <c r="U707" s="144"/>
      <c r="V707" s="144"/>
      <c r="W707" s="144"/>
      <c r="X707" s="144"/>
      <c r="Y707" s="144">
        <v>51</v>
      </c>
      <c r="Z707" s="145"/>
      <c r="AA707" s="145"/>
      <c r="AB707" s="145"/>
      <c r="AC707" s="145"/>
      <c r="AD707" s="146" t="s">
        <v>223</v>
      </c>
      <c r="AE707" s="171">
        <v>1</v>
      </c>
      <c r="AF707" s="147">
        <f t="shared" si="264"/>
        <v>0</v>
      </c>
      <c r="AG707" s="147">
        <f t="shared" si="265"/>
        <v>0</v>
      </c>
      <c r="AH707" s="147">
        <f t="shared" si="266"/>
        <v>0</v>
      </c>
      <c r="AI707" s="147">
        <f t="shared" si="267"/>
        <v>0</v>
      </c>
      <c r="AJ707" s="148">
        <f t="shared" si="268"/>
        <v>0</v>
      </c>
      <c r="AK707" s="149">
        <f t="shared" si="272"/>
        <v>0</v>
      </c>
      <c r="AL707" s="149">
        <f t="shared" si="273"/>
        <v>0</v>
      </c>
      <c r="AM707" s="149">
        <f t="shared" si="274"/>
        <v>0</v>
      </c>
      <c r="AN707" s="149">
        <f t="shared" si="275"/>
        <v>0</v>
      </c>
      <c r="AO707" s="150">
        <f t="shared" si="269"/>
        <v>0</v>
      </c>
      <c r="AQ707" s="151">
        <f t="shared" si="270"/>
        <v>0</v>
      </c>
    </row>
    <row r="708" spans="1:43" ht="15" customHeight="1">
      <c r="A708" s="82" t="e">
        <f t="shared" si="276"/>
        <v>#REF!</v>
      </c>
      <c r="B708" s="134">
        <v>110</v>
      </c>
      <c r="C708" s="135" t="s">
        <v>184</v>
      </c>
      <c r="D708" s="136" t="s">
        <v>39</v>
      </c>
      <c r="E708" s="137"/>
      <c r="F708" s="138" t="s">
        <v>198</v>
      </c>
      <c r="G708" s="139" t="s">
        <v>48</v>
      </c>
      <c r="H708" s="140" t="str">
        <f t="shared" si="256"/>
        <v>Niet van toepassing</v>
      </c>
      <c r="I708" s="138" t="s">
        <v>254</v>
      </c>
      <c r="J708" s="138" t="s">
        <v>1172</v>
      </c>
      <c r="K708" s="141" t="str">
        <f t="shared" si="257"/>
        <v>NVT</v>
      </c>
      <c r="L708" s="141" t="str">
        <f t="shared" si="258"/>
        <v>NVT</v>
      </c>
      <c r="M708" s="141" t="str">
        <f t="shared" si="259"/>
        <v>NVT</v>
      </c>
      <c r="N708" s="141" t="str">
        <f t="shared" si="260"/>
        <v>NVT</v>
      </c>
      <c r="O708" s="141" t="str">
        <f t="shared" si="261"/>
        <v>NVT</v>
      </c>
      <c r="P708" s="141" t="str">
        <f t="shared" si="262"/>
        <v>NVT</v>
      </c>
      <c r="Q708" s="141" t="str">
        <f t="shared" si="263"/>
        <v>NVT</v>
      </c>
      <c r="R708" s="63" t="s">
        <v>1221</v>
      </c>
      <c r="S708" s="142">
        <f t="shared" si="271"/>
        <v>0</v>
      </c>
      <c r="T708" s="143">
        <v>4.2</v>
      </c>
      <c r="U708" s="144"/>
      <c r="V708" s="144"/>
      <c r="W708" s="144">
        <v>14.2</v>
      </c>
      <c r="X708" s="144"/>
      <c r="Y708" s="144"/>
      <c r="Z708" s="145"/>
      <c r="AA708" s="145">
        <f>T708</f>
        <v>4.2</v>
      </c>
      <c r="AB708" s="145"/>
      <c r="AC708" s="145"/>
      <c r="AD708" s="146" t="s">
        <v>222</v>
      </c>
      <c r="AE708" s="171">
        <v>1</v>
      </c>
      <c r="AF708" s="147">
        <f t="shared" si="264"/>
        <v>0</v>
      </c>
      <c r="AG708" s="147">
        <f t="shared" si="265"/>
        <v>0</v>
      </c>
      <c r="AH708" s="147">
        <f t="shared" si="266"/>
        <v>0</v>
      </c>
      <c r="AI708" s="147">
        <f t="shared" si="267"/>
        <v>0</v>
      </c>
      <c r="AJ708" s="148">
        <f t="shared" si="268"/>
        <v>0</v>
      </c>
      <c r="AK708" s="149">
        <f t="shared" si="272"/>
        <v>0</v>
      </c>
      <c r="AL708" s="149">
        <f t="shared" si="273"/>
        <v>0</v>
      </c>
      <c r="AM708" s="149">
        <f t="shared" si="274"/>
        <v>0</v>
      </c>
      <c r="AN708" s="149">
        <f t="shared" si="275"/>
        <v>0</v>
      </c>
      <c r="AO708" s="150">
        <f t="shared" si="269"/>
        <v>0</v>
      </c>
      <c r="AQ708" s="151">
        <f t="shared" si="270"/>
        <v>0</v>
      </c>
    </row>
    <row r="709" spans="1:43" ht="15" customHeight="1">
      <c r="A709" s="82" t="e">
        <f t="shared" si="276"/>
        <v>#REF!</v>
      </c>
      <c r="B709" s="134">
        <v>110</v>
      </c>
      <c r="C709" s="135" t="s">
        <v>184</v>
      </c>
      <c r="D709" s="136" t="s">
        <v>39</v>
      </c>
      <c r="E709" s="137"/>
      <c r="F709" s="138" t="s">
        <v>197</v>
      </c>
      <c r="G709" s="139" t="s">
        <v>49</v>
      </c>
      <c r="H709" s="140" t="str">
        <f t="shared" ref="H709:H772" si="277">VLOOKUP(R709,Kengetal,3,FALSE)</f>
        <v>Niet van toepassing</v>
      </c>
      <c r="I709" s="138" t="s">
        <v>254</v>
      </c>
      <c r="J709" s="138" t="s">
        <v>1172</v>
      </c>
      <c r="K709" s="141" t="str">
        <f t="shared" ref="K709:K772" si="278">IF($R709="",0,VLOOKUP($R709,Kengetal,14,FALSE))</f>
        <v>NVT</v>
      </c>
      <c r="L709" s="141" t="str">
        <f t="shared" ref="L709:L772" si="279">IF($R709="",0,VLOOKUP($R709,Kengetal,15,FALSE))</f>
        <v>NVT</v>
      </c>
      <c r="M709" s="141" t="str">
        <f t="shared" ref="M709:M772" si="280">IF($R709="",0,VLOOKUP($R709,Kengetal,16,FALSE))</f>
        <v>NVT</v>
      </c>
      <c r="N709" s="141" t="str">
        <f t="shared" ref="N709:N772" si="281">IF($R709="",0,VLOOKUP($R709,Kengetal,17,FALSE))</f>
        <v>NVT</v>
      </c>
      <c r="O709" s="141" t="str">
        <f t="shared" ref="O709:O772" si="282">IF($R709="",0,VLOOKUP($R709,Kengetal,18,FALSE))</f>
        <v>NVT</v>
      </c>
      <c r="P709" s="141" t="str">
        <f t="shared" ref="P709:P772" si="283">IF($R709="",0,VLOOKUP($R709,Kengetal,19,FALSE))</f>
        <v>NVT</v>
      </c>
      <c r="Q709" s="141" t="str">
        <f t="shared" ref="Q709:Q772" si="284">IF($R709="",0,VLOOKUP($R709,Kengetal,20,FALSE))</f>
        <v>NVT</v>
      </c>
      <c r="R709" s="63" t="s">
        <v>1221</v>
      </c>
      <c r="S709" s="142">
        <f t="shared" si="271"/>
        <v>0</v>
      </c>
      <c r="T709" s="143">
        <v>29.76</v>
      </c>
      <c r="U709" s="144"/>
      <c r="V709" s="144"/>
      <c r="W709" s="144"/>
      <c r="X709" s="144"/>
      <c r="Y709" s="144">
        <v>76</v>
      </c>
      <c r="Z709" s="145"/>
      <c r="AA709" s="145"/>
      <c r="AB709" s="145"/>
      <c r="AC709" s="145"/>
      <c r="AD709" s="146" t="s">
        <v>221</v>
      </c>
      <c r="AE709" s="171">
        <v>1</v>
      </c>
      <c r="AF709" s="147">
        <f t="shared" ref="AF709:AF772" si="285">T709*AK709*AE709</f>
        <v>0</v>
      </c>
      <c r="AG709" s="147">
        <f t="shared" ref="AG709:AG772" si="286">T709*AL709*AE709</f>
        <v>0</v>
      </c>
      <c r="AH709" s="147">
        <f t="shared" ref="AH709:AH772" si="287">T709*AM709*AE709</f>
        <v>0</v>
      </c>
      <c r="AI709" s="147">
        <f t="shared" ref="AI709:AI772" si="288">T709*AN709*AE709</f>
        <v>0</v>
      </c>
      <c r="AJ709" s="148">
        <f t="shared" ref="AJ709:AJ772" si="289">IF($R709="",0,VLOOKUP($R709,Kengetal,12,FALSE))</f>
        <v>0</v>
      </c>
      <c r="AK709" s="149">
        <f t="shared" si="272"/>
        <v>0</v>
      </c>
      <c r="AL709" s="149">
        <f t="shared" si="273"/>
        <v>0</v>
      </c>
      <c r="AM709" s="149">
        <f t="shared" si="274"/>
        <v>0</v>
      </c>
      <c r="AN709" s="149">
        <f t="shared" si="275"/>
        <v>0</v>
      </c>
      <c r="AO709" s="150">
        <f t="shared" ref="AO709:AO772" si="290">IF($R709="",0,VLOOKUP($R709,Kengetal,13,FALSE))</f>
        <v>0</v>
      </c>
      <c r="AQ709" s="151">
        <f t="shared" ref="AQ709:AQ772" si="291">T709*S709</f>
        <v>0</v>
      </c>
    </row>
    <row r="710" spans="1:43" ht="15" customHeight="1">
      <c r="A710" s="82" t="e">
        <f t="shared" si="276"/>
        <v>#REF!</v>
      </c>
      <c r="B710" s="134">
        <v>110</v>
      </c>
      <c r="C710" s="135" t="s">
        <v>184</v>
      </c>
      <c r="D710" s="136" t="s">
        <v>39</v>
      </c>
      <c r="E710" s="137"/>
      <c r="F710" s="138" t="s">
        <v>200</v>
      </c>
      <c r="G710" s="139" t="s">
        <v>119</v>
      </c>
      <c r="H710" s="140" t="str">
        <f t="shared" si="277"/>
        <v>Niet van toepassing</v>
      </c>
      <c r="I710" s="138" t="s">
        <v>254</v>
      </c>
      <c r="J710" s="138" t="s">
        <v>1172</v>
      </c>
      <c r="K710" s="141" t="str">
        <f t="shared" si="278"/>
        <v>NVT</v>
      </c>
      <c r="L710" s="141" t="str">
        <f t="shared" si="279"/>
        <v>NVT</v>
      </c>
      <c r="M710" s="141" t="str">
        <f t="shared" si="280"/>
        <v>NVT</v>
      </c>
      <c r="N710" s="141" t="str">
        <f t="shared" si="281"/>
        <v>NVT</v>
      </c>
      <c r="O710" s="141" t="str">
        <f t="shared" si="282"/>
        <v>NVT</v>
      </c>
      <c r="P710" s="141" t="str">
        <f t="shared" si="283"/>
        <v>NVT</v>
      </c>
      <c r="Q710" s="141" t="str">
        <f t="shared" si="284"/>
        <v>NVT</v>
      </c>
      <c r="R710" s="63" t="s">
        <v>1221</v>
      </c>
      <c r="S710" s="142">
        <f t="shared" si="271"/>
        <v>0</v>
      </c>
      <c r="T710" s="143">
        <v>32.6</v>
      </c>
      <c r="U710" s="144"/>
      <c r="V710" s="144"/>
      <c r="W710" s="144"/>
      <c r="X710" s="144"/>
      <c r="Y710" s="144">
        <v>66</v>
      </c>
      <c r="Z710" s="145"/>
      <c r="AA710" s="145"/>
      <c r="AB710" s="145"/>
      <c r="AC710" s="145"/>
      <c r="AD710" s="146" t="s">
        <v>221</v>
      </c>
      <c r="AE710" s="171">
        <v>1</v>
      </c>
      <c r="AF710" s="147">
        <f t="shared" si="285"/>
        <v>0</v>
      </c>
      <c r="AG710" s="147">
        <f t="shared" si="286"/>
        <v>0</v>
      </c>
      <c r="AH710" s="147">
        <f t="shared" si="287"/>
        <v>0</v>
      </c>
      <c r="AI710" s="147">
        <f t="shared" si="288"/>
        <v>0</v>
      </c>
      <c r="AJ710" s="148">
        <f t="shared" si="289"/>
        <v>0</v>
      </c>
      <c r="AK710" s="149">
        <f t="shared" si="272"/>
        <v>0</v>
      </c>
      <c r="AL710" s="149">
        <f t="shared" si="273"/>
        <v>0</v>
      </c>
      <c r="AM710" s="149">
        <f t="shared" si="274"/>
        <v>0</v>
      </c>
      <c r="AN710" s="149">
        <f t="shared" si="275"/>
        <v>0</v>
      </c>
      <c r="AO710" s="150">
        <f t="shared" si="290"/>
        <v>0</v>
      </c>
      <c r="AQ710" s="151">
        <f t="shared" si="291"/>
        <v>0</v>
      </c>
    </row>
    <row r="711" spans="1:43" ht="15" customHeight="1">
      <c r="A711" s="82" t="e">
        <f t="shared" si="276"/>
        <v>#REF!</v>
      </c>
      <c r="B711" s="134">
        <v>110</v>
      </c>
      <c r="C711" s="135" t="s">
        <v>184</v>
      </c>
      <c r="D711" s="136" t="s">
        <v>39</v>
      </c>
      <c r="E711" s="137"/>
      <c r="F711" s="138" t="s">
        <v>201</v>
      </c>
      <c r="G711" s="139" t="s">
        <v>58</v>
      </c>
      <c r="H711" s="140" t="str">
        <f t="shared" si="277"/>
        <v>Niet van toepassing</v>
      </c>
      <c r="I711" s="138" t="s">
        <v>254</v>
      </c>
      <c r="J711" s="138" t="s">
        <v>1172</v>
      </c>
      <c r="K711" s="141" t="str">
        <f t="shared" si="278"/>
        <v>NVT</v>
      </c>
      <c r="L711" s="141" t="str">
        <f t="shared" si="279"/>
        <v>NVT</v>
      </c>
      <c r="M711" s="141" t="str">
        <f t="shared" si="280"/>
        <v>NVT</v>
      </c>
      <c r="N711" s="141" t="str">
        <f t="shared" si="281"/>
        <v>NVT</v>
      </c>
      <c r="O711" s="141" t="str">
        <f t="shared" si="282"/>
        <v>NVT</v>
      </c>
      <c r="P711" s="141" t="str">
        <f t="shared" si="283"/>
        <v>NVT</v>
      </c>
      <c r="Q711" s="141" t="str">
        <f t="shared" si="284"/>
        <v>NVT</v>
      </c>
      <c r="R711" s="63" t="s">
        <v>1221</v>
      </c>
      <c r="S711" s="142">
        <f t="shared" si="271"/>
        <v>0</v>
      </c>
      <c r="T711" s="143">
        <v>10.6</v>
      </c>
      <c r="U711" s="144"/>
      <c r="V711" s="144"/>
      <c r="W711" s="144"/>
      <c r="X711" s="144"/>
      <c r="Y711" s="144">
        <v>48.3</v>
      </c>
      <c r="Z711" s="145"/>
      <c r="AA711" s="145"/>
      <c r="AB711" s="145"/>
      <c r="AC711" s="145"/>
      <c r="AD711" s="146" t="s">
        <v>221</v>
      </c>
      <c r="AE711" s="171">
        <v>1</v>
      </c>
      <c r="AF711" s="147">
        <f t="shared" si="285"/>
        <v>0</v>
      </c>
      <c r="AG711" s="147">
        <f t="shared" si="286"/>
        <v>0</v>
      </c>
      <c r="AH711" s="147">
        <f t="shared" si="287"/>
        <v>0</v>
      </c>
      <c r="AI711" s="147">
        <f t="shared" si="288"/>
        <v>0</v>
      </c>
      <c r="AJ711" s="148">
        <f t="shared" si="289"/>
        <v>0</v>
      </c>
      <c r="AK711" s="149">
        <f t="shared" si="272"/>
        <v>0</v>
      </c>
      <c r="AL711" s="149">
        <f t="shared" si="273"/>
        <v>0</v>
      </c>
      <c r="AM711" s="149">
        <f t="shared" si="274"/>
        <v>0</v>
      </c>
      <c r="AN711" s="149">
        <f t="shared" si="275"/>
        <v>0</v>
      </c>
      <c r="AO711" s="150">
        <f t="shared" si="290"/>
        <v>0</v>
      </c>
      <c r="AQ711" s="151">
        <f t="shared" si="291"/>
        <v>0</v>
      </c>
    </row>
    <row r="712" spans="1:43" ht="15" customHeight="1">
      <c r="A712" s="82" t="e">
        <f t="shared" si="276"/>
        <v>#REF!</v>
      </c>
      <c r="B712" s="134">
        <v>110</v>
      </c>
      <c r="C712" s="135" t="s">
        <v>184</v>
      </c>
      <c r="D712" s="136" t="s">
        <v>39</v>
      </c>
      <c r="E712" s="137"/>
      <c r="F712" s="138" t="s">
        <v>202</v>
      </c>
      <c r="G712" s="139" t="s">
        <v>65</v>
      </c>
      <c r="H712" s="140" t="str">
        <f t="shared" si="277"/>
        <v>Niet van toepassing</v>
      </c>
      <c r="I712" s="138" t="s">
        <v>254</v>
      </c>
      <c r="J712" s="138" t="s">
        <v>1172</v>
      </c>
      <c r="K712" s="141" t="str">
        <f t="shared" si="278"/>
        <v>NVT</v>
      </c>
      <c r="L712" s="141" t="str">
        <f t="shared" si="279"/>
        <v>NVT</v>
      </c>
      <c r="M712" s="141" t="str">
        <f t="shared" si="280"/>
        <v>NVT</v>
      </c>
      <c r="N712" s="141" t="str">
        <f t="shared" si="281"/>
        <v>NVT</v>
      </c>
      <c r="O712" s="141" t="str">
        <f t="shared" si="282"/>
        <v>NVT</v>
      </c>
      <c r="P712" s="141" t="str">
        <f t="shared" si="283"/>
        <v>NVT</v>
      </c>
      <c r="Q712" s="141" t="str">
        <f t="shared" si="284"/>
        <v>NVT</v>
      </c>
      <c r="R712" s="63" t="s">
        <v>1221</v>
      </c>
      <c r="S712" s="142">
        <f t="shared" si="271"/>
        <v>0</v>
      </c>
      <c r="T712" s="143">
        <v>7</v>
      </c>
      <c r="U712" s="144"/>
      <c r="V712" s="144"/>
      <c r="W712" s="144">
        <v>29.5</v>
      </c>
      <c r="X712" s="144"/>
      <c r="Y712" s="144"/>
      <c r="Z712" s="145"/>
      <c r="AA712" s="145">
        <f>T712</f>
        <v>7</v>
      </c>
      <c r="AB712" s="145"/>
      <c r="AC712" s="145"/>
      <c r="AD712" s="146" t="s">
        <v>224</v>
      </c>
      <c r="AE712" s="171">
        <v>1</v>
      </c>
      <c r="AF712" s="147">
        <f t="shared" si="285"/>
        <v>0</v>
      </c>
      <c r="AG712" s="147">
        <f t="shared" si="286"/>
        <v>0</v>
      </c>
      <c r="AH712" s="147">
        <f t="shared" si="287"/>
        <v>0</v>
      </c>
      <c r="AI712" s="147">
        <f t="shared" si="288"/>
        <v>0</v>
      </c>
      <c r="AJ712" s="148">
        <f t="shared" si="289"/>
        <v>0</v>
      </c>
      <c r="AK712" s="149">
        <f t="shared" si="272"/>
        <v>0</v>
      </c>
      <c r="AL712" s="149">
        <f t="shared" si="273"/>
        <v>0</v>
      </c>
      <c r="AM712" s="149">
        <f t="shared" si="274"/>
        <v>0</v>
      </c>
      <c r="AN712" s="149">
        <f t="shared" si="275"/>
        <v>0</v>
      </c>
      <c r="AO712" s="150">
        <f t="shared" si="290"/>
        <v>0</v>
      </c>
      <c r="AQ712" s="151">
        <f t="shared" si="291"/>
        <v>0</v>
      </c>
    </row>
    <row r="713" spans="1:43" ht="15" customHeight="1">
      <c r="A713" s="82" t="e">
        <f t="shared" si="276"/>
        <v>#REF!</v>
      </c>
      <c r="B713" s="134">
        <v>110</v>
      </c>
      <c r="C713" s="135" t="s">
        <v>184</v>
      </c>
      <c r="D713" s="136" t="s">
        <v>39</v>
      </c>
      <c r="E713" s="137"/>
      <c r="F713" s="138" t="s">
        <v>203</v>
      </c>
      <c r="G713" s="139" t="s">
        <v>67</v>
      </c>
      <c r="H713" s="140" t="str">
        <f t="shared" si="277"/>
        <v>Niet van toepassing</v>
      </c>
      <c r="I713" s="138" t="s">
        <v>254</v>
      </c>
      <c r="J713" s="138" t="s">
        <v>1172</v>
      </c>
      <c r="K713" s="141" t="str">
        <f t="shared" si="278"/>
        <v>NVT</v>
      </c>
      <c r="L713" s="141" t="str">
        <f t="shared" si="279"/>
        <v>NVT</v>
      </c>
      <c r="M713" s="141" t="str">
        <f t="shared" si="280"/>
        <v>NVT</v>
      </c>
      <c r="N713" s="141" t="str">
        <f t="shared" si="281"/>
        <v>NVT</v>
      </c>
      <c r="O713" s="141" t="str">
        <f t="shared" si="282"/>
        <v>NVT</v>
      </c>
      <c r="P713" s="141" t="str">
        <f t="shared" si="283"/>
        <v>NVT</v>
      </c>
      <c r="Q713" s="141" t="str">
        <f t="shared" si="284"/>
        <v>NVT</v>
      </c>
      <c r="R713" s="63" t="s">
        <v>1221</v>
      </c>
      <c r="S713" s="142">
        <f t="shared" si="271"/>
        <v>0</v>
      </c>
      <c r="T713" s="143">
        <v>13.1</v>
      </c>
      <c r="U713" s="144"/>
      <c r="V713" s="144"/>
      <c r="W713" s="144">
        <v>42</v>
      </c>
      <c r="X713" s="144"/>
      <c r="Y713" s="144"/>
      <c r="Z713" s="145"/>
      <c r="AA713" s="145">
        <f>T713</f>
        <v>13.1</v>
      </c>
      <c r="AB713" s="145"/>
      <c r="AC713" s="145"/>
      <c r="AD713" s="146" t="s">
        <v>222</v>
      </c>
      <c r="AE713" s="171">
        <v>1</v>
      </c>
      <c r="AF713" s="147">
        <f t="shared" si="285"/>
        <v>0</v>
      </c>
      <c r="AG713" s="147">
        <f t="shared" si="286"/>
        <v>0</v>
      </c>
      <c r="AH713" s="147">
        <f t="shared" si="287"/>
        <v>0</v>
      </c>
      <c r="AI713" s="147">
        <f t="shared" si="288"/>
        <v>0</v>
      </c>
      <c r="AJ713" s="148">
        <f t="shared" si="289"/>
        <v>0</v>
      </c>
      <c r="AK713" s="149">
        <f t="shared" si="272"/>
        <v>0</v>
      </c>
      <c r="AL713" s="149">
        <f t="shared" si="273"/>
        <v>0</v>
      </c>
      <c r="AM713" s="149">
        <f t="shared" si="274"/>
        <v>0</v>
      </c>
      <c r="AN713" s="149">
        <f t="shared" si="275"/>
        <v>0</v>
      </c>
      <c r="AO713" s="150">
        <f t="shared" si="290"/>
        <v>0</v>
      </c>
      <c r="AQ713" s="151">
        <f t="shared" si="291"/>
        <v>0</v>
      </c>
    </row>
    <row r="714" spans="1:43" ht="15" customHeight="1">
      <c r="A714" s="82" t="e">
        <f t="shared" si="276"/>
        <v>#REF!</v>
      </c>
      <c r="B714" s="134">
        <v>110</v>
      </c>
      <c r="C714" s="135" t="s">
        <v>184</v>
      </c>
      <c r="D714" s="136" t="s">
        <v>39</v>
      </c>
      <c r="E714" s="137"/>
      <c r="F714" s="138" t="s">
        <v>204</v>
      </c>
      <c r="G714" s="139" t="s">
        <v>205</v>
      </c>
      <c r="H714" s="140" t="str">
        <f t="shared" si="277"/>
        <v>Niet van toepassing</v>
      </c>
      <c r="I714" s="138" t="s">
        <v>254</v>
      </c>
      <c r="J714" s="138" t="s">
        <v>1172</v>
      </c>
      <c r="K714" s="141" t="str">
        <f t="shared" si="278"/>
        <v>NVT</v>
      </c>
      <c r="L714" s="141" t="str">
        <f t="shared" si="279"/>
        <v>NVT</v>
      </c>
      <c r="M714" s="141" t="str">
        <f t="shared" si="280"/>
        <v>NVT</v>
      </c>
      <c r="N714" s="141" t="str">
        <f t="shared" si="281"/>
        <v>NVT</v>
      </c>
      <c r="O714" s="141" t="str">
        <f t="shared" si="282"/>
        <v>NVT</v>
      </c>
      <c r="P714" s="141" t="str">
        <f t="shared" si="283"/>
        <v>NVT</v>
      </c>
      <c r="Q714" s="141" t="str">
        <f t="shared" si="284"/>
        <v>NVT</v>
      </c>
      <c r="R714" s="63" t="s">
        <v>1221</v>
      </c>
      <c r="S714" s="142">
        <f t="shared" si="271"/>
        <v>0</v>
      </c>
      <c r="T714" s="143">
        <v>9.4</v>
      </c>
      <c r="U714" s="144"/>
      <c r="V714" s="144"/>
      <c r="W714" s="144">
        <v>41.1</v>
      </c>
      <c r="X714" s="144"/>
      <c r="Y714" s="144"/>
      <c r="Z714" s="145"/>
      <c r="AA714" s="145">
        <f>T714</f>
        <v>9.4</v>
      </c>
      <c r="AB714" s="145"/>
      <c r="AC714" s="145"/>
      <c r="AD714" s="146" t="s">
        <v>221</v>
      </c>
      <c r="AE714" s="171">
        <v>1</v>
      </c>
      <c r="AF714" s="147">
        <f t="shared" si="285"/>
        <v>0</v>
      </c>
      <c r="AG714" s="147">
        <f t="shared" si="286"/>
        <v>0</v>
      </c>
      <c r="AH714" s="147">
        <f t="shared" si="287"/>
        <v>0</v>
      </c>
      <c r="AI714" s="147">
        <f t="shared" si="288"/>
        <v>0</v>
      </c>
      <c r="AJ714" s="148">
        <f t="shared" si="289"/>
        <v>0</v>
      </c>
      <c r="AK714" s="149">
        <f t="shared" si="272"/>
        <v>0</v>
      </c>
      <c r="AL714" s="149">
        <f t="shared" si="273"/>
        <v>0</v>
      </c>
      <c r="AM714" s="149">
        <f t="shared" si="274"/>
        <v>0</v>
      </c>
      <c r="AN714" s="149">
        <f t="shared" si="275"/>
        <v>0</v>
      </c>
      <c r="AO714" s="150">
        <f t="shared" si="290"/>
        <v>0</v>
      </c>
      <c r="AQ714" s="151">
        <f t="shared" si="291"/>
        <v>0</v>
      </c>
    </row>
    <row r="715" spans="1:43" ht="15" customHeight="1">
      <c r="A715" s="82" t="e">
        <f t="shared" si="276"/>
        <v>#REF!</v>
      </c>
      <c r="B715" s="134">
        <v>110</v>
      </c>
      <c r="C715" s="135" t="s">
        <v>184</v>
      </c>
      <c r="D715" s="136" t="s">
        <v>39</v>
      </c>
      <c r="E715" s="137"/>
      <c r="F715" s="138" t="s">
        <v>68</v>
      </c>
      <c r="G715" s="139" t="s">
        <v>69</v>
      </c>
      <c r="H715" s="140" t="str">
        <f t="shared" si="277"/>
        <v>Niet van toepassing</v>
      </c>
      <c r="I715" s="138" t="s">
        <v>254</v>
      </c>
      <c r="J715" s="138" t="s">
        <v>1172</v>
      </c>
      <c r="K715" s="141" t="str">
        <f t="shared" si="278"/>
        <v>NVT</v>
      </c>
      <c r="L715" s="141" t="str">
        <f t="shared" si="279"/>
        <v>NVT</v>
      </c>
      <c r="M715" s="141" t="str">
        <f t="shared" si="280"/>
        <v>NVT</v>
      </c>
      <c r="N715" s="141" t="str">
        <f t="shared" si="281"/>
        <v>NVT</v>
      </c>
      <c r="O715" s="141" t="str">
        <f t="shared" si="282"/>
        <v>NVT</v>
      </c>
      <c r="P715" s="141" t="str">
        <f t="shared" si="283"/>
        <v>NVT</v>
      </c>
      <c r="Q715" s="141" t="str">
        <f t="shared" si="284"/>
        <v>NVT</v>
      </c>
      <c r="R715" s="63" t="s">
        <v>1221</v>
      </c>
      <c r="S715" s="142">
        <f t="shared" si="271"/>
        <v>0</v>
      </c>
      <c r="T715" s="143">
        <v>15.2</v>
      </c>
      <c r="U715" s="144"/>
      <c r="V715" s="144"/>
      <c r="W715" s="144"/>
      <c r="X715" s="144"/>
      <c r="Y715" s="144">
        <v>46.8</v>
      </c>
      <c r="Z715" s="145"/>
      <c r="AA715" s="145"/>
      <c r="AB715" s="145"/>
      <c r="AC715" s="145"/>
      <c r="AD715" s="146" t="s">
        <v>222</v>
      </c>
      <c r="AE715" s="171">
        <v>1</v>
      </c>
      <c r="AF715" s="147">
        <f t="shared" si="285"/>
        <v>0</v>
      </c>
      <c r="AG715" s="147">
        <f t="shared" si="286"/>
        <v>0</v>
      </c>
      <c r="AH715" s="147">
        <f t="shared" si="287"/>
        <v>0</v>
      </c>
      <c r="AI715" s="147">
        <f t="shared" si="288"/>
        <v>0</v>
      </c>
      <c r="AJ715" s="148">
        <f t="shared" si="289"/>
        <v>0</v>
      </c>
      <c r="AK715" s="149">
        <f t="shared" si="272"/>
        <v>0</v>
      </c>
      <c r="AL715" s="149">
        <f t="shared" si="273"/>
        <v>0</v>
      </c>
      <c r="AM715" s="149">
        <f t="shared" si="274"/>
        <v>0</v>
      </c>
      <c r="AN715" s="149">
        <f t="shared" si="275"/>
        <v>0</v>
      </c>
      <c r="AO715" s="150">
        <f t="shared" si="290"/>
        <v>0</v>
      </c>
      <c r="AQ715" s="151">
        <f t="shared" si="291"/>
        <v>0</v>
      </c>
    </row>
    <row r="716" spans="1:43" ht="15" customHeight="1">
      <c r="A716" s="82" t="e">
        <f t="shared" si="276"/>
        <v>#REF!</v>
      </c>
      <c r="B716" s="134">
        <v>110</v>
      </c>
      <c r="C716" s="135" t="s">
        <v>184</v>
      </c>
      <c r="D716" s="136" t="s">
        <v>39</v>
      </c>
      <c r="E716" s="137"/>
      <c r="F716" s="138" t="s">
        <v>76</v>
      </c>
      <c r="G716" s="139" t="s">
        <v>71</v>
      </c>
      <c r="H716" s="140" t="str">
        <f t="shared" si="277"/>
        <v>Niet van toepassing</v>
      </c>
      <c r="I716" s="138" t="s">
        <v>254</v>
      </c>
      <c r="J716" s="138" t="s">
        <v>1172</v>
      </c>
      <c r="K716" s="141" t="str">
        <f t="shared" si="278"/>
        <v>NVT</v>
      </c>
      <c r="L716" s="141" t="str">
        <f t="shared" si="279"/>
        <v>NVT</v>
      </c>
      <c r="M716" s="141" t="str">
        <f t="shared" si="280"/>
        <v>NVT</v>
      </c>
      <c r="N716" s="141" t="str">
        <f t="shared" si="281"/>
        <v>NVT</v>
      </c>
      <c r="O716" s="141" t="str">
        <f t="shared" si="282"/>
        <v>NVT</v>
      </c>
      <c r="P716" s="141" t="str">
        <f t="shared" si="283"/>
        <v>NVT</v>
      </c>
      <c r="Q716" s="141" t="str">
        <f t="shared" si="284"/>
        <v>NVT</v>
      </c>
      <c r="R716" s="63" t="s">
        <v>1221</v>
      </c>
      <c r="S716" s="142">
        <f t="shared" ref="S716:S779" si="292">VLOOKUP(R716,Kengetal,2,FALSE)</f>
        <v>0</v>
      </c>
      <c r="T716" s="143">
        <v>19.64</v>
      </c>
      <c r="U716" s="144"/>
      <c r="V716" s="144"/>
      <c r="W716" s="144"/>
      <c r="X716" s="144"/>
      <c r="Y716" s="144">
        <v>85</v>
      </c>
      <c r="Z716" s="145"/>
      <c r="AA716" s="145"/>
      <c r="AB716" s="145"/>
      <c r="AC716" s="145"/>
      <c r="AD716" s="146" t="s">
        <v>222</v>
      </c>
      <c r="AE716" s="171">
        <v>1</v>
      </c>
      <c r="AF716" s="147">
        <f t="shared" si="285"/>
        <v>0</v>
      </c>
      <c r="AG716" s="147">
        <f t="shared" si="286"/>
        <v>0</v>
      </c>
      <c r="AH716" s="147">
        <f t="shared" si="287"/>
        <v>0</v>
      </c>
      <c r="AI716" s="147">
        <f t="shared" si="288"/>
        <v>0</v>
      </c>
      <c r="AJ716" s="148">
        <f t="shared" si="289"/>
        <v>0</v>
      </c>
      <c r="AK716" s="149">
        <f t="shared" si="272"/>
        <v>0</v>
      </c>
      <c r="AL716" s="149">
        <f t="shared" si="273"/>
        <v>0</v>
      </c>
      <c r="AM716" s="149">
        <f t="shared" si="274"/>
        <v>0</v>
      </c>
      <c r="AN716" s="149">
        <f t="shared" si="275"/>
        <v>0</v>
      </c>
      <c r="AO716" s="150">
        <f t="shared" si="290"/>
        <v>0</v>
      </c>
      <c r="AQ716" s="151">
        <f t="shared" si="291"/>
        <v>0</v>
      </c>
    </row>
    <row r="717" spans="1:43" ht="15" customHeight="1">
      <c r="A717" s="82" t="e">
        <f t="shared" si="276"/>
        <v>#REF!</v>
      </c>
      <c r="B717" s="134">
        <v>110</v>
      </c>
      <c r="C717" s="135" t="s">
        <v>184</v>
      </c>
      <c r="D717" s="136" t="s">
        <v>39</v>
      </c>
      <c r="E717" s="137"/>
      <c r="F717" s="138" t="s">
        <v>206</v>
      </c>
      <c r="G717" s="139" t="s">
        <v>73</v>
      </c>
      <c r="H717" s="140" t="str">
        <f t="shared" si="277"/>
        <v>Berging/opslag/magazijn</v>
      </c>
      <c r="I717" s="138" t="s">
        <v>254</v>
      </c>
      <c r="J717" s="138" t="s">
        <v>1207</v>
      </c>
      <c r="K717" s="141" t="str">
        <f t="shared" si="278"/>
        <v>Zie Freq</v>
      </c>
      <c r="L717" s="141" t="str">
        <f t="shared" si="279"/>
        <v>Zie Freq</v>
      </c>
      <c r="M717" s="141" t="str">
        <f t="shared" si="280"/>
        <v>Zie Freq</v>
      </c>
      <c r="N717" s="141" t="str">
        <f t="shared" si="281"/>
        <v>Zie Freq</v>
      </c>
      <c r="O717" s="141" t="str">
        <f t="shared" si="282"/>
        <v>Zie Freq</v>
      </c>
      <c r="P717" s="141" t="str">
        <f t="shared" si="283"/>
        <v>NVT</v>
      </c>
      <c r="Q717" s="141" t="str">
        <f t="shared" si="284"/>
        <v>NVT</v>
      </c>
      <c r="R717" s="63" t="s">
        <v>1264</v>
      </c>
      <c r="S717" s="142">
        <f t="shared" si="292"/>
        <v>2</v>
      </c>
      <c r="T717" s="143">
        <v>3.8</v>
      </c>
      <c r="U717" s="144"/>
      <c r="V717" s="144"/>
      <c r="W717" s="144"/>
      <c r="X717" s="144"/>
      <c r="Y717" s="144">
        <v>20.5</v>
      </c>
      <c r="Z717" s="145"/>
      <c r="AA717" s="145"/>
      <c r="AB717" s="145"/>
      <c r="AC717" s="145"/>
      <c r="AD717" s="146" t="s">
        <v>225</v>
      </c>
      <c r="AE717" s="171">
        <v>1</v>
      </c>
      <c r="AF717" s="147">
        <f t="shared" si="285"/>
        <v>0</v>
      </c>
      <c r="AG717" s="147">
        <f t="shared" si="286"/>
        <v>0</v>
      </c>
      <c r="AH717" s="147">
        <f t="shared" si="287"/>
        <v>0</v>
      </c>
      <c r="AI717" s="147">
        <f t="shared" si="288"/>
        <v>0</v>
      </c>
      <c r="AJ717" s="148" t="str">
        <f t="shared" si="289"/>
        <v>nee</v>
      </c>
      <c r="AK717" s="149">
        <f t="shared" si="272"/>
        <v>0</v>
      </c>
      <c r="AL717" s="149">
        <f t="shared" si="273"/>
        <v>0</v>
      </c>
      <c r="AM717" s="149">
        <f t="shared" si="274"/>
        <v>0</v>
      </c>
      <c r="AN717" s="149">
        <f t="shared" si="275"/>
        <v>0</v>
      </c>
      <c r="AO717" s="150" t="str">
        <f t="shared" si="290"/>
        <v>V</v>
      </c>
      <c r="AQ717" s="151">
        <f t="shared" si="291"/>
        <v>7.6</v>
      </c>
    </row>
    <row r="718" spans="1:43" ht="15" customHeight="1">
      <c r="A718" s="82" t="e">
        <f t="shared" si="276"/>
        <v>#REF!</v>
      </c>
      <c r="B718" s="134">
        <v>110</v>
      </c>
      <c r="C718" s="135" t="s">
        <v>184</v>
      </c>
      <c r="D718" s="136" t="s">
        <v>39</v>
      </c>
      <c r="E718" s="137"/>
      <c r="F718" s="138" t="s">
        <v>207</v>
      </c>
      <c r="G718" s="139" t="s">
        <v>79</v>
      </c>
      <c r="H718" s="140" t="str">
        <f t="shared" si="277"/>
        <v>Sanitair</v>
      </c>
      <c r="I718" s="138" t="s">
        <v>237</v>
      </c>
      <c r="J718" s="138" t="s">
        <v>1170</v>
      </c>
      <c r="K718" s="141" t="str">
        <f t="shared" si="278"/>
        <v>Volledig</v>
      </c>
      <c r="L718" s="141" t="str">
        <f t="shared" si="279"/>
        <v>naloop</v>
      </c>
      <c r="M718" s="141" t="str">
        <f t="shared" si="280"/>
        <v>naloop</v>
      </c>
      <c r="N718" s="141" t="str">
        <f t="shared" si="281"/>
        <v>Volledig</v>
      </c>
      <c r="O718" s="141" t="str">
        <f t="shared" si="282"/>
        <v>naloop</v>
      </c>
      <c r="P718" s="141" t="str">
        <f t="shared" si="283"/>
        <v>naloop</v>
      </c>
      <c r="Q718" s="141" t="str">
        <f t="shared" si="284"/>
        <v>naloop</v>
      </c>
      <c r="R718" s="63" t="s">
        <v>1210</v>
      </c>
      <c r="S718" s="142">
        <f t="shared" si="292"/>
        <v>365</v>
      </c>
      <c r="T718" s="143">
        <v>2.9</v>
      </c>
      <c r="U718" s="144">
        <v>17.8</v>
      </c>
      <c r="V718" s="144"/>
      <c r="W718" s="144"/>
      <c r="X718" s="144"/>
      <c r="Y718" s="144"/>
      <c r="Z718" s="145"/>
      <c r="AA718" s="145"/>
      <c r="AB718" s="145"/>
      <c r="AC718" s="145">
        <f>T718</f>
        <v>2.9</v>
      </c>
      <c r="AD718" s="146" t="s">
        <v>222</v>
      </c>
      <c r="AE718" s="171">
        <v>1</v>
      </c>
      <c r="AF718" s="147">
        <f t="shared" si="285"/>
        <v>0</v>
      </c>
      <c r="AG718" s="147">
        <f t="shared" si="286"/>
        <v>0</v>
      </c>
      <c r="AH718" s="147">
        <f t="shared" si="287"/>
        <v>0</v>
      </c>
      <c r="AI718" s="147">
        <f t="shared" si="288"/>
        <v>0</v>
      </c>
      <c r="AJ718" s="148" t="str">
        <f t="shared" si="289"/>
        <v>ja</v>
      </c>
      <c r="AK718" s="149">
        <f t="shared" si="272"/>
        <v>0</v>
      </c>
      <c r="AL718" s="149">
        <f t="shared" si="273"/>
        <v>0</v>
      </c>
      <c r="AM718" s="149">
        <f t="shared" si="274"/>
        <v>0</v>
      </c>
      <c r="AN718" s="149">
        <f t="shared" si="275"/>
        <v>0</v>
      </c>
      <c r="AO718" s="150" t="str">
        <f t="shared" si="290"/>
        <v>S</v>
      </c>
      <c r="AQ718" s="151">
        <f t="shared" si="291"/>
        <v>1058.5</v>
      </c>
    </row>
    <row r="719" spans="1:43" ht="15" customHeight="1">
      <c r="A719" s="82" t="e">
        <f t="shared" si="276"/>
        <v>#REF!</v>
      </c>
      <c r="B719" s="134">
        <v>110</v>
      </c>
      <c r="C719" s="135" t="s">
        <v>184</v>
      </c>
      <c r="D719" s="136" t="s">
        <v>39</v>
      </c>
      <c r="E719" s="137"/>
      <c r="F719" s="138" t="s">
        <v>208</v>
      </c>
      <c r="G719" s="139" t="s">
        <v>151</v>
      </c>
      <c r="H719" s="140" t="str">
        <f t="shared" si="277"/>
        <v>Sanitair</v>
      </c>
      <c r="I719" s="138" t="s">
        <v>237</v>
      </c>
      <c r="J719" s="138" t="s">
        <v>1170</v>
      </c>
      <c r="K719" s="141" t="str">
        <f t="shared" si="278"/>
        <v>Volledig</v>
      </c>
      <c r="L719" s="141" t="str">
        <f t="shared" si="279"/>
        <v>naloop</v>
      </c>
      <c r="M719" s="141" t="str">
        <f t="shared" si="280"/>
        <v>naloop</v>
      </c>
      <c r="N719" s="141" t="str">
        <f t="shared" si="281"/>
        <v>Volledig</v>
      </c>
      <c r="O719" s="141" t="str">
        <f t="shared" si="282"/>
        <v>naloop</v>
      </c>
      <c r="P719" s="141" t="str">
        <f t="shared" si="283"/>
        <v>naloop</v>
      </c>
      <c r="Q719" s="141" t="str">
        <f t="shared" si="284"/>
        <v>naloop</v>
      </c>
      <c r="R719" s="63" t="s">
        <v>1210</v>
      </c>
      <c r="S719" s="142">
        <f t="shared" si="292"/>
        <v>365</v>
      </c>
      <c r="T719" s="143">
        <v>2.9</v>
      </c>
      <c r="U719" s="144">
        <v>17.8</v>
      </c>
      <c r="V719" s="144"/>
      <c r="W719" s="144"/>
      <c r="X719" s="144"/>
      <c r="Y719" s="144"/>
      <c r="Z719" s="145"/>
      <c r="AA719" s="145"/>
      <c r="AB719" s="145"/>
      <c r="AC719" s="145">
        <f>T719</f>
        <v>2.9</v>
      </c>
      <c r="AD719" s="146" t="s">
        <v>222</v>
      </c>
      <c r="AE719" s="171">
        <v>1</v>
      </c>
      <c r="AF719" s="147">
        <f t="shared" si="285"/>
        <v>0</v>
      </c>
      <c r="AG719" s="147">
        <f t="shared" si="286"/>
        <v>0</v>
      </c>
      <c r="AH719" s="147">
        <f t="shared" si="287"/>
        <v>0</v>
      </c>
      <c r="AI719" s="147">
        <f t="shared" si="288"/>
        <v>0</v>
      </c>
      <c r="AJ719" s="148" t="str">
        <f t="shared" si="289"/>
        <v>ja</v>
      </c>
      <c r="AK719" s="149">
        <f t="shared" si="272"/>
        <v>0</v>
      </c>
      <c r="AL719" s="149">
        <f t="shared" si="273"/>
        <v>0</v>
      </c>
      <c r="AM719" s="149">
        <f t="shared" si="274"/>
        <v>0</v>
      </c>
      <c r="AN719" s="149">
        <f t="shared" si="275"/>
        <v>0</v>
      </c>
      <c r="AO719" s="150" t="str">
        <f t="shared" si="290"/>
        <v>S</v>
      </c>
      <c r="AQ719" s="151">
        <f t="shared" si="291"/>
        <v>1058.5</v>
      </c>
    </row>
    <row r="720" spans="1:43" ht="15" customHeight="1">
      <c r="A720" s="82" t="e">
        <f t="shared" si="276"/>
        <v>#REF!</v>
      </c>
      <c r="B720" s="134">
        <v>110</v>
      </c>
      <c r="C720" s="135" t="s">
        <v>184</v>
      </c>
      <c r="D720" s="136" t="s">
        <v>39</v>
      </c>
      <c r="E720" s="137"/>
      <c r="F720" s="138" t="s">
        <v>209</v>
      </c>
      <c r="G720" s="139" t="s">
        <v>81</v>
      </c>
      <c r="H720" s="140" t="str">
        <f t="shared" si="277"/>
        <v>Niet van toepassing</v>
      </c>
      <c r="I720" s="138" t="s">
        <v>195</v>
      </c>
      <c r="J720" s="138" t="s">
        <v>1172</v>
      </c>
      <c r="K720" s="141" t="str">
        <f t="shared" si="278"/>
        <v>NVT</v>
      </c>
      <c r="L720" s="141" t="str">
        <f t="shared" si="279"/>
        <v>NVT</v>
      </c>
      <c r="M720" s="141" t="str">
        <f t="shared" si="280"/>
        <v>NVT</v>
      </c>
      <c r="N720" s="141" t="str">
        <f t="shared" si="281"/>
        <v>NVT</v>
      </c>
      <c r="O720" s="141" t="str">
        <f t="shared" si="282"/>
        <v>NVT</v>
      </c>
      <c r="P720" s="141" t="str">
        <f t="shared" si="283"/>
        <v>NVT</v>
      </c>
      <c r="Q720" s="141" t="str">
        <f t="shared" si="284"/>
        <v>NVT</v>
      </c>
      <c r="R720" s="63" t="s">
        <v>1221</v>
      </c>
      <c r="S720" s="142">
        <f t="shared" si="292"/>
        <v>0</v>
      </c>
      <c r="T720" s="143">
        <v>2.2000000000000002</v>
      </c>
      <c r="U720" s="144" t="s">
        <v>1113</v>
      </c>
      <c r="V720" s="144"/>
      <c r="W720" s="144"/>
      <c r="X720" s="144"/>
      <c r="Y720" s="144"/>
      <c r="Z720" s="145"/>
      <c r="AA720" s="145"/>
      <c r="AB720" s="145"/>
      <c r="AC720" s="145"/>
      <c r="AD720" s="146" t="s">
        <v>221</v>
      </c>
      <c r="AE720" s="171">
        <v>1</v>
      </c>
      <c r="AF720" s="147">
        <f t="shared" si="285"/>
        <v>0</v>
      </c>
      <c r="AG720" s="147">
        <f t="shared" si="286"/>
        <v>0</v>
      </c>
      <c r="AH720" s="147">
        <f t="shared" si="287"/>
        <v>0</v>
      </c>
      <c r="AI720" s="147">
        <f t="shared" si="288"/>
        <v>0</v>
      </c>
      <c r="AJ720" s="148">
        <f t="shared" si="289"/>
        <v>0</v>
      </c>
      <c r="AK720" s="149">
        <f t="shared" si="272"/>
        <v>0</v>
      </c>
      <c r="AL720" s="149">
        <f t="shared" si="273"/>
        <v>0</v>
      </c>
      <c r="AM720" s="149">
        <f t="shared" si="274"/>
        <v>0</v>
      </c>
      <c r="AN720" s="149">
        <f t="shared" si="275"/>
        <v>0</v>
      </c>
      <c r="AO720" s="150">
        <f t="shared" si="290"/>
        <v>0</v>
      </c>
      <c r="AQ720" s="151">
        <f t="shared" si="291"/>
        <v>0</v>
      </c>
    </row>
    <row r="721" spans="1:43" ht="15" customHeight="1">
      <c r="A721" s="82" t="e">
        <f t="shared" si="276"/>
        <v>#REF!</v>
      </c>
      <c r="B721" s="134">
        <v>110</v>
      </c>
      <c r="C721" s="135" t="s">
        <v>184</v>
      </c>
      <c r="D721" s="136" t="s">
        <v>39</v>
      </c>
      <c r="E721" s="137"/>
      <c r="F721" s="138" t="s">
        <v>209</v>
      </c>
      <c r="G721" s="139" t="s">
        <v>84</v>
      </c>
      <c r="H721" s="140" t="str">
        <f t="shared" si="277"/>
        <v>Niet van toepassing</v>
      </c>
      <c r="I721" s="138" t="s">
        <v>254</v>
      </c>
      <c r="J721" s="138" t="s">
        <v>1172</v>
      </c>
      <c r="K721" s="141" t="str">
        <f t="shared" si="278"/>
        <v>NVT</v>
      </c>
      <c r="L721" s="141" t="str">
        <f t="shared" si="279"/>
        <v>NVT</v>
      </c>
      <c r="M721" s="141" t="str">
        <f t="shared" si="280"/>
        <v>NVT</v>
      </c>
      <c r="N721" s="141" t="str">
        <f t="shared" si="281"/>
        <v>NVT</v>
      </c>
      <c r="O721" s="141" t="str">
        <f t="shared" si="282"/>
        <v>NVT</v>
      </c>
      <c r="P721" s="141" t="str">
        <f t="shared" si="283"/>
        <v>NVT</v>
      </c>
      <c r="Q721" s="141" t="str">
        <f t="shared" si="284"/>
        <v>NVT</v>
      </c>
      <c r="R721" s="63" t="s">
        <v>1221</v>
      </c>
      <c r="S721" s="142">
        <f t="shared" si="292"/>
        <v>0</v>
      </c>
      <c r="T721" s="143">
        <v>2.2000000000000002</v>
      </c>
      <c r="U721" s="144" t="s">
        <v>1113</v>
      </c>
      <c r="V721" s="144"/>
      <c r="W721" s="144"/>
      <c r="X721" s="144"/>
      <c r="Y721" s="144"/>
      <c r="Z721" s="145"/>
      <c r="AA721" s="145"/>
      <c r="AB721" s="145"/>
      <c r="AC721" s="145"/>
      <c r="AD721" s="146" t="s">
        <v>222</v>
      </c>
      <c r="AE721" s="171">
        <v>1</v>
      </c>
      <c r="AF721" s="147">
        <f t="shared" si="285"/>
        <v>0</v>
      </c>
      <c r="AG721" s="147">
        <f t="shared" si="286"/>
        <v>0</v>
      </c>
      <c r="AH721" s="147">
        <f t="shared" si="287"/>
        <v>0</v>
      </c>
      <c r="AI721" s="147">
        <f t="shared" si="288"/>
        <v>0</v>
      </c>
      <c r="AJ721" s="148">
        <f t="shared" si="289"/>
        <v>0</v>
      </c>
      <c r="AK721" s="149">
        <f t="shared" si="272"/>
        <v>0</v>
      </c>
      <c r="AL721" s="149">
        <f t="shared" si="273"/>
        <v>0</v>
      </c>
      <c r="AM721" s="149">
        <f t="shared" si="274"/>
        <v>0</v>
      </c>
      <c r="AN721" s="149">
        <f t="shared" si="275"/>
        <v>0</v>
      </c>
      <c r="AO721" s="150">
        <f t="shared" si="290"/>
        <v>0</v>
      </c>
      <c r="AQ721" s="151">
        <f t="shared" si="291"/>
        <v>0</v>
      </c>
    </row>
    <row r="722" spans="1:43" ht="15" customHeight="1">
      <c r="A722" s="82" t="e">
        <f t="shared" si="276"/>
        <v>#REF!</v>
      </c>
      <c r="B722" s="134">
        <v>110</v>
      </c>
      <c r="C722" s="135" t="s">
        <v>184</v>
      </c>
      <c r="D722" s="136" t="s">
        <v>39</v>
      </c>
      <c r="E722" s="137"/>
      <c r="F722" s="138" t="s">
        <v>210</v>
      </c>
      <c r="G722" s="139" t="s">
        <v>153</v>
      </c>
      <c r="H722" s="140" t="str">
        <f t="shared" si="277"/>
        <v>Niet van toepassing</v>
      </c>
      <c r="I722" s="138" t="s">
        <v>195</v>
      </c>
      <c r="J722" s="138" t="s">
        <v>1172</v>
      </c>
      <c r="K722" s="141" t="str">
        <f t="shared" si="278"/>
        <v>NVT</v>
      </c>
      <c r="L722" s="141" t="str">
        <f t="shared" si="279"/>
        <v>NVT</v>
      </c>
      <c r="M722" s="141" t="str">
        <f t="shared" si="280"/>
        <v>NVT</v>
      </c>
      <c r="N722" s="141" t="str">
        <f t="shared" si="281"/>
        <v>NVT</v>
      </c>
      <c r="O722" s="141" t="str">
        <f t="shared" si="282"/>
        <v>NVT</v>
      </c>
      <c r="P722" s="141" t="str">
        <f t="shared" si="283"/>
        <v>NVT</v>
      </c>
      <c r="Q722" s="141" t="str">
        <f t="shared" si="284"/>
        <v>NVT</v>
      </c>
      <c r="R722" s="63" t="s">
        <v>1221</v>
      </c>
      <c r="S722" s="142">
        <f t="shared" si="292"/>
        <v>0</v>
      </c>
      <c r="T722" s="143">
        <v>7.8</v>
      </c>
      <c r="U722" s="144"/>
      <c r="V722" s="144"/>
      <c r="W722" s="144"/>
      <c r="X722" s="144"/>
      <c r="Y722" s="144">
        <v>26.6</v>
      </c>
      <c r="Z722" s="145"/>
      <c r="AA722" s="145"/>
      <c r="AB722" s="145">
        <f>T722</f>
        <v>7.8</v>
      </c>
      <c r="AC722" s="145"/>
      <c r="AD722" s="146" t="s">
        <v>377</v>
      </c>
      <c r="AE722" s="171">
        <v>1</v>
      </c>
      <c r="AF722" s="147">
        <f t="shared" si="285"/>
        <v>0</v>
      </c>
      <c r="AG722" s="147">
        <f t="shared" si="286"/>
        <v>0</v>
      </c>
      <c r="AH722" s="147">
        <f t="shared" si="287"/>
        <v>0</v>
      </c>
      <c r="AI722" s="147">
        <f t="shared" si="288"/>
        <v>0</v>
      </c>
      <c r="AJ722" s="148">
        <f t="shared" si="289"/>
        <v>0</v>
      </c>
      <c r="AK722" s="149">
        <f t="shared" si="272"/>
        <v>0</v>
      </c>
      <c r="AL722" s="149">
        <f t="shared" si="273"/>
        <v>0</v>
      </c>
      <c r="AM722" s="149">
        <f t="shared" si="274"/>
        <v>0</v>
      </c>
      <c r="AN722" s="149">
        <f t="shared" si="275"/>
        <v>0</v>
      </c>
      <c r="AO722" s="150">
        <f t="shared" si="290"/>
        <v>0</v>
      </c>
      <c r="AQ722" s="151">
        <f t="shared" si="291"/>
        <v>0</v>
      </c>
    </row>
    <row r="723" spans="1:43" ht="15" customHeight="1">
      <c r="A723" s="82" t="e">
        <f t="shared" si="276"/>
        <v>#REF!</v>
      </c>
      <c r="B723" s="134">
        <v>110</v>
      </c>
      <c r="C723" s="135" t="s">
        <v>184</v>
      </c>
      <c r="D723" s="136" t="s">
        <v>39</v>
      </c>
      <c r="E723" s="137"/>
      <c r="F723" s="138" t="s">
        <v>211</v>
      </c>
      <c r="G723" s="139">
        <v>34</v>
      </c>
      <c r="H723" s="140" t="str">
        <f t="shared" si="277"/>
        <v>Liften</v>
      </c>
      <c r="I723" s="138" t="s">
        <v>457</v>
      </c>
      <c r="J723" s="138" t="s">
        <v>1170</v>
      </c>
      <c r="K723" s="141" t="str">
        <f t="shared" si="278"/>
        <v>Volledig</v>
      </c>
      <c r="L723" s="141" t="str">
        <f t="shared" si="279"/>
        <v>naloop</v>
      </c>
      <c r="M723" s="141" t="str">
        <f t="shared" si="280"/>
        <v>naloop</v>
      </c>
      <c r="N723" s="141" t="str">
        <f t="shared" si="281"/>
        <v>Volledig</v>
      </c>
      <c r="O723" s="141" t="str">
        <f t="shared" si="282"/>
        <v>naloop</v>
      </c>
      <c r="P723" s="141" t="str">
        <f t="shared" si="283"/>
        <v>naloop</v>
      </c>
      <c r="Q723" s="141" t="str">
        <f t="shared" si="284"/>
        <v>naloop</v>
      </c>
      <c r="R723" s="63" t="s">
        <v>1474</v>
      </c>
      <c r="S723" s="142">
        <f t="shared" si="292"/>
        <v>365</v>
      </c>
      <c r="T723" s="143">
        <v>2.8</v>
      </c>
      <c r="U723" s="144"/>
      <c r="V723" s="144"/>
      <c r="W723" s="144"/>
      <c r="X723" s="144">
        <v>11.5</v>
      </c>
      <c r="Y723" s="144">
        <v>3.5</v>
      </c>
      <c r="Z723" s="145"/>
      <c r="AA723" s="145"/>
      <c r="AB723" s="145"/>
      <c r="AC723" s="145">
        <f>T723</f>
        <v>2.8</v>
      </c>
      <c r="AD723" s="146" t="s">
        <v>1112</v>
      </c>
      <c r="AE723" s="171">
        <v>1</v>
      </c>
      <c r="AF723" s="147">
        <f t="shared" si="285"/>
        <v>0</v>
      </c>
      <c r="AG723" s="147">
        <f t="shared" si="286"/>
        <v>0</v>
      </c>
      <c r="AH723" s="147">
        <f t="shared" si="287"/>
        <v>0</v>
      </c>
      <c r="AI723" s="147">
        <f t="shared" si="288"/>
        <v>0</v>
      </c>
      <c r="AJ723" s="148" t="str">
        <f t="shared" si="289"/>
        <v>ja</v>
      </c>
      <c r="AK723" s="149">
        <f t="shared" si="272"/>
        <v>0</v>
      </c>
      <c r="AL723" s="149">
        <f t="shared" si="273"/>
        <v>0</v>
      </c>
      <c r="AM723" s="149">
        <f t="shared" si="274"/>
        <v>0</v>
      </c>
      <c r="AN723" s="149">
        <f t="shared" si="275"/>
        <v>0</v>
      </c>
      <c r="AO723" s="150" t="str">
        <f t="shared" si="290"/>
        <v>V</v>
      </c>
      <c r="AQ723" s="151">
        <f t="shared" si="291"/>
        <v>1021.9999999999999</v>
      </c>
    </row>
    <row r="724" spans="1:43" ht="15" customHeight="1">
      <c r="A724" s="82" t="e">
        <f t="shared" si="276"/>
        <v>#REF!</v>
      </c>
      <c r="B724" s="134">
        <v>110</v>
      </c>
      <c r="C724" s="135" t="s">
        <v>184</v>
      </c>
      <c r="D724" s="136" t="s">
        <v>39</v>
      </c>
      <c r="E724" s="137"/>
      <c r="F724" s="138" t="s">
        <v>210</v>
      </c>
      <c r="G724" s="139" t="s">
        <v>90</v>
      </c>
      <c r="H724" s="140" t="str">
        <f t="shared" si="277"/>
        <v>Niet van toepassing</v>
      </c>
      <c r="I724" s="138" t="s">
        <v>18</v>
      </c>
      <c r="J724" s="138" t="s">
        <v>1172</v>
      </c>
      <c r="K724" s="141" t="str">
        <f t="shared" si="278"/>
        <v>NVT</v>
      </c>
      <c r="L724" s="141" t="str">
        <f t="shared" si="279"/>
        <v>NVT</v>
      </c>
      <c r="M724" s="141" t="str">
        <f t="shared" si="280"/>
        <v>NVT</v>
      </c>
      <c r="N724" s="141" t="str">
        <f t="shared" si="281"/>
        <v>NVT</v>
      </c>
      <c r="O724" s="141" t="str">
        <f t="shared" si="282"/>
        <v>NVT</v>
      </c>
      <c r="P724" s="141" t="str">
        <f t="shared" si="283"/>
        <v>NVT</v>
      </c>
      <c r="Q724" s="141" t="str">
        <f t="shared" si="284"/>
        <v>NVT</v>
      </c>
      <c r="R724" s="63" t="s">
        <v>1221</v>
      </c>
      <c r="S724" s="142">
        <f t="shared" si="292"/>
        <v>0</v>
      </c>
      <c r="T724" s="143">
        <v>7.25</v>
      </c>
      <c r="U724" s="144"/>
      <c r="V724" s="144"/>
      <c r="W724" s="144">
        <v>26.6</v>
      </c>
      <c r="X724" s="144"/>
      <c r="Y724" s="144"/>
      <c r="Z724" s="145"/>
      <c r="AA724" s="145">
        <f>T724</f>
        <v>7.25</v>
      </c>
      <c r="AB724" s="145"/>
      <c r="AC724" s="145"/>
      <c r="AD724" s="146" t="s">
        <v>226</v>
      </c>
      <c r="AE724" s="171">
        <v>1</v>
      </c>
      <c r="AF724" s="147">
        <f t="shared" si="285"/>
        <v>0</v>
      </c>
      <c r="AG724" s="147">
        <f t="shared" si="286"/>
        <v>0</v>
      </c>
      <c r="AH724" s="147">
        <f t="shared" si="287"/>
        <v>0</v>
      </c>
      <c r="AI724" s="147">
        <f t="shared" si="288"/>
        <v>0</v>
      </c>
      <c r="AJ724" s="148">
        <f t="shared" si="289"/>
        <v>0</v>
      </c>
      <c r="AK724" s="149">
        <f t="shared" si="272"/>
        <v>0</v>
      </c>
      <c r="AL724" s="149">
        <f t="shared" si="273"/>
        <v>0</v>
      </c>
      <c r="AM724" s="149">
        <f t="shared" si="274"/>
        <v>0</v>
      </c>
      <c r="AN724" s="149">
        <f t="shared" si="275"/>
        <v>0</v>
      </c>
      <c r="AO724" s="150">
        <f t="shared" si="290"/>
        <v>0</v>
      </c>
      <c r="AQ724" s="151">
        <f t="shared" si="291"/>
        <v>0</v>
      </c>
    </row>
    <row r="725" spans="1:43" ht="15" customHeight="1">
      <c r="A725" s="82" t="e">
        <f t="shared" si="276"/>
        <v>#REF!</v>
      </c>
      <c r="B725" s="134">
        <v>110</v>
      </c>
      <c r="C725" s="135" t="s">
        <v>184</v>
      </c>
      <c r="D725" s="136" t="s">
        <v>39</v>
      </c>
      <c r="E725" s="137"/>
      <c r="F725" s="138" t="s">
        <v>212</v>
      </c>
      <c r="G725" s="139" t="s">
        <v>92</v>
      </c>
      <c r="H725" s="140" t="str">
        <f t="shared" si="277"/>
        <v>Liften</v>
      </c>
      <c r="I725" s="138" t="s">
        <v>131</v>
      </c>
      <c r="J725" s="138" t="s">
        <v>1170</v>
      </c>
      <c r="K725" s="141" t="str">
        <f t="shared" si="278"/>
        <v>Volledig</v>
      </c>
      <c r="L725" s="141" t="str">
        <f t="shared" si="279"/>
        <v>naloop</v>
      </c>
      <c r="M725" s="141" t="str">
        <f t="shared" si="280"/>
        <v>naloop</v>
      </c>
      <c r="N725" s="141" t="str">
        <f t="shared" si="281"/>
        <v>Volledig</v>
      </c>
      <c r="O725" s="141" t="str">
        <f t="shared" si="282"/>
        <v>naloop</v>
      </c>
      <c r="P725" s="141" t="str">
        <f t="shared" si="283"/>
        <v>naloop</v>
      </c>
      <c r="Q725" s="141" t="str">
        <f t="shared" si="284"/>
        <v>naloop</v>
      </c>
      <c r="R725" s="63" t="s">
        <v>1474</v>
      </c>
      <c r="S725" s="142">
        <f t="shared" si="292"/>
        <v>365</v>
      </c>
      <c r="T725" s="143">
        <v>5.75</v>
      </c>
      <c r="U725" s="144" t="s">
        <v>1114</v>
      </c>
      <c r="V725" s="144"/>
      <c r="W725" s="144"/>
      <c r="X725" s="144"/>
      <c r="Y725" s="144"/>
      <c r="Z725" s="145"/>
      <c r="AA725" s="145"/>
      <c r="AB725" s="145"/>
      <c r="AC725" s="145"/>
      <c r="AD725" s="146" t="s">
        <v>227</v>
      </c>
      <c r="AE725" s="171">
        <v>1</v>
      </c>
      <c r="AF725" s="147">
        <f t="shared" si="285"/>
        <v>0</v>
      </c>
      <c r="AG725" s="147">
        <f t="shared" si="286"/>
        <v>0</v>
      </c>
      <c r="AH725" s="147">
        <f t="shared" si="287"/>
        <v>0</v>
      </c>
      <c r="AI725" s="147">
        <f t="shared" si="288"/>
        <v>0</v>
      </c>
      <c r="AJ725" s="148" t="str">
        <f t="shared" si="289"/>
        <v>ja</v>
      </c>
      <c r="AK725" s="149">
        <f t="shared" si="272"/>
        <v>0</v>
      </c>
      <c r="AL725" s="149">
        <f t="shared" si="273"/>
        <v>0</v>
      </c>
      <c r="AM725" s="149">
        <f t="shared" si="274"/>
        <v>0</v>
      </c>
      <c r="AN725" s="149">
        <f t="shared" si="275"/>
        <v>0</v>
      </c>
      <c r="AO725" s="150" t="str">
        <f t="shared" si="290"/>
        <v>V</v>
      </c>
      <c r="AQ725" s="151">
        <f t="shared" si="291"/>
        <v>2098.75</v>
      </c>
    </row>
    <row r="726" spans="1:43" ht="15" customHeight="1">
      <c r="A726" s="82" t="e">
        <f t="shared" si="276"/>
        <v>#REF!</v>
      </c>
      <c r="B726" s="134">
        <v>110</v>
      </c>
      <c r="C726" s="135" t="s">
        <v>184</v>
      </c>
      <c r="D726" s="136" t="s">
        <v>39</v>
      </c>
      <c r="E726" s="137"/>
      <c r="F726" s="138" t="s">
        <v>213</v>
      </c>
      <c r="G726" s="139" t="s">
        <v>142</v>
      </c>
      <c r="H726" s="140" t="str">
        <f t="shared" si="277"/>
        <v>Niet van toepassing</v>
      </c>
      <c r="I726" s="138" t="s">
        <v>254</v>
      </c>
      <c r="J726" s="138" t="s">
        <v>1172</v>
      </c>
      <c r="K726" s="141" t="str">
        <f t="shared" si="278"/>
        <v>NVT</v>
      </c>
      <c r="L726" s="141" t="str">
        <f t="shared" si="279"/>
        <v>NVT</v>
      </c>
      <c r="M726" s="141" t="str">
        <f t="shared" si="280"/>
        <v>NVT</v>
      </c>
      <c r="N726" s="141" t="str">
        <f t="shared" si="281"/>
        <v>NVT</v>
      </c>
      <c r="O726" s="141" t="str">
        <f t="shared" si="282"/>
        <v>NVT</v>
      </c>
      <c r="P726" s="141" t="str">
        <f t="shared" si="283"/>
        <v>NVT</v>
      </c>
      <c r="Q726" s="141" t="str">
        <f t="shared" si="284"/>
        <v>NVT</v>
      </c>
      <c r="R726" s="63" t="s">
        <v>1221</v>
      </c>
      <c r="S726" s="142">
        <f t="shared" si="292"/>
        <v>0</v>
      </c>
      <c r="T726" s="143">
        <v>10.4</v>
      </c>
      <c r="U726" s="144"/>
      <c r="V726" s="144"/>
      <c r="W726" s="144">
        <v>39.1</v>
      </c>
      <c r="X726" s="144"/>
      <c r="Y726" s="144"/>
      <c r="Z726" s="145"/>
      <c r="AA726" s="145">
        <f>T726</f>
        <v>10.4</v>
      </c>
      <c r="AB726" s="145"/>
      <c r="AC726" s="145"/>
      <c r="AD726" s="146" t="s">
        <v>228</v>
      </c>
      <c r="AE726" s="171">
        <v>1</v>
      </c>
      <c r="AF726" s="147">
        <f t="shared" si="285"/>
        <v>0</v>
      </c>
      <c r="AG726" s="147">
        <f t="shared" si="286"/>
        <v>0</v>
      </c>
      <c r="AH726" s="147">
        <f t="shared" si="287"/>
        <v>0</v>
      </c>
      <c r="AI726" s="147">
        <f t="shared" si="288"/>
        <v>0</v>
      </c>
      <c r="AJ726" s="148">
        <f t="shared" si="289"/>
        <v>0</v>
      </c>
      <c r="AK726" s="149">
        <f t="shared" si="272"/>
        <v>0</v>
      </c>
      <c r="AL726" s="149">
        <f t="shared" si="273"/>
        <v>0</v>
      </c>
      <c r="AM726" s="149">
        <f t="shared" si="274"/>
        <v>0</v>
      </c>
      <c r="AN726" s="149">
        <f t="shared" si="275"/>
        <v>0</v>
      </c>
      <c r="AO726" s="150">
        <f t="shared" si="290"/>
        <v>0</v>
      </c>
      <c r="AQ726" s="151">
        <f t="shared" si="291"/>
        <v>0</v>
      </c>
    </row>
    <row r="727" spans="1:43" ht="15" customHeight="1">
      <c r="A727" s="82" t="e">
        <f t="shared" si="276"/>
        <v>#REF!</v>
      </c>
      <c r="B727" s="134">
        <v>110</v>
      </c>
      <c r="C727" s="135" t="s">
        <v>184</v>
      </c>
      <c r="D727" s="136" t="s">
        <v>39</v>
      </c>
      <c r="E727" s="137"/>
      <c r="F727" s="138" t="s">
        <v>214</v>
      </c>
      <c r="G727" s="139" t="s">
        <v>157</v>
      </c>
      <c r="H727" s="140" t="str">
        <f t="shared" si="277"/>
        <v>Niet van toepassing</v>
      </c>
      <c r="I727" s="138" t="s">
        <v>254</v>
      </c>
      <c r="J727" s="138" t="s">
        <v>1172</v>
      </c>
      <c r="K727" s="141" t="str">
        <f t="shared" si="278"/>
        <v>NVT</v>
      </c>
      <c r="L727" s="141" t="str">
        <f t="shared" si="279"/>
        <v>NVT</v>
      </c>
      <c r="M727" s="141" t="str">
        <f t="shared" si="280"/>
        <v>NVT</v>
      </c>
      <c r="N727" s="141" t="str">
        <f t="shared" si="281"/>
        <v>NVT</v>
      </c>
      <c r="O727" s="141" t="str">
        <f t="shared" si="282"/>
        <v>NVT</v>
      </c>
      <c r="P727" s="141" t="str">
        <f t="shared" si="283"/>
        <v>NVT</v>
      </c>
      <c r="Q727" s="141" t="str">
        <f t="shared" si="284"/>
        <v>NVT</v>
      </c>
      <c r="R727" s="63" t="s">
        <v>1221</v>
      </c>
      <c r="S727" s="142">
        <f t="shared" si="292"/>
        <v>0</v>
      </c>
      <c r="T727" s="143">
        <v>20.7</v>
      </c>
      <c r="U727" s="144"/>
      <c r="V727" s="144"/>
      <c r="W727" s="144">
        <v>50.6</v>
      </c>
      <c r="X727" s="144"/>
      <c r="Y727" s="144"/>
      <c r="Z727" s="145"/>
      <c r="AA727" s="145">
        <f>T727</f>
        <v>20.7</v>
      </c>
      <c r="AB727" s="145"/>
      <c r="AC727" s="145"/>
      <c r="AD727" s="146" t="s">
        <v>222</v>
      </c>
      <c r="AE727" s="171">
        <v>1</v>
      </c>
      <c r="AF727" s="147">
        <f t="shared" si="285"/>
        <v>0</v>
      </c>
      <c r="AG727" s="147">
        <f t="shared" si="286"/>
        <v>0</v>
      </c>
      <c r="AH727" s="147">
        <f t="shared" si="287"/>
        <v>0</v>
      </c>
      <c r="AI727" s="147">
        <f t="shared" si="288"/>
        <v>0</v>
      </c>
      <c r="AJ727" s="148">
        <f t="shared" si="289"/>
        <v>0</v>
      </c>
      <c r="AK727" s="149">
        <f t="shared" si="272"/>
        <v>0</v>
      </c>
      <c r="AL727" s="149">
        <f t="shared" si="273"/>
        <v>0</v>
      </c>
      <c r="AM727" s="149">
        <f t="shared" si="274"/>
        <v>0</v>
      </c>
      <c r="AN727" s="149">
        <f t="shared" si="275"/>
        <v>0</v>
      </c>
      <c r="AO727" s="150">
        <f t="shared" si="290"/>
        <v>0</v>
      </c>
      <c r="AQ727" s="151">
        <f t="shared" si="291"/>
        <v>0</v>
      </c>
    </row>
    <row r="728" spans="1:43" ht="15" customHeight="1">
      <c r="A728" s="82" t="e">
        <f t="shared" si="276"/>
        <v>#REF!</v>
      </c>
      <c r="B728" s="134">
        <v>110</v>
      </c>
      <c r="C728" s="135" t="s">
        <v>184</v>
      </c>
      <c r="D728" s="136" t="s">
        <v>39</v>
      </c>
      <c r="E728" s="137"/>
      <c r="F728" s="138" t="s">
        <v>215</v>
      </c>
      <c r="G728" s="139" t="s">
        <v>159</v>
      </c>
      <c r="H728" s="140" t="str">
        <f t="shared" si="277"/>
        <v>Niet van toepassing</v>
      </c>
      <c r="I728" s="138" t="s">
        <v>254</v>
      </c>
      <c r="J728" s="138" t="s">
        <v>1172</v>
      </c>
      <c r="K728" s="141" t="str">
        <f t="shared" si="278"/>
        <v>NVT</v>
      </c>
      <c r="L728" s="141" t="str">
        <f t="shared" si="279"/>
        <v>NVT</v>
      </c>
      <c r="M728" s="141" t="str">
        <f t="shared" si="280"/>
        <v>NVT</v>
      </c>
      <c r="N728" s="141" t="str">
        <f t="shared" si="281"/>
        <v>NVT</v>
      </c>
      <c r="O728" s="141" t="str">
        <f t="shared" si="282"/>
        <v>NVT</v>
      </c>
      <c r="P728" s="141" t="str">
        <f t="shared" si="283"/>
        <v>NVT</v>
      </c>
      <c r="Q728" s="141" t="str">
        <f t="shared" si="284"/>
        <v>NVT</v>
      </c>
      <c r="R728" s="63" t="s">
        <v>1221</v>
      </c>
      <c r="S728" s="142">
        <f t="shared" si="292"/>
        <v>0</v>
      </c>
      <c r="T728" s="143">
        <v>9.4</v>
      </c>
      <c r="U728" s="144"/>
      <c r="V728" s="144"/>
      <c r="W728" s="144">
        <v>23.7</v>
      </c>
      <c r="X728" s="144"/>
      <c r="Y728" s="144"/>
      <c r="Z728" s="145"/>
      <c r="AA728" s="145">
        <f>T728</f>
        <v>9.4</v>
      </c>
      <c r="AB728" s="145"/>
      <c r="AC728" s="145"/>
      <c r="AD728" s="146" t="s">
        <v>221</v>
      </c>
      <c r="AE728" s="171">
        <v>1</v>
      </c>
      <c r="AF728" s="147">
        <f t="shared" si="285"/>
        <v>0</v>
      </c>
      <c r="AG728" s="147">
        <f t="shared" si="286"/>
        <v>0</v>
      </c>
      <c r="AH728" s="147">
        <f t="shared" si="287"/>
        <v>0</v>
      </c>
      <c r="AI728" s="147">
        <f t="shared" si="288"/>
        <v>0</v>
      </c>
      <c r="AJ728" s="148">
        <f t="shared" si="289"/>
        <v>0</v>
      </c>
      <c r="AK728" s="149">
        <f t="shared" si="272"/>
        <v>0</v>
      </c>
      <c r="AL728" s="149">
        <f t="shared" si="273"/>
        <v>0</v>
      </c>
      <c r="AM728" s="149">
        <f t="shared" si="274"/>
        <v>0</v>
      </c>
      <c r="AN728" s="149">
        <f t="shared" si="275"/>
        <v>0</v>
      </c>
      <c r="AO728" s="150">
        <f t="shared" si="290"/>
        <v>0</v>
      </c>
      <c r="AQ728" s="151">
        <f t="shared" si="291"/>
        <v>0</v>
      </c>
    </row>
    <row r="729" spans="1:43" ht="15" customHeight="1">
      <c r="A729" s="82" t="e">
        <f t="shared" si="276"/>
        <v>#REF!</v>
      </c>
      <c r="B729" s="134">
        <v>110</v>
      </c>
      <c r="C729" s="135" t="s">
        <v>184</v>
      </c>
      <c r="D729" s="136" t="s">
        <v>39</v>
      </c>
      <c r="E729" s="137"/>
      <c r="F729" s="138" t="s">
        <v>216</v>
      </c>
      <c r="G729" s="139" t="s">
        <v>217</v>
      </c>
      <c r="H729" s="140" t="str">
        <f t="shared" si="277"/>
        <v>Kantoren/spreekkamers</v>
      </c>
      <c r="I729" s="138" t="s">
        <v>270</v>
      </c>
      <c r="J729" s="138" t="s">
        <v>1170</v>
      </c>
      <c r="K729" s="141" t="str">
        <f t="shared" si="278"/>
        <v>Volledig</v>
      </c>
      <c r="L729" s="141" t="str">
        <f t="shared" si="279"/>
        <v>naloop</v>
      </c>
      <c r="M729" s="141" t="str">
        <f t="shared" si="280"/>
        <v>naloop</v>
      </c>
      <c r="N729" s="141" t="str">
        <f t="shared" si="281"/>
        <v>Volledig</v>
      </c>
      <c r="O729" s="141" t="str">
        <f t="shared" si="282"/>
        <v>naloop</v>
      </c>
      <c r="P729" s="141" t="str">
        <f t="shared" si="283"/>
        <v>naloop</v>
      </c>
      <c r="Q729" s="141" t="str">
        <f t="shared" si="284"/>
        <v>naloop</v>
      </c>
      <c r="R729" s="63" t="s">
        <v>1219</v>
      </c>
      <c r="S729" s="142">
        <f t="shared" si="292"/>
        <v>365</v>
      </c>
      <c r="T729" s="143">
        <v>25.79</v>
      </c>
      <c r="U729" s="144"/>
      <c r="V729" s="144"/>
      <c r="W729" s="144"/>
      <c r="X729" s="144"/>
      <c r="Y729" s="144">
        <v>63</v>
      </c>
      <c r="Z729" s="145"/>
      <c r="AA729" s="145"/>
      <c r="AB729" s="145"/>
      <c r="AC729" s="145"/>
      <c r="AD729" s="146" t="s">
        <v>222</v>
      </c>
      <c r="AE729" s="171">
        <v>1</v>
      </c>
      <c r="AF729" s="147">
        <f t="shared" si="285"/>
        <v>0</v>
      </c>
      <c r="AG729" s="147">
        <f t="shared" si="286"/>
        <v>0</v>
      </c>
      <c r="AH729" s="147">
        <f t="shared" si="287"/>
        <v>0</v>
      </c>
      <c r="AI729" s="147">
        <f t="shared" si="288"/>
        <v>0</v>
      </c>
      <c r="AJ729" s="148" t="str">
        <f t="shared" si="289"/>
        <v>nee</v>
      </c>
      <c r="AK729" s="149">
        <f t="shared" si="272"/>
        <v>0</v>
      </c>
      <c r="AL729" s="149">
        <f t="shared" si="273"/>
        <v>0</v>
      </c>
      <c r="AM729" s="149">
        <f t="shared" si="274"/>
        <v>0</v>
      </c>
      <c r="AN729" s="149">
        <f t="shared" si="275"/>
        <v>0</v>
      </c>
      <c r="AO729" s="150" t="str">
        <f t="shared" si="290"/>
        <v>B</v>
      </c>
      <c r="AQ729" s="151">
        <f t="shared" si="291"/>
        <v>9413.35</v>
      </c>
    </row>
    <row r="730" spans="1:43" ht="15" customHeight="1">
      <c r="A730" s="82" t="e">
        <f t="shared" si="276"/>
        <v>#REF!</v>
      </c>
      <c r="B730" s="134">
        <v>110</v>
      </c>
      <c r="C730" s="135" t="s">
        <v>184</v>
      </c>
      <c r="D730" s="136" t="s">
        <v>39</v>
      </c>
      <c r="E730" s="137"/>
      <c r="F730" s="138" t="s">
        <v>218</v>
      </c>
      <c r="G730" s="139" t="s">
        <v>219</v>
      </c>
      <c r="H730" s="140" t="str">
        <f t="shared" si="277"/>
        <v>Niet van toepassing</v>
      </c>
      <c r="I730" s="138" t="s">
        <v>254</v>
      </c>
      <c r="J730" s="138" t="s">
        <v>1172</v>
      </c>
      <c r="K730" s="141" t="str">
        <f t="shared" si="278"/>
        <v>NVT</v>
      </c>
      <c r="L730" s="141" t="str">
        <f t="shared" si="279"/>
        <v>NVT</v>
      </c>
      <c r="M730" s="141" t="str">
        <f t="shared" si="280"/>
        <v>NVT</v>
      </c>
      <c r="N730" s="141" t="str">
        <f t="shared" si="281"/>
        <v>NVT</v>
      </c>
      <c r="O730" s="141" t="str">
        <f t="shared" si="282"/>
        <v>NVT</v>
      </c>
      <c r="P730" s="141" t="str">
        <f t="shared" si="283"/>
        <v>NVT</v>
      </c>
      <c r="Q730" s="141" t="str">
        <f t="shared" si="284"/>
        <v>NVT</v>
      </c>
      <c r="R730" s="63" t="s">
        <v>1221</v>
      </c>
      <c r="S730" s="142">
        <f t="shared" si="292"/>
        <v>0</v>
      </c>
      <c r="T730" s="143">
        <v>46.17</v>
      </c>
      <c r="U730" s="144"/>
      <c r="V730" s="144"/>
      <c r="W730" s="144"/>
      <c r="X730" s="144"/>
      <c r="Y730" s="144">
        <v>58</v>
      </c>
      <c r="Z730" s="145"/>
      <c r="AA730" s="145"/>
      <c r="AB730" s="145">
        <f>T730</f>
        <v>46.17</v>
      </c>
      <c r="AC730" s="145"/>
      <c r="AD730" s="146" t="s">
        <v>221</v>
      </c>
      <c r="AE730" s="171">
        <v>1</v>
      </c>
      <c r="AF730" s="147">
        <f t="shared" si="285"/>
        <v>0</v>
      </c>
      <c r="AG730" s="147">
        <f t="shared" si="286"/>
        <v>0</v>
      </c>
      <c r="AH730" s="147">
        <f t="shared" si="287"/>
        <v>0</v>
      </c>
      <c r="AI730" s="147">
        <f t="shared" si="288"/>
        <v>0</v>
      </c>
      <c r="AJ730" s="148">
        <f t="shared" si="289"/>
        <v>0</v>
      </c>
      <c r="AK730" s="149">
        <f t="shared" si="272"/>
        <v>0</v>
      </c>
      <c r="AL730" s="149">
        <f t="shared" si="273"/>
        <v>0</v>
      </c>
      <c r="AM730" s="149">
        <f t="shared" si="274"/>
        <v>0</v>
      </c>
      <c r="AN730" s="149">
        <f t="shared" si="275"/>
        <v>0</v>
      </c>
      <c r="AO730" s="150">
        <f t="shared" si="290"/>
        <v>0</v>
      </c>
      <c r="AQ730" s="151">
        <f t="shared" si="291"/>
        <v>0</v>
      </c>
    </row>
    <row r="731" spans="1:43" ht="15" customHeight="1">
      <c r="A731" s="82" t="e">
        <f t="shared" si="276"/>
        <v>#REF!</v>
      </c>
      <c r="B731" s="134">
        <v>110</v>
      </c>
      <c r="C731" s="135" t="s">
        <v>184</v>
      </c>
      <c r="D731" s="136" t="s">
        <v>39</v>
      </c>
      <c r="E731" s="137"/>
      <c r="F731" s="138" t="s">
        <v>218</v>
      </c>
      <c r="G731" s="139" t="s">
        <v>175</v>
      </c>
      <c r="H731" s="140" t="str">
        <f t="shared" si="277"/>
        <v>Niet van toepassing</v>
      </c>
      <c r="I731" s="138" t="s">
        <v>254</v>
      </c>
      <c r="J731" s="138" t="s">
        <v>1172</v>
      </c>
      <c r="K731" s="141" t="str">
        <f t="shared" si="278"/>
        <v>NVT</v>
      </c>
      <c r="L731" s="141" t="str">
        <f t="shared" si="279"/>
        <v>NVT</v>
      </c>
      <c r="M731" s="141" t="str">
        <f t="shared" si="280"/>
        <v>NVT</v>
      </c>
      <c r="N731" s="141" t="str">
        <f t="shared" si="281"/>
        <v>NVT</v>
      </c>
      <c r="O731" s="141" t="str">
        <f t="shared" si="282"/>
        <v>NVT</v>
      </c>
      <c r="P731" s="141" t="str">
        <f t="shared" si="283"/>
        <v>NVT</v>
      </c>
      <c r="Q731" s="141" t="str">
        <f t="shared" si="284"/>
        <v>NVT</v>
      </c>
      <c r="R731" s="63" t="s">
        <v>1221</v>
      </c>
      <c r="S731" s="142">
        <f t="shared" si="292"/>
        <v>0</v>
      </c>
      <c r="T731" s="143">
        <v>47.88</v>
      </c>
      <c r="U731" s="144"/>
      <c r="V731" s="144"/>
      <c r="W731" s="144"/>
      <c r="X731" s="144"/>
      <c r="Y731" s="144">
        <v>51</v>
      </c>
      <c r="Z731" s="145"/>
      <c r="AA731" s="145"/>
      <c r="AB731" s="145">
        <f>T731</f>
        <v>47.88</v>
      </c>
      <c r="AC731" s="145"/>
      <c r="AD731" s="146" t="s">
        <v>222</v>
      </c>
      <c r="AE731" s="171">
        <v>1</v>
      </c>
      <c r="AF731" s="147">
        <f t="shared" si="285"/>
        <v>0</v>
      </c>
      <c r="AG731" s="147">
        <f t="shared" si="286"/>
        <v>0</v>
      </c>
      <c r="AH731" s="147">
        <f t="shared" si="287"/>
        <v>0</v>
      </c>
      <c r="AI731" s="147">
        <f t="shared" si="288"/>
        <v>0</v>
      </c>
      <c r="AJ731" s="148">
        <f t="shared" si="289"/>
        <v>0</v>
      </c>
      <c r="AK731" s="149">
        <f t="shared" si="272"/>
        <v>0</v>
      </c>
      <c r="AL731" s="149">
        <f t="shared" si="273"/>
        <v>0</v>
      </c>
      <c r="AM731" s="149">
        <f t="shared" si="274"/>
        <v>0</v>
      </c>
      <c r="AN731" s="149">
        <f t="shared" si="275"/>
        <v>0</v>
      </c>
      <c r="AO731" s="150">
        <f t="shared" si="290"/>
        <v>0</v>
      </c>
      <c r="AQ731" s="151">
        <f t="shared" si="291"/>
        <v>0</v>
      </c>
    </row>
    <row r="732" spans="1:43" ht="15" customHeight="1">
      <c r="A732" s="82" t="e">
        <f t="shared" si="276"/>
        <v>#REF!</v>
      </c>
      <c r="B732" s="134">
        <v>110</v>
      </c>
      <c r="C732" s="135" t="s">
        <v>184</v>
      </c>
      <c r="D732" s="136" t="s">
        <v>39</v>
      </c>
      <c r="E732" s="137"/>
      <c r="F732" s="138" t="s">
        <v>220</v>
      </c>
      <c r="G732" s="139" t="s">
        <v>171</v>
      </c>
      <c r="H732" s="140" t="str">
        <f t="shared" si="277"/>
        <v>Niet van toepassing</v>
      </c>
      <c r="I732" s="138" t="s">
        <v>195</v>
      </c>
      <c r="J732" s="138" t="s">
        <v>1172</v>
      </c>
      <c r="K732" s="141" t="str">
        <f t="shared" si="278"/>
        <v>NVT</v>
      </c>
      <c r="L732" s="141" t="str">
        <f t="shared" si="279"/>
        <v>NVT</v>
      </c>
      <c r="M732" s="141" t="str">
        <f t="shared" si="280"/>
        <v>NVT</v>
      </c>
      <c r="N732" s="141" t="str">
        <f t="shared" si="281"/>
        <v>NVT</v>
      </c>
      <c r="O732" s="141" t="str">
        <f t="shared" si="282"/>
        <v>NVT</v>
      </c>
      <c r="P732" s="141" t="str">
        <f t="shared" si="283"/>
        <v>NVT</v>
      </c>
      <c r="Q732" s="141" t="str">
        <f t="shared" si="284"/>
        <v>NVT</v>
      </c>
      <c r="R732" s="63" t="s">
        <v>1221</v>
      </c>
      <c r="S732" s="142">
        <f t="shared" si="292"/>
        <v>0</v>
      </c>
      <c r="T732" s="143">
        <v>46.25</v>
      </c>
      <c r="U732" s="144"/>
      <c r="V732" s="144"/>
      <c r="W732" s="144"/>
      <c r="X732" s="144"/>
      <c r="Y732" s="144">
        <v>62.6</v>
      </c>
      <c r="Z732" s="145"/>
      <c r="AA732" s="145"/>
      <c r="AB732" s="145">
        <v>13.1</v>
      </c>
      <c r="AC732" s="145"/>
      <c r="AD732" s="146" t="s">
        <v>378</v>
      </c>
      <c r="AE732" s="171">
        <v>1</v>
      </c>
      <c r="AF732" s="147">
        <f t="shared" si="285"/>
        <v>0</v>
      </c>
      <c r="AG732" s="147">
        <f t="shared" si="286"/>
        <v>0</v>
      </c>
      <c r="AH732" s="147">
        <f t="shared" si="287"/>
        <v>0</v>
      </c>
      <c r="AI732" s="147">
        <f t="shared" si="288"/>
        <v>0</v>
      </c>
      <c r="AJ732" s="148">
        <f t="shared" si="289"/>
        <v>0</v>
      </c>
      <c r="AK732" s="149">
        <f t="shared" si="272"/>
        <v>0</v>
      </c>
      <c r="AL732" s="149">
        <f t="shared" si="273"/>
        <v>0</v>
      </c>
      <c r="AM732" s="149">
        <f t="shared" si="274"/>
        <v>0</v>
      </c>
      <c r="AN732" s="149">
        <f t="shared" si="275"/>
        <v>0</v>
      </c>
      <c r="AO732" s="150">
        <f t="shared" si="290"/>
        <v>0</v>
      </c>
      <c r="AQ732" s="151">
        <f t="shared" si="291"/>
        <v>0</v>
      </c>
    </row>
    <row r="733" spans="1:43" ht="15" customHeight="1">
      <c r="A733" s="82" t="e">
        <f t="shared" si="276"/>
        <v>#REF!</v>
      </c>
      <c r="B733" s="134">
        <v>110</v>
      </c>
      <c r="C733" s="135" t="s">
        <v>184</v>
      </c>
      <c r="D733" s="136" t="s">
        <v>39</v>
      </c>
      <c r="E733" s="137"/>
      <c r="F733" s="138" t="s">
        <v>220</v>
      </c>
      <c r="G733" s="139" t="s">
        <v>172</v>
      </c>
      <c r="H733" s="140" t="str">
        <f t="shared" si="277"/>
        <v>Niet van toepassing</v>
      </c>
      <c r="I733" s="138" t="s">
        <v>254</v>
      </c>
      <c r="J733" s="138" t="s">
        <v>1172</v>
      </c>
      <c r="K733" s="141" t="str">
        <f t="shared" si="278"/>
        <v>NVT</v>
      </c>
      <c r="L733" s="141" t="str">
        <f t="shared" si="279"/>
        <v>NVT</v>
      </c>
      <c r="M733" s="141" t="str">
        <f t="shared" si="280"/>
        <v>NVT</v>
      </c>
      <c r="N733" s="141" t="str">
        <f t="shared" si="281"/>
        <v>NVT</v>
      </c>
      <c r="O733" s="141" t="str">
        <f t="shared" si="282"/>
        <v>NVT</v>
      </c>
      <c r="P733" s="141" t="str">
        <f t="shared" si="283"/>
        <v>NVT</v>
      </c>
      <c r="Q733" s="141" t="str">
        <f t="shared" si="284"/>
        <v>NVT</v>
      </c>
      <c r="R733" s="63" t="s">
        <v>1221</v>
      </c>
      <c r="S733" s="142">
        <f t="shared" si="292"/>
        <v>0</v>
      </c>
      <c r="T733" s="143">
        <v>42.01</v>
      </c>
      <c r="U733" s="144"/>
      <c r="V733" s="144"/>
      <c r="W733" s="144"/>
      <c r="X733" s="144"/>
      <c r="Y733" s="144">
        <v>63</v>
      </c>
      <c r="Z733" s="145"/>
      <c r="AA733" s="145"/>
      <c r="AB733" s="145">
        <v>13.1</v>
      </c>
      <c r="AC733" s="145"/>
      <c r="AD733" s="146" t="s">
        <v>379</v>
      </c>
      <c r="AE733" s="171">
        <v>1</v>
      </c>
      <c r="AF733" s="147">
        <f t="shared" si="285"/>
        <v>0</v>
      </c>
      <c r="AG733" s="147">
        <f t="shared" si="286"/>
        <v>0</v>
      </c>
      <c r="AH733" s="147">
        <f t="shared" si="287"/>
        <v>0</v>
      </c>
      <c r="AI733" s="147">
        <f t="shared" si="288"/>
        <v>0</v>
      </c>
      <c r="AJ733" s="148">
        <f t="shared" si="289"/>
        <v>0</v>
      </c>
      <c r="AK733" s="149">
        <f t="shared" si="272"/>
        <v>0</v>
      </c>
      <c r="AL733" s="149">
        <f t="shared" si="273"/>
        <v>0</v>
      </c>
      <c r="AM733" s="149">
        <f t="shared" si="274"/>
        <v>0</v>
      </c>
      <c r="AN733" s="149">
        <f t="shared" si="275"/>
        <v>0</v>
      </c>
      <c r="AO733" s="150">
        <f t="shared" si="290"/>
        <v>0</v>
      </c>
      <c r="AQ733" s="151">
        <f t="shared" si="291"/>
        <v>0</v>
      </c>
    </row>
    <row r="734" spans="1:43" ht="15" customHeight="1">
      <c r="A734" s="82" t="e">
        <f t="shared" si="276"/>
        <v>#REF!</v>
      </c>
      <c r="B734" s="134">
        <v>111</v>
      </c>
      <c r="C734" s="135" t="s">
        <v>945</v>
      </c>
      <c r="D734" s="136" t="s">
        <v>39</v>
      </c>
      <c r="E734" s="137"/>
      <c r="F734" s="138" t="s">
        <v>1093</v>
      </c>
      <c r="G734" s="139" t="s">
        <v>71</v>
      </c>
      <c r="H734" s="140" t="str">
        <f t="shared" si="277"/>
        <v>Niet van toepassing</v>
      </c>
      <c r="I734" s="138" t="s">
        <v>254</v>
      </c>
      <c r="J734" s="138" t="s">
        <v>1172</v>
      </c>
      <c r="K734" s="141" t="str">
        <f t="shared" si="278"/>
        <v>NVT</v>
      </c>
      <c r="L734" s="141" t="str">
        <f t="shared" si="279"/>
        <v>NVT</v>
      </c>
      <c r="M734" s="141" t="str">
        <f t="shared" si="280"/>
        <v>NVT</v>
      </c>
      <c r="N734" s="141" t="str">
        <f t="shared" si="281"/>
        <v>NVT</v>
      </c>
      <c r="O734" s="141" t="str">
        <f t="shared" si="282"/>
        <v>NVT</v>
      </c>
      <c r="P734" s="141" t="str">
        <f t="shared" si="283"/>
        <v>NVT</v>
      </c>
      <c r="Q734" s="141" t="str">
        <f t="shared" si="284"/>
        <v>NVT</v>
      </c>
      <c r="R734" s="63" t="s">
        <v>1221</v>
      </c>
      <c r="S734" s="142">
        <f t="shared" si="292"/>
        <v>0</v>
      </c>
      <c r="T734" s="143">
        <v>11.4</v>
      </c>
      <c r="U734" s="144"/>
      <c r="V734" s="144"/>
      <c r="W734" s="144"/>
      <c r="X734" s="144"/>
      <c r="Y734" s="144">
        <v>48</v>
      </c>
      <c r="Z734" s="145"/>
      <c r="AA734" s="145">
        <v>1.9</v>
      </c>
      <c r="AB734" s="145"/>
      <c r="AC734" s="145"/>
      <c r="AD734" s="146"/>
      <c r="AE734" s="171">
        <v>1</v>
      </c>
      <c r="AF734" s="147">
        <f t="shared" si="285"/>
        <v>0</v>
      </c>
      <c r="AG734" s="147">
        <f t="shared" si="286"/>
        <v>0</v>
      </c>
      <c r="AH734" s="147">
        <f t="shared" si="287"/>
        <v>0</v>
      </c>
      <c r="AI734" s="147">
        <f t="shared" si="288"/>
        <v>0</v>
      </c>
      <c r="AJ734" s="148">
        <f t="shared" si="289"/>
        <v>0</v>
      </c>
      <c r="AK734" s="149">
        <f t="shared" si="272"/>
        <v>0</v>
      </c>
      <c r="AL734" s="149">
        <f t="shared" si="273"/>
        <v>0</v>
      </c>
      <c r="AM734" s="149">
        <f t="shared" si="274"/>
        <v>0</v>
      </c>
      <c r="AN734" s="149">
        <f t="shared" si="275"/>
        <v>0</v>
      </c>
      <c r="AO734" s="150">
        <f t="shared" si="290"/>
        <v>0</v>
      </c>
      <c r="AQ734" s="151">
        <f t="shared" si="291"/>
        <v>0</v>
      </c>
    </row>
    <row r="735" spans="1:43" ht="15" customHeight="1">
      <c r="A735" s="82" t="e">
        <f t="shared" si="276"/>
        <v>#REF!</v>
      </c>
      <c r="B735" s="134">
        <v>111</v>
      </c>
      <c r="C735" s="135" t="s">
        <v>945</v>
      </c>
      <c r="D735" s="136" t="s">
        <v>39</v>
      </c>
      <c r="E735" s="137"/>
      <c r="F735" s="138" t="s">
        <v>1094</v>
      </c>
      <c r="G735" s="139" t="s">
        <v>48</v>
      </c>
      <c r="H735" s="140" t="str">
        <f t="shared" si="277"/>
        <v>Niet van toepassing</v>
      </c>
      <c r="I735" s="138" t="s">
        <v>254</v>
      </c>
      <c r="J735" s="138" t="s">
        <v>1172</v>
      </c>
      <c r="K735" s="141" t="str">
        <f t="shared" si="278"/>
        <v>NVT</v>
      </c>
      <c r="L735" s="141" t="str">
        <f t="shared" si="279"/>
        <v>NVT</v>
      </c>
      <c r="M735" s="141" t="str">
        <f t="shared" si="280"/>
        <v>NVT</v>
      </c>
      <c r="N735" s="141" t="str">
        <f t="shared" si="281"/>
        <v>NVT</v>
      </c>
      <c r="O735" s="141" t="str">
        <f t="shared" si="282"/>
        <v>NVT</v>
      </c>
      <c r="P735" s="141" t="str">
        <f t="shared" si="283"/>
        <v>NVT</v>
      </c>
      <c r="Q735" s="141" t="str">
        <f t="shared" si="284"/>
        <v>NVT</v>
      </c>
      <c r="R735" s="63" t="s">
        <v>1221</v>
      </c>
      <c r="S735" s="142">
        <f t="shared" si="292"/>
        <v>0</v>
      </c>
      <c r="T735" s="143">
        <v>1.9</v>
      </c>
      <c r="U735" s="144"/>
      <c r="V735" s="144"/>
      <c r="W735" s="144"/>
      <c r="X735" s="144"/>
      <c r="Y735" s="144">
        <f>12.5-2.5</f>
        <v>10</v>
      </c>
      <c r="Z735" s="145"/>
      <c r="AA735" s="145">
        <v>23.625</v>
      </c>
      <c r="AB735" s="145"/>
      <c r="AC735" s="145"/>
      <c r="AD735" s="146"/>
      <c r="AE735" s="171">
        <v>1</v>
      </c>
      <c r="AF735" s="147">
        <f t="shared" si="285"/>
        <v>0</v>
      </c>
      <c r="AG735" s="147">
        <f t="shared" si="286"/>
        <v>0</v>
      </c>
      <c r="AH735" s="147">
        <f t="shared" si="287"/>
        <v>0</v>
      </c>
      <c r="AI735" s="147">
        <f t="shared" si="288"/>
        <v>0</v>
      </c>
      <c r="AJ735" s="148">
        <f t="shared" si="289"/>
        <v>0</v>
      </c>
      <c r="AK735" s="149">
        <f t="shared" si="272"/>
        <v>0</v>
      </c>
      <c r="AL735" s="149">
        <f t="shared" si="273"/>
        <v>0</v>
      </c>
      <c r="AM735" s="149">
        <f t="shared" si="274"/>
        <v>0</v>
      </c>
      <c r="AN735" s="149">
        <f t="shared" si="275"/>
        <v>0</v>
      </c>
      <c r="AO735" s="150">
        <f t="shared" si="290"/>
        <v>0</v>
      </c>
      <c r="AQ735" s="151">
        <f t="shared" si="291"/>
        <v>0</v>
      </c>
    </row>
    <row r="736" spans="1:43" ht="15" customHeight="1">
      <c r="A736" s="82" t="e">
        <f t="shared" si="276"/>
        <v>#REF!</v>
      </c>
      <c r="B736" s="134">
        <v>111</v>
      </c>
      <c r="C736" s="135" t="s">
        <v>945</v>
      </c>
      <c r="D736" s="136" t="s">
        <v>39</v>
      </c>
      <c r="E736" s="137"/>
      <c r="F736" s="138" t="s">
        <v>1094</v>
      </c>
      <c r="G736" s="139" t="s">
        <v>390</v>
      </c>
      <c r="H736" s="140" t="str">
        <f t="shared" si="277"/>
        <v>Niet van toepassing</v>
      </c>
      <c r="I736" s="138" t="s">
        <v>254</v>
      </c>
      <c r="J736" s="138" t="s">
        <v>1172</v>
      </c>
      <c r="K736" s="141" t="str">
        <f t="shared" si="278"/>
        <v>NVT</v>
      </c>
      <c r="L736" s="141" t="str">
        <f t="shared" si="279"/>
        <v>NVT</v>
      </c>
      <c r="M736" s="141" t="str">
        <f t="shared" si="280"/>
        <v>NVT</v>
      </c>
      <c r="N736" s="141" t="str">
        <f t="shared" si="281"/>
        <v>NVT</v>
      </c>
      <c r="O736" s="141" t="str">
        <f t="shared" si="282"/>
        <v>NVT</v>
      </c>
      <c r="P736" s="141" t="str">
        <f t="shared" si="283"/>
        <v>NVT</v>
      </c>
      <c r="Q736" s="141" t="str">
        <f t="shared" si="284"/>
        <v>NVT</v>
      </c>
      <c r="R736" s="63" t="s">
        <v>1221</v>
      </c>
      <c r="S736" s="142">
        <f t="shared" si="292"/>
        <v>0</v>
      </c>
      <c r="T736" s="143">
        <f>18.9</f>
        <v>18.899999999999999</v>
      </c>
      <c r="U736" s="144"/>
      <c r="V736" s="144"/>
      <c r="W736" s="144"/>
      <c r="X736" s="144"/>
      <c r="Y736" s="144">
        <f>23.7-1.9</f>
        <v>21.8</v>
      </c>
      <c r="Z736" s="145"/>
      <c r="AA736" s="145">
        <v>17.274999999999999</v>
      </c>
      <c r="AB736" s="145"/>
      <c r="AC736" s="145"/>
      <c r="AD736" s="146"/>
      <c r="AE736" s="171">
        <v>1</v>
      </c>
      <c r="AF736" s="147">
        <f t="shared" si="285"/>
        <v>0</v>
      </c>
      <c r="AG736" s="147">
        <f t="shared" si="286"/>
        <v>0</v>
      </c>
      <c r="AH736" s="147">
        <f t="shared" si="287"/>
        <v>0</v>
      </c>
      <c r="AI736" s="147">
        <f t="shared" si="288"/>
        <v>0</v>
      </c>
      <c r="AJ736" s="148">
        <f t="shared" si="289"/>
        <v>0</v>
      </c>
      <c r="AK736" s="149">
        <f t="shared" si="272"/>
        <v>0</v>
      </c>
      <c r="AL736" s="149">
        <f t="shared" si="273"/>
        <v>0</v>
      </c>
      <c r="AM736" s="149">
        <f t="shared" si="274"/>
        <v>0</v>
      </c>
      <c r="AN736" s="149">
        <f t="shared" si="275"/>
        <v>0</v>
      </c>
      <c r="AO736" s="150">
        <f t="shared" si="290"/>
        <v>0</v>
      </c>
      <c r="AQ736" s="151">
        <f t="shared" si="291"/>
        <v>0</v>
      </c>
    </row>
    <row r="737" spans="1:43" ht="15" customHeight="1">
      <c r="A737" s="82" t="e">
        <f t="shared" si="276"/>
        <v>#REF!</v>
      </c>
      <c r="B737" s="134">
        <v>111</v>
      </c>
      <c r="C737" s="135" t="s">
        <v>945</v>
      </c>
      <c r="D737" s="136" t="s">
        <v>39</v>
      </c>
      <c r="E737" s="137"/>
      <c r="F737" s="138" t="s">
        <v>210</v>
      </c>
      <c r="G737" s="139" t="s">
        <v>171</v>
      </c>
      <c r="H737" s="140" t="str">
        <f t="shared" si="277"/>
        <v>Niet van toepassing</v>
      </c>
      <c r="I737" s="138" t="s">
        <v>254</v>
      </c>
      <c r="J737" s="138" t="s">
        <v>1172</v>
      </c>
      <c r="K737" s="141" t="str">
        <f t="shared" si="278"/>
        <v>NVT</v>
      </c>
      <c r="L737" s="141" t="str">
        <f t="shared" si="279"/>
        <v>NVT</v>
      </c>
      <c r="M737" s="141" t="str">
        <f t="shared" si="280"/>
        <v>NVT</v>
      </c>
      <c r="N737" s="141" t="str">
        <f t="shared" si="281"/>
        <v>NVT</v>
      </c>
      <c r="O737" s="141" t="str">
        <f t="shared" si="282"/>
        <v>NVT</v>
      </c>
      <c r="P737" s="141" t="str">
        <f t="shared" si="283"/>
        <v>NVT</v>
      </c>
      <c r="Q737" s="141" t="str">
        <f t="shared" si="284"/>
        <v>NVT</v>
      </c>
      <c r="R737" s="63" t="s">
        <v>1221</v>
      </c>
      <c r="S737" s="142">
        <f t="shared" si="292"/>
        <v>0</v>
      </c>
      <c r="T737" s="143">
        <v>13.82</v>
      </c>
      <c r="U737" s="144"/>
      <c r="V737" s="144"/>
      <c r="W737" s="144">
        <v>19.64</v>
      </c>
      <c r="X737" s="144"/>
      <c r="Y737" s="144"/>
      <c r="Z737" s="145"/>
      <c r="AA737" s="145">
        <f t="shared" ref="AA737:AA744" si="293">T737</f>
        <v>13.82</v>
      </c>
      <c r="AB737" s="145"/>
      <c r="AC737" s="145"/>
      <c r="AD737" s="146"/>
      <c r="AE737" s="171">
        <v>1</v>
      </c>
      <c r="AF737" s="147">
        <f t="shared" si="285"/>
        <v>0</v>
      </c>
      <c r="AG737" s="147">
        <f t="shared" si="286"/>
        <v>0</v>
      </c>
      <c r="AH737" s="147">
        <f t="shared" si="287"/>
        <v>0</v>
      </c>
      <c r="AI737" s="147">
        <f t="shared" si="288"/>
        <v>0</v>
      </c>
      <c r="AJ737" s="148">
        <f t="shared" si="289"/>
        <v>0</v>
      </c>
      <c r="AK737" s="149">
        <f t="shared" si="272"/>
        <v>0</v>
      </c>
      <c r="AL737" s="149">
        <f t="shared" si="273"/>
        <v>0</v>
      </c>
      <c r="AM737" s="149">
        <f t="shared" si="274"/>
        <v>0</v>
      </c>
      <c r="AN737" s="149">
        <f t="shared" si="275"/>
        <v>0</v>
      </c>
      <c r="AO737" s="150">
        <f t="shared" si="290"/>
        <v>0</v>
      </c>
      <c r="AQ737" s="151">
        <f t="shared" si="291"/>
        <v>0</v>
      </c>
    </row>
    <row r="738" spans="1:43" ht="15" customHeight="1">
      <c r="A738" s="82" t="e">
        <f t="shared" si="276"/>
        <v>#REF!</v>
      </c>
      <c r="B738" s="134">
        <v>111</v>
      </c>
      <c r="C738" s="135" t="s">
        <v>945</v>
      </c>
      <c r="D738" s="136" t="s">
        <v>39</v>
      </c>
      <c r="E738" s="137"/>
      <c r="F738" s="138" t="s">
        <v>1095</v>
      </c>
      <c r="G738" s="139" t="s">
        <v>245</v>
      </c>
      <c r="H738" s="140" t="str">
        <f t="shared" si="277"/>
        <v>Niet van toepassing</v>
      </c>
      <c r="I738" s="138" t="s">
        <v>254</v>
      </c>
      <c r="J738" s="138" t="s">
        <v>1172</v>
      </c>
      <c r="K738" s="141" t="str">
        <f t="shared" si="278"/>
        <v>NVT</v>
      </c>
      <c r="L738" s="141" t="str">
        <f t="shared" si="279"/>
        <v>NVT</v>
      </c>
      <c r="M738" s="141" t="str">
        <f t="shared" si="280"/>
        <v>NVT</v>
      </c>
      <c r="N738" s="141" t="str">
        <f t="shared" si="281"/>
        <v>NVT</v>
      </c>
      <c r="O738" s="141" t="str">
        <f t="shared" si="282"/>
        <v>NVT</v>
      </c>
      <c r="P738" s="141" t="str">
        <f t="shared" si="283"/>
        <v>NVT</v>
      </c>
      <c r="Q738" s="141" t="str">
        <f t="shared" si="284"/>
        <v>NVT</v>
      </c>
      <c r="R738" s="63" t="s">
        <v>1221</v>
      </c>
      <c r="S738" s="142">
        <f t="shared" si="292"/>
        <v>0</v>
      </c>
      <c r="T738" s="143">
        <v>34.200000000000003</v>
      </c>
      <c r="U738" s="144"/>
      <c r="V738" s="144"/>
      <c r="W738" s="144"/>
      <c r="X738" s="144"/>
      <c r="Y738" s="144">
        <f>100.2-7*2.5</f>
        <v>82.7</v>
      </c>
      <c r="Z738" s="145"/>
      <c r="AA738" s="145">
        <f t="shared" si="293"/>
        <v>34.200000000000003</v>
      </c>
      <c r="AB738" s="145"/>
      <c r="AC738" s="145"/>
      <c r="AD738" s="146"/>
      <c r="AE738" s="171">
        <v>1</v>
      </c>
      <c r="AF738" s="147">
        <f t="shared" si="285"/>
        <v>0</v>
      </c>
      <c r="AG738" s="147">
        <f t="shared" si="286"/>
        <v>0</v>
      </c>
      <c r="AH738" s="147">
        <f t="shared" si="287"/>
        <v>0</v>
      </c>
      <c r="AI738" s="147">
        <f t="shared" si="288"/>
        <v>0</v>
      </c>
      <c r="AJ738" s="148">
        <f t="shared" si="289"/>
        <v>0</v>
      </c>
      <c r="AK738" s="149">
        <f t="shared" si="272"/>
        <v>0</v>
      </c>
      <c r="AL738" s="149">
        <f t="shared" si="273"/>
        <v>0</v>
      </c>
      <c r="AM738" s="149">
        <f t="shared" si="274"/>
        <v>0</v>
      </c>
      <c r="AN738" s="149">
        <f t="shared" si="275"/>
        <v>0</v>
      </c>
      <c r="AO738" s="150">
        <f t="shared" si="290"/>
        <v>0</v>
      </c>
      <c r="AQ738" s="151">
        <f t="shared" si="291"/>
        <v>0</v>
      </c>
    </row>
    <row r="739" spans="1:43" ht="15" customHeight="1">
      <c r="A739" s="82" t="e">
        <f t="shared" si="276"/>
        <v>#REF!</v>
      </c>
      <c r="B739" s="134">
        <v>111</v>
      </c>
      <c r="C739" s="135" t="s">
        <v>945</v>
      </c>
      <c r="D739" s="136" t="s">
        <v>39</v>
      </c>
      <c r="E739" s="137"/>
      <c r="F739" s="138" t="s">
        <v>271</v>
      </c>
      <c r="G739" s="139" t="s">
        <v>1096</v>
      </c>
      <c r="H739" s="140" t="str">
        <f t="shared" si="277"/>
        <v>Niet van toepassing</v>
      </c>
      <c r="I739" s="138" t="s">
        <v>254</v>
      </c>
      <c r="J739" s="138" t="s">
        <v>1172</v>
      </c>
      <c r="K739" s="141" t="str">
        <f t="shared" si="278"/>
        <v>NVT</v>
      </c>
      <c r="L739" s="141" t="str">
        <f t="shared" si="279"/>
        <v>NVT</v>
      </c>
      <c r="M739" s="141" t="str">
        <f t="shared" si="280"/>
        <v>NVT</v>
      </c>
      <c r="N739" s="141" t="str">
        <f t="shared" si="281"/>
        <v>NVT</v>
      </c>
      <c r="O739" s="141" t="str">
        <f t="shared" si="282"/>
        <v>NVT</v>
      </c>
      <c r="P739" s="141" t="str">
        <f t="shared" si="283"/>
        <v>NVT</v>
      </c>
      <c r="Q739" s="141" t="str">
        <f t="shared" si="284"/>
        <v>NVT</v>
      </c>
      <c r="R739" s="63" t="s">
        <v>1221</v>
      </c>
      <c r="S739" s="142">
        <f t="shared" si="292"/>
        <v>0</v>
      </c>
      <c r="T739" s="143">
        <v>13.8</v>
      </c>
      <c r="U739" s="144"/>
      <c r="V739" s="144"/>
      <c r="W739" s="144"/>
      <c r="X739" s="144"/>
      <c r="Y739" s="144">
        <f>55.5-2.5</f>
        <v>53</v>
      </c>
      <c r="Z739" s="145"/>
      <c r="AA739" s="145">
        <f t="shared" si="293"/>
        <v>13.8</v>
      </c>
      <c r="AB739" s="145"/>
      <c r="AC739" s="145"/>
      <c r="AD739" s="146"/>
      <c r="AE739" s="171">
        <v>1</v>
      </c>
      <c r="AF739" s="147">
        <f t="shared" si="285"/>
        <v>0</v>
      </c>
      <c r="AG739" s="147">
        <f t="shared" si="286"/>
        <v>0</v>
      </c>
      <c r="AH739" s="147">
        <f t="shared" si="287"/>
        <v>0</v>
      </c>
      <c r="AI739" s="147">
        <f t="shared" si="288"/>
        <v>0</v>
      </c>
      <c r="AJ739" s="148">
        <f t="shared" si="289"/>
        <v>0</v>
      </c>
      <c r="AK739" s="149">
        <f t="shared" si="272"/>
        <v>0</v>
      </c>
      <c r="AL739" s="149">
        <f t="shared" si="273"/>
        <v>0</v>
      </c>
      <c r="AM739" s="149">
        <f t="shared" si="274"/>
        <v>0</v>
      </c>
      <c r="AN739" s="149">
        <f t="shared" si="275"/>
        <v>0</v>
      </c>
      <c r="AO739" s="150">
        <f t="shared" si="290"/>
        <v>0</v>
      </c>
      <c r="AQ739" s="151">
        <f t="shared" si="291"/>
        <v>0</v>
      </c>
    </row>
    <row r="740" spans="1:43" ht="15" customHeight="1">
      <c r="A740" s="82" t="e">
        <f t="shared" si="276"/>
        <v>#REF!</v>
      </c>
      <c r="B740" s="134">
        <v>111</v>
      </c>
      <c r="C740" s="135" t="s">
        <v>945</v>
      </c>
      <c r="D740" s="136" t="s">
        <v>39</v>
      </c>
      <c r="E740" s="137"/>
      <c r="F740" s="138" t="s">
        <v>1097</v>
      </c>
      <c r="G740" s="139" t="s">
        <v>1098</v>
      </c>
      <c r="H740" s="140" t="str">
        <f t="shared" si="277"/>
        <v>Niet van toepassing</v>
      </c>
      <c r="I740" s="138" t="s">
        <v>254</v>
      </c>
      <c r="J740" s="138" t="s">
        <v>1172</v>
      </c>
      <c r="K740" s="141" t="str">
        <f t="shared" si="278"/>
        <v>NVT</v>
      </c>
      <c r="L740" s="141" t="str">
        <f t="shared" si="279"/>
        <v>NVT</v>
      </c>
      <c r="M740" s="141" t="str">
        <f t="shared" si="280"/>
        <v>NVT</v>
      </c>
      <c r="N740" s="141" t="str">
        <f t="shared" si="281"/>
        <v>NVT</v>
      </c>
      <c r="O740" s="141" t="str">
        <f t="shared" si="282"/>
        <v>NVT</v>
      </c>
      <c r="P740" s="141" t="str">
        <f t="shared" si="283"/>
        <v>NVT</v>
      </c>
      <c r="Q740" s="141" t="str">
        <f t="shared" si="284"/>
        <v>NVT</v>
      </c>
      <c r="R740" s="63" t="s">
        <v>1221</v>
      </c>
      <c r="S740" s="142">
        <f t="shared" si="292"/>
        <v>0</v>
      </c>
      <c r="T740" s="143">
        <v>8.6</v>
      </c>
      <c r="U740" s="144"/>
      <c r="V740" s="144"/>
      <c r="W740" s="144"/>
      <c r="X740" s="144"/>
      <c r="Y740" s="144">
        <f>35.2-2.5</f>
        <v>32.700000000000003</v>
      </c>
      <c r="Z740" s="145"/>
      <c r="AA740" s="145">
        <f t="shared" si="293"/>
        <v>8.6</v>
      </c>
      <c r="AB740" s="145"/>
      <c r="AC740" s="145"/>
      <c r="AD740" s="146"/>
      <c r="AE740" s="171">
        <v>1</v>
      </c>
      <c r="AF740" s="147">
        <f t="shared" si="285"/>
        <v>0</v>
      </c>
      <c r="AG740" s="147">
        <f t="shared" si="286"/>
        <v>0</v>
      </c>
      <c r="AH740" s="147">
        <f t="shared" si="287"/>
        <v>0</v>
      </c>
      <c r="AI740" s="147">
        <f t="shared" si="288"/>
        <v>0</v>
      </c>
      <c r="AJ740" s="148">
        <f t="shared" si="289"/>
        <v>0</v>
      </c>
      <c r="AK740" s="149">
        <f t="shared" si="272"/>
        <v>0</v>
      </c>
      <c r="AL740" s="149">
        <f t="shared" si="273"/>
        <v>0</v>
      </c>
      <c r="AM740" s="149">
        <f t="shared" si="274"/>
        <v>0</v>
      </c>
      <c r="AN740" s="149">
        <f t="shared" si="275"/>
        <v>0</v>
      </c>
      <c r="AO740" s="150">
        <f t="shared" si="290"/>
        <v>0</v>
      </c>
      <c r="AQ740" s="151">
        <f t="shared" si="291"/>
        <v>0</v>
      </c>
    </row>
    <row r="741" spans="1:43" ht="15" customHeight="1">
      <c r="A741" s="82" t="e">
        <f t="shared" si="276"/>
        <v>#REF!</v>
      </c>
      <c r="B741" s="134">
        <v>111</v>
      </c>
      <c r="C741" s="135" t="s">
        <v>945</v>
      </c>
      <c r="D741" s="136" t="s">
        <v>39</v>
      </c>
      <c r="E741" s="137"/>
      <c r="F741" s="138" t="s">
        <v>1097</v>
      </c>
      <c r="G741" s="139" t="s">
        <v>1099</v>
      </c>
      <c r="H741" s="140" t="str">
        <f t="shared" si="277"/>
        <v>Niet van toepassing</v>
      </c>
      <c r="I741" s="138" t="s">
        <v>254</v>
      </c>
      <c r="J741" s="138" t="s">
        <v>1172</v>
      </c>
      <c r="K741" s="141" t="str">
        <f t="shared" si="278"/>
        <v>NVT</v>
      </c>
      <c r="L741" s="141" t="str">
        <f t="shared" si="279"/>
        <v>NVT</v>
      </c>
      <c r="M741" s="141" t="str">
        <f t="shared" si="280"/>
        <v>NVT</v>
      </c>
      <c r="N741" s="141" t="str">
        <f t="shared" si="281"/>
        <v>NVT</v>
      </c>
      <c r="O741" s="141" t="str">
        <f t="shared" si="282"/>
        <v>NVT</v>
      </c>
      <c r="P741" s="141" t="str">
        <f t="shared" si="283"/>
        <v>NVT</v>
      </c>
      <c r="Q741" s="141" t="str">
        <f t="shared" si="284"/>
        <v>NVT</v>
      </c>
      <c r="R741" s="63" t="s">
        <v>1221</v>
      </c>
      <c r="S741" s="142">
        <f t="shared" si="292"/>
        <v>0</v>
      </c>
      <c r="T741" s="143">
        <v>8.6</v>
      </c>
      <c r="U741" s="144"/>
      <c r="V741" s="144"/>
      <c r="W741" s="144"/>
      <c r="X741" s="144"/>
      <c r="Y741" s="144">
        <f>35.2-2.5</f>
        <v>32.700000000000003</v>
      </c>
      <c r="Z741" s="145"/>
      <c r="AA741" s="145">
        <f t="shared" si="293"/>
        <v>8.6</v>
      </c>
      <c r="AB741" s="145"/>
      <c r="AC741" s="145"/>
      <c r="AD741" s="146"/>
      <c r="AE741" s="171">
        <v>1</v>
      </c>
      <c r="AF741" s="147">
        <f t="shared" si="285"/>
        <v>0</v>
      </c>
      <c r="AG741" s="147">
        <f t="shared" si="286"/>
        <v>0</v>
      </c>
      <c r="AH741" s="147">
        <f t="shared" si="287"/>
        <v>0</v>
      </c>
      <c r="AI741" s="147">
        <f t="shared" si="288"/>
        <v>0</v>
      </c>
      <c r="AJ741" s="148">
        <f t="shared" si="289"/>
        <v>0</v>
      </c>
      <c r="AK741" s="149">
        <f t="shared" si="272"/>
        <v>0</v>
      </c>
      <c r="AL741" s="149">
        <f t="shared" si="273"/>
        <v>0</v>
      </c>
      <c r="AM741" s="149">
        <f t="shared" si="274"/>
        <v>0</v>
      </c>
      <c r="AN741" s="149">
        <f t="shared" si="275"/>
        <v>0</v>
      </c>
      <c r="AO741" s="150">
        <f t="shared" si="290"/>
        <v>0</v>
      </c>
      <c r="AQ741" s="151">
        <f t="shared" si="291"/>
        <v>0</v>
      </c>
    </row>
    <row r="742" spans="1:43" ht="15" customHeight="1">
      <c r="A742" s="82" t="e">
        <f t="shared" si="276"/>
        <v>#REF!</v>
      </c>
      <c r="B742" s="134">
        <v>111</v>
      </c>
      <c r="C742" s="135" t="s">
        <v>945</v>
      </c>
      <c r="D742" s="136" t="s">
        <v>39</v>
      </c>
      <c r="E742" s="137"/>
      <c r="F742" s="138" t="s">
        <v>57</v>
      </c>
      <c r="G742" s="139" t="s">
        <v>1100</v>
      </c>
      <c r="H742" s="140" t="str">
        <f t="shared" si="277"/>
        <v>Niet van toepassing</v>
      </c>
      <c r="I742" s="138" t="s">
        <v>254</v>
      </c>
      <c r="J742" s="138" t="s">
        <v>1172</v>
      </c>
      <c r="K742" s="141" t="str">
        <f t="shared" si="278"/>
        <v>NVT</v>
      </c>
      <c r="L742" s="141" t="str">
        <f t="shared" si="279"/>
        <v>NVT</v>
      </c>
      <c r="M742" s="141" t="str">
        <f t="shared" si="280"/>
        <v>NVT</v>
      </c>
      <c r="N742" s="141" t="str">
        <f t="shared" si="281"/>
        <v>NVT</v>
      </c>
      <c r="O742" s="141" t="str">
        <f t="shared" si="282"/>
        <v>NVT</v>
      </c>
      <c r="P742" s="141" t="str">
        <f t="shared" si="283"/>
        <v>NVT</v>
      </c>
      <c r="Q742" s="141" t="str">
        <f t="shared" si="284"/>
        <v>NVT</v>
      </c>
      <c r="R742" s="63" t="s">
        <v>1221</v>
      </c>
      <c r="S742" s="142">
        <f t="shared" si="292"/>
        <v>0</v>
      </c>
      <c r="T742" s="143">
        <v>15.4</v>
      </c>
      <c r="U742" s="144"/>
      <c r="V742" s="144"/>
      <c r="W742" s="144"/>
      <c r="X742" s="144"/>
      <c r="Y742" s="144">
        <f>56.1-2.5</f>
        <v>53.6</v>
      </c>
      <c r="Z742" s="145"/>
      <c r="AA742" s="145">
        <f t="shared" si="293"/>
        <v>15.4</v>
      </c>
      <c r="AB742" s="145"/>
      <c r="AC742" s="145"/>
      <c r="AD742" s="146"/>
      <c r="AE742" s="171">
        <v>1</v>
      </c>
      <c r="AF742" s="147">
        <f t="shared" si="285"/>
        <v>0</v>
      </c>
      <c r="AG742" s="147">
        <f t="shared" si="286"/>
        <v>0</v>
      </c>
      <c r="AH742" s="147">
        <f t="shared" si="287"/>
        <v>0</v>
      </c>
      <c r="AI742" s="147">
        <f t="shared" si="288"/>
        <v>0</v>
      </c>
      <c r="AJ742" s="148">
        <f t="shared" si="289"/>
        <v>0</v>
      </c>
      <c r="AK742" s="149">
        <f t="shared" si="272"/>
        <v>0</v>
      </c>
      <c r="AL742" s="149">
        <f t="shared" si="273"/>
        <v>0</v>
      </c>
      <c r="AM742" s="149">
        <f t="shared" si="274"/>
        <v>0</v>
      </c>
      <c r="AN742" s="149">
        <f t="shared" si="275"/>
        <v>0</v>
      </c>
      <c r="AO742" s="150">
        <f t="shared" si="290"/>
        <v>0</v>
      </c>
      <c r="AQ742" s="151">
        <f t="shared" si="291"/>
        <v>0</v>
      </c>
    </row>
    <row r="743" spans="1:43" ht="15" customHeight="1">
      <c r="A743" s="82" t="e">
        <f t="shared" si="276"/>
        <v>#REF!</v>
      </c>
      <c r="B743" s="134">
        <v>111</v>
      </c>
      <c r="C743" s="135" t="s">
        <v>945</v>
      </c>
      <c r="D743" s="136" t="s">
        <v>39</v>
      </c>
      <c r="E743" s="137"/>
      <c r="F743" s="138" t="s">
        <v>1101</v>
      </c>
      <c r="G743" s="139" t="s">
        <v>79</v>
      </c>
      <c r="H743" s="140" t="str">
        <f t="shared" si="277"/>
        <v>Sanitair</v>
      </c>
      <c r="I743" s="138" t="s">
        <v>195</v>
      </c>
      <c r="J743" s="138" t="s">
        <v>1171</v>
      </c>
      <c r="K743" s="141" t="str">
        <f t="shared" si="278"/>
        <v>Omde dag Vol/Nal.</v>
      </c>
      <c r="L743" s="141" t="str">
        <f t="shared" si="279"/>
        <v>Omde dag Nal./Vol</v>
      </c>
      <c r="M743" s="141" t="str">
        <f t="shared" si="280"/>
        <v>Omde dag Vol/Nal.</v>
      </c>
      <c r="N743" s="141" t="str">
        <f t="shared" si="281"/>
        <v>Omde dag Nal./Vol</v>
      </c>
      <c r="O743" s="141" t="str">
        <f t="shared" si="282"/>
        <v>Omde dag Vol/Nal.</v>
      </c>
      <c r="P743" s="141" t="str">
        <f t="shared" si="283"/>
        <v>Omde dag Nal./Vol</v>
      </c>
      <c r="Q743" s="141" t="str">
        <f t="shared" si="284"/>
        <v>Omde dag Vol/Nal.</v>
      </c>
      <c r="R743" s="63" t="s">
        <v>1211</v>
      </c>
      <c r="S743" s="142">
        <f t="shared" si="292"/>
        <v>365</v>
      </c>
      <c r="T743" s="143">
        <v>3.6</v>
      </c>
      <c r="U743" s="144">
        <v>19.399999999999999</v>
      </c>
      <c r="V743" s="144"/>
      <c r="W743" s="144"/>
      <c r="X743" s="144"/>
      <c r="Y743" s="144"/>
      <c r="Z743" s="145"/>
      <c r="AA743" s="145">
        <f t="shared" si="293"/>
        <v>3.6</v>
      </c>
      <c r="AB743" s="145"/>
      <c r="AC743" s="145"/>
      <c r="AD743" s="146"/>
      <c r="AE743" s="171">
        <v>1</v>
      </c>
      <c r="AF743" s="147">
        <f t="shared" si="285"/>
        <v>0</v>
      </c>
      <c r="AG743" s="147">
        <f t="shared" si="286"/>
        <v>0</v>
      </c>
      <c r="AH743" s="147">
        <f t="shared" si="287"/>
        <v>0</v>
      </c>
      <c r="AI743" s="147">
        <f t="shared" si="288"/>
        <v>0</v>
      </c>
      <c r="AJ743" s="148" t="str">
        <f t="shared" si="289"/>
        <v>ja</v>
      </c>
      <c r="AK743" s="149">
        <f t="shared" si="272"/>
        <v>0</v>
      </c>
      <c r="AL743" s="149">
        <f t="shared" si="273"/>
        <v>0</v>
      </c>
      <c r="AM743" s="149">
        <f t="shared" si="274"/>
        <v>0</v>
      </c>
      <c r="AN743" s="149">
        <f t="shared" si="275"/>
        <v>0</v>
      </c>
      <c r="AO743" s="150" t="str">
        <f t="shared" si="290"/>
        <v>S</v>
      </c>
      <c r="AQ743" s="151">
        <f t="shared" si="291"/>
        <v>1314</v>
      </c>
    </row>
    <row r="744" spans="1:43" ht="15" customHeight="1">
      <c r="A744" s="82" t="e">
        <f t="shared" si="276"/>
        <v>#REF!</v>
      </c>
      <c r="B744" s="134">
        <v>111</v>
      </c>
      <c r="C744" s="135" t="s">
        <v>945</v>
      </c>
      <c r="D744" s="136" t="s">
        <v>39</v>
      </c>
      <c r="E744" s="137"/>
      <c r="F744" s="138" t="s">
        <v>1101</v>
      </c>
      <c r="G744" s="139" t="s">
        <v>151</v>
      </c>
      <c r="H744" s="140" t="str">
        <f t="shared" si="277"/>
        <v>Sanitair</v>
      </c>
      <c r="I744" s="138" t="s">
        <v>195</v>
      </c>
      <c r="J744" s="138" t="s">
        <v>1171</v>
      </c>
      <c r="K744" s="141" t="str">
        <f t="shared" si="278"/>
        <v>Omde dag Vol/Nal.</v>
      </c>
      <c r="L744" s="141" t="str">
        <f t="shared" si="279"/>
        <v>Omde dag Nal./Vol</v>
      </c>
      <c r="M744" s="141" t="str">
        <f t="shared" si="280"/>
        <v>Omde dag Vol/Nal.</v>
      </c>
      <c r="N744" s="141" t="str">
        <f t="shared" si="281"/>
        <v>Omde dag Nal./Vol</v>
      </c>
      <c r="O744" s="141" t="str">
        <f t="shared" si="282"/>
        <v>Omde dag Vol/Nal.</v>
      </c>
      <c r="P744" s="141" t="str">
        <f t="shared" si="283"/>
        <v>Omde dag Nal./Vol</v>
      </c>
      <c r="Q744" s="141" t="str">
        <f t="shared" si="284"/>
        <v>Omde dag Vol/Nal.</v>
      </c>
      <c r="R744" s="63" t="s">
        <v>1211</v>
      </c>
      <c r="S744" s="142">
        <f t="shared" si="292"/>
        <v>365</v>
      </c>
      <c r="T744" s="143">
        <v>4.3</v>
      </c>
      <c r="U744" s="144">
        <v>21.4</v>
      </c>
      <c r="V744" s="144"/>
      <c r="W744" s="144"/>
      <c r="X744" s="144"/>
      <c r="Y744" s="144"/>
      <c r="Z744" s="145"/>
      <c r="AA744" s="145">
        <f t="shared" si="293"/>
        <v>4.3</v>
      </c>
      <c r="AB744" s="145"/>
      <c r="AC744" s="145"/>
      <c r="AD744" s="146"/>
      <c r="AE744" s="171">
        <v>1</v>
      </c>
      <c r="AF744" s="147">
        <f t="shared" si="285"/>
        <v>0</v>
      </c>
      <c r="AG744" s="147">
        <f t="shared" si="286"/>
        <v>0</v>
      </c>
      <c r="AH744" s="147">
        <f t="shared" si="287"/>
        <v>0</v>
      </c>
      <c r="AI744" s="147">
        <f t="shared" si="288"/>
        <v>0</v>
      </c>
      <c r="AJ744" s="148" t="str">
        <f t="shared" si="289"/>
        <v>ja</v>
      </c>
      <c r="AK744" s="149">
        <f t="shared" si="272"/>
        <v>0</v>
      </c>
      <c r="AL744" s="149">
        <f t="shared" si="273"/>
        <v>0</v>
      </c>
      <c r="AM744" s="149">
        <f t="shared" si="274"/>
        <v>0</v>
      </c>
      <c r="AN744" s="149">
        <f t="shared" si="275"/>
        <v>0</v>
      </c>
      <c r="AO744" s="150" t="str">
        <f t="shared" si="290"/>
        <v>S</v>
      </c>
      <c r="AQ744" s="151">
        <f t="shared" si="291"/>
        <v>1569.5</v>
      </c>
    </row>
    <row r="745" spans="1:43" ht="15" customHeight="1">
      <c r="A745" s="82" t="e">
        <f t="shared" si="276"/>
        <v>#REF!</v>
      </c>
      <c r="B745" s="134">
        <v>111</v>
      </c>
      <c r="C745" s="135" t="s">
        <v>945</v>
      </c>
      <c r="D745" s="136" t="s">
        <v>39</v>
      </c>
      <c r="E745" s="137"/>
      <c r="F745" s="138" t="s">
        <v>101</v>
      </c>
      <c r="G745" s="139" t="s">
        <v>117</v>
      </c>
      <c r="H745" s="140" t="str">
        <f t="shared" si="277"/>
        <v>Perrons</v>
      </c>
      <c r="I745" s="138" t="s">
        <v>254</v>
      </c>
      <c r="J745" s="138" t="s">
        <v>1171</v>
      </c>
      <c r="K745" s="141" t="str">
        <f t="shared" si="278"/>
        <v>Omde dag Vol/Nal.</v>
      </c>
      <c r="L745" s="141" t="str">
        <f t="shared" si="279"/>
        <v>Omde dag Nal./Vol</v>
      </c>
      <c r="M745" s="141" t="str">
        <f t="shared" si="280"/>
        <v>Omde dag Vol/Nal.</v>
      </c>
      <c r="N745" s="141" t="str">
        <f t="shared" si="281"/>
        <v>Omde dag Nal./Vol</v>
      </c>
      <c r="O745" s="141" t="str">
        <f t="shared" si="282"/>
        <v>Omde dag Vol/Nal.</v>
      </c>
      <c r="P745" s="141" t="str">
        <f t="shared" si="283"/>
        <v>Omde dag Nal./Vol</v>
      </c>
      <c r="Q745" s="141" t="str">
        <f t="shared" si="284"/>
        <v>Omde dag Vol/Nal.</v>
      </c>
      <c r="R745" s="63" t="s">
        <v>1473</v>
      </c>
      <c r="S745" s="142">
        <f t="shared" si="292"/>
        <v>365</v>
      </c>
      <c r="T745" s="143">
        <v>2152</v>
      </c>
      <c r="U745" s="144"/>
      <c r="V745" s="144"/>
      <c r="W745" s="144"/>
      <c r="X745" s="144"/>
      <c r="Y745" s="144"/>
      <c r="Z745" s="145">
        <v>2704</v>
      </c>
      <c r="AA745" s="145"/>
      <c r="AB745" s="145"/>
      <c r="AC745" s="145"/>
      <c r="AD745" s="146"/>
      <c r="AE745" s="171">
        <v>1</v>
      </c>
      <c r="AF745" s="147">
        <f t="shared" si="285"/>
        <v>0</v>
      </c>
      <c r="AG745" s="147">
        <f t="shared" si="286"/>
        <v>0</v>
      </c>
      <c r="AH745" s="147">
        <f t="shared" si="287"/>
        <v>0</v>
      </c>
      <c r="AI745" s="147">
        <f t="shared" si="288"/>
        <v>0</v>
      </c>
      <c r="AJ745" s="148" t="str">
        <f t="shared" si="289"/>
        <v>ja</v>
      </c>
      <c r="AK745" s="149">
        <f t="shared" si="272"/>
        <v>0</v>
      </c>
      <c r="AL745" s="149">
        <f t="shared" si="273"/>
        <v>0</v>
      </c>
      <c r="AM745" s="149">
        <f t="shared" si="274"/>
        <v>0</v>
      </c>
      <c r="AN745" s="149">
        <f t="shared" si="275"/>
        <v>0</v>
      </c>
      <c r="AO745" s="150" t="str">
        <f t="shared" si="290"/>
        <v>V</v>
      </c>
      <c r="AQ745" s="151">
        <f t="shared" si="291"/>
        <v>785480</v>
      </c>
    </row>
    <row r="746" spans="1:43" ht="15" customHeight="1">
      <c r="A746" s="82" t="e">
        <f t="shared" si="276"/>
        <v>#REF!</v>
      </c>
      <c r="B746" s="134">
        <v>111</v>
      </c>
      <c r="C746" s="135" t="s">
        <v>945</v>
      </c>
      <c r="D746" s="136" t="s">
        <v>39</v>
      </c>
      <c r="E746" s="137"/>
      <c r="F746" s="138" t="s">
        <v>232</v>
      </c>
      <c r="G746" s="139" t="s">
        <v>123</v>
      </c>
      <c r="H746" s="140" t="str">
        <f t="shared" si="277"/>
        <v>Hallen</v>
      </c>
      <c r="I746" s="138" t="s">
        <v>195</v>
      </c>
      <c r="J746" s="138" t="s">
        <v>1171</v>
      </c>
      <c r="K746" s="141" t="str">
        <f t="shared" si="278"/>
        <v>Omde dag Vol/Nal.</v>
      </c>
      <c r="L746" s="141" t="str">
        <f t="shared" si="279"/>
        <v>Omde dag Nal./Vol</v>
      </c>
      <c r="M746" s="141" t="str">
        <f t="shared" si="280"/>
        <v>Omde dag Vol/Nal.</v>
      </c>
      <c r="N746" s="141" t="str">
        <f t="shared" si="281"/>
        <v>Omde dag Nal./Vol</v>
      </c>
      <c r="O746" s="141" t="str">
        <f t="shared" si="282"/>
        <v>Omde dag Vol/Nal.</v>
      </c>
      <c r="P746" s="141" t="str">
        <f t="shared" si="283"/>
        <v>Omde dag Nal./Vol</v>
      </c>
      <c r="Q746" s="141" t="str">
        <f t="shared" si="284"/>
        <v>Omde dag Vol/Nal.</v>
      </c>
      <c r="R746" s="63" t="s">
        <v>1479</v>
      </c>
      <c r="S746" s="142">
        <f t="shared" si="292"/>
        <v>365</v>
      </c>
      <c r="T746" s="143">
        <v>100</v>
      </c>
      <c r="U746" s="144"/>
      <c r="V746" s="144"/>
      <c r="W746" s="144"/>
      <c r="X746" s="144"/>
      <c r="Y746" s="144"/>
      <c r="Z746" s="145"/>
      <c r="AA746" s="145"/>
      <c r="AB746" s="145"/>
      <c r="AC746" s="145"/>
      <c r="AD746" s="146"/>
      <c r="AE746" s="171">
        <v>1</v>
      </c>
      <c r="AF746" s="147">
        <f t="shared" si="285"/>
        <v>0</v>
      </c>
      <c r="AG746" s="147">
        <f t="shared" si="286"/>
        <v>0</v>
      </c>
      <c r="AH746" s="147">
        <f t="shared" si="287"/>
        <v>0</v>
      </c>
      <c r="AI746" s="147">
        <f t="shared" si="288"/>
        <v>0</v>
      </c>
      <c r="AJ746" s="148" t="str">
        <f t="shared" si="289"/>
        <v>ja</v>
      </c>
      <c r="AK746" s="149">
        <f t="shared" si="272"/>
        <v>0</v>
      </c>
      <c r="AL746" s="149">
        <f t="shared" si="273"/>
        <v>0</v>
      </c>
      <c r="AM746" s="149">
        <f t="shared" si="274"/>
        <v>0</v>
      </c>
      <c r="AN746" s="149">
        <f t="shared" si="275"/>
        <v>0</v>
      </c>
      <c r="AO746" s="150" t="str">
        <f t="shared" si="290"/>
        <v>V</v>
      </c>
      <c r="AQ746" s="151">
        <f t="shared" si="291"/>
        <v>36500</v>
      </c>
    </row>
    <row r="747" spans="1:43" ht="15" customHeight="1">
      <c r="A747" s="82" t="e">
        <f t="shared" si="276"/>
        <v>#REF!</v>
      </c>
      <c r="B747" s="134">
        <v>111</v>
      </c>
      <c r="C747" s="135" t="s">
        <v>945</v>
      </c>
      <c r="D747" s="136" t="s">
        <v>39</v>
      </c>
      <c r="E747" s="137"/>
      <c r="F747" s="138" t="s">
        <v>974</v>
      </c>
      <c r="G747" s="139" t="s">
        <v>1102</v>
      </c>
      <c r="H747" s="140" t="str">
        <f t="shared" si="277"/>
        <v>Kantoren/spreekkamers</v>
      </c>
      <c r="I747" s="138" t="s">
        <v>124</v>
      </c>
      <c r="J747" s="138" t="s">
        <v>1171</v>
      </c>
      <c r="K747" s="141" t="str">
        <f t="shared" si="278"/>
        <v>Omde dag Vol/Nal.</v>
      </c>
      <c r="L747" s="141" t="str">
        <f t="shared" si="279"/>
        <v>Omde dag Nal./Vol</v>
      </c>
      <c r="M747" s="141" t="str">
        <f t="shared" si="280"/>
        <v>Omde dag Vol/Nal.</v>
      </c>
      <c r="N747" s="141" t="str">
        <f t="shared" si="281"/>
        <v>Omde dag Nal./Vol</v>
      </c>
      <c r="O747" s="141" t="str">
        <f t="shared" si="282"/>
        <v>Omde dag Vol/Nal.</v>
      </c>
      <c r="P747" s="141" t="str">
        <f t="shared" si="283"/>
        <v>Omde dag Nal./Vol</v>
      </c>
      <c r="Q747" s="141" t="str">
        <f t="shared" si="284"/>
        <v>Omde dag Vol/Nal.</v>
      </c>
      <c r="R747" s="63" t="s">
        <v>1220</v>
      </c>
      <c r="S747" s="142">
        <f t="shared" si="292"/>
        <v>365</v>
      </c>
      <c r="T747" s="143">
        <v>21</v>
      </c>
      <c r="U747" s="144"/>
      <c r="V747" s="144"/>
      <c r="W747" s="144"/>
      <c r="X747" s="144"/>
      <c r="Y747" s="144"/>
      <c r="Z747" s="145"/>
      <c r="AA747" s="145">
        <f>T747</f>
        <v>21</v>
      </c>
      <c r="AB747" s="145"/>
      <c r="AC747" s="145"/>
      <c r="AD747" s="146"/>
      <c r="AE747" s="171">
        <v>1</v>
      </c>
      <c r="AF747" s="147">
        <f t="shared" si="285"/>
        <v>0</v>
      </c>
      <c r="AG747" s="147">
        <f t="shared" si="286"/>
        <v>0</v>
      </c>
      <c r="AH747" s="147">
        <f t="shared" si="287"/>
        <v>0</v>
      </c>
      <c r="AI747" s="147">
        <f t="shared" si="288"/>
        <v>0</v>
      </c>
      <c r="AJ747" s="148" t="str">
        <f t="shared" si="289"/>
        <v>nee</v>
      </c>
      <c r="AK747" s="149">
        <f t="shared" ref="AK747:AK810" si="294">IF($R747="",0,VLOOKUP($R747,Kengetal,5,FALSE))</f>
        <v>0</v>
      </c>
      <c r="AL747" s="149">
        <f t="shared" ref="AL747:AL810" si="295">IF($R747="",0,VLOOKUP($R747,Kengetal,6,FALSE))</f>
        <v>0</v>
      </c>
      <c r="AM747" s="149">
        <f t="shared" ref="AM747:AM810" si="296">IF($R747="",0,VLOOKUP($R747,Kengetal,7,FALSE))</f>
        <v>0</v>
      </c>
      <c r="AN747" s="149">
        <f t="shared" ref="AN747:AN810" si="297">IF($R747="",0,VLOOKUP($R747,Kengetal,8,FALSE))</f>
        <v>0</v>
      </c>
      <c r="AO747" s="150" t="str">
        <f t="shared" si="290"/>
        <v>B</v>
      </c>
      <c r="AQ747" s="151">
        <f t="shared" si="291"/>
        <v>7665</v>
      </c>
    </row>
    <row r="748" spans="1:43" ht="15" customHeight="1">
      <c r="A748" s="82" t="e">
        <f t="shared" si="276"/>
        <v>#REF!</v>
      </c>
      <c r="B748" s="134">
        <v>111</v>
      </c>
      <c r="C748" s="135" t="s">
        <v>945</v>
      </c>
      <c r="D748" s="136" t="s">
        <v>39</v>
      </c>
      <c r="E748" s="137"/>
      <c r="F748" s="138" t="s">
        <v>1103</v>
      </c>
      <c r="G748" s="139" t="s">
        <v>1104</v>
      </c>
      <c r="H748" s="140" t="str">
        <f t="shared" si="277"/>
        <v>Niet van toepassing</v>
      </c>
      <c r="I748" s="138" t="s">
        <v>254</v>
      </c>
      <c r="J748" s="138" t="s">
        <v>1172</v>
      </c>
      <c r="K748" s="141" t="str">
        <f t="shared" si="278"/>
        <v>NVT</v>
      </c>
      <c r="L748" s="141" t="str">
        <f t="shared" si="279"/>
        <v>NVT</v>
      </c>
      <c r="M748" s="141" t="str">
        <f t="shared" si="280"/>
        <v>NVT</v>
      </c>
      <c r="N748" s="141" t="str">
        <f t="shared" si="281"/>
        <v>NVT</v>
      </c>
      <c r="O748" s="141" t="str">
        <f t="shared" si="282"/>
        <v>NVT</v>
      </c>
      <c r="P748" s="141" t="str">
        <f t="shared" si="283"/>
        <v>NVT</v>
      </c>
      <c r="Q748" s="141" t="str">
        <f t="shared" si="284"/>
        <v>NVT</v>
      </c>
      <c r="R748" s="63" t="s">
        <v>1221</v>
      </c>
      <c r="S748" s="142">
        <f t="shared" si="292"/>
        <v>0</v>
      </c>
      <c r="T748" s="143">
        <v>13.4</v>
      </c>
      <c r="U748" s="144"/>
      <c r="V748" s="144"/>
      <c r="W748" s="144"/>
      <c r="X748" s="144"/>
      <c r="Y748" s="144">
        <f>51.7-2.5</f>
        <v>49.2</v>
      </c>
      <c r="Z748" s="145"/>
      <c r="AA748" s="145">
        <f>T748</f>
        <v>13.4</v>
      </c>
      <c r="AB748" s="145"/>
      <c r="AC748" s="145"/>
      <c r="AD748" s="146"/>
      <c r="AE748" s="171">
        <v>1</v>
      </c>
      <c r="AF748" s="147">
        <f t="shared" si="285"/>
        <v>0</v>
      </c>
      <c r="AG748" s="147">
        <f t="shared" si="286"/>
        <v>0</v>
      </c>
      <c r="AH748" s="147">
        <f t="shared" si="287"/>
        <v>0</v>
      </c>
      <c r="AI748" s="147">
        <f t="shared" si="288"/>
        <v>0</v>
      </c>
      <c r="AJ748" s="148">
        <f t="shared" si="289"/>
        <v>0</v>
      </c>
      <c r="AK748" s="149">
        <f t="shared" si="294"/>
        <v>0</v>
      </c>
      <c r="AL748" s="149">
        <f t="shared" si="295"/>
        <v>0</v>
      </c>
      <c r="AM748" s="149">
        <f t="shared" si="296"/>
        <v>0</v>
      </c>
      <c r="AN748" s="149">
        <f t="shared" si="297"/>
        <v>0</v>
      </c>
      <c r="AO748" s="150">
        <f t="shared" si="290"/>
        <v>0</v>
      </c>
      <c r="AQ748" s="151">
        <f t="shared" si="291"/>
        <v>0</v>
      </c>
    </row>
    <row r="749" spans="1:43" ht="15" customHeight="1">
      <c r="A749" s="82" t="e">
        <f t="shared" si="276"/>
        <v>#REF!</v>
      </c>
      <c r="B749" s="134">
        <v>111</v>
      </c>
      <c r="C749" s="135" t="s">
        <v>945</v>
      </c>
      <c r="D749" s="136" t="s">
        <v>39</v>
      </c>
      <c r="E749" s="137"/>
      <c r="F749" s="138" t="s">
        <v>212</v>
      </c>
      <c r="G749" s="139"/>
      <c r="H749" s="140" t="str">
        <f t="shared" si="277"/>
        <v>Liften</v>
      </c>
      <c r="I749" s="138" t="s">
        <v>457</v>
      </c>
      <c r="J749" s="138" t="s">
        <v>1171</v>
      </c>
      <c r="K749" s="141" t="str">
        <f t="shared" si="278"/>
        <v>Omde dag Vol/Nal.</v>
      </c>
      <c r="L749" s="141" t="str">
        <f t="shared" si="279"/>
        <v>Omde dag Nal./Vol</v>
      </c>
      <c r="M749" s="141" t="str">
        <f t="shared" si="280"/>
        <v>Omde dag Vol/Nal.</v>
      </c>
      <c r="N749" s="141" t="str">
        <f t="shared" si="281"/>
        <v>Omde dag Nal./Vol</v>
      </c>
      <c r="O749" s="141" t="str">
        <f t="shared" si="282"/>
        <v>Omde dag Vol/Nal.</v>
      </c>
      <c r="P749" s="141" t="str">
        <f t="shared" si="283"/>
        <v>Omde dag Nal./Vol</v>
      </c>
      <c r="Q749" s="141" t="str">
        <f t="shared" si="284"/>
        <v>Omde dag Vol/Nal.</v>
      </c>
      <c r="R749" s="63" t="s">
        <v>1475</v>
      </c>
      <c r="S749" s="142">
        <f t="shared" si="292"/>
        <v>365</v>
      </c>
      <c r="T749" s="143">
        <v>2.5</v>
      </c>
      <c r="U749" s="144"/>
      <c r="V749" s="144"/>
      <c r="W749" s="144"/>
      <c r="X749" s="144">
        <v>2.3849999999999998</v>
      </c>
      <c r="Y749" s="144"/>
      <c r="Z749" s="145"/>
      <c r="AA749" s="145"/>
      <c r="AB749" s="145"/>
      <c r="AC749" s="145">
        <v>2.5</v>
      </c>
      <c r="AD749" s="146" t="s">
        <v>1110</v>
      </c>
      <c r="AE749" s="171">
        <v>1</v>
      </c>
      <c r="AF749" s="147">
        <f t="shared" si="285"/>
        <v>0</v>
      </c>
      <c r="AG749" s="147">
        <f t="shared" si="286"/>
        <v>0</v>
      </c>
      <c r="AH749" s="147">
        <f t="shared" si="287"/>
        <v>0</v>
      </c>
      <c r="AI749" s="147">
        <f t="shared" si="288"/>
        <v>0</v>
      </c>
      <c r="AJ749" s="148" t="str">
        <f t="shared" si="289"/>
        <v>ja</v>
      </c>
      <c r="AK749" s="149">
        <f t="shared" si="294"/>
        <v>0</v>
      </c>
      <c r="AL749" s="149">
        <f t="shared" si="295"/>
        <v>0</v>
      </c>
      <c r="AM749" s="149">
        <f t="shared" si="296"/>
        <v>0</v>
      </c>
      <c r="AN749" s="149">
        <f t="shared" si="297"/>
        <v>0</v>
      </c>
      <c r="AO749" s="150" t="str">
        <f t="shared" si="290"/>
        <v>V</v>
      </c>
      <c r="AQ749" s="151">
        <f t="shared" si="291"/>
        <v>912.5</v>
      </c>
    </row>
    <row r="750" spans="1:43" ht="15" customHeight="1">
      <c r="A750" s="82" t="e">
        <f t="shared" si="276"/>
        <v>#REF!</v>
      </c>
      <c r="B750" s="134">
        <v>111</v>
      </c>
      <c r="C750" s="135" t="s">
        <v>945</v>
      </c>
      <c r="D750" s="136" t="s">
        <v>39</v>
      </c>
      <c r="E750" s="137"/>
      <c r="F750" s="138" t="s">
        <v>1105</v>
      </c>
      <c r="G750" s="139"/>
      <c r="H750" s="140" t="str">
        <f t="shared" si="277"/>
        <v>Roltrappen(inclusief aangrenzende bouwdelen)</v>
      </c>
      <c r="I750" s="138" t="s">
        <v>920</v>
      </c>
      <c r="J750" s="138" t="s">
        <v>1171</v>
      </c>
      <c r="K750" s="141" t="str">
        <f t="shared" si="278"/>
        <v>Omde dag Vol/Nal.</v>
      </c>
      <c r="L750" s="141" t="str">
        <f t="shared" si="279"/>
        <v>Omde dag Nal./Vol</v>
      </c>
      <c r="M750" s="141" t="str">
        <f t="shared" si="280"/>
        <v>Omde dag Vol/Nal.</v>
      </c>
      <c r="N750" s="141" t="str">
        <f t="shared" si="281"/>
        <v>Omde dag Nal./Vol</v>
      </c>
      <c r="O750" s="141" t="str">
        <f t="shared" si="282"/>
        <v>Omde dag Vol/Nal.</v>
      </c>
      <c r="P750" s="141" t="str">
        <f t="shared" si="283"/>
        <v>Omde dag Nal./Vol</v>
      </c>
      <c r="Q750" s="141" t="str">
        <f t="shared" si="284"/>
        <v>Omde dag Vol/Nal.</v>
      </c>
      <c r="R750" s="63" t="s">
        <v>1481</v>
      </c>
      <c r="S750" s="142">
        <f t="shared" si="292"/>
        <v>365</v>
      </c>
      <c r="T750" s="143">
        <f>26.6*1.4*1.5</f>
        <v>55.86</v>
      </c>
      <c r="U750" s="144"/>
      <c r="V750" s="144"/>
      <c r="W750" s="144"/>
      <c r="X750" s="144"/>
      <c r="Y750" s="144"/>
      <c r="Z750" s="145"/>
      <c r="AA750" s="145"/>
      <c r="AB750" s="145"/>
      <c r="AC750" s="145"/>
      <c r="AD750" s="146"/>
      <c r="AE750" s="171">
        <v>1</v>
      </c>
      <c r="AF750" s="147">
        <f t="shared" si="285"/>
        <v>0</v>
      </c>
      <c r="AG750" s="147">
        <f t="shared" si="286"/>
        <v>0</v>
      </c>
      <c r="AH750" s="147">
        <f t="shared" si="287"/>
        <v>0</v>
      </c>
      <c r="AI750" s="147">
        <f t="shared" si="288"/>
        <v>0</v>
      </c>
      <c r="AJ750" s="148" t="str">
        <f t="shared" si="289"/>
        <v>ja</v>
      </c>
      <c r="AK750" s="149">
        <f t="shared" si="294"/>
        <v>0</v>
      </c>
      <c r="AL750" s="149">
        <f t="shared" si="295"/>
        <v>0</v>
      </c>
      <c r="AM750" s="149">
        <f t="shared" si="296"/>
        <v>0</v>
      </c>
      <c r="AN750" s="149">
        <f t="shared" si="297"/>
        <v>0</v>
      </c>
      <c r="AO750" s="150" t="str">
        <f t="shared" si="290"/>
        <v>V</v>
      </c>
      <c r="AQ750" s="151">
        <f t="shared" si="291"/>
        <v>20388.900000000001</v>
      </c>
    </row>
    <row r="751" spans="1:43" ht="15" customHeight="1">
      <c r="A751" s="82" t="e">
        <f t="shared" si="276"/>
        <v>#REF!</v>
      </c>
      <c r="B751" s="134">
        <v>111</v>
      </c>
      <c r="C751" s="135" t="s">
        <v>945</v>
      </c>
      <c r="D751" s="136" t="s">
        <v>39</v>
      </c>
      <c r="E751" s="137"/>
      <c r="F751" s="138" t="s">
        <v>1106</v>
      </c>
      <c r="G751" s="139"/>
      <c r="H751" s="140" t="str">
        <f t="shared" si="277"/>
        <v>Roltrappen(inclusief aangrenzende bouwdelen)</v>
      </c>
      <c r="I751" s="138" t="s">
        <v>920</v>
      </c>
      <c r="J751" s="138" t="s">
        <v>1171</v>
      </c>
      <c r="K751" s="141" t="str">
        <f t="shared" si="278"/>
        <v>Omde dag Vol/Nal.</v>
      </c>
      <c r="L751" s="141" t="str">
        <f t="shared" si="279"/>
        <v>Omde dag Nal./Vol</v>
      </c>
      <c r="M751" s="141" t="str">
        <f t="shared" si="280"/>
        <v>Omde dag Vol/Nal.</v>
      </c>
      <c r="N751" s="141" t="str">
        <f t="shared" si="281"/>
        <v>Omde dag Nal./Vol</v>
      </c>
      <c r="O751" s="141" t="str">
        <f t="shared" si="282"/>
        <v>Omde dag Vol/Nal.</v>
      </c>
      <c r="P751" s="141" t="str">
        <f t="shared" si="283"/>
        <v>Omde dag Nal./Vol</v>
      </c>
      <c r="Q751" s="141" t="str">
        <f t="shared" si="284"/>
        <v>Omde dag Vol/Nal.</v>
      </c>
      <c r="R751" s="63" t="s">
        <v>1481</v>
      </c>
      <c r="S751" s="142">
        <f t="shared" si="292"/>
        <v>365</v>
      </c>
      <c r="T751" s="143">
        <f>26.6*1.4*1.5</f>
        <v>55.86</v>
      </c>
      <c r="U751" s="144"/>
      <c r="V751" s="144"/>
      <c r="W751" s="144"/>
      <c r="X751" s="144"/>
      <c r="Y751" s="144"/>
      <c r="Z751" s="145"/>
      <c r="AA751" s="145"/>
      <c r="AB751" s="145"/>
      <c r="AC751" s="145"/>
      <c r="AD751" s="146"/>
      <c r="AE751" s="171">
        <v>1</v>
      </c>
      <c r="AF751" s="147">
        <f t="shared" si="285"/>
        <v>0</v>
      </c>
      <c r="AG751" s="147">
        <f t="shared" si="286"/>
        <v>0</v>
      </c>
      <c r="AH751" s="147">
        <f t="shared" si="287"/>
        <v>0</v>
      </c>
      <c r="AI751" s="147">
        <f t="shared" si="288"/>
        <v>0</v>
      </c>
      <c r="AJ751" s="148" t="str">
        <f t="shared" si="289"/>
        <v>ja</v>
      </c>
      <c r="AK751" s="149">
        <f t="shared" si="294"/>
        <v>0</v>
      </c>
      <c r="AL751" s="149">
        <f t="shared" si="295"/>
        <v>0</v>
      </c>
      <c r="AM751" s="149">
        <f t="shared" si="296"/>
        <v>0</v>
      </c>
      <c r="AN751" s="149">
        <f t="shared" si="297"/>
        <v>0</v>
      </c>
      <c r="AO751" s="150" t="str">
        <f t="shared" si="290"/>
        <v>V</v>
      </c>
      <c r="AQ751" s="151">
        <f t="shared" si="291"/>
        <v>20388.900000000001</v>
      </c>
    </row>
    <row r="752" spans="1:43" ht="15" customHeight="1">
      <c r="A752" s="82" t="e">
        <f t="shared" si="276"/>
        <v>#REF!</v>
      </c>
      <c r="B752" s="134">
        <v>111</v>
      </c>
      <c r="C752" s="135" t="s">
        <v>945</v>
      </c>
      <c r="D752" s="136" t="s">
        <v>39</v>
      </c>
      <c r="E752" s="137"/>
      <c r="F752" s="138" t="s">
        <v>1107</v>
      </c>
      <c r="G752" s="139"/>
      <c r="H752" s="140" t="str">
        <f t="shared" si="277"/>
        <v>Roltrappen(inclusief aangrenzende bouwdelen)</v>
      </c>
      <c r="I752" s="138" t="s">
        <v>920</v>
      </c>
      <c r="J752" s="138" t="s">
        <v>1171</v>
      </c>
      <c r="K752" s="141" t="str">
        <f t="shared" si="278"/>
        <v>Omde dag Vol/Nal.</v>
      </c>
      <c r="L752" s="141" t="str">
        <f t="shared" si="279"/>
        <v>Omde dag Nal./Vol</v>
      </c>
      <c r="M752" s="141" t="str">
        <f t="shared" si="280"/>
        <v>Omde dag Vol/Nal.</v>
      </c>
      <c r="N752" s="141" t="str">
        <f t="shared" si="281"/>
        <v>Omde dag Nal./Vol</v>
      </c>
      <c r="O752" s="141" t="str">
        <f t="shared" si="282"/>
        <v>Omde dag Vol/Nal.</v>
      </c>
      <c r="P752" s="141" t="str">
        <f t="shared" si="283"/>
        <v>Omde dag Nal./Vol</v>
      </c>
      <c r="Q752" s="141" t="str">
        <f t="shared" si="284"/>
        <v>Omde dag Vol/Nal.</v>
      </c>
      <c r="R752" s="63" t="s">
        <v>1481</v>
      </c>
      <c r="S752" s="142">
        <f t="shared" si="292"/>
        <v>365</v>
      </c>
      <c r="T752" s="143">
        <f>26.6*1.4*1.5</f>
        <v>55.86</v>
      </c>
      <c r="U752" s="144"/>
      <c r="V752" s="144"/>
      <c r="W752" s="144"/>
      <c r="X752" s="144"/>
      <c r="Y752" s="144"/>
      <c r="Z752" s="145"/>
      <c r="AA752" s="145"/>
      <c r="AB752" s="145"/>
      <c r="AC752" s="145"/>
      <c r="AD752" s="146"/>
      <c r="AE752" s="171">
        <v>1</v>
      </c>
      <c r="AF752" s="147">
        <f t="shared" si="285"/>
        <v>0</v>
      </c>
      <c r="AG752" s="147">
        <f t="shared" si="286"/>
        <v>0</v>
      </c>
      <c r="AH752" s="147">
        <f t="shared" si="287"/>
        <v>0</v>
      </c>
      <c r="AI752" s="147">
        <f t="shared" si="288"/>
        <v>0</v>
      </c>
      <c r="AJ752" s="148" t="str">
        <f t="shared" si="289"/>
        <v>ja</v>
      </c>
      <c r="AK752" s="149">
        <f t="shared" si="294"/>
        <v>0</v>
      </c>
      <c r="AL752" s="149">
        <f t="shared" si="295"/>
        <v>0</v>
      </c>
      <c r="AM752" s="149">
        <f t="shared" si="296"/>
        <v>0</v>
      </c>
      <c r="AN752" s="149">
        <f t="shared" si="297"/>
        <v>0</v>
      </c>
      <c r="AO752" s="150" t="str">
        <f t="shared" si="290"/>
        <v>V</v>
      </c>
      <c r="AQ752" s="151">
        <f t="shared" si="291"/>
        <v>20388.900000000001</v>
      </c>
    </row>
    <row r="753" spans="1:43" ht="15" customHeight="1">
      <c r="A753" s="82" t="e">
        <f t="shared" si="276"/>
        <v>#REF!</v>
      </c>
      <c r="B753" s="134">
        <v>111</v>
      </c>
      <c r="C753" s="135" t="s">
        <v>945</v>
      </c>
      <c r="D753" s="136" t="s">
        <v>39</v>
      </c>
      <c r="E753" s="137"/>
      <c r="F753" s="138" t="s">
        <v>114</v>
      </c>
      <c r="G753" s="139"/>
      <c r="H753" s="140" t="str">
        <f t="shared" si="277"/>
        <v>Trappen</v>
      </c>
      <c r="I753" s="138" t="s">
        <v>118</v>
      </c>
      <c r="J753" s="138" t="s">
        <v>1171</v>
      </c>
      <c r="K753" s="141" t="str">
        <f t="shared" si="278"/>
        <v>Omde dag Vol/Nal.</v>
      </c>
      <c r="L753" s="141" t="str">
        <f t="shared" si="279"/>
        <v>Omde dag Nal./Vol</v>
      </c>
      <c r="M753" s="141" t="str">
        <f t="shared" si="280"/>
        <v>Omde dag Vol/Nal.</v>
      </c>
      <c r="N753" s="141" t="str">
        <f t="shared" si="281"/>
        <v>Omde dag Nal./Vol</v>
      </c>
      <c r="O753" s="141" t="str">
        <f t="shared" si="282"/>
        <v>Omde dag Vol/Nal.</v>
      </c>
      <c r="P753" s="141" t="str">
        <f t="shared" si="283"/>
        <v>Omde dag Nal./Vol</v>
      </c>
      <c r="Q753" s="141" t="str">
        <f t="shared" si="284"/>
        <v>Omde dag Vol/Nal.</v>
      </c>
      <c r="R753" s="63" t="s">
        <v>1477</v>
      </c>
      <c r="S753" s="142">
        <f t="shared" si="292"/>
        <v>365</v>
      </c>
      <c r="T753" s="143">
        <f>26.6*3.7*1.5</f>
        <v>147.63000000000002</v>
      </c>
      <c r="U753" s="144"/>
      <c r="V753" s="144"/>
      <c r="W753" s="144"/>
      <c r="X753" s="144">
        <f>12*3+14*0.93*0.57+11*1.4*0.57</f>
        <v>52.199399999999997</v>
      </c>
      <c r="Y753" s="144"/>
      <c r="Z753" s="145"/>
      <c r="AA753" s="145"/>
      <c r="AB753" s="145"/>
      <c r="AC753" s="145"/>
      <c r="AD753" s="146"/>
      <c r="AE753" s="171">
        <v>1</v>
      </c>
      <c r="AF753" s="147">
        <f t="shared" si="285"/>
        <v>0</v>
      </c>
      <c r="AG753" s="147">
        <f t="shared" si="286"/>
        <v>0</v>
      </c>
      <c r="AH753" s="147">
        <f t="shared" si="287"/>
        <v>0</v>
      </c>
      <c r="AI753" s="147">
        <f t="shared" si="288"/>
        <v>0</v>
      </c>
      <c r="AJ753" s="148" t="str">
        <f t="shared" si="289"/>
        <v>ja</v>
      </c>
      <c r="AK753" s="149">
        <f t="shared" si="294"/>
        <v>0</v>
      </c>
      <c r="AL753" s="149">
        <f t="shared" si="295"/>
        <v>0</v>
      </c>
      <c r="AM753" s="149">
        <f t="shared" si="296"/>
        <v>0</v>
      </c>
      <c r="AN753" s="149">
        <f t="shared" si="297"/>
        <v>0</v>
      </c>
      <c r="AO753" s="150" t="str">
        <f t="shared" si="290"/>
        <v>V</v>
      </c>
      <c r="AQ753" s="151">
        <f t="shared" si="291"/>
        <v>53884.950000000012</v>
      </c>
    </row>
    <row r="754" spans="1:43" ht="15" customHeight="1">
      <c r="A754" s="82" t="e">
        <f t="shared" si="276"/>
        <v>#REF!</v>
      </c>
      <c r="B754" s="134">
        <v>111</v>
      </c>
      <c r="C754" s="135" t="s">
        <v>945</v>
      </c>
      <c r="D754" s="136" t="s">
        <v>39</v>
      </c>
      <c r="E754" s="137"/>
      <c r="F754" s="138" t="s">
        <v>1108</v>
      </c>
      <c r="G754" s="139"/>
      <c r="H754" s="140" t="str">
        <f t="shared" si="277"/>
        <v>Niet van toepassing</v>
      </c>
      <c r="I754" s="138" t="s">
        <v>254</v>
      </c>
      <c r="J754" s="138" t="s">
        <v>1172</v>
      </c>
      <c r="K754" s="141" t="str">
        <f t="shared" si="278"/>
        <v>NVT</v>
      </c>
      <c r="L754" s="141" t="str">
        <f t="shared" si="279"/>
        <v>NVT</v>
      </c>
      <c r="M754" s="141" t="str">
        <f t="shared" si="280"/>
        <v>NVT</v>
      </c>
      <c r="N754" s="141" t="str">
        <f t="shared" si="281"/>
        <v>NVT</v>
      </c>
      <c r="O754" s="141" t="str">
        <f t="shared" si="282"/>
        <v>NVT</v>
      </c>
      <c r="P754" s="141" t="str">
        <f t="shared" si="283"/>
        <v>NVT</v>
      </c>
      <c r="Q754" s="141" t="str">
        <f t="shared" si="284"/>
        <v>NVT</v>
      </c>
      <c r="R754" s="63" t="s">
        <v>1221</v>
      </c>
      <c r="S754" s="142">
        <f t="shared" si="292"/>
        <v>0</v>
      </c>
      <c r="T754" s="143">
        <f>3.7*3.7</f>
        <v>13.690000000000001</v>
      </c>
      <c r="U754" s="144"/>
      <c r="V754" s="144"/>
      <c r="W754" s="144"/>
      <c r="X754" s="144"/>
      <c r="Y754" s="144">
        <f>3.7*3.7*3</f>
        <v>41.070000000000007</v>
      </c>
      <c r="Z754" s="145"/>
      <c r="AA754" s="145">
        <f>T754</f>
        <v>13.690000000000001</v>
      </c>
      <c r="AB754" s="145"/>
      <c r="AC754" s="145"/>
      <c r="AD754" s="146"/>
      <c r="AE754" s="171">
        <v>1</v>
      </c>
      <c r="AF754" s="147">
        <f t="shared" si="285"/>
        <v>0</v>
      </c>
      <c r="AG754" s="147">
        <f t="shared" si="286"/>
        <v>0</v>
      </c>
      <c r="AH754" s="147">
        <f t="shared" si="287"/>
        <v>0</v>
      </c>
      <c r="AI754" s="147">
        <f t="shared" si="288"/>
        <v>0</v>
      </c>
      <c r="AJ754" s="148">
        <f t="shared" si="289"/>
        <v>0</v>
      </c>
      <c r="AK754" s="149">
        <f t="shared" si="294"/>
        <v>0</v>
      </c>
      <c r="AL754" s="149">
        <f t="shared" si="295"/>
        <v>0</v>
      </c>
      <c r="AM754" s="149">
        <f t="shared" si="296"/>
        <v>0</v>
      </c>
      <c r="AN754" s="149">
        <f t="shared" si="297"/>
        <v>0</v>
      </c>
      <c r="AO754" s="150">
        <f t="shared" si="290"/>
        <v>0</v>
      </c>
      <c r="AQ754" s="151">
        <f t="shared" si="291"/>
        <v>0</v>
      </c>
    </row>
    <row r="755" spans="1:43" ht="15" customHeight="1">
      <c r="A755" s="82" t="e">
        <f t="shared" si="276"/>
        <v>#REF!</v>
      </c>
      <c r="B755" s="134">
        <v>112</v>
      </c>
      <c r="C755" s="135" t="s">
        <v>229</v>
      </c>
      <c r="D755" s="136" t="s">
        <v>39</v>
      </c>
      <c r="E755" s="137"/>
      <c r="F755" s="138" t="s">
        <v>230</v>
      </c>
      <c r="G755" s="139" t="s">
        <v>171</v>
      </c>
      <c r="H755" s="140" t="str">
        <f t="shared" si="277"/>
        <v>Niet van toepassing</v>
      </c>
      <c r="I755" s="138" t="s">
        <v>254</v>
      </c>
      <c r="J755" s="138" t="s">
        <v>1172</v>
      </c>
      <c r="K755" s="141" t="str">
        <f t="shared" si="278"/>
        <v>NVT</v>
      </c>
      <c r="L755" s="141" t="str">
        <f t="shared" si="279"/>
        <v>NVT</v>
      </c>
      <c r="M755" s="141" t="str">
        <f t="shared" si="280"/>
        <v>NVT</v>
      </c>
      <c r="N755" s="141" t="str">
        <f t="shared" si="281"/>
        <v>NVT</v>
      </c>
      <c r="O755" s="141" t="str">
        <f t="shared" si="282"/>
        <v>NVT</v>
      </c>
      <c r="P755" s="141" t="str">
        <f t="shared" si="283"/>
        <v>NVT</v>
      </c>
      <c r="Q755" s="141" t="str">
        <f t="shared" si="284"/>
        <v>NVT</v>
      </c>
      <c r="R755" s="63" t="s">
        <v>1221</v>
      </c>
      <c r="S755" s="142">
        <f t="shared" si="292"/>
        <v>0</v>
      </c>
      <c r="T755" s="143">
        <v>32</v>
      </c>
      <c r="U755" s="144"/>
      <c r="V755" s="144"/>
      <c r="W755" s="144"/>
      <c r="X755" s="144"/>
      <c r="Y755" s="144">
        <v>54</v>
      </c>
      <c r="Z755" s="145"/>
      <c r="AA755" s="145"/>
      <c r="AB755" s="145">
        <v>13.1</v>
      </c>
      <c r="AC755" s="145"/>
      <c r="AD755" s="146" t="s">
        <v>221</v>
      </c>
      <c r="AE755" s="171">
        <v>1</v>
      </c>
      <c r="AF755" s="147">
        <f t="shared" si="285"/>
        <v>0</v>
      </c>
      <c r="AG755" s="147">
        <f t="shared" si="286"/>
        <v>0</v>
      </c>
      <c r="AH755" s="147">
        <f t="shared" si="287"/>
        <v>0</v>
      </c>
      <c r="AI755" s="147">
        <f t="shared" si="288"/>
        <v>0</v>
      </c>
      <c r="AJ755" s="148">
        <f t="shared" si="289"/>
        <v>0</v>
      </c>
      <c r="AK755" s="149">
        <f t="shared" si="294"/>
        <v>0</v>
      </c>
      <c r="AL755" s="149">
        <f t="shared" si="295"/>
        <v>0</v>
      </c>
      <c r="AM755" s="149">
        <f t="shared" si="296"/>
        <v>0</v>
      </c>
      <c r="AN755" s="149">
        <f t="shared" si="297"/>
        <v>0</v>
      </c>
      <c r="AO755" s="150">
        <f t="shared" si="290"/>
        <v>0</v>
      </c>
      <c r="AQ755" s="151">
        <f t="shared" si="291"/>
        <v>0</v>
      </c>
    </row>
    <row r="756" spans="1:43" ht="15" customHeight="1">
      <c r="A756" s="82" t="e">
        <f t="shared" si="276"/>
        <v>#REF!</v>
      </c>
      <c r="B756" s="134">
        <v>112</v>
      </c>
      <c r="C756" s="135" t="s">
        <v>229</v>
      </c>
      <c r="D756" s="136" t="s">
        <v>39</v>
      </c>
      <c r="E756" s="137"/>
      <c r="F756" s="138" t="s">
        <v>230</v>
      </c>
      <c r="G756" s="139" t="s">
        <v>172</v>
      </c>
      <c r="H756" s="140" t="str">
        <f t="shared" si="277"/>
        <v>Niet van toepassing</v>
      </c>
      <c r="I756" s="138" t="s">
        <v>254</v>
      </c>
      <c r="J756" s="138" t="s">
        <v>1172</v>
      </c>
      <c r="K756" s="141" t="str">
        <f t="shared" si="278"/>
        <v>NVT</v>
      </c>
      <c r="L756" s="141" t="str">
        <f t="shared" si="279"/>
        <v>NVT</v>
      </c>
      <c r="M756" s="141" t="str">
        <f t="shared" si="280"/>
        <v>NVT</v>
      </c>
      <c r="N756" s="141" t="str">
        <f t="shared" si="281"/>
        <v>NVT</v>
      </c>
      <c r="O756" s="141" t="str">
        <f t="shared" si="282"/>
        <v>NVT</v>
      </c>
      <c r="P756" s="141" t="str">
        <f t="shared" si="283"/>
        <v>NVT</v>
      </c>
      <c r="Q756" s="141" t="str">
        <f t="shared" si="284"/>
        <v>NVT</v>
      </c>
      <c r="R756" s="63" t="s">
        <v>1221</v>
      </c>
      <c r="S756" s="142">
        <f t="shared" si="292"/>
        <v>0</v>
      </c>
      <c r="T756" s="143">
        <v>27.08</v>
      </c>
      <c r="U756" s="144"/>
      <c r="V756" s="144"/>
      <c r="W756" s="144"/>
      <c r="X756" s="144"/>
      <c r="Y756" s="144">
        <v>44</v>
      </c>
      <c r="Z756" s="145"/>
      <c r="AA756" s="145"/>
      <c r="AB756" s="145">
        <v>13.1</v>
      </c>
      <c r="AC756" s="145"/>
      <c r="AD756" s="146" t="s">
        <v>222</v>
      </c>
      <c r="AE756" s="171">
        <v>1</v>
      </c>
      <c r="AF756" s="147">
        <f t="shared" si="285"/>
        <v>0</v>
      </c>
      <c r="AG756" s="147">
        <f t="shared" si="286"/>
        <v>0</v>
      </c>
      <c r="AH756" s="147">
        <f t="shared" si="287"/>
        <v>0</v>
      </c>
      <c r="AI756" s="147">
        <f t="shared" si="288"/>
        <v>0</v>
      </c>
      <c r="AJ756" s="148">
        <f t="shared" si="289"/>
        <v>0</v>
      </c>
      <c r="AK756" s="149">
        <f t="shared" si="294"/>
        <v>0</v>
      </c>
      <c r="AL756" s="149">
        <f t="shared" si="295"/>
        <v>0</v>
      </c>
      <c r="AM756" s="149">
        <f t="shared" si="296"/>
        <v>0</v>
      </c>
      <c r="AN756" s="149">
        <f t="shared" si="297"/>
        <v>0</v>
      </c>
      <c r="AO756" s="150">
        <f t="shared" si="290"/>
        <v>0</v>
      </c>
      <c r="AQ756" s="151">
        <f t="shared" si="291"/>
        <v>0</v>
      </c>
    </row>
    <row r="757" spans="1:43" ht="15" customHeight="1">
      <c r="A757" s="82" t="e">
        <f t="shared" si="276"/>
        <v>#REF!</v>
      </c>
      <c r="B757" s="134">
        <v>112</v>
      </c>
      <c r="C757" s="135" t="s">
        <v>229</v>
      </c>
      <c r="D757" s="136" t="s">
        <v>39</v>
      </c>
      <c r="E757" s="137"/>
      <c r="F757" s="138" t="s">
        <v>232</v>
      </c>
      <c r="G757" s="139" t="s">
        <v>41</v>
      </c>
      <c r="H757" s="140" t="str">
        <f t="shared" si="277"/>
        <v>Hallen</v>
      </c>
      <c r="I757" s="138" t="s">
        <v>195</v>
      </c>
      <c r="J757" s="138" t="s">
        <v>1171</v>
      </c>
      <c r="K757" s="141" t="str">
        <f t="shared" si="278"/>
        <v>Omde dag Vol/Nal.</v>
      </c>
      <c r="L757" s="141" t="str">
        <f t="shared" si="279"/>
        <v>Omde dag Nal./Vol</v>
      </c>
      <c r="M757" s="141" t="str">
        <f t="shared" si="280"/>
        <v>Omde dag Vol/Nal.</v>
      </c>
      <c r="N757" s="141" t="str">
        <f t="shared" si="281"/>
        <v>Omde dag Nal./Vol</v>
      </c>
      <c r="O757" s="141" t="str">
        <f t="shared" si="282"/>
        <v>Omde dag Vol/Nal.</v>
      </c>
      <c r="P757" s="141" t="str">
        <f t="shared" si="283"/>
        <v>Omde dag Nal./Vol</v>
      </c>
      <c r="Q757" s="141" t="str">
        <f t="shared" si="284"/>
        <v>Omde dag Vol/Nal.</v>
      </c>
      <c r="R757" s="63" t="s">
        <v>1479</v>
      </c>
      <c r="S757" s="142">
        <f t="shared" si="292"/>
        <v>365</v>
      </c>
      <c r="T757" s="143">
        <v>181.72</v>
      </c>
      <c r="U757" s="144"/>
      <c r="V757" s="144"/>
      <c r="W757" s="144"/>
      <c r="X757" s="144">
        <v>20</v>
      </c>
      <c r="Y757" s="144">
        <v>590</v>
      </c>
      <c r="Z757" s="145"/>
      <c r="AA757" s="145"/>
      <c r="AB757" s="145"/>
      <c r="AC757" s="145"/>
      <c r="AD757" s="146"/>
      <c r="AE757" s="171">
        <v>1</v>
      </c>
      <c r="AF757" s="147">
        <f t="shared" si="285"/>
        <v>0</v>
      </c>
      <c r="AG757" s="147">
        <f t="shared" si="286"/>
        <v>0</v>
      </c>
      <c r="AH757" s="147">
        <f t="shared" si="287"/>
        <v>0</v>
      </c>
      <c r="AI757" s="147">
        <f t="shared" si="288"/>
        <v>0</v>
      </c>
      <c r="AJ757" s="148" t="str">
        <f t="shared" si="289"/>
        <v>ja</v>
      </c>
      <c r="AK757" s="149">
        <f t="shared" si="294"/>
        <v>0</v>
      </c>
      <c r="AL757" s="149">
        <f t="shared" si="295"/>
        <v>0</v>
      </c>
      <c r="AM757" s="149">
        <f t="shared" si="296"/>
        <v>0</v>
      </c>
      <c r="AN757" s="149">
        <f t="shared" si="297"/>
        <v>0</v>
      </c>
      <c r="AO757" s="150" t="str">
        <f t="shared" si="290"/>
        <v>V</v>
      </c>
      <c r="AQ757" s="151">
        <f t="shared" si="291"/>
        <v>66327.8</v>
      </c>
    </row>
    <row r="758" spans="1:43" ht="15" customHeight="1">
      <c r="A758" s="82" t="e">
        <f t="shared" si="276"/>
        <v>#REF!</v>
      </c>
      <c r="B758" s="134">
        <v>112</v>
      </c>
      <c r="C758" s="135" t="s">
        <v>229</v>
      </c>
      <c r="D758" s="136" t="s">
        <v>39</v>
      </c>
      <c r="E758" s="137"/>
      <c r="F758" s="138" t="s">
        <v>232</v>
      </c>
      <c r="G758" s="139" t="s">
        <v>44</v>
      </c>
      <c r="H758" s="140" t="str">
        <f t="shared" si="277"/>
        <v>Hallen</v>
      </c>
      <c r="I758" s="138" t="s">
        <v>195</v>
      </c>
      <c r="J758" s="138" t="s">
        <v>1171</v>
      </c>
      <c r="K758" s="141" t="str">
        <f t="shared" si="278"/>
        <v>Omde dag Vol/Nal.</v>
      </c>
      <c r="L758" s="141" t="str">
        <f t="shared" si="279"/>
        <v>Omde dag Nal./Vol</v>
      </c>
      <c r="M758" s="141" t="str">
        <f t="shared" si="280"/>
        <v>Omde dag Vol/Nal.</v>
      </c>
      <c r="N758" s="141" t="str">
        <f t="shared" si="281"/>
        <v>Omde dag Nal./Vol</v>
      </c>
      <c r="O758" s="141" t="str">
        <f t="shared" si="282"/>
        <v>Omde dag Vol/Nal.</v>
      </c>
      <c r="P758" s="141" t="str">
        <f t="shared" si="283"/>
        <v>Omde dag Nal./Vol</v>
      </c>
      <c r="Q758" s="141" t="str">
        <f t="shared" si="284"/>
        <v>Omde dag Vol/Nal.</v>
      </c>
      <c r="R758" s="63" t="s">
        <v>1479</v>
      </c>
      <c r="S758" s="142">
        <f t="shared" si="292"/>
        <v>365</v>
      </c>
      <c r="T758" s="143">
        <v>149.87</v>
      </c>
      <c r="U758" s="144"/>
      <c r="V758" s="144"/>
      <c r="W758" s="144"/>
      <c r="X758" s="144">
        <v>20</v>
      </c>
      <c r="Y758" s="144">
        <v>593</v>
      </c>
      <c r="Z758" s="145"/>
      <c r="AA758" s="145"/>
      <c r="AB758" s="145"/>
      <c r="AC758" s="145"/>
      <c r="AD758" s="146"/>
      <c r="AE758" s="171">
        <v>1</v>
      </c>
      <c r="AF758" s="147">
        <f t="shared" si="285"/>
        <v>0</v>
      </c>
      <c r="AG758" s="147">
        <f t="shared" si="286"/>
        <v>0</v>
      </c>
      <c r="AH758" s="147">
        <f t="shared" si="287"/>
        <v>0</v>
      </c>
      <c r="AI758" s="147">
        <f t="shared" si="288"/>
        <v>0</v>
      </c>
      <c r="AJ758" s="148" t="str">
        <f t="shared" si="289"/>
        <v>ja</v>
      </c>
      <c r="AK758" s="149">
        <f t="shared" si="294"/>
        <v>0</v>
      </c>
      <c r="AL758" s="149">
        <f t="shared" si="295"/>
        <v>0</v>
      </c>
      <c r="AM758" s="149">
        <f t="shared" si="296"/>
        <v>0</v>
      </c>
      <c r="AN758" s="149">
        <f t="shared" si="297"/>
        <v>0</v>
      </c>
      <c r="AO758" s="150" t="str">
        <f t="shared" si="290"/>
        <v>V</v>
      </c>
      <c r="AQ758" s="151">
        <f t="shared" si="291"/>
        <v>54702.55</v>
      </c>
    </row>
    <row r="759" spans="1:43" ht="15" customHeight="1">
      <c r="A759" s="82" t="e">
        <f t="shared" si="276"/>
        <v>#REF!</v>
      </c>
      <c r="B759" s="134">
        <v>112</v>
      </c>
      <c r="C759" s="135" t="s">
        <v>229</v>
      </c>
      <c r="D759" s="136" t="s">
        <v>39</v>
      </c>
      <c r="E759" s="137"/>
      <c r="F759" s="138" t="s">
        <v>233</v>
      </c>
      <c r="G759" s="139" t="s">
        <v>47</v>
      </c>
      <c r="H759" s="140" t="str">
        <f t="shared" si="277"/>
        <v>Niet van toepassing</v>
      </c>
      <c r="I759" s="138" t="s">
        <v>195</v>
      </c>
      <c r="J759" s="138" t="s">
        <v>1172</v>
      </c>
      <c r="K759" s="141" t="str">
        <f t="shared" si="278"/>
        <v>NVT</v>
      </c>
      <c r="L759" s="141" t="str">
        <f t="shared" si="279"/>
        <v>NVT</v>
      </c>
      <c r="M759" s="141" t="str">
        <f t="shared" si="280"/>
        <v>NVT</v>
      </c>
      <c r="N759" s="141" t="str">
        <f t="shared" si="281"/>
        <v>NVT</v>
      </c>
      <c r="O759" s="141" t="str">
        <f t="shared" si="282"/>
        <v>NVT</v>
      </c>
      <c r="P759" s="141" t="str">
        <f t="shared" si="283"/>
        <v>NVT</v>
      </c>
      <c r="Q759" s="141" t="str">
        <f t="shared" si="284"/>
        <v>NVT</v>
      </c>
      <c r="R759" s="63" t="s">
        <v>1221</v>
      </c>
      <c r="S759" s="142">
        <f t="shared" si="292"/>
        <v>0</v>
      </c>
      <c r="T759" s="143">
        <v>7.4</v>
      </c>
      <c r="U759" s="144"/>
      <c r="V759" s="144"/>
      <c r="W759" s="144"/>
      <c r="X759" s="144"/>
      <c r="Y759" s="144">
        <f>31.7-5*1.9</f>
        <v>22.2</v>
      </c>
      <c r="Z759" s="145"/>
      <c r="AA759" s="145">
        <f>T759</f>
        <v>7.4</v>
      </c>
      <c r="AB759" s="145"/>
      <c r="AC759" s="145"/>
      <c r="AD759" s="146"/>
      <c r="AE759" s="171">
        <v>1</v>
      </c>
      <c r="AF759" s="147">
        <f t="shared" si="285"/>
        <v>0</v>
      </c>
      <c r="AG759" s="147">
        <f t="shared" si="286"/>
        <v>0</v>
      </c>
      <c r="AH759" s="147">
        <f t="shared" si="287"/>
        <v>0</v>
      </c>
      <c r="AI759" s="147">
        <f t="shared" si="288"/>
        <v>0</v>
      </c>
      <c r="AJ759" s="148">
        <f t="shared" si="289"/>
        <v>0</v>
      </c>
      <c r="AK759" s="149">
        <f t="shared" si="294"/>
        <v>0</v>
      </c>
      <c r="AL759" s="149">
        <f t="shared" si="295"/>
        <v>0</v>
      </c>
      <c r="AM759" s="149">
        <f t="shared" si="296"/>
        <v>0</v>
      </c>
      <c r="AN759" s="149">
        <f t="shared" si="297"/>
        <v>0</v>
      </c>
      <c r="AO759" s="150">
        <f t="shared" si="290"/>
        <v>0</v>
      </c>
      <c r="AQ759" s="151">
        <f t="shared" si="291"/>
        <v>0</v>
      </c>
    </row>
    <row r="760" spans="1:43" ht="15" customHeight="1">
      <c r="A760" s="82" t="e">
        <f t="shared" si="276"/>
        <v>#REF!</v>
      </c>
      <c r="B760" s="134">
        <v>112</v>
      </c>
      <c r="C760" s="135" t="s">
        <v>229</v>
      </c>
      <c r="D760" s="136" t="s">
        <v>39</v>
      </c>
      <c r="E760" s="137"/>
      <c r="F760" s="138" t="s">
        <v>198</v>
      </c>
      <c r="G760" s="139" t="s">
        <v>48</v>
      </c>
      <c r="H760" s="140" t="str">
        <f t="shared" si="277"/>
        <v>Niet van toepassing</v>
      </c>
      <c r="I760" s="138" t="s">
        <v>195</v>
      </c>
      <c r="J760" s="138" t="s">
        <v>1172</v>
      </c>
      <c r="K760" s="141" t="str">
        <f t="shared" si="278"/>
        <v>NVT</v>
      </c>
      <c r="L760" s="141" t="str">
        <f t="shared" si="279"/>
        <v>NVT</v>
      </c>
      <c r="M760" s="141" t="str">
        <f t="shared" si="280"/>
        <v>NVT</v>
      </c>
      <c r="N760" s="141" t="str">
        <f t="shared" si="281"/>
        <v>NVT</v>
      </c>
      <c r="O760" s="141" t="str">
        <f t="shared" si="282"/>
        <v>NVT</v>
      </c>
      <c r="P760" s="141" t="str">
        <f t="shared" si="283"/>
        <v>NVT</v>
      </c>
      <c r="Q760" s="141" t="str">
        <f t="shared" si="284"/>
        <v>NVT</v>
      </c>
      <c r="R760" s="63" t="s">
        <v>1221</v>
      </c>
      <c r="S760" s="142">
        <f t="shared" si="292"/>
        <v>0</v>
      </c>
      <c r="T760" s="143">
        <v>3.9</v>
      </c>
      <c r="U760" s="144"/>
      <c r="V760" s="144"/>
      <c r="W760" s="144">
        <f>22.8-3*2.4-1.9</f>
        <v>13.700000000000001</v>
      </c>
      <c r="X760" s="144"/>
      <c r="Y760" s="144"/>
      <c r="Z760" s="145">
        <f>T760</f>
        <v>3.9</v>
      </c>
      <c r="AA760" s="145"/>
      <c r="AB760" s="145"/>
      <c r="AC760" s="145"/>
      <c r="AD760" s="146" t="s">
        <v>222</v>
      </c>
      <c r="AE760" s="171">
        <v>1</v>
      </c>
      <c r="AF760" s="147">
        <f t="shared" si="285"/>
        <v>0</v>
      </c>
      <c r="AG760" s="147">
        <f t="shared" si="286"/>
        <v>0</v>
      </c>
      <c r="AH760" s="147">
        <f t="shared" si="287"/>
        <v>0</v>
      </c>
      <c r="AI760" s="147">
        <f t="shared" si="288"/>
        <v>0</v>
      </c>
      <c r="AJ760" s="148">
        <f t="shared" si="289"/>
        <v>0</v>
      </c>
      <c r="AK760" s="149">
        <f t="shared" si="294"/>
        <v>0</v>
      </c>
      <c r="AL760" s="149">
        <f t="shared" si="295"/>
        <v>0</v>
      </c>
      <c r="AM760" s="149">
        <f t="shared" si="296"/>
        <v>0</v>
      </c>
      <c r="AN760" s="149">
        <f t="shared" si="297"/>
        <v>0</v>
      </c>
      <c r="AO760" s="150">
        <f t="shared" si="290"/>
        <v>0</v>
      </c>
      <c r="AQ760" s="151">
        <f t="shared" si="291"/>
        <v>0</v>
      </c>
    </row>
    <row r="761" spans="1:43" ht="15" customHeight="1">
      <c r="A761" s="82" t="e">
        <f t="shared" si="276"/>
        <v>#REF!</v>
      </c>
      <c r="B761" s="134">
        <v>112</v>
      </c>
      <c r="C761" s="135" t="s">
        <v>229</v>
      </c>
      <c r="D761" s="136" t="s">
        <v>39</v>
      </c>
      <c r="E761" s="137"/>
      <c r="F761" s="138" t="s">
        <v>234</v>
      </c>
      <c r="G761" s="139" t="s">
        <v>49</v>
      </c>
      <c r="H761" s="140" t="str">
        <f t="shared" si="277"/>
        <v>Niet van toepassing</v>
      </c>
      <c r="I761" s="138" t="s">
        <v>254</v>
      </c>
      <c r="J761" s="138" t="s">
        <v>1172</v>
      </c>
      <c r="K761" s="141" t="str">
        <f t="shared" si="278"/>
        <v>NVT</v>
      </c>
      <c r="L761" s="141" t="str">
        <f t="shared" si="279"/>
        <v>NVT</v>
      </c>
      <c r="M761" s="141" t="str">
        <f t="shared" si="280"/>
        <v>NVT</v>
      </c>
      <c r="N761" s="141" t="str">
        <f t="shared" si="281"/>
        <v>NVT</v>
      </c>
      <c r="O761" s="141" t="str">
        <f t="shared" si="282"/>
        <v>NVT</v>
      </c>
      <c r="P761" s="141" t="str">
        <f t="shared" si="283"/>
        <v>NVT</v>
      </c>
      <c r="Q761" s="141" t="str">
        <f t="shared" si="284"/>
        <v>NVT</v>
      </c>
      <c r="R761" s="63" t="s">
        <v>1221</v>
      </c>
      <c r="S761" s="142">
        <f t="shared" si="292"/>
        <v>0</v>
      </c>
      <c r="T761" s="143">
        <v>5</v>
      </c>
      <c r="U761" s="144"/>
      <c r="V761" s="144"/>
      <c r="W761" s="144">
        <v>76</v>
      </c>
      <c r="X761" s="144"/>
      <c r="Y761" s="144">
        <f>21.4-3*1.9</f>
        <v>15.7</v>
      </c>
      <c r="Z761" s="145">
        <f>T761</f>
        <v>5</v>
      </c>
      <c r="AA761" s="145"/>
      <c r="AB761" s="145"/>
      <c r="AC761" s="145"/>
      <c r="AD761" s="146"/>
      <c r="AE761" s="171">
        <v>1</v>
      </c>
      <c r="AF761" s="147">
        <f t="shared" si="285"/>
        <v>0</v>
      </c>
      <c r="AG761" s="147">
        <f t="shared" si="286"/>
        <v>0</v>
      </c>
      <c r="AH761" s="147">
        <f t="shared" si="287"/>
        <v>0</v>
      </c>
      <c r="AI761" s="147">
        <f t="shared" si="288"/>
        <v>0</v>
      </c>
      <c r="AJ761" s="148">
        <f t="shared" si="289"/>
        <v>0</v>
      </c>
      <c r="AK761" s="149">
        <f t="shared" si="294"/>
        <v>0</v>
      </c>
      <c r="AL761" s="149">
        <f t="shared" si="295"/>
        <v>0</v>
      </c>
      <c r="AM761" s="149">
        <f t="shared" si="296"/>
        <v>0</v>
      </c>
      <c r="AN761" s="149">
        <f t="shared" si="297"/>
        <v>0</v>
      </c>
      <c r="AO761" s="150">
        <f t="shared" si="290"/>
        <v>0</v>
      </c>
      <c r="AQ761" s="151">
        <f t="shared" si="291"/>
        <v>0</v>
      </c>
    </row>
    <row r="762" spans="1:43" ht="15" customHeight="1">
      <c r="A762" s="82" t="e">
        <f t="shared" si="276"/>
        <v>#REF!</v>
      </c>
      <c r="B762" s="134">
        <v>112</v>
      </c>
      <c r="C762" s="135" t="s">
        <v>229</v>
      </c>
      <c r="D762" s="136" t="s">
        <v>39</v>
      </c>
      <c r="E762" s="137"/>
      <c r="F762" s="138" t="s">
        <v>235</v>
      </c>
      <c r="G762" s="139" t="s">
        <v>58</v>
      </c>
      <c r="H762" s="140" t="str">
        <f t="shared" si="277"/>
        <v>Niet van toepassing</v>
      </c>
      <c r="I762" s="138" t="s">
        <v>254</v>
      </c>
      <c r="J762" s="138" t="s">
        <v>1172</v>
      </c>
      <c r="K762" s="141" t="str">
        <f t="shared" si="278"/>
        <v>NVT</v>
      </c>
      <c r="L762" s="141" t="str">
        <f t="shared" si="279"/>
        <v>NVT</v>
      </c>
      <c r="M762" s="141" t="str">
        <f t="shared" si="280"/>
        <v>NVT</v>
      </c>
      <c r="N762" s="141" t="str">
        <f t="shared" si="281"/>
        <v>NVT</v>
      </c>
      <c r="O762" s="141" t="str">
        <f t="shared" si="282"/>
        <v>NVT</v>
      </c>
      <c r="P762" s="141" t="str">
        <f t="shared" si="283"/>
        <v>NVT</v>
      </c>
      <c r="Q762" s="141" t="str">
        <f t="shared" si="284"/>
        <v>NVT</v>
      </c>
      <c r="R762" s="63" t="s">
        <v>1221</v>
      </c>
      <c r="S762" s="142">
        <f t="shared" si="292"/>
        <v>0</v>
      </c>
      <c r="T762" s="143">
        <v>8.6999999999999993</v>
      </c>
      <c r="U762" s="144"/>
      <c r="V762" s="144"/>
      <c r="W762" s="144"/>
      <c r="X762" s="144"/>
      <c r="Y762" s="144">
        <f>40.3-3*1.9</f>
        <v>34.599999999999994</v>
      </c>
      <c r="Z762" s="145"/>
      <c r="AA762" s="145">
        <f>T762</f>
        <v>8.6999999999999993</v>
      </c>
      <c r="AB762" s="145"/>
      <c r="AC762" s="145"/>
      <c r="AD762" s="146"/>
      <c r="AE762" s="171">
        <v>1</v>
      </c>
      <c r="AF762" s="147">
        <f t="shared" si="285"/>
        <v>0</v>
      </c>
      <c r="AG762" s="147">
        <f t="shared" si="286"/>
        <v>0</v>
      </c>
      <c r="AH762" s="147">
        <f t="shared" si="287"/>
        <v>0</v>
      </c>
      <c r="AI762" s="147">
        <f t="shared" si="288"/>
        <v>0</v>
      </c>
      <c r="AJ762" s="148">
        <f t="shared" si="289"/>
        <v>0</v>
      </c>
      <c r="AK762" s="149">
        <f t="shared" si="294"/>
        <v>0</v>
      </c>
      <c r="AL762" s="149">
        <f t="shared" si="295"/>
        <v>0</v>
      </c>
      <c r="AM762" s="149">
        <f t="shared" si="296"/>
        <v>0</v>
      </c>
      <c r="AN762" s="149">
        <f t="shared" si="297"/>
        <v>0</v>
      </c>
      <c r="AO762" s="150">
        <f t="shared" si="290"/>
        <v>0</v>
      </c>
      <c r="AQ762" s="151">
        <f t="shared" si="291"/>
        <v>0</v>
      </c>
    </row>
    <row r="763" spans="1:43" ht="15" customHeight="1">
      <c r="A763" s="82" t="e">
        <f t="shared" si="276"/>
        <v>#REF!</v>
      </c>
      <c r="B763" s="134">
        <v>112</v>
      </c>
      <c r="C763" s="135" t="s">
        <v>229</v>
      </c>
      <c r="D763" s="136" t="s">
        <v>39</v>
      </c>
      <c r="E763" s="137"/>
      <c r="F763" s="138" t="s">
        <v>236</v>
      </c>
      <c r="G763" s="139" t="s">
        <v>60</v>
      </c>
      <c r="H763" s="140" t="str">
        <f t="shared" si="277"/>
        <v>Niet van toepassing</v>
      </c>
      <c r="I763" s="138" t="s">
        <v>231</v>
      </c>
      <c r="J763" s="138" t="s">
        <v>1172</v>
      </c>
      <c r="K763" s="141" t="str">
        <f t="shared" si="278"/>
        <v>NVT</v>
      </c>
      <c r="L763" s="141" t="str">
        <f t="shared" si="279"/>
        <v>NVT</v>
      </c>
      <c r="M763" s="141" t="str">
        <f t="shared" si="280"/>
        <v>NVT</v>
      </c>
      <c r="N763" s="141" t="str">
        <f t="shared" si="281"/>
        <v>NVT</v>
      </c>
      <c r="O763" s="141" t="str">
        <f t="shared" si="282"/>
        <v>NVT</v>
      </c>
      <c r="P763" s="141" t="str">
        <f t="shared" si="283"/>
        <v>NVT</v>
      </c>
      <c r="Q763" s="141" t="str">
        <f t="shared" si="284"/>
        <v>NVT</v>
      </c>
      <c r="R763" s="63" t="s">
        <v>1221</v>
      </c>
      <c r="S763" s="142">
        <f t="shared" si="292"/>
        <v>0</v>
      </c>
      <c r="T763" s="143">
        <v>15.9</v>
      </c>
      <c r="U763" s="144"/>
      <c r="V763" s="144"/>
      <c r="W763" s="144"/>
      <c r="X763" s="144"/>
      <c r="Y763" s="144">
        <f>52.8-2*1.9</f>
        <v>49</v>
      </c>
      <c r="Z763" s="145">
        <f>T763</f>
        <v>15.9</v>
      </c>
      <c r="AA763" s="145"/>
      <c r="AB763" s="145"/>
      <c r="AC763" s="145"/>
      <c r="AD763" s="146"/>
      <c r="AE763" s="171">
        <v>1</v>
      </c>
      <c r="AF763" s="147">
        <f t="shared" si="285"/>
        <v>0</v>
      </c>
      <c r="AG763" s="147">
        <f t="shared" si="286"/>
        <v>0</v>
      </c>
      <c r="AH763" s="147">
        <f t="shared" si="287"/>
        <v>0</v>
      </c>
      <c r="AI763" s="147">
        <f t="shared" si="288"/>
        <v>0</v>
      </c>
      <c r="AJ763" s="148">
        <f t="shared" si="289"/>
        <v>0</v>
      </c>
      <c r="AK763" s="149">
        <f t="shared" si="294"/>
        <v>0</v>
      </c>
      <c r="AL763" s="149">
        <f t="shared" si="295"/>
        <v>0</v>
      </c>
      <c r="AM763" s="149">
        <f t="shared" si="296"/>
        <v>0</v>
      </c>
      <c r="AN763" s="149">
        <f t="shared" si="297"/>
        <v>0</v>
      </c>
      <c r="AO763" s="150">
        <f t="shared" si="290"/>
        <v>0</v>
      </c>
      <c r="AQ763" s="151">
        <f t="shared" si="291"/>
        <v>0</v>
      </c>
    </row>
    <row r="764" spans="1:43" ht="15" customHeight="1">
      <c r="A764" s="82" t="e">
        <f t="shared" ref="A764:A827" si="298">1+A763</f>
        <v>#REF!</v>
      </c>
      <c r="B764" s="134">
        <v>112</v>
      </c>
      <c r="C764" s="135" t="s">
        <v>229</v>
      </c>
      <c r="D764" s="136" t="s">
        <v>39</v>
      </c>
      <c r="E764" s="137"/>
      <c r="F764" s="138" t="s">
        <v>57</v>
      </c>
      <c r="G764" s="139" t="s">
        <v>63</v>
      </c>
      <c r="H764" s="140" t="str">
        <f t="shared" si="277"/>
        <v>Niet van toepassing</v>
      </c>
      <c r="I764" s="138" t="s">
        <v>1252</v>
      </c>
      <c r="J764" s="138" t="s">
        <v>1172</v>
      </c>
      <c r="K764" s="141" t="str">
        <f t="shared" si="278"/>
        <v>NVT</v>
      </c>
      <c r="L764" s="141" t="str">
        <f t="shared" si="279"/>
        <v>NVT</v>
      </c>
      <c r="M764" s="141" t="str">
        <f t="shared" si="280"/>
        <v>NVT</v>
      </c>
      <c r="N764" s="141" t="str">
        <f t="shared" si="281"/>
        <v>NVT</v>
      </c>
      <c r="O764" s="141" t="str">
        <f t="shared" si="282"/>
        <v>NVT</v>
      </c>
      <c r="P764" s="141" t="str">
        <f t="shared" si="283"/>
        <v>NVT</v>
      </c>
      <c r="Q764" s="141" t="str">
        <f t="shared" si="284"/>
        <v>NVT</v>
      </c>
      <c r="R764" s="63" t="s">
        <v>1221</v>
      </c>
      <c r="S764" s="142">
        <f t="shared" si="292"/>
        <v>0</v>
      </c>
      <c r="T764" s="143">
        <v>22.6</v>
      </c>
      <c r="U764" s="144"/>
      <c r="V764" s="144"/>
      <c r="W764" s="144"/>
      <c r="X764" s="144"/>
      <c r="Y764" s="144">
        <f>66.1-1.9</f>
        <v>64.199999999999989</v>
      </c>
      <c r="Z764" s="145"/>
      <c r="AA764" s="145">
        <f>T764</f>
        <v>22.6</v>
      </c>
      <c r="AB764" s="145"/>
      <c r="AC764" s="145"/>
      <c r="AD764" s="146"/>
      <c r="AE764" s="171">
        <v>1</v>
      </c>
      <c r="AF764" s="147">
        <f t="shared" si="285"/>
        <v>0</v>
      </c>
      <c r="AG764" s="147">
        <f t="shared" si="286"/>
        <v>0</v>
      </c>
      <c r="AH764" s="147">
        <f t="shared" si="287"/>
        <v>0</v>
      </c>
      <c r="AI764" s="147">
        <f t="shared" si="288"/>
        <v>0</v>
      </c>
      <c r="AJ764" s="148">
        <f t="shared" si="289"/>
        <v>0</v>
      </c>
      <c r="AK764" s="149">
        <f t="shared" si="294"/>
        <v>0</v>
      </c>
      <c r="AL764" s="149">
        <f t="shared" si="295"/>
        <v>0</v>
      </c>
      <c r="AM764" s="149">
        <f t="shared" si="296"/>
        <v>0</v>
      </c>
      <c r="AN764" s="149">
        <f t="shared" si="297"/>
        <v>0</v>
      </c>
      <c r="AO764" s="150">
        <f t="shared" si="290"/>
        <v>0</v>
      </c>
      <c r="AQ764" s="151">
        <f t="shared" si="291"/>
        <v>0</v>
      </c>
    </row>
    <row r="765" spans="1:43" ht="15" customHeight="1">
      <c r="A765" s="82" t="e">
        <f t="shared" si="298"/>
        <v>#REF!</v>
      </c>
      <c r="B765" s="134">
        <v>112</v>
      </c>
      <c r="C765" s="135" t="s">
        <v>229</v>
      </c>
      <c r="D765" s="136" t="s">
        <v>39</v>
      </c>
      <c r="E765" s="137"/>
      <c r="F765" s="138" t="s">
        <v>202</v>
      </c>
      <c r="G765" s="139" t="s">
        <v>65</v>
      </c>
      <c r="H765" s="140" t="str">
        <f t="shared" si="277"/>
        <v>Niet van toepassing</v>
      </c>
      <c r="I765" s="138" t="s">
        <v>254</v>
      </c>
      <c r="J765" s="138" t="s">
        <v>1172</v>
      </c>
      <c r="K765" s="141" t="str">
        <f t="shared" si="278"/>
        <v>NVT</v>
      </c>
      <c r="L765" s="141" t="str">
        <f t="shared" si="279"/>
        <v>NVT</v>
      </c>
      <c r="M765" s="141" t="str">
        <f t="shared" si="280"/>
        <v>NVT</v>
      </c>
      <c r="N765" s="141" t="str">
        <f t="shared" si="281"/>
        <v>NVT</v>
      </c>
      <c r="O765" s="141" t="str">
        <f t="shared" si="282"/>
        <v>NVT</v>
      </c>
      <c r="P765" s="141" t="str">
        <f t="shared" si="283"/>
        <v>NVT</v>
      </c>
      <c r="Q765" s="141" t="str">
        <f t="shared" si="284"/>
        <v>NVT</v>
      </c>
      <c r="R765" s="63" t="s">
        <v>1221</v>
      </c>
      <c r="S765" s="142">
        <f t="shared" si="292"/>
        <v>0</v>
      </c>
      <c r="T765" s="143">
        <v>6.8</v>
      </c>
      <c r="U765" s="144"/>
      <c r="V765" s="144"/>
      <c r="W765" s="144">
        <f>30.8-1.9</f>
        <v>28.900000000000002</v>
      </c>
      <c r="X765" s="144"/>
      <c r="Y765" s="144"/>
      <c r="Z765" s="145"/>
      <c r="AA765" s="145">
        <f>T765</f>
        <v>6.8</v>
      </c>
      <c r="AB765" s="145"/>
      <c r="AC765" s="145"/>
      <c r="AD765" s="146"/>
      <c r="AE765" s="171">
        <v>1</v>
      </c>
      <c r="AF765" s="147">
        <f t="shared" si="285"/>
        <v>0</v>
      </c>
      <c r="AG765" s="147">
        <f t="shared" si="286"/>
        <v>0</v>
      </c>
      <c r="AH765" s="147">
        <f t="shared" si="287"/>
        <v>0</v>
      </c>
      <c r="AI765" s="147">
        <f t="shared" si="288"/>
        <v>0</v>
      </c>
      <c r="AJ765" s="148">
        <f t="shared" si="289"/>
        <v>0</v>
      </c>
      <c r="AK765" s="149">
        <f t="shared" si="294"/>
        <v>0</v>
      </c>
      <c r="AL765" s="149">
        <f t="shared" si="295"/>
        <v>0</v>
      </c>
      <c r="AM765" s="149">
        <f t="shared" si="296"/>
        <v>0</v>
      </c>
      <c r="AN765" s="149">
        <f t="shared" si="297"/>
        <v>0</v>
      </c>
      <c r="AO765" s="150">
        <f t="shared" si="290"/>
        <v>0</v>
      </c>
      <c r="AQ765" s="151">
        <f t="shared" si="291"/>
        <v>0</v>
      </c>
    </row>
    <row r="766" spans="1:43" ht="15" customHeight="1">
      <c r="A766" s="82" t="e">
        <f t="shared" si="298"/>
        <v>#REF!</v>
      </c>
      <c r="B766" s="134">
        <v>112</v>
      </c>
      <c r="C766" s="135" t="s">
        <v>229</v>
      </c>
      <c r="D766" s="136" t="s">
        <v>39</v>
      </c>
      <c r="E766" s="137"/>
      <c r="F766" s="138" t="s">
        <v>66</v>
      </c>
      <c r="G766" s="139" t="s">
        <v>67</v>
      </c>
      <c r="H766" s="140" t="str">
        <f t="shared" si="277"/>
        <v>Niet van toepassing</v>
      </c>
      <c r="I766" s="138" t="s">
        <v>254</v>
      </c>
      <c r="J766" s="138" t="s">
        <v>1172</v>
      </c>
      <c r="K766" s="141" t="str">
        <f t="shared" si="278"/>
        <v>NVT</v>
      </c>
      <c r="L766" s="141" t="str">
        <f t="shared" si="279"/>
        <v>NVT</v>
      </c>
      <c r="M766" s="141" t="str">
        <f t="shared" si="280"/>
        <v>NVT</v>
      </c>
      <c r="N766" s="141" t="str">
        <f t="shared" si="281"/>
        <v>NVT</v>
      </c>
      <c r="O766" s="141" t="str">
        <f t="shared" si="282"/>
        <v>NVT</v>
      </c>
      <c r="P766" s="141" t="str">
        <f t="shared" si="283"/>
        <v>NVT</v>
      </c>
      <c r="Q766" s="141" t="str">
        <f t="shared" si="284"/>
        <v>NVT</v>
      </c>
      <c r="R766" s="63" t="s">
        <v>1221</v>
      </c>
      <c r="S766" s="142">
        <f t="shared" si="292"/>
        <v>0</v>
      </c>
      <c r="T766" s="143">
        <v>13</v>
      </c>
      <c r="U766" s="144"/>
      <c r="V766" s="144"/>
      <c r="W766" s="144">
        <f>44-12.4</f>
        <v>31.6</v>
      </c>
      <c r="X766" s="144"/>
      <c r="Y766" s="144"/>
      <c r="Z766" s="145">
        <f>T766</f>
        <v>13</v>
      </c>
      <c r="AA766" s="145"/>
      <c r="AB766" s="145"/>
      <c r="AC766" s="145"/>
      <c r="AD766" s="146"/>
      <c r="AE766" s="171">
        <v>1</v>
      </c>
      <c r="AF766" s="147">
        <f t="shared" si="285"/>
        <v>0</v>
      </c>
      <c r="AG766" s="147">
        <f t="shared" si="286"/>
        <v>0</v>
      </c>
      <c r="AH766" s="147">
        <f t="shared" si="287"/>
        <v>0</v>
      </c>
      <c r="AI766" s="147">
        <f t="shared" si="288"/>
        <v>0</v>
      </c>
      <c r="AJ766" s="148">
        <f t="shared" si="289"/>
        <v>0</v>
      </c>
      <c r="AK766" s="149">
        <f t="shared" si="294"/>
        <v>0</v>
      </c>
      <c r="AL766" s="149">
        <f t="shared" si="295"/>
        <v>0</v>
      </c>
      <c r="AM766" s="149">
        <f t="shared" si="296"/>
        <v>0</v>
      </c>
      <c r="AN766" s="149">
        <f t="shared" si="297"/>
        <v>0</v>
      </c>
      <c r="AO766" s="150">
        <f t="shared" si="290"/>
        <v>0</v>
      </c>
      <c r="AQ766" s="151">
        <f t="shared" si="291"/>
        <v>0</v>
      </c>
    </row>
    <row r="767" spans="1:43" ht="15" customHeight="1">
      <c r="A767" s="82" t="e">
        <f t="shared" si="298"/>
        <v>#REF!</v>
      </c>
      <c r="B767" s="134">
        <v>112</v>
      </c>
      <c r="C767" s="135" t="s">
        <v>229</v>
      </c>
      <c r="D767" s="136" t="s">
        <v>39</v>
      </c>
      <c r="E767" s="137"/>
      <c r="F767" s="138" t="s">
        <v>66</v>
      </c>
      <c r="G767" s="139" t="s">
        <v>205</v>
      </c>
      <c r="H767" s="140" t="str">
        <f t="shared" si="277"/>
        <v>Niet van toepassing</v>
      </c>
      <c r="I767" s="138" t="s">
        <v>254</v>
      </c>
      <c r="J767" s="138" t="s">
        <v>1172</v>
      </c>
      <c r="K767" s="141" t="str">
        <f t="shared" si="278"/>
        <v>NVT</v>
      </c>
      <c r="L767" s="141" t="str">
        <f t="shared" si="279"/>
        <v>NVT</v>
      </c>
      <c r="M767" s="141" t="str">
        <f t="shared" si="280"/>
        <v>NVT</v>
      </c>
      <c r="N767" s="141" t="str">
        <f t="shared" si="281"/>
        <v>NVT</v>
      </c>
      <c r="O767" s="141" t="str">
        <f t="shared" si="282"/>
        <v>NVT</v>
      </c>
      <c r="P767" s="141" t="str">
        <f t="shared" si="283"/>
        <v>NVT</v>
      </c>
      <c r="Q767" s="141" t="str">
        <f t="shared" si="284"/>
        <v>NVT</v>
      </c>
      <c r="R767" s="63" t="s">
        <v>1221</v>
      </c>
      <c r="S767" s="142">
        <f t="shared" si="292"/>
        <v>0</v>
      </c>
      <c r="T767" s="143">
        <v>9.6</v>
      </c>
      <c r="U767" s="144"/>
      <c r="V767" s="144"/>
      <c r="W767" s="144">
        <f>30.5-1.9</f>
        <v>28.6</v>
      </c>
      <c r="X767" s="144"/>
      <c r="Y767" s="144">
        <v>15.3</v>
      </c>
      <c r="Z767" s="145">
        <f>T767</f>
        <v>9.6</v>
      </c>
      <c r="AA767" s="145"/>
      <c r="AB767" s="145"/>
      <c r="AC767" s="145"/>
      <c r="AD767" s="146"/>
      <c r="AE767" s="171">
        <v>1</v>
      </c>
      <c r="AF767" s="147">
        <f t="shared" si="285"/>
        <v>0</v>
      </c>
      <c r="AG767" s="147">
        <f t="shared" si="286"/>
        <v>0</v>
      </c>
      <c r="AH767" s="147">
        <f t="shared" si="287"/>
        <v>0</v>
      </c>
      <c r="AI767" s="147">
        <f t="shared" si="288"/>
        <v>0</v>
      </c>
      <c r="AJ767" s="148">
        <f t="shared" si="289"/>
        <v>0</v>
      </c>
      <c r="AK767" s="149">
        <f t="shared" si="294"/>
        <v>0</v>
      </c>
      <c r="AL767" s="149">
        <f t="shared" si="295"/>
        <v>0</v>
      </c>
      <c r="AM767" s="149">
        <f t="shared" si="296"/>
        <v>0</v>
      </c>
      <c r="AN767" s="149">
        <f t="shared" si="297"/>
        <v>0</v>
      </c>
      <c r="AO767" s="150">
        <f t="shared" si="290"/>
        <v>0</v>
      </c>
      <c r="AQ767" s="151">
        <f t="shared" si="291"/>
        <v>0</v>
      </c>
    </row>
    <row r="768" spans="1:43" ht="15" customHeight="1">
      <c r="A768" s="82" t="e">
        <f t="shared" si="298"/>
        <v>#REF!</v>
      </c>
      <c r="B768" s="134">
        <v>112</v>
      </c>
      <c r="C768" s="135" t="s">
        <v>229</v>
      </c>
      <c r="D768" s="136" t="s">
        <v>39</v>
      </c>
      <c r="E768" s="137"/>
      <c r="F768" s="138" t="s">
        <v>68</v>
      </c>
      <c r="G768" s="139" t="s">
        <v>69</v>
      </c>
      <c r="H768" s="140" t="str">
        <f t="shared" si="277"/>
        <v>Niet van toepassing</v>
      </c>
      <c r="I768" s="138" t="s">
        <v>254</v>
      </c>
      <c r="J768" s="138" t="s">
        <v>1172</v>
      </c>
      <c r="K768" s="141" t="str">
        <f t="shared" si="278"/>
        <v>NVT</v>
      </c>
      <c r="L768" s="141" t="str">
        <f t="shared" si="279"/>
        <v>NVT</v>
      </c>
      <c r="M768" s="141" t="str">
        <f t="shared" si="280"/>
        <v>NVT</v>
      </c>
      <c r="N768" s="141" t="str">
        <f t="shared" si="281"/>
        <v>NVT</v>
      </c>
      <c r="O768" s="141" t="str">
        <f t="shared" si="282"/>
        <v>NVT</v>
      </c>
      <c r="P768" s="141" t="str">
        <f t="shared" si="283"/>
        <v>NVT</v>
      </c>
      <c r="Q768" s="141" t="str">
        <f t="shared" si="284"/>
        <v>NVT</v>
      </c>
      <c r="R768" s="63" t="s">
        <v>1221</v>
      </c>
      <c r="S768" s="142">
        <f t="shared" si="292"/>
        <v>0</v>
      </c>
      <c r="T768" s="143">
        <v>10.6</v>
      </c>
      <c r="U768" s="144"/>
      <c r="V768" s="144"/>
      <c r="W768" s="144">
        <f>37.3-2.4</f>
        <v>34.9</v>
      </c>
      <c r="X768" s="144"/>
      <c r="Y768" s="144"/>
      <c r="Z768" s="145">
        <f>T768</f>
        <v>10.6</v>
      </c>
      <c r="AA768" s="145"/>
      <c r="AB768" s="145"/>
      <c r="AC768" s="145"/>
      <c r="AD768" s="146"/>
      <c r="AE768" s="171">
        <v>1</v>
      </c>
      <c r="AF768" s="147">
        <f t="shared" si="285"/>
        <v>0</v>
      </c>
      <c r="AG768" s="147">
        <f t="shared" si="286"/>
        <v>0</v>
      </c>
      <c r="AH768" s="147">
        <f t="shared" si="287"/>
        <v>0</v>
      </c>
      <c r="AI768" s="147">
        <f t="shared" si="288"/>
        <v>0</v>
      </c>
      <c r="AJ768" s="148">
        <f t="shared" si="289"/>
        <v>0</v>
      </c>
      <c r="AK768" s="149">
        <f t="shared" si="294"/>
        <v>0</v>
      </c>
      <c r="AL768" s="149">
        <f t="shared" si="295"/>
        <v>0</v>
      </c>
      <c r="AM768" s="149">
        <f t="shared" si="296"/>
        <v>0</v>
      </c>
      <c r="AN768" s="149">
        <f t="shared" si="297"/>
        <v>0</v>
      </c>
      <c r="AO768" s="150">
        <f t="shared" si="290"/>
        <v>0</v>
      </c>
      <c r="AQ768" s="151">
        <f t="shared" si="291"/>
        <v>0</v>
      </c>
    </row>
    <row r="769" spans="1:43" ht="15" customHeight="1">
      <c r="A769" s="82" t="e">
        <f t="shared" si="298"/>
        <v>#REF!</v>
      </c>
      <c r="B769" s="134">
        <v>112</v>
      </c>
      <c r="C769" s="135" t="s">
        <v>229</v>
      </c>
      <c r="D769" s="136" t="s">
        <v>39</v>
      </c>
      <c r="E769" s="137"/>
      <c r="F769" s="138" t="s">
        <v>206</v>
      </c>
      <c r="G769" s="139" t="s">
        <v>71</v>
      </c>
      <c r="H769" s="140" t="str">
        <f t="shared" si="277"/>
        <v>Berging/opslag/magazijn</v>
      </c>
      <c r="I769" s="138" t="s">
        <v>254</v>
      </c>
      <c r="J769" s="138" t="s">
        <v>1207</v>
      </c>
      <c r="K769" s="141" t="str">
        <f t="shared" si="278"/>
        <v>Zie Freq</v>
      </c>
      <c r="L769" s="141" t="str">
        <f t="shared" si="279"/>
        <v>Zie Freq</v>
      </c>
      <c r="M769" s="141" t="str">
        <f t="shared" si="280"/>
        <v>Zie Freq</v>
      </c>
      <c r="N769" s="141" t="str">
        <f t="shared" si="281"/>
        <v>Zie Freq</v>
      </c>
      <c r="O769" s="141" t="str">
        <f t="shared" si="282"/>
        <v>Zie Freq</v>
      </c>
      <c r="P769" s="141" t="str">
        <f t="shared" si="283"/>
        <v>NVT</v>
      </c>
      <c r="Q769" s="141" t="str">
        <f t="shared" si="284"/>
        <v>NVT</v>
      </c>
      <c r="R769" s="63" t="s">
        <v>1264</v>
      </c>
      <c r="S769" s="142">
        <f t="shared" si="292"/>
        <v>2</v>
      </c>
      <c r="T769" s="143">
        <v>4</v>
      </c>
      <c r="U769" s="144"/>
      <c r="V769" s="144"/>
      <c r="W769" s="144"/>
      <c r="X769" s="144"/>
      <c r="Y769" s="144">
        <v>23</v>
      </c>
      <c r="Z769" s="145">
        <f>T769</f>
        <v>4</v>
      </c>
      <c r="AA769" s="145"/>
      <c r="AB769" s="145"/>
      <c r="AC769" s="145"/>
      <c r="AD769" s="146"/>
      <c r="AE769" s="171">
        <v>1</v>
      </c>
      <c r="AF769" s="147">
        <f t="shared" si="285"/>
        <v>0</v>
      </c>
      <c r="AG769" s="147">
        <f t="shared" si="286"/>
        <v>0</v>
      </c>
      <c r="AH769" s="147">
        <f t="shared" si="287"/>
        <v>0</v>
      </c>
      <c r="AI769" s="147">
        <f t="shared" si="288"/>
        <v>0</v>
      </c>
      <c r="AJ769" s="148" t="str">
        <f t="shared" si="289"/>
        <v>nee</v>
      </c>
      <c r="AK769" s="149">
        <f t="shared" si="294"/>
        <v>0</v>
      </c>
      <c r="AL769" s="149">
        <f t="shared" si="295"/>
        <v>0</v>
      </c>
      <c r="AM769" s="149">
        <f t="shared" si="296"/>
        <v>0</v>
      </c>
      <c r="AN769" s="149">
        <f t="shared" si="297"/>
        <v>0</v>
      </c>
      <c r="AO769" s="150" t="str">
        <f t="shared" si="290"/>
        <v>V</v>
      </c>
      <c r="AQ769" s="151">
        <f t="shared" si="291"/>
        <v>8</v>
      </c>
    </row>
    <row r="770" spans="1:43" ht="15" customHeight="1">
      <c r="A770" s="82" t="e">
        <f t="shared" si="298"/>
        <v>#REF!</v>
      </c>
      <c r="B770" s="134">
        <v>112</v>
      </c>
      <c r="C770" s="135" t="s">
        <v>229</v>
      </c>
      <c r="D770" s="136" t="s">
        <v>39</v>
      </c>
      <c r="E770" s="137"/>
      <c r="F770" s="138" t="s">
        <v>76</v>
      </c>
      <c r="G770" s="139" t="s">
        <v>73</v>
      </c>
      <c r="H770" s="140" t="str">
        <f t="shared" si="277"/>
        <v>Niet van toepassing</v>
      </c>
      <c r="I770" s="138" t="s">
        <v>254</v>
      </c>
      <c r="J770" s="138" t="s">
        <v>1172</v>
      </c>
      <c r="K770" s="141" t="str">
        <f t="shared" si="278"/>
        <v>NVT</v>
      </c>
      <c r="L770" s="141" t="str">
        <f t="shared" si="279"/>
        <v>NVT</v>
      </c>
      <c r="M770" s="141" t="str">
        <f t="shared" si="280"/>
        <v>NVT</v>
      </c>
      <c r="N770" s="141" t="str">
        <f t="shared" si="281"/>
        <v>NVT</v>
      </c>
      <c r="O770" s="141" t="str">
        <f t="shared" si="282"/>
        <v>NVT</v>
      </c>
      <c r="P770" s="141" t="str">
        <f t="shared" si="283"/>
        <v>NVT</v>
      </c>
      <c r="Q770" s="141" t="str">
        <f t="shared" si="284"/>
        <v>NVT</v>
      </c>
      <c r="R770" s="63" t="s">
        <v>1221</v>
      </c>
      <c r="S770" s="142">
        <f t="shared" si="292"/>
        <v>0</v>
      </c>
      <c r="T770" s="143">
        <v>14.1</v>
      </c>
      <c r="U770" s="144"/>
      <c r="V770" s="144"/>
      <c r="W770" s="144"/>
      <c r="X770" s="144"/>
      <c r="Y770" s="144">
        <f>23-1.9</f>
        <v>21.1</v>
      </c>
      <c r="Z770" s="145"/>
      <c r="AA770" s="145">
        <f>T770</f>
        <v>14.1</v>
      </c>
      <c r="AB770" s="145"/>
      <c r="AC770" s="145"/>
      <c r="AD770" s="146"/>
      <c r="AE770" s="171">
        <v>1</v>
      </c>
      <c r="AF770" s="147">
        <f t="shared" si="285"/>
        <v>0</v>
      </c>
      <c r="AG770" s="147">
        <f t="shared" si="286"/>
        <v>0</v>
      </c>
      <c r="AH770" s="147">
        <f t="shared" si="287"/>
        <v>0</v>
      </c>
      <c r="AI770" s="147">
        <f t="shared" si="288"/>
        <v>0</v>
      </c>
      <c r="AJ770" s="148">
        <f t="shared" si="289"/>
        <v>0</v>
      </c>
      <c r="AK770" s="149">
        <f t="shared" si="294"/>
        <v>0</v>
      </c>
      <c r="AL770" s="149">
        <f t="shared" si="295"/>
        <v>0</v>
      </c>
      <c r="AM770" s="149">
        <f t="shared" si="296"/>
        <v>0</v>
      </c>
      <c r="AN770" s="149">
        <f t="shared" si="297"/>
        <v>0</v>
      </c>
      <c r="AO770" s="150">
        <f t="shared" si="290"/>
        <v>0</v>
      </c>
      <c r="AQ770" s="151">
        <f t="shared" si="291"/>
        <v>0</v>
      </c>
    </row>
    <row r="771" spans="1:43" ht="15" customHeight="1">
      <c r="A771" s="82" t="e">
        <f t="shared" si="298"/>
        <v>#REF!</v>
      </c>
      <c r="B771" s="134">
        <v>112</v>
      </c>
      <c r="C771" s="135" t="s">
        <v>229</v>
      </c>
      <c r="D771" s="136" t="s">
        <v>39</v>
      </c>
      <c r="E771" s="137"/>
      <c r="F771" s="138" t="s">
        <v>215</v>
      </c>
      <c r="G771" s="139" t="s">
        <v>75</v>
      </c>
      <c r="H771" s="140" t="str">
        <f t="shared" si="277"/>
        <v>Niet van toepassing</v>
      </c>
      <c r="I771" s="138" t="s">
        <v>254</v>
      </c>
      <c r="J771" s="138" t="s">
        <v>1172</v>
      </c>
      <c r="K771" s="141" t="str">
        <f t="shared" si="278"/>
        <v>NVT</v>
      </c>
      <c r="L771" s="141" t="str">
        <f t="shared" si="279"/>
        <v>NVT</v>
      </c>
      <c r="M771" s="141" t="str">
        <f t="shared" si="280"/>
        <v>NVT</v>
      </c>
      <c r="N771" s="141" t="str">
        <f t="shared" si="281"/>
        <v>NVT</v>
      </c>
      <c r="O771" s="141" t="str">
        <f t="shared" si="282"/>
        <v>NVT</v>
      </c>
      <c r="P771" s="141" t="str">
        <f t="shared" si="283"/>
        <v>NVT</v>
      </c>
      <c r="Q771" s="141" t="str">
        <f t="shared" si="284"/>
        <v>NVT</v>
      </c>
      <c r="R771" s="63" t="s">
        <v>1221</v>
      </c>
      <c r="S771" s="142">
        <f t="shared" si="292"/>
        <v>0</v>
      </c>
      <c r="T771" s="143">
        <v>6.24</v>
      </c>
      <c r="U771" s="144"/>
      <c r="V771" s="144"/>
      <c r="W771" s="144">
        <f>13-1.9</f>
        <v>11.1</v>
      </c>
      <c r="X771" s="144"/>
      <c r="Y771" s="144"/>
      <c r="Z771" s="145">
        <f>T771</f>
        <v>6.24</v>
      </c>
      <c r="AA771" s="145"/>
      <c r="AB771" s="145"/>
      <c r="AC771" s="145"/>
      <c r="AD771" s="146"/>
      <c r="AE771" s="171">
        <v>1</v>
      </c>
      <c r="AF771" s="147">
        <f t="shared" si="285"/>
        <v>0</v>
      </c>
      <c r="AG771" s="147">
        <f t="shared" si="286"/>
        <v>0</v>
      </c>
      <c r="AH771" s="147">
        <f t="shared" si="287"/>
        <v>0</v>
      </c>
      <c r="AI771" s="147">
        <f t="shared" si="288"/>
        <v>0</v>
      </c>
      <c r="AJ771" s="148">
        <f t="shared" si="289"/>
        <v>0</v>
      </c>
      <c r="AK771" s="149">
        <f t="shared" si="294"/>
        <v>0</v>
      </c>
      <c r="AL771" s="149">
        <f t="shared" si="295"/>
        <v>0</v>
      </c>
      <c r="AM771" s="149">
        <f t="shared" si="296"/>
        <v>0</v>
      </c>
      <c r="AN771" s="149">
        <f t="shared" si="297"/>
        <v>0</v>
      </c>
      <c r="AO771" s="150">
        <f t="shared" si="290"/>
        <v>0</v>
      </c>
      <c r="AQ771" s="151">
        <f t="shared" si="291"/>
        <v>0</v>
      </c>
    </row>
    <row r="772" spans="1:43" ht="15" customHeight="1">
      <c r="A772" s="82" t="e">
        <f t="shared" si="298"/>
        <v>#REF!</v>
      </c>
      <c r="B772" s="134">
        <v>112</v>
      </c>
      <c r="C772" s="135" t="s">
        <v>229</v>
      </c>
      <c r="D772" s="136" t="s">
        <v>39</v>
      </c>
      <c r="E772" s="137"/>
      <c r="F772" s="138" t="s">
        <v>207</v>
      </c>
      <c r="G772" s="139" t="s">
        <v>79</v>
      </c>
      <c r="H772" s="140" t="str">
        <f t="shared" si="277"/>
        <v>Sanitair</v>
      </c>
      <c r="I772" s="138" t="s">
        <v>237</v>
      </c>
      <c r="J772" s="138" t="s">
        <v>1171</v>
      </c>
      <c r="K772" s="141" t="str">
        <f t="shared" si="278"/>
        <v>Omde dag Vol/Nal.</v>
      </c>
      <c r="L772" s="141" t="str">
        <f t="shared" si="279"/>
        <v>Omde dag Nal./Vol</v>
      </c>
      <c r="M772" s="141" t="str">
        <f t="shared" si="280"/>
        <v>Omde dag Vol/Nal.</v>
      </c>
      <c r="N772" s="141" t="str">
        <f t="shared" si="281"/>
        <v>Omde dag Nal./Vol</v>
      </c>
      <c r="O772" s="141" t="str">
        <f t="shared" si="282"/>
        <v>Omde dag Vol/Nal.</v>
      </c>
      <c r="P772" s="141" t="str">
        <f t="shared" si="283"/>
        <v>Omde dag Nal./Vol</v>
      </c>
      <c r="Q772" s="141" t="str">
        <f t="shared" si="284"/>
        <v>Omde dag Vol/Nal.</v>
      </c>
      <c r="R772" s="63" t="s">
        <v>1211</v>
      </c>
      <c r="S772" s="142">
        <f t="shared" si="292"/>
        <v>365</v>
      </c>
      <c r="T772" s="143">
        <v>2.6</v>
      </c>
      <c r="U772" s="144">
        <f>21.6-3*1.9</f>
        <v>15.900000000000002</v>
      </c>
      <c r="V772" s="144"/>
      <c r="W772" s="144"/>
      <c r="X772" s="144"/>
      <c r="Y772" s="144"/>
      <c r="Z772" s="145"/>
      <c r="AA772" s="145"/>
      <c r="AB772" s="145">
        <f>T772</f>
        <v>2.6</v>
      </c>
      <c r="AC772" s="145"/>
      <c r="AD772" s="146"/>
      <c r="AE772" s="171">
        <v>1</v>
      </c>
      <c r="AF772" s="147">
        <f t="shared" si="285"/>
        <v>0</v>
      </c>
      <c r="AG772" s="147">
        <f t="shared" si="286"/>
        <v>0</v>
      </c>
      <c r="AH772" s="147">
        <f t="shared" si="287"/>
        <v>0</v>
      </c>
      <c r="AI772" s="147">
        <f t="shared" si="288"/>
        <v>0</v>
      </c>
      <c r="AJ772" s="148" t="str">
        <f t="shared" si="289"/>
        <v>ja</v>
      </c>
      <c r="AK772" s="149">
        <f t="shared" si="294"/>
        <v>0</v>
      </c>
      <c r="AL772" s="149">
        <f t="shared" si="295"/>
        <v>0</v>
      </c>
      <c r="AM772" s="149">
        <f t="shared" si="296"/>
        <v>0</v>
      </c>
      <c r="AN772" s="149">
        <f t="shared" si="297"/>
        <v>0</v>
      </c>
      <c r="AO772" s="150" t="str">
        <f t="shared" si="290"/>
        <v>S</v>
      </c>
      <c r="AQ772" s="151">
        <f t="shared" si="291"/>
        <v>949</v>
      </c>
    </row>
    <row r="773" spans="1:43" ht="15" customHeight="1">
      <c r="A773" s="82" t="e">
        <f t="shared" si="298"/>
        <v>#REF!</v>
      </c>
      <c r="B773" s="134">
        <v>112</v>
      </c>
      <c r="C773" s="135" t="s">
        <v>229</v>
      </c>
      <c r="D773" s="136" t="s">
        <v>39</v>
      </c>
      <c r="E773" s="137"/>
      <c r="F773" s="138" t="s">
        <v>208</v>
      </c>
      <c r="G773" s="139" t="s">
        <v>151</v>
      </c>
      <c r="H773" s="140" t="str">
        <f t="shared" ref="H773:H836" si="299">VLOOKUP(R773,Kengetal,3,FALSE)</f>
        <v>Sanitair</v>
      </c>
      <c r="I773" s="138" t="s">
        <v>237</v>
      </c>
      <c r="J773" s="138" t="s">
        <v>1171</v>
      </c>
      <c r="K773" s="141" t="str">
        <f t="shared" ref="K773:K836" si="300">IF($R773="",0,VLOOKUP($R773,Kengetal,14,FALSE))</f>
        <v>Omde dag Vol/Nal.</v>
      </c>
      <c r="L773" s="141" t="str">
        <f t="shared" ref="L773:L836" si="301">IF($R773="",0,VLOOKUP($R773,Kengetal,15,FALSE))</f>
        <v>Omde dag Nal./Vol</v>
      </c>
      <c r="M773" s="141" t="str">
        <f t="shared" ref="M773:M836" si="302">IF($R773="",0,VLOOKUP($R773,Kengetal,16,FALSE))</f>
        <v>Omde dag Vol/Nal.</v>
      </c>
      <c r="N773" s="141" t="str">
        <f t="shared" ref="N773:N836" si="303">IF($R773="",0,VLOOKUP($R773,Kengetal,17,FALSE))</f>
        <v>Omde dag Nal./Vol</v>
      </c>
      <c r="O773" s="141" t="str">
        <f t="shared" ref="O773:O836" si="304">IF($R773="",0,VLOOKUP($R773,Kengetal,18,FALSE))</f>
        <v>Omde dag Vol/Nal.</v>
      </c>
      <c r="P773" s="141" t="str">
        <f t="shared" ref="P773:P836" si="305">IF($R773="",0,VLOOKUP($R773,Kengetal,19,FALSE))</f>
        <v>Omde dag Nal./Vol</v>
      </c>
      <c r="Q773" s="141" t="str">
        <f t="shared" ref="Q773:Q836" si="306">IF($R773="",0,VLOOKUP($R773,Kengetal,20,FALSE))</f>
        <v>Omde dag Vol/Nal.</v>
      </c>
      <c r="R773" s="63" t="s">
        <v>1211</v>
      </c>
      <c r="S773" s="142">
        <f t="shared" si="292"/>
        <v>365</v>
      </c>
      <c r="T773" s="143">
        <v>2.6</v>
      </c>
      <c r="U773" s="144">
        <f>21.6-3*1.9</f>
        <v>15.900000000000002</v>
      </c>
      <c r="V773" s="144"/>
      <c r="W773" s="144"/>
      <c r="X773" s="144"/>
      <c r="Y773" s="144"/>
      <c r="Z773" s="145"/>
      <c r="AA773" s="145"/>
      <c r="AB773" s="145">
        <f>T773</f>
        <v>2.6</v>
      </c>
      <c r="AC773" s="145"/>
      <c r="AD773" s="146"/>
      <c r="AE773" s="171">
        <v>1</v>
      </c>
      <c r="AF773" s="147">
        <f t="shared" ref="AF773:AF836" si="307">T773*AK773*AE773</f>
        <v>0</v>
      </c>
      <c r="AG773" s="147">
        <f t="shared" ref="AG773:AG836" si="308">T773*AL773*AE773</f>
        <v>0</v>
      </c>
      <c r="AH773" s="147">
        <f t="shared" ref="AH773:AH836" si="309">T773*AM773*AE773</f>
        <v>0</v>
      </c>
      <c r="AI773" s="147">
        <f t="shared" ref="AI773:AI836" si="310">T773*AN773*AE773</f>
        <v>0</v>
      </c>
      <c r="AJ773" s="148" t="str">
        <f t="shared" ref="AJ773:AJ836" si="311">IF($R773="",0,VLOOKUP($R773,Kengetal,12,FALSE))</f>
        <v>ja</v>
      </c>
      <c r="AK773" s="149">
        <f t="shared" si="294"/>
        <v>0</v>
      </c>
      <c r="AL773" s="149">
        <f t="shared" si="295"/>
        <v>0</v>
      </c>
      <c r="AM773" s="149">
        <f t="shared" si="296"/>
        <v>0</v>
      </c>
      <c r="AN773" s="149">
        <f t="shared" si="297"/>
        <v>0</v>
      </c>
      <c r="AO773" s="150" t="str">
        <f t="shared" ref="AO773:AO836" si="312">IF($R773="",0,VLOOKUP($R773,Kengetal,13,FALSE))</f>
        <v>S</v>
      </c>
      <c r="AQ773" s="151">
        <f t="shared" ref="AQ773:AQ836" si="313">T773*S773</f>
        <v>949</v>
      </c>
    </row>
    <row r="774" spans="1:43" ht="15" customHeight="1">
      <c r="A774" s="82" t="e">
        <f t="shared" si="298"/>
        <v>#REF!</v>
      </c>
      <c r="B774" s="134">
        <v>112</v>
      </c>
      <c r="C774" s="135" t="s">
        <v>229</v>
      </c>
      <c r="D774" s="136" t="s">
        <v>39</v>
      </c>
      <c r="E774" s="137"/>
      <c r="F774" s="138" t="s">
        <v>238</v>
      </c>
      <c r="G774" s="139" t="s">
        <v>81</v>
      </c>
      <c r="H774" s="140" t="str">
        <f t="shared" si="299"/>
        <v>Niet van toepassing</v>
      </c>
      <c r="I774" s="138" t="s">
        <v>254</v>
      </c>
      <c r="J774" s="138" t="s">
        <v>1172</v>
      </c>
      <c r="K774" s="141" t="str">
        <f t="shared" si="300"/>
        <v>NVT</v>
      </c>
      <c r="L774" s="141" t="str">
        <f t="shared" si="301"/>
        <v>NVT</v>
      </c>
      <c r="M774" s="141" t="str">
        <f t="shared" si="302"/>
        <v>NVT</v>
      </c>
      <c r="N774" s="141" t="str">
        <f t="shared" si="303"/>
        <v>NVT</v>
      </c>
      <c r="O774" s="141" t="str">
        <f t="shared" si="304"/>
        <v>NVT</v>
      </c>
      <c r="P774" s="141" t="str">
        <f t="shared" si="305"/>
        <v>NVT</v>
      </c>
      <c r="Q774" s="141" t="str">
        <f t="shared" si="306"/>
        <v>NVT</v>
      </c>
      <c r="R774" s="63" t="s">
        <v>1221</v>
      </c>
      <c r="S774" s="142">
        <f t="shared" si="292"/>
        <v>0</v>
      </c>
      <c r="T774" s="143">
        <v>2</v>
      </c>
      <c r="U774" s="144"/>
      <c r="V774" s="144"/>
      <c r="W774" s="144"/>
      <c r="X774" s="144">
        <v>3.2</v>
      </c>
      <c r="Y774" s="144">
        <v>13</v>
      </c>
      <c r="Z774" s="145"/>
      <c r="AA774" s="145">
        <f>T774</f>
        <v>2</v>
      </c>
      <c r="AB774" s="145"/>
      <c r="AC774" s="145"/>
      <c r="AD774" s="146"/>
      <c r="AE774" s="171">
        <v>1</v>
      </c>
      <c r="AF774" s="147">
        <f t="shared" si="307"/>
        <v>0</v>
      </c>
      <c r="AG774" s="147">
        <f t="shared" si="308"/>
        <v>0</v>
      </c>
      <c r="AH774" s="147">
        <f t="shared" si="309"/>
        <v>0</v>
      </c>
      <c r="AI774" s="147">
        <f t="shared" si="310"/>
        <v>0</v>
      </c>
      <c r="AJ774" s="148">
        <f t="shared" si="311"/>
        <v>0</v>
      </c>
      <c r="AK774" s="149">
        <f t="shared" si="294"/>
        <v>0</v>
      </c>
      <c r="AL774" s="149">
        <f t="shared" si="295"/>
        <v>0</v>
      </c>
      <c r="AM774" s="149">
        <f t="shared" si="296"/>
        <v>0</v>
      </c>
      <c r="AN774" s="149">
        <f t="shared" si="297"/>
        <v>0</v>
      </c>
      <c r="AO774" s="150">
        <f t="shared" si="312"/>
        <v>0</v>
      </c>
      <c r="AQ774" s="151">
        <f t="shared" si="313"/>
        <v>0</v>
      </c>
    </row>
    <row r="775" spans="1:43" ht="15" customHeight="1">
      <c r="A775" s="82" t="e">
        <f t="shared" si="298"/>
        <v>#REF!</v>
      </c>
      <c r="B775" s="134">
        <v>112</v>
      </c>
      <c r="C775" s="135" t="s">
        <v>229</v>
      </c>
      <c r="D775" s="136" t="s">
        <v>39</v>
      </c>
      <c r="E775" s="137"/>
      <c r="F775" s="138" t="s">
        <v>238</v>
      </c>
      <c r="G775" s="139" t="s">
        <v>84</v>
      </c>
      <c r="H775" s="140" t="str">
        <f t="shared" si="299"/>
        <v>Niet van toepassing</v>
      </c>
      <c r="I775" s="138" t="s">
        <v>254</v>
      </c>
      <c r="J775" s="138" t="s">
        <v>1172</v>
      </c>
      <c r="K775" s="141" t="str">
        <f t="shared" si="300"/>
        <v>NVT</v>
      </c>
      <c r="L775" s="141" t="str">
        <f t="shared" si="301"/>
        <v>NVT</v>
      </c>
      <c r="M775" s="141" t="str">
        <f t="shared" si="302"/>
        <v>NVT</v>
      </c>
      <c r="N775" s="141" t="str">
        <f t="shared" si="303"/>
        <v>NVT</v>
      </c>
      <c r="O775" s="141" t="str">
        <f t="shared" si="304"/>
        <v>NVT</v>
      </c>
      <c r="P775" s="141" t="str">
        <f t="shared" si="305"/>
        <v>NVT</v>
      </c>
      <c r="Q775" s="141" t="str">
        <f t="shared" si="306"/>
        <v>NVT</v>
      </c>
      <c r="R775" s="63" t="s">
        <v>1221</v>
      </c>
      <c r="S775" s="142">
        <f t="shared" si="292"/>
        <v>0</v>
      </c>
      <c r="T775" s="143">
        <v>2</v>
      </c>
      <c r="U775" s="144"/>
      <c r="V775" s="144"/>
      <c r="W775" s="144"/>
      <c r="X775" s="144">
        <v>3.2</v>
      </c>
      <c r="Y775" s="144">
        <v>13</v>
      </c>
      <c r="Z775" s="145"/>
      <c r="AA775" s="145">
        <f>T775</f>
        <v>2</v>
      </c>
      <c r="AB775" s="145"/>
      <c r="AC775" s="145"/>
      <c r="AD775" s="146"/>
      <c r="AE775" s="171">
        <v>1</v>
      </c>
      <c r="AF775" s="147">
        <f t="shared" si="307"/>
        <v>0</v>
      </c>
      <c r="AG775" s="147">
        <f t="shared" si="308"/>
        <v>0</v>
      </c>
      <c r="AH775" s="147">
        <f t="shared" si="309"/>
        <v>0</v>
      </c>
      <c r="AI775" s="147">
        <f t="shared" si="310"/>
        <v>0</v>
      </c>
      <c r="AJ775" s="148">
        <f t="shared" si="311"/>
        <v>0</v>
      </c>
      <c r="AK775" s="149">
        <f t="shared" si="294"/>
        <v>0</v>
      </c>
      <c r="AL775" s="149">
        <f t="shared" si="295"/>
        <v>0</v>
      </c>
      <c r="AM775" s="149">
        <f t="shared" si="296"/>
        <v>0</v>
      </c>
      <c r="AN775" s="149">
        <f t="shared" si="297"/>
        <v>0</v>
      </c>
      <c r="AO775" s="150">
        <f t="shared" si="312"/>
        <v>0</v>
      </c>
      <c r="AQ775" s="151">
        <f t="shared" si="313"/>
        <v>0</v>
      </c>
    </row>
    <row r="776" spans="1:43" ht="15" customHeight="1">
      <c r="A776" s="82" t="e">
        <f t="shared" si="298"/>
        <v>#REF!</v>
      </c>
      <c r="B776" s="134">
        <v>112</v>
      </c>
      <c r="C776" s="135" t="s">
        <v>229</v>
      </c>
      <c r="D776" s="136" t="s">
        <v>39</v>
      </c>
      <c r="E776" s="137"/>
      <c r="F776" s="138" t="s">
        <v>487</v>
      </c>
      <c r="G776" s="139" t="s">
        <v>153</v>
      </c>
      <c r="H776" s="140" t="str">
        <f t="shared" si="299"/>
        <v>Niet van toepassing</v>
      </c>
      <c r="I776" s="138" t="s">
        <v>195</v>
      </c>
      <c r="J776" s="138" t="s">
        <v>1172</v>
      </c>
      <c r="K776" s="141" t="str">
        <f t="shared" si="300"/>
        <v>NVT</v>
      </c>
      <c r="L776" s="141" t="str">
        <f t="shared" si="301"/>
        <v>NVT</v>
      </c>
      <c r="M776" s="141" t="str">
        <f t="shared" si="302"/>
        <v>NVT</v>
      </c>
      <c r="N776" s="141" t="str">
        <f t="shared" si="303"/>
        <v>NVT</v>
      </c>
      <c r="O776" s="141" t="str">
        <f t="shared" si="304"/>
        <v>NVT</v>
      </c>
      <c r="P776" s="141" t="str">
        <f t="shared" si="305"/>
        <v>NVT</v>
      </c>
      <c r="Q776" s="141" t="str">
        <f t="shared" si="306"/>
        <v>NVT</v>
      </c>
      <c r="R776" s="63" t="s">
        <v>1221</v>
      </c>
      <c r="S776" s="142">
        <f t="shared" si="292"/>
        <v>0</v>
      </c>
      <c r="T776" s="143">
        <v>5.8</v>
      </c>
      <c r="U776" s="144"/>
      <c r="V776" s="144"/>
      <c r="W776" s="144"/>
      <c r="X776" s="144"/>
      <c r="Y776" s="144">
        <v>17</v>
      </c>
      <c r="Z776" s="145"/>
      <c r="AA776" s="145">
        <f>T776</f>
        <v>5.8</v>
      </c>
      <c r="AB776" s="145"/>
      <c r="AC776" s="145"/>
      <c r="AD776" s="146"/>
      <c r="AE776" s="171">
        <v>1</v>
      </c>
      <c r="AF776" s="147">
        <f t="shared" si="307"/>
        <v>0</v>
      </c>
      <c r="AG776" s="147">
        <f t="shared" si="308"/>
        <v>0</v>
      </c>
      <c r="AH776" s="147">
        <f t="shared" si="309"/>
        <v>0</v>
      </c>
      <c r="AI776" s="147">
        <f t="shared" si="310"/>
        <v>0</v>
      </c>
      <c r="AJ776" s="148">
        <f t="shared" si="311"/>
        <v>0</v>
      </c>
      <c r="AK776" s="149">
        <f t="shared" si="294"/>
        <v>0</v>
      </c>
      <c r="AL776" s="149">
        <f t="shared" si="295"/>
        <v>0</v>
      </c>
      <c r="AM776" s="149">
        <f t="shared" si="296"/>
        <v>0</v>
      </c>
      <c r="AN776" s="149">
        <f t="shared" si="297"/>
        <v>0</v>
      </c>
      <c r="AO776" s="150">
        <f t="shared" si="312"/>
        <v>0</v>
      </c>
      <c r="AQ776" s="151">
        <f t="shared" si="313"/>
        <v>0</v>
      </c>
    </row>
    <row r="777" spans="1:43" ht="15" customHeight="1">
      <c r="A777" s="82" t="e">
        <f t="shared" si="298"/>
        <v>#REF!</v>
      </c>
      <c r="B777" s="134">
        <v>112</v>
      </c>
      <c r="C777" s="135" t="s">
        <v>229</v>
      </c>
      <c r="D777" s="136" t="s">
        <v>39</v>
      </c>
      <c r="E777" s="137"/>
      <c r="F777" s="138" t="s">
        <v>85</v>
      </c>
      <c r="G777" s="139" t="s">
        <v>85</v>
      </c>
      <c r="H777" s="140" t="str">
        <f t="shared" si="299"/>
        <v>Liften</v>
      </c>
      <c r="I777" s="138" t="s">
        <v>457</v>
      </c>
      <c r="J777" s="138" t="s">
        <v>1171</v>
      </c>
      <c r="K777" s="141" t="str">
        <f t="shared" si="300"/>
        <v>Omde dag Vol/Nal.</v>
      </c>
      <c r="L777" s="141" t="str">
        <f t="shared" si="301"/>
        <v>Omde dag Nal./Vol</v>
      </c>
      <c r="M777" s="141" t="str">
        <f t="shared" si="302"/>
        <v>Omde dag Vol/Nal.</v>
      </c>
      <c r="N777" s="141" t="str">
        <f t="shared" si="303"/>
        <v>Omde dag Nal./Vol</v>
      </c>
      <c r="O777" s="141" t="str">
        <f t="shared" si="304"/>
        <v>Omde dag Vol/Nal.</v>
      </c>
      <c r="P777" s="141" t="str">
        <f t="shared" si="305"/>
        <v>Omde dag Nal./Vol</v>
      </c>
      <c r="Q777" s="141" t="str">
        <f t="shared" si="306"/>
        <v>Omde dag Vol/Nal.</v>
      </c>
      <c r="R777" s="63" t="s">
        <v>1475</v>
      </c>
      <c r="S777" s="142">
        <f t="shared" si="292"/>
        <v>365</v>
      </c>
      <c r="T777" s="143">
        <v>2.8</v>
      </c>
      <c r="U777" s="144"/>
      <c r="V777" s="144"/>
      <c r="W777" s="144"/>
      <c r="X777" s="144">
        <v>3.5</v>
      </c>
      <c r="Y777" s="144"/>
      <c r="Z777" s="145"/>
      <c r="AA777" s="145"/>
      <c r="AB777" s="145">
        <f>T777</f>
        <v>2.8</v>
      </c>
      <c r="AC777" s="145"/>
      <c r="AD777" s="146" t="s">
        <v>1112</v>
      </c>
      <c r="AE777" s="171">
        <v>1</v>
      </c>
      <c r="AF777" s="147">
        <f t="shared" si="307"/>
        <v>0</v>
      </c>
      <c r="AG777" s="147">
        <f t="shared" si="308"/>
        <v>0</v>
      </c>
      <c r="AH777" s="147">
        <f t="shared" si="309"/>
        <v>0</v>
      </c>
      <c r="AI777" s="147">
        <f t="shared" si="310"/>
        <v>0</v>
      </c>
      <c r="AJ777" s="148" t="str">
        <f t="shared" si="311"/>
        <v>ja</v>
      </c>
      <c r="AK777" s="149">
        <f t="shared" si="294"/>
        <v>0</v>
      </c>
      <c r="AL777" s="149">
        <f t="shared" si="295"/>
        <v>0</v>
      </c>
      <c r="AM777" s="149">
        <f t="shared" si="296"/>
        <v>0</v>
      </c>
      <c r="AN777" s="149">
        <f t="shared" si="297"/>
        <v>0</v>
      </c>
      <c r="AO777" s="150" t="str">
        <f t="shared" si="312"/>
        <v>V</v>
      </c>
      <c r="AQ777" s="151">
        <f t="shared" si="313"/>
        <v>1021.9999999999999</v>
      </c>
    </row>
    <row r="778" spans="1:43" ht="15" customHeight="1">
      <c r="A778" s="82" t="e">
        <f t="shared" si="298"/>
        <v>#REF!</v>
      </c>
      <c r="B778" s="134">
        <v>112</v>
      </c>
      <c r="C778" s="135" t="s">
        <v>229</v>
      </c>
      <c r="D778" s="136" t="s">
        <v>39</v>
      </c>
      <c r="E778" s="137"/>
      <c r="F778" s="138" t="s">
        <v>239</v>
      </c>
      <c r="G778" s="139" t="s">
        <v>90</v>
      </c>
      <c r="H778" s="140" t="str">
        <f t="shared" si="299"/>
        <v>Niet van toepassing</v>
      </c>
      <c r="I778" s="138" t="s">
        <v>18</v>
      </c>
      <c r="J778" s="138" t="s">
        <v>1172</v>
      </c>
      <c r="K778" s="141" t="str">
        <f t="shared" si="300"/>
        <v>NVT</v>
      </c>
      <c r="L778" s="141" t="str">
        <f t="shared" si="301"/>
        <v>NVT</v>
      </c>
      <c r="M778" s="141" t="str">
        <f t="shared" si="302"/>
        <v>NVT</v>
      </c>
      <c r="N778" s="141" t="str">
        <f t="shared" si="303"/>
        <v>NVT</v>
      </c>
      <c r="O778" s="141" t="str">
        <f t="shared" si="304"/>
        <v>NVT</v>
      </c>
      <c r="P778" s="141" t="str">
        <f t="shared" si="305"/>
        <v>NVT</v>
      </c>
      <c r="Q778" s="141" t="str">
        <f t="shared" si="306"/>
        <v>NVT</v>
      </c>
      <c r="R778" s="63" t="s">
        <v>1221</v>
      </c>
      <c r="S778" s="142">
        <f t="shared" si="292"/>
        <v>0</v>
      </c>
      <c r="T778" s="143">
        <v>5.8</v>
      </c>
      <c r="U778" s="144"/>
      <c r="V778" s="144"/>
      <c r="W778" s="144">
        <v>25.3</v>
      </c>
      <c r="X778" s="144"/>
      <c r="Y778" s="144"/>
      <c r="Z778" s="145">
        <f>T778</f>
        <v>5.8</v>
      </c>
      <c r="AA778" s="145"/>
      <c r="AB778" s="145"/>
      <c r="AC778" s="145"/>
      <c r="AD778" s="146"/>
      <c r="AE778" s="171">
        <v>1</v>
      </c>
      <c r="AF778" s="147">
        <f t="shared" si="307"/>
        <v>0</v>
      </c>
      <c r="AG778" s="147">
        <f t="shared" si="308"/>
        <v>0</v>
      </c>
      <c r="AH778" s="147">
        <f t="shared" si="309"/>
        <v>0</v>
      </c>
      <c r="AI778" s="147">
        <f t="shared" si="310"/>
        <v>0</v>
      </c>
      <c r="AJ778" s="148">
        <f t="shared" si="311"/>
        <v>0</v>
      </c>
      <c r="AK778" s="149">
        <f t="shared" si="294"/>
        <v>0</v>
      </c>
      <c r="AL778" s="149">
        <f t="shared" si="295"/>
        <v>0</v>
      </c>
      <c r="AM778" s="149">
        <f t="shared" si="296"/>
        <v>0</v>
      </c>
      <c r="AN778" s="149">
        <f t="shared" si="297"/>
        <v>0</v>
      </c>
      <c r="AO778" s="150">
        <f t="shared" si="312"/>
        <v>0</v>
      </c>
      <c r="AQ778" s="151">
        <f t="shared" si="313"/>
        <v>0</v>
      </c>
    </row>
    <row r="779" spans="1:43" ht="15" customHeight="1">
      <c r="A779" s="82" t="e">
        <f t="shared" si="298"/>
        <v>#REF!</v>
      </c>
      <c r="B779" s="134">
        <v>112</v>
      </c>
      <c r="C779" s="135" t="s">
        <v>229</v>
      </c>
      <c r="D779" s="136" t="s">
        <v>39</v>
      </c>
      <c r="E779" s="137"/>
      <c r="F779" s="138" t="s">
        <v>240</v>
      </c>
      <c r="G779" s="139" t="s">
        <v>92</v>
      </c>
      <c r="H779" s="140" t="str">
        <f t="shared" si="299"/>
        <v>Liften</v>
      </c>
      <c r="I779" s="138" t="s">
        <v>18</v>
      </c>
      <c r="J779" s="138" t="s">
        <v>1171</v>
      </c>
      <c r="K779" s="141" t="str">
        <f t="shared" si="300"/>
        <v>Omde dag Vol/Nal.</v>
      </c>
      <c r="L779" s="141" t="str">
        <f t="shared" si="301"/>
        <v>Omde dag Nal./Vol</v>
      </c>
      <c r="M779" s="141" t="str">
        <f t="shared" si="302"/>
        <v>Omde dag Vol/Nal.</v>
      </c>
      <c r="N779" s="141" t="str">
        <f t="shared" si="303"/>
        <v>Omde dag Nal./Vol</v>
      </c>
      <c r="O779" s="141" t="str">
        <f t="shared" si="304"/>
        <v>Omde dag Vol/Nal.</v>
      </c>
      <c r="P779" s="141" t="str">
        <f t="shared" si="305"/>
        <v>Omde dag Nal./Vol</v>
      </c>
      <c r="Q779" s="141" t="str">
        <f t="shared" si="306"/>
        <v>Omde dag Vol/Nal.</v>
      </c>
      <c r="R779" s="63" t="s">
        <v>1475</v>
      </c>
      <c r="S779" s="142">
        <f t="shared" si="292"/>
        <v>365</v>
      </c>
      <c r="T779" s="143">
        <v>3.97</v>
      </c>
      <c r="U779" s="144"/>
      <c r="V779" s="144"/>
      <c r="W779" s="144"/>
      <c r="X779" s="144"/>
      <c r="Y779" s="144"/>
      <c r="Z779" s="145"/>
      <c r="AA779" s="145"/>
      <c r="AB779" s="145"/>
      <c r="AC779" s="145"/>
      <c r="AD779" s="146" t="s">
        <v>488</v>
      </c>
      <c r="AE779" s="171">
        <v>1</v>
      </c>
      <c r="AF779" s="147">
        <f t="shared" si="307"/>
        <v>0</v>
      </c>
      <c r="AG779" s="147">
        <f t="shared" si="308"/>
        <v>0</v>
      </c>
      <c r="AH779" s="147">
        <f t="shared" si="309"/>
        <v>0</v>
      </c>
      <c r="AI779" s="147">
        <f t="shared" si="310"/>
        <v>0</v>
      </c>
      <c r="AJ779" s="148" t="str">
        <f t="shared" si="311"/>
        <v>ja</v>
      </c>
      <c r="AK779" s="149">
        <f t="shared" si="294"/>
        <v>0</v>
      </c>
      <c r="AL779" s="149">
        <f t="shared" si="295"/>
        <v>0</v>
      </c>
      <c r="AM779" s="149">
        <f t="shared" si="296"/>
        <v>0</v>
      </c>
      <c r="AN779" s="149">
        <f t="shared" si="297"/>
        <v>0</v>
      </c>
      <c r="AO779" s="150" t="str">
        <f t="shared" si="312"/>
        <v>V</v>
      </c>
      <c r="AQ779" s="151">
        <f t="shared" si="313"/>
        <v>1449.0500000000002</v>
      </c>
    </row>
    <row r="780" spans="1:43" ht="15" customHeight="1">
      <c r="A780" s="82" t="e">
        <f t="shared" si="298"/>
        <v>#REF!</v>
      </c>
      <c r="B780" s="134">
        <v>112</v>
      </c>
      <c r="C780" s="135" t="s">
        <v>229</v>
      </c>
      <c r="D780" s="136" t="s">
        <v>39</v>
      </c>
      <c r="E780" s="137"/>
      <c r="F780" s="138" t="s">
        <v>279</v>
      </c>
      <c r="G780" s="139" t="s">
        <v>142</v>
      </c>
      <c r="H780" s="140" t="str">
        <f t="shared" si="299"/>
        <v>Niet van toepassing</v>
      </c>
      <c r="I780" s="138" t="s">
        <v>254</v>
      </c>
      <c r="J780" s="138" t="s">
        <v>1172</v>
      </c>
      <c r="K780" s="141" t="str">
        <f t="shared" si="300"/>
        <v>NVT</v>
      </c>
      <c r="L780" s="141" t="str">
        <f t="shared" si="301"/>
        <v>NVT</v>
      </c>
      <c r="M780" s="141" t="str">
        <f t="shared" si="302"/>
        <v>NVT</v>
      </c>
      <c r="N780" s="141" t="str">
        <f t="shared" si="303"/>
        <v>NVT</v>
      </c>
      <c r="O780" s="141" t="str">
        <f t="shared" si="304"/>
        <v>NVT</v>
      </c>
      <c r="P780" s="141" t="str">
        <f t="shared" si="305"/>
        <v>NVT</v>
      </c>
      <c r="Q780" s="141" t="str">
        <f t="shared" si="306"/>
        <v>NVT</v>
      </c>
      <c r="R780" s="63" t="s">
        <v>1221</v>
      </c>
      <c r="S780" s="142">
        <f t="shared" ref="S780:S843" si="314">VLOOKUP(R780,Kengetal,2,FALSE)</f>
        <v>0</v>
      </c>
      <c r="T780" s="143">
        <v>10.4</v>
      </c>
      <c r="U780" s="144"/>
      <c r="V780" s="144"/>
      <c r="W780" s="144">
        <f>41.1-2.4</f>
        <v>38.700000000000003</v>
      </c>
      <c r="X780" s="144"/>
      <c r="Y780" s="144"/>
      <c r="Z780" s="145">
        <f>T780</f>
        <v>10.4</v>
      </c>
      <c r="AA780" s="145"/>
      <c r="AB780" s="145"/>
      <c r="AC780" s="145"/>
      <c r="AD780" s="146" t="s">
        <v>228</v>
      </c>
      <c r="AE780" s="171">
        <v>1</v>
      </c>
      <c r="AF780" s="147">
        <f t="shared" si="307"/>
        <v>0</v>
      </c>
      <c r="AG780" s="147">
        <f t="shared" si="308"/>
        <v>0</v>
      </c>
      <c r="AH780" s="147">
        <f t="shared" si="309"/>
        <v>0</v>
      </c>
      <c r="AI780" s="147">
        <f t="shared" si="310"/>
        <v>0</v>
      </c>
      <c r="AJ780" s="148">
        <f t="shared" si="311"/>
        <v>0</v>
      </c>
      <c r="AK780" s="149">
        <f t="shared" si="294"/>
        <v>0</v>
      </c>
      <c r="AL780" s="149">
        <f t="shared" si="295"/>
        <v>0</v>
      </c>
      <c r="AM780" s="149">
        <f t="shared" si="296"/>
        <v>0</v>
      </c>
      <c r="AN780" s="149">
        <f t="shared" si="297"/>
        <v>0</v>
      </c>
      <c r="AO780" s="150">
        <f t="shared" si="312"/>
        <v>0</v>
      </c>
      <c r="AQ780" s="151">
        <f t="shared" si="313"/>
        <v>0</v>
      </c>
    </row>
    <row r="781" spans="1:43" ht="15" customHeight="1">
      <c r="A781" s="82" t="e">
        <f t="shared" si="298"/>
        <v>#REF!</v>
      </c>
      <c r="B781" s="134">
        <v>112</v>
      </c>
      <c r="C781" s="135" t="s">
        <v>229</v>
      </c>
      <c r="D781" s="136" t="s">
        <v>39</v>
      </c>
      <c r="E781" s="137"/>
      <c r="F781" s="138" t="s">
        <v>214</v>
      </c>
      <c r="G781" s="139" t="s">
        <v>157</v>
      </c>
      <c r="H781" s="140" t="str">
        <f t="shared" si="299"/>
        <v>Niet van toepassing</v>
      </c>
      <c r="I781" s="138" t="s">
        <v>254</v>
      </c>
      <c r="J781" s="138" t="s">
        <v>1172</v>
      </c>
      <c r="K781" s="141" t="str">
        <f t="shared" si="300"/>
        <v>NVT</v>
      </c>
      <c r="L781" s="141" t="str">
        <f t="shared" si="301"/>
        <v>NVT</v>
      </c>
      <c r="M781" s="141" t="str">
        <f t="shared" si="302"/>
        <v>NVT</v>
      </c>
      <c r="N781" s="141" t="str">
        <f t="shared" si="303"/>
        <v>NVT</v>
      </c>
      <c r="O781" s="141" t="str">
        <f t="shared" si="304"/>
        <v>NVT</v>
      </c>
      <c r="P781" s="141" t="str">
        <f t="shared" si="305"/>
        <v>NVT</v>
      </c>
      <c r="Q781" s="141" t="str">
        <f t="shared" si="306"/>
        <v>NVT</v>
      </c>
      <c r="R781" s="63" t="s">
        <v>1221</v>
      </c>
      <c r="S781" s="142">
        <f t="shared" si="314"/>
        <v>0</v>
      </c>
      <c r="T781" s="143">
        <v>20.7</v>
      </c>
      <c r="U781" s="144"/>
      <c r="V781" s="144"/>
      <c r="W781" s="144">
        <v>50.6</v>
      </c>
      <c r="X781" s="144"/>
      <c r="Y781" s="144"/>
      <c r="Z781" s="145">
        <f>T781</f>
        <v>20.7</v>
      </c>
      <c r="AA781" s="145"/>
      <c r="AB781" s="145"/>
      <c r="AC781" s="145"/>
      <c r="AD781" s="146"/>
      <c r="AE781" s="171">
        <v>1</v>
      </c>
      <c r="AF781" s="147">
        <f t="shared" si="307"/>
        <v>0</v>
      </c>
      <c r="AG781" s="147">
        <f t="shared" si="308"/>
        <v>0</v>
      </c>
      <c r="AH781" s="147">
        <f t="shared" si="309"/>
        <v>0</v>
      </c>
      <c r="AI781" s="147">
        <f t="shared" si="310"/>
        <v>0</v>
      </c>
      <c r="AJ781" s="148">
        <f t="shared" si="311"/>
        <v>0</v>
      </c>
      <c r="AK781" s="149">
        <f t="shared" si="294"/>
        <v>0</v>
      </c>
      <c r="AL781" s="149">
        <f t="shared" si="295"/>
        <v>0</v>
      </c>
      <c r="AM781" s="149">
        <f t="shared" si="296"/>
        <v>0</v>
      </c>
      <c r="AN781" s="149">
        <f t="shared" si="297"/>
        <v>0</v>
      </c>
      <c r="AO781" s="150">
        <f t="shared" si="312"/>
        <v>0</v>
      </c>
      <c r="AQ781" s="151">
        <f t="shared" si="313"/>
        <v>0</v>
      </c>
    </row>
    <row r="782" spans="1:43" ht="15" customHeight="1">
      <c r="A782" s="82" t="e">
        <f t="shared" si="298"/>
        <v>#REF!</v>
      </c>
      <c r="B782" s="134">
        <v>112</v>
      </c>
      <c r="C782" s="135" t="s">
        <v>229</v>
      </c>
      <c r="D782" s="136" t="s">
        <v>39</v>
      </c>
      <c r="E782" s="137"/>
      <c r="F782" s="138" t="s">
        <v>241</v>
      </c>
      <c r="G782" s="139" t="s">
        <v>217</v>
      </c>
      <c r="H782" s="140" t="str">
        <f t="shared" si="299"/>
        <v>Kantoren/spreekkamers</v>
      </c>
      <c r="I782" s="138" t="s">
        <v>270</v>
      </c>
      <c r="J782" s="138" t="s">
        <v>1171</v>
      </c>
      <c r="K782" s="141" t="str">
        <f t="shared" si="300"/>
        <v>Omde dag Vol/Nal.</v>
      </c>
      <c r="L782" s="141" t="str">
        <f t="shared" si="301"/>
        <v>Omde dag Nal./Vol</v>
      </c>
      <c r="M782" s="141" t="str">
        <f t="shared" si="302"/>
        <v>Omde dag Vol/Nal.</v>
      </c>
      <c r="N782" s="141" t="str">
        <f t="shared" si="303"/>
        <v>Omde dag Nal./Vol</v>
      </c>
      <c r="O782" s="141" t="str">
        <f t="shared" si="304"/>
        <v>Omde dag Vol/Nal.</v>
      </c>
      <c r="P782" s="141" t="str">
        <f t="shared" si="305"/>
        <v>Omde dag Nal./Vol</v>
      </c>
      <c r="Q782" s="141" t="str">
        <f t="shared" si="306"/>
        <v>Omde dag Vol/Nal.</v>
      </c>
      <c r="R782" s="63" t="s">
        <v>1220</v>
      </c>
      <c r="S782" s="142">
        <f t="shared" si="314"/>
        <v>365</v>
      </c>
      <c r="T782" s="143">
        <v>18.2</v>
      </c>
      <c r="U782" s="144">
        <v>2.8</v>
      </c>
      <c r="V782" s="144"/>
      <c r="W782" s="144"/>
      <c r="X782" s="144"/>
      <c r="Y782" s="144">
        <f>43.6+4.8</f>
        <v>48.4</v>
      </c>
      <c r="Z782" s="145"/>
      <c r="AA782" s="145">
        <f>T782</f>
        <v>18.2</v>
      </c>
      <c r="AB782" s="145"/>
      <c r="AC782" s="145"/>
      <c r="AD782" s="146"/>
      <c r="AE782" s="171">
        <v>1</v>
      </c>
      <c r="AF782" s="147">
        <f t="shared" si="307"/>
        <v>0</v>
      </c>
      <c r="AG782" s="147">
        <f t="shared" si="308"/>
        <v>0</v>
      </c>
      <c r="AH782" s="147">
        <f t="shared" si="309"/>
        <v>0</v>
      </c>
      <c r="AI782" s="147">
        <f t="shared" si="310"/>
        <v>0</v>
      </c>
      <c r="AJ782" s="148" t="str">
        <f t="shared" si="311"/>
        <v>nee</v>
      </c>
      <c r="AK782" s="149">
        <f t="shared" si="294"/>
        <v>0</v>
      </c>
      <c r="AL782" s="149">
        <f t="shared" si="295"/>
        <v>0</v>
      </c>
      <c r="AM782" s="149">
        <f t="shared" si="296"/>
        <v>0</v>
      </c>
      <c r="AN782" s="149">
        <f t="shared" si="297"/>
        <v>0</v>
      </c>
      <c r="AO782" s="150" t="str">
        <f t="shared" si="312"/>
        <v>B</v>
      </c>
      <c r="AQ782" s="151">
        <f t="shared" si="313"/>
        <v>6643</v>
      </c>
    </row>
    <row r="783" spans="1:43" ht="15" customHeight="1">
      <c r="A783" s="82" t="e">
        <f t="shared" si="298"/>
        <v>#REF!</v>
      </c>
      <c r="B783" s="134">
        <v>112</v>
      </c>
      <c r="C783" s="135" t="s">
        <v>229</v>
      </c>
      <c r="D783" s="136" t="s">
        <v>39</v>
      </c>
      <c r="E783" s="137"/>
      <c r="F783" s="138" t="s">
        <v>242</v>
      </c>
      <c r="G783" s="139" t="s">
        <v>243</v>
      </c>
      <c r="H783" s="140" t="str">
        <f t="shared" si="299"/>
        <v>Hallen</v>
      </c>
      <c r="I783" s="138" t="s">
        <v>195</v>
      </c>
      <c r="J783" s="138" t="s">
        <v>1171</v>
      </c>
      <c r="K783" s="141" t="str">
        <f t="shared" si="300"/>
        <v>Omde dag Vol/Nal.</v>
      </c>
      <c r="L783" s="141" t="str">
        <f t="shared" si="301"/>
        <v>Omde dag Nal./Vol</v>
      </c>
      <c r="M783" s="141" t="str">
        <f t="shared" si="302"/>
        <v>Omde dag Vol/Nal.</v>
      </c>
      <c r="N783" s="141" t="str">
        <f t="shared" si="303"/>
        <v>Omde dag Nal./Vol</v>
      </c>
      <c r="O783" s="141" t="str">
        <f t="shared" si="304"/>
        <v>Omde dag Vol/Nal.</v>
      </c>
      <c r="P783" s="141" t="str">
        <f t="shared" si="305"/>
        <v>Omde dag Nal./Vol</v>
      </c>
      <c r="Q783" s="141" t="str">
        <f t="shared" si="306"/>
        <v>Omde dag Vol/Nal.</v>
      </c>
      <c r="R783" s="63" t="s">
        <v>1479</v>
      </c>
      <c r="S783" s="142">
        <f t="shared" si="314"/>
        <v>365</v>
      </c>
      <c r="T783" s="143">
        <v>15.4</v>
      </c>
      <c r="U783" s="144"/>
      <c r="V783" s="144"/>
      <c r="W783" s="144"/>
      <c r="X783" s="144"/>
      <c r="Y783" s="144">
        <v>21.5</v>
      </c>
      <c r="Z783" s="145"/>
      <c r="AA783" s="145">
        <f>T783</f>
        <v>15.4</v>
      </c>
      <c r="AB783" s="145"/>
      <c r="AC783" s="145"/>
      <c r="AD783" s="146"/>
      <c r="AE783" s="171">
        <v>1</v>
      </c>
      <c r="AF783" s="147">
        <f t="shared" si="307"/>
        <v>0</v>
      </c>
      <c r="AG783" s="147">
        <f t="shared" si="308"/>
        <v>0</v>
      </c>
      <c r="AH783" s="147">
        <f t="shared" si="309"/>
        <v>0</v>
      </c>
      <c r="AI783" s="147">
        <f t="shared" si="310"/>
        <v>0</v>
      </c>
      <c r="AJ783" s="148" t="str">
        <f t="shared" si="311"/>
        <v>ja</v>
      </c>
      <c r="AK783" s="149">
        <f t="shared" si="294"/>
        <v>0</v>
      </c>
      <c r="AL783" s="149">
        <f t="shared" si="295"/>
        <v>0</v>
      </c>
      <c r="AM783" s="149">
        <f t="shared" si="296"/>
        <v>0</v>
      </c>
      <c r="AN783" s="149">
        <f t="shared" si="297"/>
        <v>0</v>
      </c>
      <c r="AO783" s="150" t="str">
        <f t="shared" si="312"/>
        <v>V</v>
      </c>
      <c r="AQ783" s="151">
        <f t="shared" si="313"/>
        <v>5621</v>
      </c>
    </row>
    <row r="784" spans="1:43" ht="15" customHeight="1">
      <c r="A784" s="82" t="e">
        <f t="shared" si="298"/>
        <v>#REF!</v>
      </c>
      <c r="B784" s="134">
        <v>112</v>
      </c>
      <c r="C784" s="135" t="s">
        <v>229</v>
      </c>
      <c r="D784" s="136" t="s">
        <v>39</v>
      </c>
      <c r="E784" s="137"/>
      <c r="F784" s="138" t="s">
        <v>244</v>
      </c>
      <c r="G784" s="139" t="s">
        <v>245</v>
      </c>
      <c r="H784" s="140" t="str">
        <f t="shared" si="299"/>
        <v>Niet van toepassing</v>
      </c>
      <c r="I784" s="138" t="s">
        <v>270</v>
      </c>
      <c r="J784" s="138" t="s">
        <v>1172</v>
      </c>
      <c r="K784" s="141" t="str">
        <f t="shared" si="300"/>
        <v>NVT</v>
      </c>
      <c r="L784" s="141" t="str">
        <f t="shared" si="301"/>
        <v>NVT</v>
      </c>
      <c r="M784" s="141" t="str">
        <f t="shared" si="302"/>
        <v>NVT</v>
      </c>
      <c r="N784" s="141" t="str">
        <f t="shared" si="303"/>
        <v>NVT</v>
      </c>
      <c r="O784" s="141" t="str">
        <f t="shared" si="304"/>
        <v>NVT</v>
      </c>
      <c r="P784" s="141" t="str">
        <f t="shared" si="305"/>
        <v>NVT</v>
      </c>
      <c r="Q784" s="141" t="str">
        <f t="shared" si="306"/>
        <v>NVT</v>
      </c>
      <c r="R784" s="63" t="s">
        <v>1221</v>
      </c>
      <c r="S784" s="142">
        <f t="shared" si="314"/>
        <v>0</v>
      </c>
      <c r="T784" s="143">
        <v>5.5</v>
      </c>
      <c r="U784" s="144"/>
      <c r="V784" s="144"/>
      <c r="W784" s="144"/>
      <c r="X784" s="144"/>
      <c r="Y784" s="144">
        <f>30.5-2*1.9</f>
        <v>26.7</v>
      </c>
      <c r="Z784" s="145"/>
      <c r="AA784" s="145">
        <f>T784</f>
        <v>5.5</v>
      </c>
      <c r="AB784" s="145"/>
      <c r="AC784" s="145"/>
      <c r="AD784" s="146"/>
      <c r="AE784" s="171">
        <v>1</v>
      </c>
      <c r="AF784" s="147">
        <f t="shared" si="307"/>
        <v>0</v>
      </c>
      <c r="AG784" s="147">
        <f t="shared" si="308"/>
        <v>0</v>
      </c>
      <c r="AH784" s="147">
        <f t="shared" si="309"/>
        <v>0</v>
      </c>
      <c r="AI784" s="147">
        <f t="shared" si="310"/>
        <v>0</v>
      </c>
      <c r="AJ784" s="148">
        <f t="shared" si="311"/>
        <v>0</v>
      </c>
      <c r="AK784" s="149">
        <f t="shared" si="294"/>
        <v>0</v>
      </c>
      <c r="AL784" s="149">
        <f t="shared" si="295"/>
        <v>0</v>
      </c>
      <c r="AM784" s="149">
        <f t="shared" si="296"/>
        <v>0</v>
      </c>
      <c r="AN784" s="149">
        <f t="shared" si="297"/>
        <v>0</v>
      </c>
      <c r="AO784" s="150">
        <f t="shared" si="312"/>
        <v>0</v>
      </c>
      <c r="AQ784" s="151">
        <f t="shared" si="313"/>
        <v>0</v>
      </c>
    </row>
    <row r="785" spans="1:43" ht="15" customHeight="1">
      <c r="A785" s="82" t="e">
        <f t="shared" si="298"/>
        <v>#REF!</v>
      </c>
      <c r="B785" s="134">
        <v>112</v>
      </c>
      <c r="C785" s="135" t="s">
        <v>229</v>
      </c>
      <c r="D785" s="136" t="s">
        <v>39</v>
      </c>
      <c r="E785" s="137"/>
      <c r="F785" s="138" t="s">
        <v>246</v>
      </c>
      <c r="G785" s="139" t="s">
        <v>247</v>
      </c>
      <c r="H785" s="140" t="str">
        <f t="shared" si="299"/>
        <v>Niet van toepassing</v>
      </c>
      <c r="I785" s="138" t="s">
        <v>254</v>
      </c>
      <c r="J785" s="138" t="s">
        <v>1172</v>
      </c>
      <c r="K785" s="141" t="str">
        <f t="shared" si="300"/>
        <v>NVT</v>
      </c>
      <c r="L785" s="141" t="str">
        <f t="shared" si="301"/>
        <v>NVT</v>
      </c>
      <c r="M785" s="141" t="str">
        <f t="shared" si="302"/>
        <v>NVT</v>
      </c>
      <c r="N785" s="141" t="str">
        <f t="shared" si="303"/>
        <v>NVT</v>
      </c>
      <c r="O785" s="141" t="str">
        <f t="shared" si="304"/>
        <v>NVT</v>
      </c>
      <c r="P785" s="141" t="str">
        <f t="shared" si="305"/>
        <v>NVT</v>
      </c>
      <c r="Q785" s="141" t="str">
        <f t="shared" si="306"/>
        <v>NVT</v>
      </c>
      <c r="R785" s="63" t="s">
        <v>1221</v>
      </c>
      <c r="S785" s="142">
        <f t="shared" si="314"/>
        <v>0</v>
      </c>
      <c r="T785" s="143">
        <v>13.9</v>
      </c>
      <c r="U785" s="144"/>
      <c r="V785" s="144"/>
      <c r="W785" s="144"/>
      <c r="X785" s="144"/>
      <c r="Y785" s="144">
        <f>48.6-1.9</f>
        <v>46.7</v>
      </c>
      <c r="Z785" s="145">
        <f>T785</f>
        <v>13.9</v>
      </c>
      <c r="AA785" s="145"/>
      <c r="AB785" s="145"/>
      <c r="AC785" s="145"/>
      <c r="AD785" s="146"/>
      <c r="AE785" s="171">
        <v>1</v>
      </c>
      <c r="AF785" s="147">
        <f t="shared" si="307"/>
        <v>0</v>
      </c>
      <c r="AG785" s="147">
        <f t="shared" si="308"/>
        <v>0</v>
      </c>
      <c r="AH785" s="147">
        <f t="shared" si="309"/>
        <v>0</v>
      </c>
      <c r="AI785" s="147">
        <f t="shared" si="310"/>
        <v>0</v>
      </c>
      <c r="AJ785" s="148">
        <f t="shared" si="311"/>
        <v>0</v>
      </c>
      <c r="AK785" s="149">
        <f t="shared" si="294"/>
        <v>0</v>
      </c>
      <c r="AL785" s="149">
        <f t="shared" si="295"/>
        <v>0</v>
      </c>
      <c r="AM785" s="149">
        <f t="shared" si="296"/>
        <v>0</v>
      </c>
      <c r="AN785" s="149">
        <f t="shared" si="297"/>
        <v>0</v>
      </c>
      <c r="AO785" s="150">
        <f t="shared" si="312"/>
        <v>0</v>
      </c>
      <c r="AQ785" s="151">
        <f t="shared" si="313"/>
        <v>0</v>
      </c>
    </row>
    <row r="786" spans="1:43" ht="15" customHeight="1">
      <c r="A786" s="82" t="e">
        <f t="shared" si="298"/>
        <v>#REF!</v>
      </c>
      <c r="B786" s="134">
        <v>112</v>
      </c>
      <c r="C786" s="135" t="s">
        <v>229</v>
      </c>
      <c r="D786" s="136" t="s">
        <v>39</v>
      </c>
      <c r="E786" s="137"/>
      <c r="F786" s="138" t="s">
        <v>248</v>
      </c>
      <c r="G786" s="139" t="s">
        <v>249</v>
      </c>
      <c r="H786" s="140" t="str">
        <f t="shared" si="299"/>
        <v>Niet van toepassing</v>
      </c>
      <c r="I786" s="138" t="s">
        <v>270</v>
      </c>
      <c r="J786" s="138" t="s">
        <v>1172</v>
      </c>
      <c r="K786" s="141" t="str">
        <f t="shared" si="300"/>
        <v>NVT</v>
      </c>
      <c r="L786" s="141" t="str">
        <f t="shared" si="301"/>
        <v>NVT</v>
      </c>
      <c r="M786" s="141" t="str">
        <f t="shared" si="302"/>
        <v>NVT</v>
      </c>
      <c r="N786" s="141" t="str">
        <f t="shared" si="303"/>
        <v>NVT</v>
      </c>
      <c r="O786" s="141" t="str">
        <f t="shared" si="304"/>
        <v>NVT</v>
      </c>
      <c r="P786" s="141" t="str">
        <f t="shared" si="305"/>
        <v>NVT</v>
      </c>
      <c r="Q786" s="141" t="str">
        <f t="shared" si="306"/>
        <v>NVT</v>
      </c>
      <c r="R786" s="63" t="s">
        <v>1221</v>
      </c>
      <c r="S786" s="142">
        <f t="shared" si="314"/>
        <v>0</v>
      </c>
      <c r="T786" s="143">
        <v>29.8</v>
      </c>
      <c r="U786" s="144"/>
      <c r="V786" s="144"/>
      <c r="W786" s="144"/>
      <c r="X786" s="144"/>
      <c r="Y786" s="144">
        <f>67.3-1.9</f>
        <v>65.399999999999991</v>
      </c>
      <c r="Z786" s="145"/>
      <c r="AA786" s="145">
        <f>T786</f>
        <v>29.8</v>
      </c>
      <c r="AB786" s="145"/>
      <c r="AC786" s="145"/>
      <c r="AD786" s="146"/>
      <c r="AE786" s="171">
        <v>1</v>
      </c>
      <c r="AF786" s="147">
        <f t="shared" si="307"/>
        <v>0</v>
      </c>
      <c r="AG786" s="147">
        <f t="shared" si="308"/>
        <v>0</v>
      </c>
      <c r="AH786" s="147">
        <f t="shared" si="309"/>
        <v>0</v>
      </c>
      <c r="AI786" s="147">
        <f t="shared" si="310"/>
        <v>0</v>
      </c>
      <c r="AJ786" s="148">
        <f t="shared" si="311"/>
        <v>0</v>
      </c>
      <c r="AK786" s="149">
        <f t="shared" si="294"/>
        <v>0</v>
      </c>
      <c r="AL786" s="149">
        <f t="shared" si="295"/>
        <v>0</v>
      </c>
      <c r="AM786" s="149">
        <f t="shared" si="296"/>
        <v>0</v>
      </c>
      <c r="AN786" s="149">
        <f t="shared" si="297"/>
        <v>0</v>
      </c>
      <c r="AO786" s="150">
        <f t="shared" si="312"/>
        <v>0</v>
      </c>
      <c r="AQ786" s="151">
        <f t="shared" si="313"/>
        <v>0</v>
      </c>
    </row>
    <row r="787" spans="1:43" ht="15" customHeight="1">
      <c r="A787" s="82" t="e">
        <f t="shared" si="298"/>
        <v>#REF!</v>
      </c>
      <c r="B787" s="134">
        <v>112</v>
      </c>
      <c r="C787" s="135" t="s">
        <v>229</v>
      </c>
      <c r="D787" s="136" t="s">
        <v>39</v>
      </c>
      <c r="E787" s="137"/>
      <c r="F787" s="138" t="s">
        <v>250</v>
      </c>
      <c r="G787" s="139" t="s">
        <v>219</v>
      </c>
      <c r="H787" s="140" t="str">
        <f t="shared" si="299"/>
        <v>Niet van toepassing</v>
      </c>
      <c r="I787" s="138" t="s">
        <v>254</v>
      </c>
      <c r="J787" s="138" t="s">
        <v>1172</v>
      </c>
      <c r="K787" s="141" t="str">
        <f t="shared" si="300"/>
        <v>NVT</v>
      </c>
      <c r="L787" s="141" t="str">
        <f t="shared" si="301"/>
        <v>NVT</v>
      </c>
      <c r="M787" s="141" t="str">
        <f t="shared" si="302"/>
        <v>NVT</v>
      </c>
      <c r="N787" s="141" t="str">
        <f t="shared" si="303"/>
        <v>NVT</v>
      </c>
      <c r="O787" s="141" t="str">
        <f t="shared" si="304"/>
        <v>NVT</v>
      </c>
      <c r="P787" s="141" t="str">
        <f t="shared" si="305"/>
        <v>NVT</v>
      </c>
      <c r="Q787" s="141" t="str">
        <f t="shared" si="306"/>
        <v>NVT</v>
      </c>
      <c r="R787" s="63" t="s">
        <v>1221</v>
      </c>
      <c r="S787" s="142">
        <f t="shared" si="314"/>
        <v>0</v>
      </c>
      <c r="T787" s="143">
        <v>31.36</v>
      </c>
      <c r="U787" s="144"/>
      <c r="V787" s="144"/>
      <c r="W787" s="144"/>
      <c r="X787" s="144"/>
      <c r="Y787" s="144">
        <v>53</v>
      </c>
      <c r="Z787" s="145"/>
      <c r="AA787" s="145">
        <f>T787</f>
        <v>31.36</v>
      </c>
      <c r="AB787" s="145">
        <v>24</v>
      </c>
      <c r="AC787" s="145"/>
      <c r="AD787" s="146"/>
      <c r="AE787" s="171">
        <v>1</v>
      </c>
      <c r="AF787" s="147">
        <f t="shared" si="307"/>
        <v>0</v>
      </c>
      <c r="AG787" s="147">
        <f t="shared" si="308"/>
        <v>0</v>
      </c>
      <c r="AH787" s="147">
        <f t="shared" si="309"/>
        <v>0</v>
      </c>
      <c r="AI787" s="147">
        <f t="shared" si="310"/>
        <v>0</v>
      </c>
      <c r="AJ787" s="148">
        <f t="shared" si="311"/>
        <v>0</v>
      </c>
      <c r="AK787" s="149">
        <f t="shared" si="294"/>
        <v>0</v>
      </c>
      <c r="AL787" s="149">
        <f t="shared" si="295"/>
        <v>0</v>
      </c>
      <c r="AM787" s="149">
        <f t="shared" si="296"/>
        <v>0</v>
      </c>
      <c r="AN787" s="149">
        <f t="shared" si="297"/>
        <v>0</v>
      </c>
      <c r="AO787" s="150">
        <f t="shared" si="312"/>
        <v>0</v>
      </c>
      <c r="AQ787" s="151">
        <f t="shared" si="313"/>
        <v>0</v>
      </c>
    </row>
    <row r="788" spans="1:43" ht="15" customHeight="1">
      <c r="A788" s="82" t="e">
        <f t="shared" si="298"/>
        <v>#REF!</v>
      </c>
      <c r="B788" s="134">
        <v>112</v>
      </c>
      <c r="C788" s="135" t="s">
        <v>229</v>
      </c>
      <c r="D788" s="136" t="s">
        <v>39</v>
      </c>
      <c r="E788" s="137"/>
      <c r="F788" s="138" t="s">
        <v>251</v>
      </c>
      <c r="G788" s="139" t="s">
        <v>175</v>
      </c>
      <c r="H788" s="140" t="str">
        <f t="shared" si="299"/>
        <v>Niet van toepassing</v>
      </c>
      <c r="I788" s="138" t="s">
        <v>254</v>
      </c>
      <c r="J788" s="138" t="s">
        <v>1172</v>
      </c>
      <c r="K788" s="141" t="str">
        <f t="shared" si="300"/>
        <v>NVT</v>
      </c>
      <c r="L788" s="141" t="str">
        <f t="shared" si="301"/>
        <v>NVT</v>
      </c>
      <c r="M788" s="141" t="str">
        <f t="shared" si="302"/>
        <v>NVT</v>
      </c>
      <c r="N788" s="141" t="str">
        <f t="shared" si="303"/>
        <v>NVT</v>
      </c>
      <c r="O788" s="141" t="str">
        <f t="shared" si="304"/>
        <v>NVT</v>
      </c>
      <c r="P788" s="141" t="str">
        <f t="shared" si="305"/>
        <v>NVT</v>
      </c>
      <c r="Q788" s="141" t="str">
        <f t="shared" si="306"/>
        <v>NVT</v>
      </c>
      <c r="R788" s="63" t="s">
        <v>1221</v>
      </c>
      <c r="S788" s="142">
        <f t="shared" si="314"/>
        <v>0</v>
      </c>
      <c r="T788" s="143">
        <v>34.200000000000003</v>
      </c>
      <c r="U788" s="144"/>
      <c r="V788" s="144"/>
      <c r="W788" s="144"/>
      <c r="X788" s="144"/>
      <c r="Y788" s="144">
        <f>50.6-1.9</f>
        <v>48.7</v>
      </c>
      <c r="Z788" s="145"/>
      <c r="AA788" s="145">
        <f>T788</f>
        <v>34.200000000000003</v>
      </c>
      <c r="AB788" s="145">
        <v>26</v>
      </c>
      <c r="AC788" s="145"/>
      <c r="AD788" s="146"/>
      <c r="AE788" s="171">
        <v>1</v>
      </c>
      <c r="AF788" s="147">
        <f t="shared" si="307"/>
        <v>0</v>
      </c>
      <c r="AG788" s="147">
        <f t="shared" si="308"/>
        <v>0</v>
      </c>
      <c r="AH788" s="147">
        <f t="shared" si="309"/>
        <v>0</v>
      </c>
      <c r="AI788" s="147">
        <f t="shared" si="310"/>
        <v>0</v>
      </c>
      <c r="AJ788" s="148">
        <f t="shared" si="311"/>
        <v>0</v>
      </c>
      <c r="AK788" s="149">
        <f t="shared" si="294"/>
        <v>0</v>
      </c>
      <c r="AL788" s="149">
        <f t="shared" si="295"/>
        <v>0</v>
      </c>
      <c r="AM788" s="149">
        <f t="shared" si="296"/>
        <v>0</v>
      </c>
      <c r="AN788" s="149">
        <f t="shared" si="297"/>
        <v>0</v>
      </c>
      <c r="AO788" s="150">
        <f t="shared" si="312"/>
        <v>0</v>
      </c>
      <c r="AQ788" s="151">
        <f t="shared" si="313"/>
        <v>0</v>
      </c>
    </row>
    <row r="789" spans="1:43" ht="15" customHeight="1">
      <c r="A789" s="82" t="e">
        <f t="shared" si="298"/>
        <v>#REF!</v>
      </c>
      <c r="B789" s="134">
        <v>112</v>
      </c>
      <c r="C789" s="135" t="s">
        <v>229</v>
      </c>
      <c r="D789" s="136" t="s">
        <v>39</v>
      </c>
      <c r="E789" s="137"/>
      <c r="F789" s="138" t="s">
        <v>252</v>
      </c>
      <c r="G789" s="139" t="s">
        <v>253</v>
      </c>
      <c r="H789" s="140" t="str">
        <f t="shared" si="299"/>
        <v>Niet van toepassing</v>
      </c>
      <c r="I789" s="138" t="s">
        <v>270</v>
      </c>
      <c r="J789" s="138" t="s">
        <v>1172</v>
      </c>
      <c r="K789" s="141" t="str">
        <f t="shared" si="300"/>
        <v>NVT</v>
      </c>
      <c r="L789" s="141" t="str">
        <f t="shared" si="301"/>
        <v>NVT</v>
      </c>
      <c r="M789" s="141" t="str">
        <f t="shared" si="302"/>
        <v>NVT</v>
      </c>
      <c r="N789" s="141" t="str">
        <f t="shared" si="303"/>
        <v>NVT</v>
      </c>
      <c r="O789" s="141" t="str">
        <f t="shared" si="304"/>
        <v>NVT</v>
      </c>
      <c r="P789" s="141" t="str">
        <f t="shared" si="305"/>
        <v>NVT</v>
      </c>
      <c r="Q789" s="141" t="str">
        <f t="shared" si="306"/>
        <v>NVT</v>
      </c>
      <c r="R789" s="63" t="s">
        <v>1221</v>
      </c>
      <c r="S789" s="142">
        <f t="shared" si="314"/>
        <v>0</v>
      </c>
      <c r="T789" s="143">
        <v>10.76</v>
      </c>
      <c r="U789" s="144"/>
      <c r="V789" s="144"/>
      <c r="W789" s="144"/>
      <c r="X789" s="144"/>
      <c r="Y789" s="144">
        <v>20.3</v>
      </c>
      <c r="Z789" s="145"/>
      <c r="AA789" s="145">
        <f>T789</f>
        <v>10.76</v>
      </c>
      <c r="AB789" s="145"/>
      <c r="AC789" s="145"/>
      <c r="AD789" s="146"/>
      <c r="AE789" s="171">
        <v>1</v>
      </c>
      <c r="AF789" s="147">
        <f t="shared" si="307"/>
        <v>0</v>
      </c>
      <c r="AG789" s="147">
        <f t="shared" si="308"/>
        <v>0</v>
      </c>
      <c r="AH789" s="147">
        <f t="shared" si="309"/>
        <v>0</v>
      </c>
      <c r="AI789" s="147">
        <f t="shared" si="310"/>
        <v>0</v>
      </c>
      <c r="AJ789" s="148">
        <f t="shared" si="311"/>
        <v>0</v>
      </c>
      <c r="AK789" s="149">
        <f t="shared" si="294"/>
        <v>0</v>
      </c>
      <c r="AL789" s="149">
        <f t="shared" si="295"/>
        <v>0</v>
      </c>
      <c r="AM789" s="149">
        <f t="shared" si="296"/>
        <v>0</v>
      </c>
      <c r="AN789" s="149">
        <f t="shared" si="297"/>
        <v>0</v>
      </c>
      <c r="AO789" s="150">
        <f t="shared" si="312"/>
        <v>0</v>
      </c>
      <c r="AQ789" s="151">
        <f t="shared" si="313"/>
        <v>0</v>
      </c>
    </row>
    <row r="790" spans="1:43" ht="15" customHeight="1">
      <c r="A790" s="82" t="e">
        <f t="shared" si="298"/>
        <v>#REF!</v>
      </c>
      <c r="B790" s="134">
        <v>112</v>
      </c>
      <c r="C790" s="135" t="s">
        <v>229</v>
      </c>
      <c r="D790" s="136" t="s">
        <v>39</v>
      </c>
      <c r="E790" s="137"/>
      <c r="F790" s="138" t="s">
        <v>101</v>
      </c>
      <c r="G790" s="139" t="s">
        <v>185</v>
      </c>
      <c r="H790" s="140" t="str">
        <f t="shared" si="299"/>
        <v>Perrons</v>
      </c>
      <c r="I790" s="138" t="s">
        <v>199</v>
      </c>
      <c r="J790" s="138" t="s">
        <v>1171</v>
      </c>
      <c r="K790" s="141" t="str">
        <f t="shared" si="300"/>
        <v>Omde dag Vol/Nal.</v>
      </c>
      <c r="L790" s="141" t="str">
        <f t="shared" si="301"/>
        <v>Omde dag Nal./Vol</v>
      </c>
      <c r="M790" s="141" t="str">
        <f t="shared" si="302"/>
        <v>Omde dag Vol/Nal.</v>
      </c>
      <c r="N790" s="141" t="str">
        <f t="shared" si="303"/>
        <v>Omde dag Nal./Vol</v>
      </c>
      <c r="O790" s="141" t="str">
        <f t="shared" si="304"/>
        <v>Omde dag Vol/Nal.</v>
      </c>
      <c r="P790" s="141" t="str">
        <f t="shared" si="305"/>
        <v>Omde dag Nal./Vol</v>
      </c>
      <c r="Q790" s="141" t="str">
        <f t="shared" si="306"/>
        <v>Omde dag Vol/Nal.</v>
      </c>
      <c r="R790" s="63" t="s">
        <v>1473</v>
      </c>
      <c r="S790" s="142">
        <f t="shared" si="314"/>
        <v>365</v>
      </c>
      <c r="T790" s="143">
        <v>1504.46</v>
      </c>
      <c r="U790" s="144"/>
      <c r="V790" s="144"/>
      <c r="W790" s="144"/>
      <c r="X790" s="144"/>
      <c r="Y790" s="144"/>
      <c r="Z790" s="145">
        <f>166.39*10.09</f>
        <v>1678.8750999999997</v>
      </c>
      <c r="AA790" s="145"/>
      <c r="AB790" s="145"/>
      <c r="AC790" s="145"/>
      <c r="AD790" s="146"/>
      <c r="AE790" s="171">
        <v>1</v>
      </c>
      <c r="AF790" s="147">
        <f t="shared" si="307"/>
        <v>0</v>
      </c>
      <c r="AG790" s="147">
        <f t="shared" si="308"/>
        <v>0</v>
      </c>
      <c r="AH790" s="147">
        <f t="shared" si="309"/>
        <v>0</v>
      </c>
      <c r="AI790" s="147">
        <f t="shared" si="310"/>
        <v>0</v>
      </c>
      <c r="AJ790" s="148" t="str">
        <f t="shared" si="311"/>
        <v>ja</v>
      </c>
      <c r="AK790" s="149">
        <f t="shared" si="294"/>
        <v>0</v>
      </c>
      <c r="AL790" s="149">
        <f t="shared" si="295"/>
        <v>0</v>
      </c>
      <c r="AM790" s="149">
        <f t="shared" si="296"/>
        <v>0</v>
      </c>
      <c r="AN790" s="149">
        <f t="shared" si="297"/>
        <v>0</v>
      </c>
      <c r="AO790" s="150" t="str">
        <f t="shared" si="312"/>
        <v>V</v>
      </c>
      <c r="AQ790" s="151">
        <f t="shared" si="313"/>
        <v>549127.9</v>
      </c>
    </row>
    <row r="791" spans="1:43" ht="15" customHeight="1">
      <c r="A791" s="82" t="e">
        <f t="shared" si="298"/>
        <v>#REF!</v>
      </c>
      <c r="B791" s="134">
        <v>112</v>
      </c>
      <c r="C791" s="135" t="s">
        <v>229</v>
      </c>
      <c r="D791" s="136" t="s">
        <v>39</v>
      </c>
      <c r="E791" s="137"/>
      <c r="F791" s="138" t="s">
        <v>255</v>
      </c>
      <c r="G791" s="139" t="s">
        <v>187</v>
      </c>
      <c r="H791" s="140" t="str">
        <f t="shared" si="299"/>
        <v>Trappen</v>
      </c>
      <c r="I791" s="138" t="s">
        <v>118</v>
      </c>
      <c r="J791" s="138" t="s">
        <v>1171</v>
      </c>
      <c r="K791" s="141" t="str">
        <f t="shared" si="300"/>
        <v>Omde dag Vol/Nal.</v>
      </c>
      <c r="L791" s="141" t="str">
        <f t="shared" si="301"/>
        <v>Omde dag Nal./Vol</v>
      </c>
      <c r="M791" s="141" t="str">
        <f t="shared" si="302"/>
        <v>Omde dag Vol/Nal.</v>
      </c>
      <c r="N791" s="141" t="str">
        <f t="shared" si="303"/>
        <v>Omde dag Nal./Vol</v>
      </c>
      <c r="O791" s="141" t="str">
        <f t="shared" si="304"/>
        <v>Omde dag Vol/Nal.</v>
      </c>
      <c r="P791" s="141" t="str">
        <f t="shared" si="305"/>
        <v>Omde dag Nal./Vol</v>
      </c>
      <c r="Q791" s="141" t="str">
        <f t="shared" si="306"/>
        <v>Omde dag Vol/Nal.</v>
      </c>
      <c r="R791" s="63" t="s">
        <v>1477</v>
      </c>
      <c r="S791" s="142">
        <f t="shared" si="314"/>
        <v>365</v>
      </c>
      <c r="T791" s="143">
        <v>32.74</v>
      </c>
      <c r="U791" s="144" t="s">
        <v>1111</v>
      </c>
      <c r="V791" s="144"/>
      <c r="W791" s="144"/>
      <c r="X791" s="144"/>
      <c r="Y791" s="144"/>
      <c r="Z791" s="145"/>
      <c r="AA791" s="145"/>
      <c r="AB791" s="145"/>
      <c r="AC791" s="145"/>
      <c r="AD791" s="146"/>
      <c r="AE791" s="171">
        <v>1</v>
      </c>
      <c r="AF791" s="147">
        <f t="shared" si="307"/>
        <v>0</v>
      </c>
      <c r="AG791" s="147">
        <f t="shared" si="308"/>
        <v>0</v>
      </c>
      <c r="AH791" s="147">
        <f t="shared" si="309"/>
        <v>0</v>
      </c>
      <c r="AI791" s="147">
        <f t="shared" si="310"/>
        <v>0</v>
      </c>
      <c r="AJ791" s="148" t="str">
        <f t="shared" si="311"/>
        <v>ja</v>
      </c>
      <c r="AK791" s="149">
        <f t="shared" si="294"/>
        <v>0</v>
      </c>
      <c r="AL791" s="149">
        <f t="shared" si="295"/>
        <v>0</v>
      </c>
      <c r="AM791" s="149">
        <f t="shared" si="296"/>
        <v>0</v>
      </c>
      <c r="AN791" s="149">
        <f t="shared" si="297"/>
        <v>0</v>
      </c>
      <c r="AO791" s="150" t="str">
        <f t="shared" si="312"/>
        <v>V</v>
      </c>
      <c r="AQ791" s="151">
        <f t="shared" si="313"/>
        <v>11950.1</v>
      </c>
    </row>
    <row r="792" spans="1:43" ht="15" customHeight="1">
      <c r="A792" s="82" t="e">
        <f t="shared" si="298"/>
        <v>#REF!</v>
      </c>
      <c r="B792" s="134">
        <v>112</v>
      </c>
      <c r="C792" s="135" t="s">
        <v>229</v>
      </c>
      <c r="D792" s="136" t="s">
        <v>39</v>
      </c>
      <c r="E792" s="137"/>
      <c r="F792" s="138" t="s">
        <v>256</v>
      </c>
      <c r="G792" s="139" t="s">
        <v>189</v>
      </c>
      <c r="H792" s="140" t="str">
        <f t="shared" si="299"/>
        <v>Trappen</v>
      </c>
      <c r="I792" s="138" t="s">
        <v>118</v>
      </c>
      <c r="J792" s="138" t="s">
        <v>1171</v>
      </c>
      <c r="K792" s="141" t="str">
        <f t="shared" si="300"/>
        <v>Omde dag Vol/Nal.</v>
      </c>
      <c r="L792" s="141" t="str">
        <f t="shared" si="301"/>
        <v>Omde dag Nal./Vol</v>
      </c>
      <c r="M792" s="141" t="str">
        <f t="shared" si="302"/>
        <v>Omde dag Vol/Nal.</v>
      </c>
      <c r="N792" s="141" t="str">
        <f t="shared" si="303"/>
        <v>Omde dag Nal./Vol</v>
      </c>
      <c r="O792" s="141" t="str">
        <f t="shared" si="304"/>
        <v>Omde dag Vol/Nal.</v>
      </c>
      <c r="P792" s="141" t="str">
        <f t="shared" si="305"/>
        <v>Omde dag Nal./Vol</v>
      </c>
      <c r="Q792" s="141" t="str">
        <f t="shared" si="306"/>
        <v>Omde dag Vol/Nal.</v>
      </c>
      <c r="R792" s="63" t="s">
        <v>1477</v>
      </c>
      <c r="S792" s="142">
        <f t="shared" si="314"/>
        <v>365</v>
      </c>
      <c r="T792" s="143">
        <v>32.74</v>
      </c>
      <c r="U792" s="144" t="s">
        <v>1111</v>
      </c>
      <c r="V792" s="144"/>
      <c r="W792" s="144"/>
      <c r="X792" s="144"/>
      <c r="Y792" s="144"/>
      <c r="Z792" s="145"/>
      <c r="AA792" s="145"/>
      <c r="AB792" s="145"/>
      <c r="AC792" s="145"/>
      <c r="AD792" s="146"/>
      <c r="AE792" s="171">
        <v>1</v>
      </c>
      <c r="AF792" s="147">
        <f t="shared" si="307"/>
        <v>0</v>
      </c>
      <c r="AG792" s="147">
        <f t="shared" si="308"/>
        <v>0</v>
      </c>
      <c r="AH792" s="147">
        <f t="shared" si="309"/>
        <v>0</v>
      </c>
      <c r="AI792" s="147">
        <f t="shared" si="310"/>
        <v>0</v>
      </c>
      <c r="AJ792" s="148" t="str">
        <f t="shared" si="311"/>
        <v>ja</v>
      </c>
      <c r="AK792" s="149">
        <f t="shared" si="294"/>
        <v>0</v>
      </c>
      <c r="AL792" s="149">
        <f t="shared" si="295"/>
        <v>0</v>
      </c>
      <c r="AM792" s="149">
        <f t="shared" si="296"/>
        <v>0</v>
      </c>
      <c r="AN792" s="149">
        <f t="shared" si="297"/>
        <v>0</v>
      </c>
      <c r="AO792" s="150" t="str">
        <f t="shared" si="312"/>
        <v>V</v>
      </c>
      <c r="AQ792" s="151">
        <f t="shared" si="313"/>
        <v>11950.1</v>
      </c>
    </row>
    <row r="793" spans="1:43" ht="15" customHeight="1">
      <c r="A793" s="82" t="e">
        <f t="shared" si="298"/>
        <v>#REF!</v>
      </c>
      <c r="B793" s="134">
        <v>112</v>
      </c>
      <c r="C793" s="135" t="s">
        <v>229</v>
      </c>
      <c r="D793" s="136" t="s">
        <v>39</v>
      </c>
      <c r="E793" s="137"/>
      <c r="F793" s="138" t="s">
        <v>257</v>
      </c>
      <c r="G793" s="139" t="s">
        <v>193</v>
      </c>
      <c r="H793" s="140" t="str">
        <f t="shared" si="299"/>
        <v>Roltrappen(inclusief aangrenzende bouwdelen)</v>
      </c>
      <c r="I793" s="138" t="s">
        <v>920</v>
      </c>
      <c r="J793" s="138" t="s">
        <v>1171</v>
      </c>
      <c r="K793" s="141" t="str">
        <f t="shared" si="300"/>
        <v>Omde dag Vol/Nal.</v>
      </c>
      <c r="L793" s="141" t="str">
        <f t="shared" si="301"/>
        <v>Omde dag Nal./Vol</v>
      </c>
      <c r="M793" s="141" t="str">
        <f t="shared" si="302"/>
        <v>Omde dag Vol/Nal.</v>
      </c>
      <c r="N793" s="141" t="str">
        <f t="shared" si="303"/>
        <v>Omde dag Nal./Vol</v>
      </c>
      <c r="O793" s="141" t="str">
        <f t="shared" si="304"/>
        <v>Omde dag Vol/Nal.</v>
      </c>
      <c r="P793" s="141" t="str">
        <f t="shared" si="305"/>
        <v>Omde dag Nal./Vol</v>
      </c>
      <c r="Q793" s="141" t="str">
        <f t="shared" si="306"/>
        <v>Omde dag Vol/Nal.</v>
      </c>
      <c r="R793" s="63" t="s">
        <v>1481</v>
      </c>
      <c r="S793" s="142">
        <f t="shared" si="314"/>
        <v>365</v>
      </c>
      <c r="T793" s="143">
        <f>18*1*1.5</f>
        <v>27</v>
      </c>
      <c r="U793" s="144"/>
      <c r="V793" s="144"/>
      <c r="W793" s="144"/>
      <c r="X793" s="144"/>
      <c r="Y793" s="144"/>
      <c r="Z793" s="145"/>
      <c r="AA793" s="145"/>
      <c r="AB793" s="145"/>
      <c r="AC793" s="145"/>
      <c r="AD793" s="146"/>
      <c r="AE793" s="171">
        <v>1</v>
      </c>
      <c r="AF793" s="147">
        <f t="shared" si="307"/>
        <v>0</v>
      </c>
      <c r="AG793" s="147">
        <f t="shared" si="308"/>
        <v>0</v>
      </c>
      <c r="AH793" s="147">
        <f t="shared" si="309"/>
        <v>0</v>
      </c>
      <c r="AI793" s="147">
        <f t="shared" si="310"/>
        <v>0</v>
      </c>
      <c r="AJ793" s="148" t="str">
        <f t="shared" si="311"/>
        <v>ja</v>
      </c>
      <c r="AK793" s="149">
        <f t="shared" si="294"/>
        <v>0</v>
      </c>
      <c r="AL793" s="149">
        <f t="shared" si="295"/>
        <v>0</v>
      </c>
      <c r="AM793" s="149">
        <f t="shared" si="296"/>
        <v>0</v>
      </c>
      <c r="AN793" s="149">
        <f t="shared" si="297"/>
        <v>0</v>
      </c>
      <c r="AO793" s="150" t="str">
        <f t="shared" si="312"/>
        <v>V</v>
      </c>
      <c r="AQ793" s="151">
        <f t="shared" si="313"/>
        <v>9855</v>
      </c>
    </row>
    <row r="794" spans="1:43" ht="15" customHeight="1">
      <c r="A794" s="82" t="e">
        <f t="shared" si="298"/>
        <v>#REF!</v>
      </c>
      <c r="B794" s="134">
        <v>112</v>
      </c>
      <c r="C794" s="135" t="s">
        <v>229</v>
      </c>
      <c r="D794" s="136" t="s">
        <v>39</v>
      </c>
      <c r="E794" s="137"/>
      <c r="F794" s="138" t="s">
        <v>258</v>
      </c>
      <c r="G794" s="139" t="s">
        <v>259</v>
      </c>
      <c r="H794" s="140" t="str">
        <f t="shared" si="299"/>
        <v>Roltrappen(inclusief aangrenzende bouwdelen)</v>
      </c>
      <c r="I794" s="138" t="s">
        <v>920</v>
      </c>
      <c r="J794" s="138" t="s">
        <v>1171</v>
      </c>
      <c r="K794" s="141" t="str">
        <f t="shared" si="300"/>
        <v>Omde dag Vol/Nal.</v>
      </c>
      <c r="L794" s="141" t="str">
        <f t="shared" si="301"/>
        <v>Omde dag Nal./Vol</v>
      </c>
      <c r="M794" s="141" t="str">
        <f t="shared" si="302"/>
        <v>Omde dag Vol/Nal.</v>
      </c>
      <c r="N794" s="141" t="str">
        <f t="shared" si="303"/>
        <v>Omde dag Nal./Vol</v>
      </c>
      <c r="O794" s="141" t="str">
        <f t="shared" si="304"/>
        <v>Omde dag Vol/Nal.</v>
      </c>
      <c r="P794" s="141" t="str">
        <f t="shared" si="305"/>
        <v>Omde dag Nal./Vol</v>
      </c>
      <c r="Q794" s="141" t="str">
        <f t="shared" si="306"/>
        <v>Omde dag Vol/Nal.</v>
      </c>
      <c r="R794" s="63" t="s">
        <v>1481</v>
      </c>
      <c r="S794" s="142">
        <f t="shared" si="314"/>
        <v>365</v>
      </c>
      <c r="T794" s="143">
        <f>18*1*1.5</f>
        <v>27</v>
      </c>
      <c r="U794" s="144"/>
      <c r="V794" s="144"/>
      <c r="W794" s="144"/>
      <c r="X794" s="144"/>
      <c r="Y794" s="144"/>
      <c r="Z794" s="145"/>
      <c r="AA794" s="145"/>
      <c r="AB794" s="145"/>
      <c r="AC794" s="145"/>
      <c r="AD794" s="146"/>
      <c r="AE794" s="171">
        <v>1</v>
      </c>
      <c r="AF794" s="147">
        <f t="shared" si="307"/>
        <v>0</v>
      </c>
      <c r="AG794" s="147">
        <f t="shared" si="308"/>
        <v>0</v>
      </c>
      <c r="AH794" s="147">
        <f t="shared" si="309"/>
        <v>0</v>
      </c>
      <c r="AI794" s="147">
        <f t="shared" si="310"/>
        <v>0</v>
      </c>
      <c r="AJ794" s="148" t="str">
        <f t="shared" si="311"/>
        <v>ja</v>
      </c>
      <c r="AK794" s="149">
        <f t="shared" si="294"/>
        <v>0</v>
      </c>
      <c r="AL794" s="149">
        <f t="shared" si="295"/>
        <v>0</v>
      </c>
      <c r="AM794" s="149">
        <f t="shared" si="296"/>
        <v>0</v>
      </c>
      <c r="AN794" s="149">
        <f t="shared" si="297"/>
        <v>0</v>
      </c>
      <c r="AO794" s="150" t="str">
        <f t="shared" si="312"/>
        <v>V</v>
      </c>
      <c r="AQ794" s="151">
        <f t="shared" si="313"/>
        <v>9855</v>
      </c>
    </row>
    <row r="795" spans="1:43" ht="15" customHeight="1">
      <c r="A795" s="82" t="e">
        <f t="shared" si="298"/>
        <v>#REF!</v>
      </c>
      <c r="B795" s="134">
        <v>113</v>
      </c>
      <c r="C795" s="135" t="s">
        <v>946</v>
      </c>
      <c r="D795" s="136" t="s">
        <v>39</v>
      </c>
      <c r="E795" s="137"/>
      <c r="F795" s="138" t="s">
        <v>101</v>
      </c>
      <c r="G795" s="139" t="s">
        <v>185</v>
      </c>
      <c r="H795" s="140" t="str">
        <f t="shared" si="299"/>
        <v>Perrons</v>
      </c>
      <c r="I795" s="138" t="s">
        <v>199</v>
      </c>
      <c r="J795" s="138" t="s">
        <v>1171</v>
      </c>
      <c r="K795" s="141" t="str">
        <f t="shared" si="300"/>
        <v>Omde dag Vol/Nal.</v>
      </c>
      <c r="L795" s="141" t="str">
        <f t="shared" si="301"/>
        <v>Omde dag Nal./Vol</v>
      </c>
      <c r="M795" s="141" t="str">
        <f t="shared" si="302"/>
        <v>Omde dag Vol/Nal.</v>
      </c>
      <c r="N795" s="141" t="str">
        <f t="shared" si="303"/>
        <v>Omde dag Nal./Vol</v>
      </c>
      <c r="O795" s="141" t="str">
        <f t="shared" si="304"/>
        <v>Omde dag Vol/Nal.</v>
      </c>
      <c r="P795" s="141" t="str">
        <f t="shared" si="305"/>
        <v>Omde dag Nal./Vol</v>
      </c>
      <c r="Q795" s="141" t="str">
        <f t="shared" si="306"/>
        <v>Omde dag Vol/Nal.</v>
      </c>
      <c r="R795" s="63" t="s">
        <v>1473</v>
      </c>
      <c r="S795" s="142">
        <f t="shared" si="314"/>
        <v>365</v>
      </c>
      <c r="T795" s="143">
        <v>1503.23</v>
      </c>
      <c r="U795" s="144"/>
      <c r="V795" s="144"/>
      <c r="W795" s="144"/>
      <c r="X795" s="144"/>
      <c r="Y795" s="144"/>
      <c r="Z795" s="145">
        <f>165.16*9.82</f>
        <v>1621.8712</v>
      </c>
      <c r="AA795" s="145"/>
      <c r="AB795" s="145"/>
      <c r="AC795" s="145"/>
      <c r="AD795" s="146"/>
      <c r="AE795" s="171">
        <v>1</v>
      </c>
      <c r="AF795" s="147">
        <f t="shared" si="307"/>
        <v>0</v>
      </c>
      <c r="AG795" s="147">
        <f t="shared" si="308"/>
        <v>0</v>
      </c>
      <c r="AH795" s="147">
        <f t="shared" si="309"/>
        <v>0</v>
      </c>
      <c r="AI795" s="147">
        <f t="shared" si="310"/>
        <v>0</v>
      </c>
      <c r="AJ795" s="148" t="str">
        <f t="shared" si="311"/>
        <v>ja</v>
      </c>
      <c r="AK795" s="149">
        <f t="shared" si="294"/>
        <v>0</v>
      </c>
      <c r="AL795" s="149">
        <f t="shared" si="295"/>
        <v>0</v>
      </c>
      <c r="AM795" s="149">
        <f t="shared" si="296"/>
        <v>0</v>
      </c>
      <c r="AN795" s="149">
        <f t="shared" si="297"/>
        <v>0</v>
      </c>
      <c r="AO795" s="150" t="str">
        <f t="shared" si="312"/>
        <v>V</v>
      </c>
      <c r="AQ795" s="151">
        <f t="shared" si="313"/>
        <v>548678.94999999995</v>
      </c>
    </row>
    <row r="796" spans="1:43" ht="15" customHeight="1">
      <c r="A796" s="82" t="e">
        <f t="shared" si="298"/>
        <v>#REF!</v>
      </c>
      <c r="B796" s="134">
        <v>113</v>
      </c>
      <c r="C796" s="135" t="s">
        <v>946</v>
      </c>
      <c r="D796" s="136" t="s">
        <v>39</v>
      </c>
      <c r="E796" s="137"/>
      <c r="F796" s="138" t="s">
        <v>186</v>
      </c>
      <c r="G796" s="139" t="s">
        <v>187</v>
      </c>
      <c r="H796" s="140" t="str">
        <f t="shared" si="299"/>
        <v>Trappen</v>
      </c>
      <c r="I796" s="138" t="s">
        <v>118</v>
      </c>
      <c r="J796" s="138" t="s">
        <v>1171</v>
      </c>
      <c r="K796" s="141" t="str">
        <f t="shared" si="300"/>
        <v>Omde dag Vol/Nal.</v>
      </c>
      <c r="L796" s="141" t="str">
        <f t="shared" si="301"/>
        <v>Omde dag Nal./Vol</v>
      </c>
      <c r="M796" s="141" t="str">
        <f t="shared" si="302"/>
        <v>Omde dag Vol/Nal.</v>
      </c>
      <c r="N796" s="141" t="str">
        <f t="shared" si="303"/>
        <v>Omde dag Nal./Vol</v>
      </c>
      <c r="O796" s="141" t="str">
        <f t="shared" si="304"/>
        <v>Omde dag Vol/Nal.</v>
      </c>
      <c r="P796" s="141" t="str">
        <f t="shared" si="305"/>
        <v>Omde dag Nal./Vol</v>
      </c>
      <c r="Q796" s="141" t="str">
        <f t="shared" si="306"/>
        <v>Omde dag Vol/Nal.</v>
      </c>
      <c r="R796" s="63" t="s">
        <v>1477</v>
      </c>
      <c r="S796" s="142">
        <f t="shared" si="314"/>
        <v>365</v>
      </c>
      <c r="T796" s="143">
        <v>42.69</v>
      </c>
      <c r="U796" s="144" t="s">
        <v>1111</v>
      </c>
      <c r="V796" s="144"/>
      <c r="W796" s="144"/>
      <c r="X796" s="144"/>
      <c r="Y796" s="144"/>
      <c r="Z796" s="145"/>
      <c r="AA796" s="145"/>
      <c r="AB796" s="145"/>
      <c r="AC796" s="145"/>
      <c r="AD796" s="146" t="s">
        <v>221</v>
      </c>
      <c r="AE796" s="171">
        <v>1</v>
      </c>
      <c r="AF796" s="147">
        <f t="shared" si="307"/>
        <v>0</v>
      </c>
      <c r="AG796" s="147">
        <f t="shared" si="308"/>
        <v>0</v>
      </c>
      <c r="AH796" s="147">
        <f t="shared" si="309"/>
        <v>0</v>
      </c>
      <c r="AI796" s="147">
        <f t="shared" si="310"/>
        <v>0</v>
      </c>
      <c r="AJ796" s="148" t="str">
        <f t="shared" si="311"/>
        <v>ja</v>
      </c>
      <c r="AK796" s="149">
        <f t="shared" si="294"/>
        <v>0</v>
      </c>
      <c r="AL796" s="149">
        <f t="shared" si="295"/>
        <v>0</v>
      </c>
      <c r="AM796" s="149">
        <f t="shared" si="296"/>
        <v>0</v>
      </c>
      <c r="AN796" s="149">
        <f t="shared" si="297"/>
        <v>0</v>
      </c>
      <c r="AO796" s="150" t="str">
        <f t="shared" si="312"/>
        <v>V</v>
      </c>
      <c r="AQ796" s="151">
        <f t="shared" si="313"/>
        <v>15581.849999999999</v>
      </c>
    </row>
    <row r="797" spans="1:43" ht="15" customHeight="1">
      <c r="A797" s="82" t="e">
        <f t="shared" si="298"/>
        <v>#REF!</v>
      </c>
      <c r="B797" s="134">
        <v>113</v>
      </c>
      <c r="C797" s="135" t="s">
        <v>946</v>
      </c>
      <c r="D797" s="136" t="s">
        <v>39</v>
      </c>
      <c r="E797" s="137"/>
      <c r="F797" s="138" t="s">
        <v>188</v>
      </c>
      <c r="G797" s="139" t="s">
        <v>189</v>
      </c>
      <c r="H797" s="140" t="str">
        <f t="shared" si="299"/>
        <v>Trappen</v>
      </c>
      <c r="I797" s="138" t="s">
        <v>118</v>
      </c>
      <c r="J797" s="138" t="s">
        <v>1171</v>
      </c>
      <c r="K797" s="141" t="str">
        <f t="shared" si="300"/>
        <v>Omde dag Vol/Nal.</v>
      </c>
      <c r="L797" s="141" t="str">
        <f t="shared" si="301"/>
        <v>Omde dag Nal./Vol</v>
      </c>
      <c r="M797" s="141" t="str">
        <f t="shared" si="302"/>
        <v>Omde dag Vol/Nal.</v>
      </c>
      <c r="N797" s="141" t="str">
        <f t="shared" si="303"/>
        <v>Omde dag Nal./Vol</v>
      </c>
      <c r="O797" s="141" t="str">
        <f t="shared" si="304"/>
        <v>Omde dag Vol/Nal.</v>
      </c>
      <c r="P797" s="141" t="str">
        <f t="shared" si="305"/>
        <v>Omde dag Nal./Vol</v>
      </c>
      <c r="Q797" s="141" t="str">
        <f t="shared" si="306"/>
        <v>Omde dag Vol/Nal.</v>
      </c>
      <c r="R797" s="63" t="s">
        <v>1477</v>
      </c>
      <c r="S797" s="142">
        <f t="shared" si="314"/>
        <v>365</v>
      </c>
      <c r="T797" s="143">
        <v>42.68</v>
      </c>
      <c r="U797" s="144" t="s">
        <v>1111</v>
      </c>
      <c r="V797" s="144"/>
      <c r="W797" s="144"/>
      <c r="X797" s="144"/>
      <c r="Y797" s="144"/>
      <c r="Z797" s="145"/>
      <c r="AA797" s="145"/>
      <c r="AB797" s="145"/>
      <c r="AC797" s="145"/>
      <c r="AD797" s="146" t="s">
        <v>222</v>
      </c>
      <c r="AE797" s="171">
        <v>1</v>
      </c>
      <c r="AF797" s="147">
        <f t="shared" si="307"/>
        <v>0</v>
      </c>
      <c r="AG797" s="147">
        <f t="shared" si="308"/>
        <v>0</v>
      </c>
      <c r="AH797" s="147">
        <f t="shared" si="309"/>
        <v>0</v>
      </c>
      <c r="AI797" s="147">
        <f t="shared" si="310"/>
        <v>0</v>
      </c>
      <c r="AJ797" s="148" t="str">
        <f t="shared" si="311"/>
        <v>ja</v>
      </c>
      <c r="AK797" s="149">
        <f t="shared" si="294"/>
        <v>0</v>
      </c>
      <c r="AL797" s="149">
        <f t="shared" si="295"/>
        <v>0</v>
      </c>
      <c r="AM797" s="149">
        <f t="shared" si="296"/>
        <v>0</v>
      </c>
      <c r="AN797" s="149">
        <f t="shared" si="297"/>
        <v>0</v>
      </c>
      <c r="AO797" s="150" t="str">
        <f t="shared" si="312"/>
        <v>V</v>
      </c>
      <c r="AQ797" s="151">
        <f t="shared" si="313"/>
        <v>15578.2</v>
      </c>
    </row>
    <row r="798" spans="1:43" ht="15" customHeight="1">
      <c r="A798" s="82" t="e">
        <f t="shared" si="298"/>
        <v>#REF!</v>
      </c>
      <c r="B798" s="134">
        <v>113</v>
      </c>
      <c r="C798" s="135" t="s">
        <v>946</v>
      </c>
      <c r="D798" s="136" t="s">
        <v>39</v>
      </c>
      <c r="E798" s="137"/>
      <c r="F798" s="138" t="s">
        <v>190</v>
      </c>
      <c r="G798" s="139" t="s">
        <v>191</v>
      </c>
      <c r="H798" s="140" t="str">
        <f t="shared" si="299"/>
        <v>Roltrappen(inclusief aangrenzende bouwdelen)</v>
      </c>
      <c r="I798" s="138" t="s">
        <v>1251</v>
      </c>
      <c r="J798" s="138" t="s">
        <v>1171</v>
      </c>
      <c r="K798" s="141" t="str">
        <f t="shared" si="300"/>
        <v>Omde dag Vol/Nal.</v>
      </c>
      <c r="L798" s="141" t="str">
        <f t="shared" si="301"/>
        <v>Omde dag Nal./Vol</v>
      </c>
      <c r="M798" s="141" t="str">
        <f t="shared" si="302"/>
        <v>Omde dag Vol/Nal.</v>
      </c>
      <c r="N798" s="141" t="str">
        <f t="shared" si="303"/>
        <v>Omde dag Nal./Vol</v>
      </c>
      <c r="O798" s="141" t="str">
        <f t="shared" si="304"/>
        <v>Omde dag Vol/Nal.</v>
      </c>
      <c r="P798" s="141" t="str">
        <f t="shared" si="305"/>
        <v>Omde dag Nal./Vol</v>
      </c>
      <c r="Q798" s="141" t="str">
        <f t="shared" si="306"/>
        <v>Omde dag Vol/Nal.</v>
      </c>
      <c r="R798" s="63" t="s">
        <v>1481</v>
      </c>
      <c r="S798" s="142">
        <f t="shared" si="314"/>
        <v>365</v>
      </c>
      <c r="T798" s="143">
        <v>31.63</v>
      </c>
      <c r="U798" s="144"/>
      <c r="V798" s="144"/>
      <c r="W798" s="144"/>
      <c r="X798" s="144"/>
      <c r="Y798" s="144"/>
      <c r="Z798" s="145"/>
      <c r="AA798" s="145"/>
      <c r="AB798" s="145"/>
      <c r="AC798" s="145"/>
      <c r="AD798" s="146" t="s">
        <v>221</v>
      </c>
      <c r="AE798" s="171">
        <v>1</v>
      </c>
      <c r="AF798" s="147">
        <f t="shared" si="307"/>
        <v>0</v>
      </c>
      <c r="AG798" s="147">
        <f t="shared" si="308"/>
        <v>0</v>
      </c>
      <c r="AH798" s="147">
        <f t="shared" si="309"/>
        <v>0</v>
      </c>
      <c r="AI798" s="147">
        <f t="shared" si="310"/>
        <v>0</v>
      </c>
      <c r="AJ798" s="148" t="str">
        <f t="shared" si="311"/>
        <v>ja</v>
      </c>
      <c r="AK798" s="149">
        <f t="shared" si="294"/>
        <v>0</v>
      </c>
      <c r="AL798" s="149">
        <f t="shared" si="295"/>
        <v>0</v>
      </c>
      <c r="AM798" s="149">
        <f t="shared" si="296"/>
        <v>0</v>
      </c>
      <c r="AN798" s="149">
        <f t="shared" si="297"/>
        <v>0</v>
      </c>
      <c r="AO798" s="150" t="str">
        <f t="shared" si="312"/>
        <v>V</v>
      </c>
      <c r="AQ798" s="151">
        <f t="shared" si="313"/>
        <v>11544.949999999999</v>
      </c>
    </row>
    <row r="799" spans="1:43" ht="15" customHeight="1">
      <c r="A799" s="82" t="e">
        <f t="shared" si="298"/>
        <v>#REF!</v>
      </c>
      <c r="B799" s="134">
        <v>113</v>
      </c>
      <c r="C799" s="135" t="s">
        <v>946</v>
      </c>
      <c r="D799" s="136" t="s">
        <v>39</v>
      </c>
      <c r="E799" s="137"/>
      <c r="F799" s="138" t="s">
        <v>192</v>
      </c>
      <c r="G799" s="139" t="s">
        <v>193</v>
      </c>
      <c r="H799" s="140" t="str">
        <f t="shared" si="299"/>
        <v>Roltrappen(inclusief aangrenzende bouwdelen)</v>
      </c>
      <c r="I799" s="138" t="s">
        <v>920</v>
      </c>
      <c r="J799" s="138" t="s">
        <v>1171</v>
      </c>
      <c r="K799" s="141" t="str">
        <f t="shared" si="300"/>
        <v>Omde dag Vol/Nal.</v>
      </c>
      <c r="L799" s="141" t="str">
        <f t="shared" si="301"/>
        <v>Omde dag Nal./Vol</v>
      </c>
      <c r="M799" s="141" t="str">
        <f t="shared" si="302"/>
        <v>Omde dag Vol/Nal.</v>
      </c>
      <c r="N799" s="141" t="str">
        <f t="shared" si="303"/>
        <v>Omde dag Nal./Vol</v>
      </c>
      <c r="O799" s="141" t="str">
        <f t="shared" si="304"/>
        <v>Omde dag Vol/Nal.</v>
      </c>
      <c r="P799" s="141" t="str">
        <f t="shared" si="305"/>
        <v>Omde dag Nal./Vol</v>
      </c>
      <c r="Q799" s="141" t="str">
        <f t="shared" si="306"/>
        <v>Omde dag Vol/Nal.</v>
      </c>
      <c r="R799" s="63" t="s">
        <v>1481</v>
      </c>
      <c r="S799" s="142">
        <f t="shared" si="314"/>
        <v>365</v>
      </c>
      <c r="T799" s="143">
        <v>31.68</v>
      </c>
      <c r="U799" s="144"/>
      <c r="V799" s="144"/>
      <c r="W799" s="144"/>
      <c r="X799" s="144"/>
      <c r="Y799" s="144"/>
      <c r="Z799" s="145"/>
      <c r="AA799" s="145"/>
      <c r="AB799" s="145"/>
      <c r="AC799" s="145"/>
      <c r="AD799" s="146" t="s">
        <v>222</v>
      </c>
      <c r="AE799" s="171">
        <v>1</v>
      </c>
      <c r="AF799" s="147">
        <f t="shared" si="307"/>
        <v>0</v>
      </c>
      <c r="AG799" s="147">
        <f t="shared" si="308"/>
        <v>0</v>
      </c>
      <c r="AH799" s="147">
        <f t="shared" si="309"/>
        <v>0</v>
      </c>
      <c r="AI799" s="147">
        <f t="shared" si="310"/>
        <v>0</v>
      </c>
      <c r="AJ799" s="148" t="str">
        <f t="shared" si="311"/>
        <v>ja</v>
      </c>
      <c r="AK799" s="149">
        <f t="shared" si="294"/>
        <v>0</v>
      </c>
      <c r="AL799" s="149">
        <f t="shared" si="295"/>
        <v>0</v>
      </c>
      <c r="AM799" s="149">
        <f t="shared" si="296"/>
        <v>0</v>
      </c>
      <c r="AN799" s="149">
        <f t="shared" si="297"/>
        <v>0</v>
      </c>
      <c r="AO799" s="150" t="str">
        <f t="shared" si="312"/>
        <v>V</v>
      </c>
      <c r="AQ799" s="151">
        <f t="shared" si="313"/>
        <v>11563.2</v>
      </c>
    </row>
    <row r="800" spans="1:43" ht="15" customHeight="1">
      <c r="A800" s="82" t="e">
        <f t="shared" si="298"/>
        <v>#REF!</v>
      </c>
      <c r="B800" s="134">
        <v>113</v>
      </c>
      <c r="C800" s="135" t="s">
        <v>946</v>
      </c>
      <c r="D800" s="136" t="s">
        <v>39</v>
      </c>
      <c r="E800" s="137"/>
      <c r="F800" s="138" t="s">
        <v>194</v>
      </c>
      <c r="G800" s="139" t="s">
        <v>41</v>
      </c>
      <c r="H800" s="140" t="str">
        <f t="shared" si="299"/>
        <v>Hallen</v>
      </c>
      <c r="I800" s="138" t="s">
        <v>195</v>
      </c>
      <c r="J800" s="138" t="s">
        <v>1171</v>
      </c>
      <c r="K800" s="141" t="str">
        <f t="shared" si="300"/>
        <v>Omde dag Vol/Nal.</v>
      </c>
      <c r="L800" s="141" t="str">
        <f t="shared" si="301"/>
        <v>Omde dag Nal./Vol</v>
      </c>
      <c r="M800" s="141" t="str">
        <f t="shared" si="302"/>
        <v>Omde dag Vol/Nal.</v>
      </c>
      <c r="N800" s="141" t="str">
        <f t="shared" si="303"/>
        <v>Omde dag Nal./Vol</v>
      </c>
      <c r="O800" s="141" t="str">
        <f t="shared" si="304"/>
        <v>Omde dag Vol/Nal.</v>
      </c>
      <c r="P800" s="141" t="str">
        <f t="shared" si="305"/>
        <v>Omde dag Nal./Vol</v>
      </c>
      <c r="Q800" s="141" t="str">
        <f t="shared" si="306"/>
        <v>Omde dag Vol/Nal.</v>
      </c>
      <c r="R800" s="63" t="s">
        <v>1479</v>
      </c>
      <c r="S800" s="142">
        <f t="shared" si="314"/>
        <v>365</v>
      </c>
      <c r="T800" s="143">
        <v>224.45</v>
      </c>
      <c r="U800" s="144"/>
      <c r="V800" s="144"/>
      <c r="W800" s="144"/>
      <c r="X800" s="144">
        <v>20</v>
      </c>
      <c r="Y800" s="144">
        <v>589</v>
      </c>
      <c r="Z800" s="145"/>
      <c r="AA800" s="145"/>
      <c r="AB800" s="145">
        <f>224.5+33.6/1.5+(12.7+2.9+3)</f>
        <v>265.5</v>
      </c>
      <c r="AC800" s="145"/>
      <c r="AD800" s="146" t="s">
        <v>222</v>
      </c>
      <c r="AE800" s="171">
        <v>1</v>
      </c>
      <c r="AF800" s="147">
        <f t="shared" si="307"/>
        <v>0</v>
      </c>
      <c r="AG800" s="147">
        <f t="shared" si="308"/>
        <v>0</v>
      </c>
      <c r="AH800" s="147">
        <f t="shared" si="309"/>
        <v>0</v>
      </c>
      <c r="AI800" s="147">
        <f t="shared" si="310"/>
        <v>0</v>
      </c>
      <c r="AJ800" s="148" t="str">
        <f t="shared" si="311"/>
        <v>ja</v>
      </c>
      <c r="AK800" s="149">
        <f t="shared" si="294"/>
        <v>0</v>
      </c>
      <c r="AL800" s="149">
        <f t="shared" si="295"/>
        <v>0</v>
      </c>
      <c r="AM800" s="149">
        <f t="shared" si="296"/>
        <v>0</v>
      </c>
      <c r="AN800" s="149">
        <f t="shared" si="297"/>
        <v>0</v>
      </c>
      <c r="AO800" s="150" t="str">
        <f t="shared" si="312"/>
        <v>V</v>
      </c>
      <c r="AQ800" s="151">
        <f t="shared" si="313"/>
        <v>81924.25</v>
      </c>
    </row>
    <row r="801" spans="1:43" ht="15" customHeight="1">
      <c r="A801" s="82" t="e">
        <f t="shared" si="298"/>
        <v>#REF!</v>
      </c>
      <c r="B801" s="134">
        <v>113</v>
      </c>
      <c r="C801" s="135" t="s">
        <v>946</v>
      </c>
      <c r="D801" s="136" t="s">
        <v>39</v>
      </c>
      <c r="E801" s="137"/>
      <c r="F801" s="138" t="s">
        <v>196</v>
      </c>
      <c r="G801" s="139" t="s">
        <v>44</v>
      </c>
      <c r="H801" s="140" t="str">
        <f t="shared" si="299"/>
        <v>Hallen</v>
      </c>
      <c r="I801" s="138" t="s">
        <v>195</v>
      </c>
      <c r="J801" s="138" t="s">
        <v>1171</v>
      </c>
      <c r="K801" s="141" t="str">
        <f t="shared" si="300"/>
        <v>Omde dag Vol/Nal.</v>
      </c>
      <c r="L801" s="141" t="str">
        <f t="shared" si="301"/>
        <v>Omde dag Nal./Vol</v>
      </c>
      <c r="M801" s="141" t="str">
        <f t="shared" si="302"/>
        <v>Omde dag Vol/Nal.</v>
      </c>
      <c r="N801" s="141" t="str">
        <f t="shared" si="303"/>
        <v>Omde dag Nal./Vol</v>
      </c>
      <c r="O801" s="141" t="str">
        <f t="shared" si="304"/>
        <v>Omde dag Vol/Nal.</v>
      </c>
      <c r="P801" s="141" t="str">
        <f t="shared" si="305"/>
        <v>Omde dag Nal./Vol</v>
      </c>
      <c r="Q801" s="141" t="str">
        <f t="shared" si="306"/>
        <v>Omde dag Vol/Nal.</v>
      </c>
      <c r="R801" s="63" t="s">
        <v>1479</v>
      </c>
      <c r="S801" s="142">
        <f t="shared" si="314"/>
        <v>365</v>
      </c>
      <c r="T801" s="143">
        <v>243.2</v>
      </c>
      <c r="U801" s="144"/>
      <c r="V801" s="144"/>
      <c r="W801" s="144"/>
      <c r="X801" s="144">
        <v>20</v>
      </c>
      <c r="Y801" s="144">
        <v>593</v>
      </c>
      <c r="Z801" s="145"/>
      <c r="AA801" s="145"/>
      <c r="AB801" s="145">
        <f>243.2+33.6/1.5+(12.7+2.9+3)</f>
        <v>284.2</v>
      </c>
      <c r="AC801" s="145"/>
      <c r="AD801" s="146" t="s">
        <v>221</v>
      </c>
      <c r="AE801" s="171">
        <v>1</v>
      </c>
      <c r="AF801" s="147">
        <f t="shared" si="307"/>
        <v>0</v>
      </c>
      <c r="AG801" s="147">
        <f t="shared" si="308"/>
        <v>0</v>
      </c>
      <c r="AH801" s="147">
        <f t="shared" si="309"/>
        <v>0</v>
      </c>
      <c r="AI801" s="147">
        <f t="shared" si="310"/>
        <v>0</v>
      </c>
      <c r="AJ801" s="148" t="str">
        <f t="shared" si="311"/>
        <v>ja</v>
      </c>
      <c r="AK801" s="149">
        <f t="shared" si="294"/>
        <v>0</v>
      </c>
      <c r="AL801" s="149">
        <f t="shared" si="295"/>
        <v>0</v>
      </c>
      <c r="AM801" s="149">
        <f t="shared" si="296"/>
        <v>0</v>
      </c>
      <c r="AN801" s="149">
        <f t="shared" si="297"/>
        <v>0</v>
      </c>
      <c r="AO801" s="150" t="str">
        <f t="shared" si="312"/>
        <v>V</v>
      </c>
      <c r="AQ801" s="151">
        <f t="shared" si="313"/>
        <v>88768</v>
      </c>
    </row>
    <row r="802" spans="1:43" ht="15" customHeight="1">
      <c r="A802" s="82" t="e">
        <f t="shared" si="298"/>
        <v>#REF!</v>
      </c>
      <c r="B802" s="134">
        <v>113</v>
      </c>
      <c r="C802" s="135" t="s">
        <v>946</v>
      </c>
      <c r="D802" s="136" t="s">
        <v>39</v>
      </c>
      <c r="E802" s="137"/>
      <c r="F802" s="138" t="s">
        <v>197</v>
      </c>
      <c r="G802" s="139" t="s">
        <v>47</v>
      </c>
      <c r="H802" s="140" t="str">
        <f t="shared" si="299"/>
        <v>Gangen</v>
      </c>
      <c r="I802" s="138" t="s">
        <v>195</v>
      </c>
      <c r="J802" s="138" t="s">
        <v>1171</v>
      </c>
      <c r="K802" s="141" t="str">
        <f t="shared" si="300"/>
        <v>Omde dag Vol/Nal.</v>
      </c>
      <c r="L802" s="141" t="str">
        <f t="shared" si="301"/>
        <v>Omde dag Nal./Vol</v>
      </c>
      <c r="M802" s="141" t="str">
        <f t="shared" si="302"/>
        <v>Omde dag Vol/Nal.</v>
      </c>
      <c r="N802" s="141" t="str">
        <f t="shared" si="303"/>
        <v>Omde dag Nal./Vol</v>
      </c>
      <c r="O802" s="141" t="str">
        <f t="shared" si="304"/>
        <v>Omde dag Vol/Nal.</v>
      </c>
      <c r="P802" s="141" t="str">
        <f t="shared" si="305"/>
        <v>Omde dag Nal./Vol</v>
      </c>
      <c r="Q802" s="141" t="str">
        <f t="shared" si="306"/>
        <v>Omde dag Vol/Nal.</v>
      </c>
      <c r="R802" s="63" t="s">
        <v>1265</v>
      </c>
      <c r="S802" s="142">
        <f t="shared" si="314"/>
        <v>365</v>
      </c>
      <c r="T802" s="143">
        <v>12.9</v>
      </c>
      <c r="U802" s="144"/>
      <c r="V802" s="144"/>
      <c r="W802" s="144"/>
      <c r="X802" s="144"/>
      <c r="Y802" s="144">
        <v>51</v>
      </c>
      <c r="Z802" s="145"/>
      <c r="AA802" s="145"/>
      <c r="AB802" s="145"/>
      <c r="AC802" s="145"/>
      <c r="AD802" s="146" t="s">
        <v>223</v>
      </c>
      <c r="AE802" s="171">
        <v>1</v>
      </c>
      <c r="AF802" s="147">
        <f t="shared" si="307"/>
        <v>0</v>
      </c>
      <c r="AG802" s="147">
        <f t="shared" si="308"/>
        <v>0</v>
      </c>
      <c r="AH802" s="147">
        <f t="shared" si="309"/>
        <v>0</v>
      </c>
      <c r="AI802" s="147">
        <f t="shared" si="310"/>
        <v>0</v>
      </c>
      <c r="AJ802" s="148" t="str">
        <f t="shared" si="311"/>
        <v>ja</v>
      </c>
      <c r="AK802" s="149">
        <f t="shared" si="294"/>
        <v>0</v>
      </c>
      <c r="AL802" s="149">
        <f t="shared" si="295"/>
        <v>0</v>
      </c>
      <c r="AM802" s="149">
        <f t="shared" si="296"/>
        <v>0</v>
      </c>
      <c r="AN802" s="149">
        <f t="shared" si="297"/>
        <v>0</v>
      </c>
      <c r="AO802" s="150" t="str">
        <f t="shared" si="312"/>
        <v>V</v>
      </c>
      <c r="AQ802" s="151">
        <f t="shared" si="313"/>
        <v>4708.5</v>
      </c>
    </row>
    <row r="803" spans="1:43" ht="15" customHeight="1">
      <c r="A803" s="82" t="e">
        <f t="shared" si="298"/>
        <v>#REF!</v>
      </c>
      <c r="B803" s="134">
        <v>113</v>
      </c>
      <c r="C803" s="135" t="s">
        <v>946</v>
      </c>
      <c r="D803" s="136" t="s">
        <v>39</v>
      </c>
      <c r="E803" s="137"/>
      <c r="F803" s="138" t="s">
        <v>198</v>
      </c>
      <c r="G803" s="139" t="s">
        <v>48</v>
      </c>
      <c r="H803" s="140" t="str">
        <f t="shared" si="299"/>
        <v>Niet van toepassing</v>
      </c>
      <c r="I803" s="138" t="s">
        <v>254</v>
      </c>
      <c r="J803" s="138" t="s">
        <v>1172</v>
      </c>
      <c r="K803" s="141" t="str">
        <f t="shared" si="300"/>
        <v>NVT</v>
      </c>
      <c r="L803" s="141" t="str">
        <f t="shared" si="301"/>
        <v>NVT</v>
      </c>
      <c r="M803" s="141" t="str">
        <f t="shared" si="302"/>
        <v>NVT</v>
      </c>
      <c r="N803" s="141" t="str">
        <f t="shared" si="303"/>
        <v>NVT</v>
      </c>
      <c r="O803" s="141" t="str">
        <f t="shared" si="304"/>
        <v>NVT</v>
      </c>
      <c r="P803" s="141" t="str">
        <f t="shared" si="305"/>
        <v>NVT</v>
      </c>
      <c r="Q803" s="141" t="str">
        <f t="shared" si="306"/>
        <v>NVT</v>
      </c>
      <c r="R803" s="63" t="s">
        <v>1221</v>
      </c>
      <c r="S803" s="142">
        <f t="shared" si="314"/>
        <v>0</v>
      </c>
      <c r="T803" s="143">
        <v>4.2</v>
      </c>
      <c r="U803" s="144"/>
      <c r="V803" s="144"/>
      <c r="W803" s="144">
        <v>14.2</v>
      </c>
      <c r="X803" s="144"/>
      <c r="Y803" s="144"/>
      <c r="Z803" s="145"/>
      <c r="AA803" s="145">
        <f>T803</f>
        <v>4.2</v>
      </c>
      <c r="AB803" s="145"/>
      <c r="AC803" s="145"/>
      <c r="AD803" s="146" t="s">
        <v>222</v>
      </c>
      <c r="AE803" s="171">
        <v>1</v>
      </c>
      <c r="AF803" s="147">
        <f t="shared" si="307"/>
        <v>0</v>
      </c>
      <c r="AG803" s="147">
        <f t="shared" si="308"/>
        <v>0</v>
      </c>
      <c r="AH803" s="147">
        <f t="shared" si="309"/>
        <v>0</v>
      </c>
      <c r="AI803" s="147">
        <f t="shared" si="310"/>
        <v>0</v>
      </c>
      <c r="AJ803" s="148">
        <f t="shared" si="311"/>
        <v>0</v>
      </c>
      <c r="AK803" s="149">
        <f t="shared" si="294"/>
        <v>0</v>
      </c>
      <c r="AL803" s="149">
        <f t="shared" si="295"/>
        <v>0</v>
      </c>
      <c r="AM803" s="149">
        <f t="shared" si="296"/>
        <v>0</v>
      </c>
      <c r="AN803" s="149">
        <f t="shared" si="297"/>
        <v>0</v>
      </c>
      <c r="AO803" s="150">
        <f t="shared" si="312"/>
        <v>0</v>
      </c>
      <c r="AQ803" s="151">
        <f t="shared" si="313"/>
        <v>0</v>
      </c>
    </row>
    <row r="804" spans="1:43" ht="15" customHeight="1">
      <c r="A804" s="82" t="e">
        <f t="shared" si="298"/>
        <v>#REF!</v>
      </c>
      <c r="B804" s="134">
        <v>113</v>
      </c>
      <c r="C804" s="135" t="s">
        <v>946</v>
      </c>
      <c r="D804" s="136" t="s">
        <v>39</v>
      </c>
      <c r="E804" s="137"/>
      <c r="F804" s="138" t="s">
        <v>197</v>
      </c>
      <c r="G804" s="139" t="s">
        <v>49</v>
      </c>
      <c r="H804" s="140" t="str">
        <f t="shared" si="299"/>
        <v>Niet van toepassing</v>
      </c>
      <c r="I804" s="138" t="s">
        <v>254</v>
      </c>
      <c r="J804" s="138" t="s">
        <v>1172</v>
      </c>
      <c r="K804" s="141" t="str">
        <f t="shared" si="300"/>
        <v>NVT</v>
      </c>
      <c r="L804" s="141" t="str">
        <f t="shared" si="301"/>
        <v>NVT</v>
      </c>
      <c r="M804" s="141" t="str">
        <f t="shared" si="302"/>
        <v>NVT</v>
      </c>
      <c r="N804" s="141" t="str">
        <f t="shared" si="303"/>
        <v>NVT</v>
      </c>
      <c r="O804" s="141" t="str">
        <f t="shared" si="304"/>
        <v>NVT</v>
      </c>
      <c r="P804" s="141" t="str">
        <f t="shared" si="305"/>
        <v>NVT</v>
      </c>
      <c r="Q804" s="141" t="str">
        <f t="shared" si="306"/>
        <v>NVT</v>
      </c>
      <c r="R804" s="63" t="s">
        <v>1221</v>
      </c>
      <c r="S804" s="142">
        <f t="shared" si="314"/>
        <v>0</v>
      </c>
      <c r="T804" s="143">
        <v>29.76</v>
      </c>
      <c r="U804" s="144"/>
      <c r="V804" s="144"/>
      <c r="W804" s="144"/>
      <c r="X804" s="144"/>
      <c r="Y804" s="144">
        <v>76</v>
      </c>
      <c r="Z804" s="145"/>
      <c r="AA804" s="145"/>
      <c r="AB804" s="145"/>
      <c r="AC804" s="145"/>
      <c r="AD804" s="146" t="s">
        <v>221</v>
      </c>
      <c r="AE804" s="171">
        <v>1</v>
      </c>
      <c r="AF804" s="147">
        <f t="shared" si="307"/>
        <v>0</v>
      </c>
      <c r="AG804" s="147">
        <f t="shared" si="308"/>
        <v>0</v>
      </c>
      <c r="AH804" s="147">
        <f t="shared" si="309"/>
        <v>0</v>
      </c>
      <c r="AI804" s="147">
        <f t="shared" si="310"/>
        <v>0</v>
      </c>
      <c r="AJ804" s="148">
        <f t="shared" si="311"/>
        <v>0</v>
      </c>
      <c r="AK804" s="149">
        <f t="shared" si="294"/>
        <v>0</v>
      </c>
      <c r="AL804" s="149">
        <f t="shared" si="295"/>
        <v>0</v>
      </c>
      <c r="AM804" s="149">
        <f t="shared" si="296"/>
        <v>0</v>
      </c>
      <c r="AN804" s="149">
        <f t="shared" si="297"/>
        <v>0</v>
      </c>
      <c r="AO804" s="150">
        <f t="shared" si="312"/>
        <v>0</v>
      </c>
      <c r="AQ804" s="151">
        <f t="shared" si="313"/>
        <v>0</v>
      </c>
    </row>
    <row r="805" spans="1:43" ht="15" customHeight="1">
      <c r="A805" s="82" t="e">
        <f t="shared" si="298"/>
        <v>#REF!</v>
      </c>
      <c r="B805" s="134">
        <v>113</v>
      </c>
      <c r="C805" s="135" t="s">
        <v>946</v>
      </c>
      <c r="D805" s="136" t="s">
        <v>39</v>
      </c>
      <c r="E805" s="137"/>
      <c r="F805" s="138" t="s">
        <v>200</v>
      </c>
      <c r="G805" s="139" t="s">
        <v>119</v>
      </c>
      <c r="H805" s="140" t="str">
        <f t="shared" si="299"/>
        <v>Niet van toepassing</v>
      </c>
      <c r="I805" s="138" t="s">
        <v>254</v>
      </c>
      <c r="J805" s="138" t="s">
        <v>1172</v>
      </c>
      <c r="K805" s="141" t="str">
        <f t="shared" si="300"/>
        <v>NVT</v>
      </c>
      <c r="L805" s="141" t="str">
        <f t="shared" si="301"/>
        <v>NVT</v>
      </c>
      <c r="M805" s="141" t="str">
        <f t="shared" si="302"/>
        <v>NVT</v>
      </c>
      <c r="N805" s="141" t="str">
        <f t="shared" si="303"/>
        <v>NVT</v>
      </c>
      <c r="O805" s="141" t="str">
        <f t="shared" si="304"/>
        <v>NVT</v>
      </c>
      <c r="P805" s="141" t="str">
        <f t="shared" si="305"/>
        <v>NVT</v>
      </c>
      <c r="Q805" s="141" t="str">
        <f t="shared" si="306"/>
        <v>NVT</v>
      </c>
      <c r="R805" s="63" t="s">
        <v>1221</v>
      </c>
      <c r="S805" s="142">
        <f t="shared" si="314"/>
        <v>0</v>
      </c>
      <c r="T805" s="143">
        <v>32.6</v>
      </c>
      <c r="U805" s="144"/>
      <c r="V805" s="144"/>
      <c r="W805" s="144"/>
      <c r="X805" s="144"/>
      <c r="Y805" s="144">
        <v>66</v>
      </c>
      <c r="Z805" s="145"/>
      <c r="AA805" s="145"/>
      <c r="AB805" s="145"/>
      <c r="AC805" s="145"/>
      <c r="AD805" s="146" t="s">
        <v>221</v>
      </c>
      <c r="AE805" s="171">
        <v>1</v>
      </c>
      <c r="AF805" s="147">
        <f t="shared" si="307"/>
        <v>0</v>
      </c>
      <c r="AG805" s="147">
        <f t="shared" si="308"/>
        <v>0</v>
      </c>
      <c r="AH805" s="147">
        <f t="shared" si="309"/>
        <v>0</v>
      </c>
      <c r="AI805" s="147">
        <f t="shared" si="310"/>
        <v>0</v>
      </c>
      <c r="AJ805" s="148">
        <f t="shared" si="311"/>
        <v>0</v>
      </c>
      <c r="AK805" s="149">
        <f t="shared" si="294"/>
        <v>0</v>
      </c>
      <c r="AL805" s="149">
        <f t="shared" si="295"/>
        <v>0</v>
      </c>
      <c r="AM805" s="149">
        <f t="shared" si="296"/>
        <v>0</v>
      </c>
      <c r="AN805" s="149">
        <f t="shared" si="297"/>
        <v>0</v>
      </c>
      <c r="AO805" s="150">
        <f t="shared" si="312"/>
        <v>0</v>
      </c>
      <c r="AQ805" s="151">
        <f t="shared" si="313"/>
        <v>0</v>
      </c>
    </row>
    <row r="806" spans="1:43" ht="15" customHeight="1">
      <c r="A806" s="82" t="e">
        <f t="shared" si="298"/>
        <v>#REF!</v>
      </c>
      <c r="B806" s="134">
        <v>113</v>
      </c>
      <c r="C806" s="135" t="s">
        <v>946</v>
      </c>
      <c r="D806" s="136" t="s">
        <v>39</v>
      </c>
      <c r="E806" s="137"/>
      <c r="F806" s="138" t="s">
        <v>201</v>
      </c>
      <c r="G806" s="139" t="s">
        <v>58</v>
      </c>
      <c r="H806" s="140" t="str">
        <f t="shared" si="299"/>
        <v>Niet van toepassing</v>
      </c>
      <c r="I806" s="138" t="s">
        <v>254</v>
      </c>
      <c r="J806" s="138" t="s">
        <v>1172</v>
      </c>
      <c r="K806" s="141" t="str">
        <f t="shared" si="300"/>
        <v>NVT</v>
      </c>
      <c r="L806" s="141" t="str">
        <f t="shared" si="301"/>
        <v>NVT</v>
      </c>
      <c r="M806" s="141" t="str">
        <f t="shared" si="302"/>
        <v>NVT</v>
      </c>
      <c r="N806" s="141" t="str">
        <f t="shared" si="303"/>
        <v>NVT</v>
      </c>
      <c r="O806" s="141" t="str">
        <f t="shared" si="304"/>
        <v>NVT</v>
      </c>
      <c r="P806" s="141" t="str">
        <f t="shared" si="305"/>
        <v>NVT</v>
      </c>
      <c r="Q806" s="141" t="str">
        <f t="shared" si="306"/>
        <v>NVT</v>
      </c>
      <c r="R806" s="63" t="s">
        <v>1221</v>
      </c>
      <c r="S806" s="142">
        <f t="shared" si="314"/>
        <v>0</v>
      </c>
      <c r="T806" s="143">
        <v>10.6</v>
      </c>
      <c r="U806" s="144"/>
      <c r="V806" s="144"/>
      <c r="W806" s="144"/>
      <c r="X806" s="144"/>
      <c r="Y806" s="144">
        <v>48.3</v>
      </c>
      <c r="Z806" s="145"/>
      <c r="AA806" s="145"/>
      <c r="AB806" s="145"/>
      <c r="AC806" s="145"/>
      <c r="AD806" s="146" t="s">
        <v>221</v>
      </c>
      <c r="AE806" s="171">
        <v>1</v>
      </c>
      <c r="AF806" s="147">
        <f t="shared" si="307"/>
        <v>0</v>
      </c>
      <c r="AG806" s="147">
        <f t="shared" si="308"/>
        <v>0</v>
      </c>
      <c r="AH806" s="147">
        <f t="shared" si="309"/>
        <v>0</v>
      </c>
      <c r="AI806" s="147">
        <f t="shared" si="310"/>
        <v>0</v>
      </c>
      <c r="AJ806" s="148">
        <f t="shared" si="311"/>
        <v>0</v>
      </c>
      <c r="AK806" s="149">
        <f t="shared" si="294"/>
        <v>0</v>
      </c>
      <c r="AL806" s="149">
        <f t="shared" si="295"/>
        <v>0</v>
      </c>
      <c r="AM806" s="149">
        <f t="shared" si="296"/>
        <v>0</v>
      </c>
      <c r="AN806" s="149">
        <f t="shared" si="297"/>
        <v>0</v>
      </c>
      <c r="AO806" s="150">
        <f t="shared" si="312"/>
        <v>0</v>
      </c>
      <c r="AQ806" s="151">
        <f t="shared" si="313"/>
        <v>0</v>
      </c>
    </row>
    <row r="807" spans="1:43" ht="15" customHeight="1">
      <c r="A807" s="82" t="e">
        <f t="shared" si="298"/>
        <v>#REF!</v>
      </c>
      <c r="B807" s="134">
        <v>113</v>
      </c>
      <c r="C807" s="135" t="s">
        <v>946</v>
      </c>
      <c r="D807" s="136" t="s">
        <v>39</v>
      </c>
      <c r="E807" s="137"/>
      <c r="F807" s="138" t="s">
        <v>202</v>
      </c>
      <c r="G807" s="139" t="s">
        <v>65</v>
      </c>
      <c r="H807" s="140" t="str">
        <f t="shared" si="299"/>
        <v>Niet van toepassing</v>
      </c>
      <c r="I807" s="138" t="s">
        <v>254</v>
      </c>
      <c r="J807" s="138" t="s">
        <v>1172</v>
      </c>
      <c r="K807" s="141" t="str">
        <f t="shared" si="300"/>
        <v>NVT</v>
      </c>
      <c r="L807" s="141" t="str">
        <f t="shared" si="301"/>
        <v>NVT</v>
      </c>
      <c r="M807" s="141" t="str">
        <f t="shared" si="302"/>
        <v>NVT</v>
      </c>
      <c r="N807" s="141" t="str">
        <f t="shared" si="303"/>
        <v>NVT</v>
      </c>
      <c r="O807" s="141" t="str">
        <f t="shared" si="304"/>
        <v>NVT</v>
      </c>
      <c r="P807" s="141" t="str">
        <f t="shared" si="305"/>
        <v>NVT</v>
      </c>
      <c r="Q807" s="141" t="str">
        <f t="shared" si="306"/>
        <v>NVT</v>
      </c>
      <c r="R807" s="63" t="s">
        <v>1221</v>
      </c>
      <c r="S807" s="142">
        <f t="shared" si="314"/>
        <v>0</v>
      </c>
      <c r="T807" s="143">
        <v>7</v>
      </c>
      <c r="U807" s="144"/>
      <c r="V807" s="144"/>
      <c r="W807" s="144">
        <v>29.5</v>
      </c>
      <c r="X807" s="144"/>
      <c r="Y807" s="144"/>
      <c r="Z807" s="145"/>
      <c r="AA807" s="145">
        <f>T807</f>
        <v>7</v>
      </c>
      <c r="AB807" s="145"/>
      <c r="AC807" s="145"/>
      <c r="AD807" s="146" t="s">
        <v>224</v>
      </c>
      <c r="AE807" s="171">
        <v>1</v>
      </c>
      <c r="AF807" s="147">
        <f t="shared" si="307"/>
        <v>0</v>
      </c>
      <c r="AG807" s="147">
        <f t="shared" si="308"/>
        <v>0</v>
      </c>
      <c r="AH807" s="147">
        <f t="shared" si="309"/>
        <v>0</v>
      </c>
      <c r="AI807" s="147">
        <f t="shared" si="310"/>
        <v>0</v>
      </c>
      <c r="AJ807" s="148">
        <f t="shared" si="311"/>
        <v>0</v>
      </c>
      <c r="AK807" s="149">
        <f t="shared" si="294"/>
        <v>0</v>
      </c>
      <c r="AL807" s="149">
        <f t="shared" si="295"/>
        <v>0</v>
      </c>
      <c r="AM807" s="149">
        <f t="shared" si="296"/>
        <v>0</v>
      </c>
      <c r="AN807" s="149">
        <f t="shared" si="297"/>
        <v>0</v>
      </c>
      <c r="AO807" s="150">
        <f t="shared" si="312"/>
        <v>0</v>
      </c>
      <c r="AQ807" s="151">
        <f t="shared" si="313"/>
        <v>0</v>
      </c>
    </row>
    <row r="808" spans="1:43" ht="15" customHeight="1">
      <c r="A808" s="82" t="e">
        <f t="shared" si="298"/>
        <v>#REF!</v>
      </c>
      <c r="B808" s="134">
        <v>113</v>
      </c>
      <c r="C808" s="135" t="s">
        <v>946</v>
      </c>
      <c r="D808" s="136" t="s">
        <v>39</v>
      </c>
      <c r="E808" s="137"/>
      <c r="F808" s="138" t="s">
        <v>203</v>
      </c>
      <c r="G808" s="139" t="s">
        <v>67</v>
      </c>
      <c r="H808" s="140" t="str">
        <f t="shared" si="299"/>
        <v>Niet van toepassing</v>
      </c>
      <c r="I808" s="138" t="s">
        <v>254</v>
      </c>
      <c r="J808" s="138" t="s">
        <v>1172</v>
      </c>
      <c r="K808" s="141" t="str">
        <f t="shared" si="300"/>
        <v>NVT</v>
      </c>
      <c r="L808" s="141" t="str">
        <f t="shared" si="301"/>
        <v>NVT</v>
      </c>
      <c r="M808" s="141" t="str">
        <f t="shared" si="302"/>
        <v>NVT</v>
      </c>
      <c r="N808" s="141" t="str">
        <f t="shared" si="303"/>
        <v>NVT</v>
      </c>
      <c r="O808" s="141" t="str">
        <f t="shared" si="304"/>
        <v>NVT</v>
      </c>
      <c r="P808" s="141" t="str">
        <f t="shared" si="305"/>
        <v>NVT</v>
      </c>
      <c r="Q808" s="141" t="str">
        <f t="shared" si="306"/>
        <v>NVT</v>
      </c>
      <c r="R808" s="63" t="s">
        <v>1221</v>
      </c>
      <c r="S808" s="142">
        <f t="shared" si="314"/>
        <v>0</v>
      </c>
      <c r="T808" s="143">
        <v>13.1</v>
      </c>
      <c r="U808" s="144"/>
      <c r="V808" s="144"/>
      <c r="W808" s="144">
        <v>42</v>
      </c>
      <c r="X808" s="144"/>
      <c r="Y808" s="144"/>
      <c r="Z808" s="145"/>
      <c r="AA808" s="145">
        <f>T808</f>
        <v>13.1</v>
      </c>
      <c r="AB808" s="145"/>
      <c r="AC808" s="145"/>
      <c r="AD808" s="146" t="s">
        <v>222</v>
      </c>
      <c r="AE808" s="171">
        <v>1</v>
      </c>
      <c r="AF808" s="147">
        <f t="shared" si="307"/>
        <v>0</v>
      </c>
      <c r="AG808" s="147">
        <f t="shared" si="308"/>
        <v>0</v>
      </c>
      <c r="AH808" s="147">
        <f t="shared" si="309"/>
        <v>0</v>
      </c>
      <c r="AI808" s="147">
        <f t="shared" si="310"/>
        <v>0</v>
      </c>
      <c r="AJ808" s="148">
        <f t="shared" si="311"/>
        <v>0</v>
      </c>
      <c r="AK808" s="149">
        <f t="shared" si="294"/>
        <v>0</v>
      </c>
      <c r="AL808" s="149">
        <f t="shared" si="295"/>
        <v>0</v>
      </c>
      <c r="AM808" s="149">
        <f t="shared" si="296"/>
        <v>0</v>
      </c>
      <c r="AN808" s="149">
        <f t="shared" si="297"/>
        <v>0</v>
      </c>
      <c r="AO808" s="150">
        <f t="shared" si="312"/>
        <v>0</v>
      </c>
      <c r="AQ808" s="151">
        <f t="shared" si="313"/>
        <v>0</v>
      </c>
    </row>
    <row r="809" spans="1:43" ht="15" customHeight="1">
      <c r="A809" s="82" t="e">
        <f t="shared" si="298"/>
        <v>#REF!</v>
      </c>
      <c r="B809" s="134">
        <v>113</v>
      </c>
      <c r="C809" s="135" t="s">
        <v>946</v>
      </c>
      <c r="D809" s="136" t="s">
        <v>39</v>
      </c>
      <c r="E809" s="137"/>
      <c r="F809" s="138" t="s">
        <v>204</v>
      </c>
      <c r="G809" s="139" t="s">
        <v>205</v>
      </c>
      <c r="H809" s="140" t="str">
        <f t="shared" si="299"/>
        <v>Niet van toepassing</v>
      </c>
      <c r="I809" s="138" t="s">
        <v>254</v>
      </c>
      <c r="J809" s="138" t="s">
        <v>1172</v>
      </c>
      <c r="K809" s="141" t="str">
        <f t="shared" si="300"/>
        <v>NVT</v>
      </c>
      <c r="L809" s="141" t="str">
        <f t="shared" si="301"/>
        <v>NVT</v>
      </c>
      <c r="M809" s="141" t="str">
        <f t="shared" si="302"/>
        <v>NVT</v>
      </c>
      <c r="N809" s="141" t="str">
        <f t="shared" si="303"/>
        <v>NVT</v>
      </c>
      <c r="O809" s="141" t="str">
        <f t="shared" si="304"/>
        <v>NVT</v>
      </c>
      <c r="P809" s="141" t="str">
        <f t="shared" si="305"/>
        <v>NVT</v>
      </c>
      <c r="Q809" s="141" t="str">
        <f t="shared" si="306"/>
        <v>NVT</v>
      </c>
      <c r="R809" s="63" t="s">
        <v>1221</v>
      </c>
      <c r="S809" s="142">
        <f t="shared" si="314"/>
        <v>0</v>
      </c>
      <c r="T809" s="143">
        <v>9.4</v>
      </c>
      <c r="U809" s="144"/>
      <c r="V809" s="144"/>
      <c r="W809" s="144">
        <v>41.1</v>
      </c>
      <c r="X809" s="144"/>
      <c r="Y809" s="144"/>
      <c r="Z809" s="145"/>
      <c r="AA809" s="145">
        <f>T809</f>
        <v>9.4</v>
      </c>
      <c r="AB809" s="145"/>
      <c r="AC809" s="145"/>
      <c r="AD809" s="146" t="s">
        <v>221</v>
      </c>
      <c r="AE809" s="171">
        <v>1</v>
      </c>
      <c r="AF809" s="147">
        <f t="shared" si="307"/>
        <v>0</v>
      </c>
      <c r="AG809" s="147">
        <f t="shared" si="308"/>
        <v>0</v>
      </c>
      <c r="AH809" s="147">
        <f t="shared" si="309"/>
        <v>0</v>
      </c>
      <c r="AI809" s="147">
        <f t="shared" si="310"/>
        <v>0</v>
      </c>
      <c r="AJ809" s="148">
        <f t="shared" si="311"/>
        <v>0</v>
      </c>
      <c r="AK809" s="149">
        <f t="shared" si="294"/>
        <v>0</v>
      </c>
      <c r="AL809" s="149">
        <f t="shared" si="295"/>
        <v>0</v>
      </c>
      <c r="AM809" s="149">
        <f t="shared" si="296"/>
        <v>0</v>
      </c>
      <c r="AN809" s="149">
        <f t="shared" si="297"/>
        <v>0</v>
      </c>
      <c r="AO809" s="150">
        <f t="shared" si="312"/>
        <v>0</v>
      </c>
      <c r="AQ809" s="151">
        <f t="shared" si="313"/>
        <v>0</v>
      </c>
    </row>
    <row r="810" spans="1:43" ht="15" customHeight="1">
      <c r="A810" s="82" t="e">
        <f t="shared" si="298"/>
        <v>#REF!</v>
      </c>
      <c r="B810" s="134">
        <v>113</v>
      </c>
      <c r="C810" s="135" t="s">
        <v>946</v>
      </c>
      <c r="D810" s="136" t="s">
        <v>39</v>
      </c>
      <c r="E810" s="137"/>
      <c r="F810" s="138" t="s">
        <v>68</v>
      </c>
      <c r="G810" s="139" t="s">
        <v>69</v>
      </c>
      <c r="H810" s="140" t="str">
        <f t="shared" si="299"/>
        <v>Niet van toepassing</v>
      </c>
      <c r="I810" s="138" t="s">
        <v>254</v>
      </c>
      <c r="J810" s="138" t="s">
        <v>1172</v>
      </c>
      <c r="K810" s="141" t="str">
        <f t="shared" si="300"/>
        <v>NVT</v>
      </c>
      <c r="L810" s="141" t="str">
        <f t="shared" si="301"/>
        <v>NVT</v>
      </c>
      <c r="M810" s="141" t="str">
        <f t="shared" si="302"/>
        <v>NVT</v>
      </c>
      <c r="N810" s="141" t="str">
        <f t="shared" si="303"/>
        <v>NVT</v>
      </c>
      <c r="O810" s="141" t="str">
        <f t="shared" si="304"/>
        <v>NVT</v>
      </c>
      <c r="P810" s="141" t="str">
        <f t="shared" si="305"/>
        <v>NVT</v>
      </c>
      <c r="Q810" s="141" t="str">
        <f t="shared" si="306"/>
        <v>NVT</v>
      </c>
      <c r="R810" s="63" t="s">
        <v>1221</v>
      </c>
      <c r="S810" s="142">
        <f t="shared" si="314"/>
        <v>0</v>
      </c>
      <c r="T810" s="143">
        <v>15.2</v>
      </c>
      <c r="U810" s="144"/>
      <c r="V810" s="144"/>
      <c r="W810" s="144"/>
      <c r="X810" s="144"/>
      <c r="Y810" s="144">
        <v>46.8</v>
      </c>
      <c r="Z810" s="145"/>
      <c r="AA810" s="145"/>
      <c r="AB810" s="145"/>
      <c r="AC810" s="145"/>
      <c r="AD810" s="146" t="s">
        <v>222</v>
      </c>
      <c r="AE810" s="171">
        <v>1</v>
      </c>
      <c r="AF810" s="147">
        <f t="shared" si="307"/>
        <v>0</v>
      </c>
      <c r="AG810" s="147">
        <f t="shared" si="308"/>
        <v>0</v>
      </c>
      <c r="AH810" s="147">
        <f t="shared" si="309"/>
        <v>0</v>
      </c>
      <c r="AI810" s="147">
        <f t="shared" si="310"/>
        <v>0</v>
      </c>
      <c r="AJ810" s="148">
        <f t="shared" si="311"/>
        <v>0</v>
      </c>
      <c r="AK810" s="149">
        <f t="shared" si="294"/>
        <v>0</v>
      </c>
      <c r="AL810" s="149">
        <f t="shared" si="295"/>
        <v>0</v>
      </c>
      <c r="AM810" s="149">
        <f t="shared" si="296"/>
        <v>0</v>
      </c>
      <c r="AN810" s="149">
        <f t="shared" si="297"/>
        <v>0</v>
      </c>
      <c r="AO810" s="150">
        <f t="shared" si="312"/>
        <v>0</v>
      </c>
      <c r="AQ810" s="151">
        <f t="shared" si="313"/>
        <v>0</v>
      </c>
    </row>
    <row r="811" spans="1:43" ht="15" customHeight="1">
      <c r="A811" s="82" t="e">
        <f t="shared" si="298"/>
        <v>#REF!</v>
      </c>
      <c r="B811" s="134">
        <v>113</v>
      </c>
      <c r="C811" s="135" t="s">
        <v>946</v>
      </c>
      <c r="D811" s="136" t="s">
        <v>39</v>
      </c>
      <c r="E811" s="137"/>
      <c r="F811" s="138" t="s">
        <v>76</v>
      </c>
      <c r="G811" s="139" t="s">
        <v>71</v>
      </c>
      <c r="H811" s="140" t="str">
        <f t="shared" si="299"/>
        <v>Niet van toepassing</v>
      </c>
      <c r="I811" s="138" t="s">
        <v>254</v>
      </c>
      <c r="J811" s="138" t="s">
        <v>1172</v>
      </c>
      <c r="K811" s="141" t="str">
        <f t="shared" si="300"/>
        <v>NVT</v>
      </c>
      <c r="L811" s="141" t="str">
        <f t="shared" si="301"/>
        <v>NVT</v>
      </c>
      <c r="M811" s="141" t="str">
        <f t="shared" si="302"/>
        <v>NVT</v>
      </c>
      <c r="N811" s="141" t="str">
        <f t="shared" si="303"/>
        <v>NVT</v>
      </c>
      <c r="O811" s="141" t="str">
        <f t="shared" si="304"/>
        <v>NVT</v>
      </c>
      <c r="P811" s="141" t="str">
        <f t="shared" si="305"/>
        <v>NVT</v>
      </c>
      <c r="Q811" s="141" t="str">
        <f t="shared" si="306"/>
        <v>NVT</v>
      </c>
      <c r="R811" s="63" t="s">
        <v>1221</v>
      </c>
      <c r="S811" s="142">
        <f t="shared" si="314"/>
        <v>0</v>
      </c>
      <c r="T811" s="143">
        <v>19.64</v>
      </c>
      <c r="U811" s="144"/>
      <c r="V811" s="144"/>
      <c r="W811" s="144"/>
      <c r="X811" s="144"/>
      <c r="Y811" s="144">
        <v>85</v>
      </c>
      <c r="Z811" s="145"/>
      <c r="AA811" s="145"/>
      <c r="AB811" s="145"/>
      <c r="AC811" s="145"/>
      <c r="AD811" s="146" t="s">
        <v>222</v>
      </c>
      <c r="AE811" s="171">
        <v>1</v>
      </c>
      <c r="AF811" s="147">
        <f t="shared" si="307"/>
        <v>0</v>
      </c>
      <c r="AG811" s="147">
        <f t="shared" si="308"/>
        <v>0</v>
      </c>
      <c r="AH811" s="147">
        <f t="shared" si="309"/>
        <v>0</v>
      </c>
      <c r="AI811" s="147">
        <f t="shared" si="310"/>
        <v>0</v>
      </c>
      <c r="AJ811" s="148">
        <f t="shared" si="311"/>
        <v>0</v>
      </c>
      <c r="AK811" s="149">
        <f t="shared" ref="AK811:AK874" si="315">IF($R811="",0,VLOOKUP($R811,Kengetal,5,FALSE))</f>
        <v>0</v>
      </c>
      <c r="AL811" s="149">
        <f t="shared" ref="AL811:AL874" si="316">IF($R811="",0,VLOOKUP($R811,Kengetal,6,FALSE))</f>
        <v>0</v>
      </c>
      <c r="AM811" s="149">
        <f t="shared" ref="AM811:AM874" si="317">IF($R811="",0,VLOOKUP($R811,Kengetal,7,FALSE))</f>
        <v>0</v>
      </c>
      <c r="AN811" s="149">
        <f t="shared" ref="AN811:AN874" si="318">IF($R811="",0,VLOOKUP($R811,Kengetal,8,FALSE))</f>
        <v>0</v>
      </c>
      <c r="AO811" s="150">
        <f t="shared" si="312"/>
        <v>0</v>
      </c>
      <c r="AQ811" s="151">
        <f t="shared" si="313"/>
        <v>0</v>
      </c>
    </row>
    <row r="812" spans="1:43" ht="15" customHeight="1">
      <c r="A812" s="82" t="e">
        <f t="shared" si="298"/>
        <v>#REF!</v>
      </c>
      <c r="B812" s="134">
        <v>113</v>
      </c>
      <c r="C812" s="135" t="s">
        <v>946</v>
      </c>
      <c r="D812" s="136" t="s">
        <v>39</v>
      </c>
      <c r="E812" s="137"/>
      <c r="F812" s="138" t="s">
        <v>206</v>
      </c>
      <c r="G812" s="139" t="s">
        <v>73</v>
      </c>
      <c r="H812" s="140" t="str">
        <f t="shared" si="299"/>
        <v>Berging/opslag/magazijn</v>
      </c>
      <c r="I812" s="138" t="s">
        <v>254</v>
      </c>
      <c r="J812" s="138" t="s">
        <v>1207</v>
      </c>
      <c r="K812" s="141" t="str">
        <f t="shared" si="300"/>
        <v>Zie Freq</v>
      </c>
      <c r="L812" s="141" t="str">
        <f t="shared" si="301"/>
        <v>Zie Freq</v>
      </c>
      <c r="M812" s="141" t="str">
        <f t="shared" si="302"/>
        <v>Zie Freq</v>
      </c>
      <c r="N812" s="141" t="str">
        <f t="shared" si="303"/>
        <v>Zie Freq</v>
      </c>
      <c r="O812" s="141" t="str">
        <f t="shared" si="304"/>
        <v>Zie Freq</v>
      </c>
      <c r="P812" s="141" t="str">
        <f t="shared" si="305"/>
        <v>NVT</v>
      </c>
      <c r="Q812" s="141" t="str">
        <f t="shared" si="306"/>
        <v>NVT</v>
      </c>
      <c r="R812" s="63" t="s">
        <v>1264</v>
      </c>
      <c r="S812" s="142">
        <f t="shared" si="314"/>
        <v>2</v>
      </c>
      <c r="T812" s="143">
        <v>3.8</v>
      </c>
      <c r="U812" s="144"/>
      <c r="V812" s="144"/>
      <c r="W812" s="144"/>
      <c r="X812" s="144"/>
      <c r="Y812" s="144">
        <v>20.5</v>
      </c>
      <c r="Z812" s="145"/>
      <c r="AA812" s="145"/>
      <c r="AB812" s="145"/>
      <c r="AC812" s="145"/>
      <c r="AD812" s="146" t="s">
        <v>225</v>
      </c>
      <c r="AE812" s="171">
        <v>1</v>
      </c>
      <c r="AF812" s="147">
        <f t="shared" si="307"/>
        <v>0</v>
      </c>
      <c r="AG812" s="147">
        <f t="shared" si="308"/>
        <v>0</v>
      </c>
      <c r="AH812" s="147">
        <f t="shared" si="309"/>
        <v>0</v>
      </c>
      <c r="AI812" s="147">
        <f t="shared" si="310"/>
        <v>0</v>
      </c>
      <c r="AJ812" s="148" t="str">
        <f t="shared" si="311"/>
        <v>nee</v>
      </c>
      <c r="AK812" s="149">
        <f t="shared" si="315"/>
        <v>0</v>
      </c>
      <c r="AL812" s="149">
        <f t="shared" si="316"/>
        <v>0</v>
      </c>
      <c r="AM812" s="149">
        <f t="shared" si="317"/>
        <v>0</v>
      </c>
      <c r="AN812" s="149">
        <f t="shared" si="318"/>
        <v>0</v>
      </c>
      <c r="AO812" s="150" t="str">
        <f t="shared" si="312"/>
        <v>V</v>
      </c>
      <c r="AQ812" s="151">
        <f t="shared" si="313"/>
        <v>7.6</v>
      </c>
    </row>
    <row r="813" spans="1:43" ht="15" customHeight="1">
      <c r="A813" s="82" t="e">
        <f t="shared" si="298"/>
        <v>#REF!</v>
      </c>
      <c r="B813" s="134">
        <v>113</v>
      </c>
      <c r="C813" s="135" t="s">
        <v>946</v>
      </c>
      <c r="D813" s="136" t="s">
        <v>39</v>
      </c>
      <c r="E813" s="137"/>
      <c r="F813" s="138" t="s">
        <v>207</v>
      </c>
      <c r="G813" s="139" t="s">
        <v>79</v>
      </c>
      <c r="H813" s="140" t="str">
        <f t="shared" si="299"/>
        <v>Sanitair</v>
      </c>
      <c r="I813" s="138" t="s">
        <v>237</v>
      </c>
      <c r="J813" s="138" t="s">
        <v>1171</v>
      </c>
      <c r="K813" s="141" t="str">
        <f t="shared" si="300"/>
        <v>Omde dag Vol/Nal.</v>
      </c>
      <c r="L813" s="141" t="str">
        <f t="shared" si="301"/>
        <v>Omde dag Nal./Vol</v>
      </c>
      <c r="M813" s="141" t="str">
        <f t="shared" si="302"/>
        <v>Omde dag Vol/Nal.</v>
      </c>
      <c r="N813" s="141" t="str">
        <f t="shared" si="303"/>
        <v>Omde dag Nal./Vol</v>
      </c>
      <c r="O813" s="141" t="str">
        <f t="shared" si="304"/>
        <v>Omde dag Vol/Nal.</v>
      </c>
      <c r="P813" s="141" t="str">
        <f t="shared" si="305"/>
        <v>Omde dag Nal./Vol</v>
      </c>
      <c r="Q813" s="141" t="str">
        <f t="shared" si="306"/>
        <v>Omde dag Vol/Nal.</v>
      </c>
      <c r="R813" s="63" t="s">
        <v>1211</v>
      </c>
      <c r="S813" s="142">
        <f t="shared" si="314"/>
        <v>365</v>
      </c>
      <c r="T813" s="143">
        <v>2.9</v>
      </c>
      <c r="U813" s="144">
        <v>17.8</v>
      </c>
      <c r="V813" s="144"/>
      <c r="W813" s="144"/>
      <c r="X813" s="144"/>
      <c r="Y813" s="144"/>
      <c r="Z813" s="145"/>
      <c r="AA813" s="145"/>
      <c r="AB813" s="145"/>
      <c r="AC813" s="145">
        <f>T813</f>
        <v>2.9</v>
      </c>
      <c r="AD813" s="146" t="s">
        <v>222</v>
      </c>
      <c r="AE813" s="171">
        <v>1</v>
      </c>
      <c r="AF813" s="147">
        <f t="shared" si="307"/>
        <v>0</v>
      </c>
      <c r="AG813" s="147">
        <f t="shared" si="308"/>
        <v>0</v>
      </c>
      <c r="AH813" s="147">
        <f t="shared" si="309"/>
        <v>0</v>
      </c>
      <c r="AI813" s="147">
        <f t="shared" si="310"/>
        <v>0</v>
      </c>
      <c r="AJ813" s="148" t="str">
        <f t="shared" si="311"/>
        <v>ja</v>
      </c>
      <c r="AK813" s="149">
        <f t="shared" si="315"/>
        <v>0</v>
      </c>
      <c r="AL813" s="149">
        <f t="shared" si="316"/>
        <v>0</v>
      </c>
      <c r="AM813" s="149">
        <f t="shared" si="317"/>
        <v>0</v>
      </c>
      <c r="AN813" s="149">
        <f t="shared" si="318"/>
        <v>0</v>
      </c>
      <c r="AO813" s="150" t="str">
        <f t="shared" si="312"/>
        <v>S</v>
      </c>
      <c r="AQ813" s="151">
        <f t="shared" si="313"/>
        <v>1058.5</v>
      </c>
    </row>
    <row r="814" spans="1:43" ht="15" customHeight="1">
      <c r="A814" s="82" t="e">
        <f t="shared" si="298"/>
        <v>#REF!</v>
      </c>
      <c r="B814" s="134">
        <v>113</v>
      </c>
      <c r="C814" s="135" t="s">
        <v>946</v>
      </c>
      <c r="D814" s="136" t="s">
        <v>39</v>
      </c>
      <c r="E814" s="137"/>
      <c r="F814" s="138" t="s">
        <v>208</v>
      </c>
      <c r="G814" s="139" t="s">
        <v>151</v>
      </c>
      <c r="H814" s="140" t="str">
        <f t="shared" si="299"/>
        <v>Sanitair</v>
      </c>
      <c r="I814" s="138" t="s">
        <v>237</v>
      </c>
      <c r="J814" s="138" t="s">
        <v>1171</v>
      </c>
      <c r="K814" s="141" t="str">
        <f t="shared" si="300"/>
        <v>Omde dag Vol/Nal.</v>
      </c>
      <c r="L814" s="141" t="str">
        <f t="shared" si="301"/>
        <v>Omde dag Nal./Vol</v>
      </c>
      <c r="M814" s="141" t="str">
        <f t="shared" si="302"/>
        <v>Omde dag Vol/Nal.</v>
      </c>
      <c r="N814" s="141" t="str">
        <f t="shared" si="303"/>
        <v>Omde dag Nal./Vol</v>
      </c>
      <c r="O814" s="141" t="str">
        <f t="shared" si="304"/>
        <v>Omde dag Vol/Nal.</v>
      </c>
      <c r="P814" s="141" t="str">
        <f t="shared" si="305"/>
        <v>Omde dag Nal./Vol</v>
      </c>
      <c r="Q814" s="141" t="str">
        <f t="shared" si="306"/>
        <v>Omde dag Vol/Nal.</v>
      </c>
      <c r="R814" s="63" t="s">
        <v>1211</v>
      </c>
      <c r="S814" s="142">
        <f t="shared" si="314"/>
        <v>365</v>
      </c>
      <c r="T814" s="143">
        <v>2.9</v>
      </c>
      <c r="U814" s="144">
        <v>17.8</v>
      </c>
      <c r="V814" s="144"/>
      <c r="W814" s="144"/>
      <c r="X814" s="144"/>
      <c r="Y814" s="144"/>
      <c r="Z814" s="145"/>
      <c r="AA814" s="145"/>
      <c r="AB814" s="145"/>
      <c r="AC814" s="145">
        <f>T814</f>
        <v>2.9</v>
      </c>
      <c r="AD814" s="146" t="s">
        <v>222</v>
      </c>
      <c r="AE814" s="171">
        <v>1</v>
      </c>
      <c r="AF814" s="147">
        <f t="shared" si="307"/>
        <v>0</v>
      </c>
      <c r="AG814" s="147">
        <f t="shared" si="308"/>
        <v>0</v>
      </c>
      <c r="AH814" s="147">
        <f t="shared" si="309"/>
        <v>0</v>
      </c>
      <c r="AI814" s="147">
        <f t="shared" si="310"/>
        <v>0</v>
      </c>
      <c r="AJ814" s="148" t="str">
        <f t="shared" si="311"/>
        <v>ja</v>
      </c>
      <c r="AK814" s="149">
        <f t="shared" si="315"/>
        <v>0</v>
      </c>
      <c r="AL814" s="149">
        <f t="shared" si="316"/>
        <v>0</v>
      </c>
      <c r="AM814" s="149">
        <f t="shared" si="317"/>
        <v>0</v>
      </c>
      <c r="AN814" s="149">
        <f t="shared" si="318"/>
        <v>0</v>
      </c>
      <c r="AO814" s="150" t="str">
        <f t="shared" si="312"/>
        <v>S</v>
      </c>
      <c r="AQ814" s="151">
        <f t="shared" si="313"/>
        <v>1058.5</v>
      </c>
    </row>
    <row r="815" spans="1:43" ht="15" customHeight="1">
      <c r="A815" s="82" t="e">
        <f t="shared" si="298"/>
        <v>#REF!</v>
      </c>
      <c r="B815" s="134">
        <v>113</v>
      </c>
      <c r="C815" s="135" t="s">
        <v>946</v>
      </c>
      <c r="D815" s="136" t="s">
        <v>39</v>
      </c>
      <c r="E815" s="137"/>
      <c r="F815" s="138" t="s">
        <v>209</v>
      </c>
      <c r="G815" s="139" t="s">
        <v>81</v>
      </c>
      <c r="H815" s="140" t="str">
        <f t="shared" si="299"/>
        <v>Niet van toepassing</v>
      </c>
      <c r="I815" s="138" t="s">
        <v>195</v>
      </c>
      <c r="J815" s="138" t="s">
        <v>1172</v>
      </c>
      <c r="K815" s="141" t="str">
        <f t="shared" si="300"/>
        <v>NVT</v>
      </c>
      <c r="L815" s="141" t="str">
        <f t="shared" si="301"/>
        <v>NVT</v>
      </c>
      <c r="M815" s="141" t="str">
        <f t="shared" si="302"/>
        <v>NVT</v>
      </c>
      <c r="N815" s="141" t="str">
        <f t="shared" si="303"/>
        <v>NVT</v>
      </c>
      <c r="O815" s="141" t="str">
        <f t="shared" si="304"/>
        <v>NVT</v>
      </c>
      <c r="P815" s="141" t="str">
        <f t="shared" si="305"/>
        <v>NVT</v>
      </c>
      <c r="Q815" s="141" t="str">
        <f t="shared" si="306"/>
        <v>NVT</v>
      </c>
      <c r="R815" s="63" t="s">
        <v>1221</v>
      </c>
      <c r="S815" s="142">
        <f t="shared" si="314"/>
        <v>0</v>
      </c>
      <c r="T815" s="143">
        <v>2.2000000000000002</v>
      </c>
      <c r="U815" s="144" t="s">
        <v>1113</v>
      </c>
      <c r="V815" s="144"/>
      <c r="W815" s="144"/>
      <c r="X815" s="144"/>
      <c r="Y815" s="144"/>
      <c r="Z815" s="145"/>
      <c r="AA815" s="145"/>
      <c r="AB815" s="145"/>
      <c r="AC815" s="145"/>
      <c r="AD815" s="146" t="s">
        <v>221</v>
      </c>
      <c r="AE815" s="171">
        <v>1</v>
      </c>
      <c r="AF815" s="147">
        <f t="shared" si="307"/>
        <v>0</v>
      </c>
      <c r="AG815" s="147">
        <f t="shared" si="308"/>
        <v>0</v>
      </c>
      <c r="AH815" s="147">
        <f t="shared" si="309"/>
        <v>0</v>
      </c>
      <c r="AI815" s="147">
        <f t="shared" si="310"/>
        <v>0</v>
      </c>
      <c r="AJ815" s="148">
        <f t="shared" si="311"/>
        <v>0</v>
      </c>
      <c r="AK815" s="149">
        <f t="shared" si="315"/>
        <v>0</v>
      </c>
      <c r="AL815" s="149">
        <f t="shared" si="316"/>
        <v>0</v>
      </c>
      <c r="AM815" s="149">
        <f t="shared" si="317"/>
        <v>0</v>
      </c>
      <c r="AN815" s="149">
        <f t="shared" si="318"/>
        <v>0</v>
      </c>
      <c r="AO815" s="150">
        <f t="shared" si="312"/>
        <v>0</v>
      </c>
      <c r="AQ815" s="151">
        <f t="shared" si="313"/>
        <v>0</v>
      </c>
    </row>
    <row r="816" spans="1:43" ht="15" customHeight="1">
      <c r="A816" s="82" t="e">
        <f t="shared" si="298"/>
        <v>#REF!</v>
      </c>
      <c r="B816" s="134">
        <v>113</v>
      </c>
      <c r="C816" s="135" t="s">
        <v>946</v>
      </c>
      <c r="D816" s="136" t="s">
        <v>39</v>
      </c>
      <c r="E816" s="137"/>
      <c r="F816" s="138" t="s">
        <v>209</v>
      </c>
      <c r="G816" s="139" t="s">
        <v>84</v>
      </c>
      <c r="H816" s="140" t="str">
        <f t="shared" si="299"/>
        <v>Niet van toepassing</v>
      </c>
      <c r="I816" s="138" t="s">
        <v>254</v>
      </c>
      <c r="J816" s="138" t="s">
        <v>1172</v>
      </c>
      <c r="K816" s="141" t="str">
        <f t="shared" si="300"/>
        <v>NVT</v>
      </c>
      <c r="L816" s="141" t="str">
        <f t="shared" si="301"/>
        <v>NVT</v>
      </c>
      <c r="M816" s="141" t="str">
        <f t="shared" si="302"/>
        <v>NVT</v>
      </c>
      <c r="N816" s="141" t="str">
        <f t="shared" si="303"/>
        <v>NVT</v>
      </c>
      <c r="O816" s="141" t="str">
        <f t="shared" si="304"/>
        <v>NVT</v>
      </c>
      <c r="P816" s="141" t="str">
        <f t="shared" si="305"/>
        <v>NVT</v>
      </c>
      <c r="Q816" s="141" t="str">
        <f t="shared" si="306"/>
        <v>NVT</v>
      </c>
      <c r="R816" s="63" t="s">
        <v>1221</v>
      </c>
      <c r="S816" s="142">
        <f t="shared" si="314"/>
        <v>0</v>
      </c>
      <c r="T816" s="143">
        <v>2.2000000000000002</v>
      </c>
      <c r="U816" s="144" t="s">
        <v>1113</v>
      </c>
      <c r="V816" s="144"/>
      <c r="W816" s="144"/>
      <c r="X816" s="144"/>
      <c r="Y816" s="144"/>
      <c r="Z816" s="145"/>
      <c r="AA816" s="145"/>
      <c r="AB816" s="145"/>
      <c r="AC816" s="145"/>
      <c r="AD816" s="146" t="s">
        <v>222</v>
      </c>
      <c r="AE816" s="171">
        <v>1</v>
      </c>
      <c r="AF816" s="147">
        <f t="shared" si="307"/>
        <v>0</v>
      </c>
      <c r="AG816" s="147">
        <f t="shared" si="308"/>
        <v>0</v>
      </c>
      <c r="AH816" s="147">
        <f t="shared" si="309"/>
        <v>0</v>
      </c>
      <c r="AI816" s="147">
        <f t="shared" si="310"/>
        <v>0</v>
      </c>
      <c r="AJ816" s="148">
        <f t="shared" si="311"/>
        <v>0</v>
      </c>
      <c r="AK816" s="149">
        <f t="shared" si="315"/>
        <v>0</v>
      </c>
      <c r="AL816" s="149">
        <f t="shared" si="316"/>
        <v>0</v>
      </c>
      <c r="AM816" s="149">
        <f t="shared" si="317"/>
        <v>0</v>
      </c>
      <c r="AN816" s="149">
        <f t="shared" si="318"/>
        <v>0</v>
      </c>
      <c r="AO816" s="150">
        <f t="shared" si="312"/>
        <v>0</v>
      </c>
      <c r="AQ816" s="151">
        <f t="shared" si="313"/>
        <v>0</v>
      </c>
    </row>
    <row r="817" spans="1:43" ht="15" customHeight="1">
      <c r="A817" s="82" t="e">
        <f t="shared" si="298"/>
        <v>#REF!</v>
      </c>
      <c r="B817" s="134">
        <v>113</v>
      </c>
      <c r="C817" s="135" t="s">
        <v>946</v>
      </c>
      <c r="D817" s="136" t="s">
        <v>39</v>
      </c>
      <c r="E817" s="137"/>
      <c r="F817" s="138" t="s">
        <v>210</v>
      </c>
      <c r="G817" s="139" t="s">
        <v>153</v>
      </c>
      <c r="H817" s="140" t="str">
        <f t="shared" si="299"/>
        <v>Niet van toepassing</v>
      </c>
      <c r="I817" s="138" t="s">
        <v>195</v>
      </c>
      <c r="J817" s="138" t="s">
        <v>1172</v>
      </c>
      <c r="K817" s="141" t="str">
        <f t="shared" si="300"/>
        <v>NVT</v>
      </c>
      <c r="L817" s="141" t="str">
        <f t="shared" si="301"/>
        <v>NVT</v>
      </c>
      <c r="M817" s="141" t="str">
        <f t="shared" si="302"/>
        <v>NVT</v>
      </c>
      <c r="N817" s="141" t="str">
        <f t="shared" si="303"/>
        <v>NVT</v>
      </c>
      <c r="O817" s="141" t="str">
        <f t="shared" si="304"/>
        <v>NVT</v>
      </c>
      <c r="P817" s="141" t="str">
        <f t="shared" si="305"/>
        <v>NVT</v>
      </c>
      <c r="Q817" s="141" t="str">
        <f t="shared" si="306"/>
        <v>NVT</v>
      </c>
      <c r="R817" s="63" t="s">
        <v>1221</v>
      </c>
      <c r="S817" s="142">
        <f t="shared" si="314"/>
        <v>0</v>
      </c>
      <c r="T817" s="143">
        <v>7.8</v>
      </c>
      <c r="U817" s="144"/>
      <c r="V817" s="144"/>
      <c r="W817" s="144"/>
      <c r="X817" s="144"/>
      <c r="Y817" s="144">
        <v>26.6</v>
      </c>
      <c r="Z817" s="145"/>
      <c r="AA817" s="145"/>
      <c r="AB817" s="145">
        <f>T817</f>
        <v>7.8</v>
      </c>
      <c r="AC817" s="145"/>
      <c r="AD817" s="146" t="s">
        <v>377</v>
      </c>
      <c r="AE817" s="171">
        <v>1</v>
      </c>
      <c r="AF817" s="147">
        <f t="shared" si="307"/>
        <v>0</v>
      </c>
      <c r="AG817" s="147">
        <f t="shared" si="308"/>
        <v>0</v>
      </c>
      <c r="AH817" s="147">
        <f t="shared" si="309"/>
        <v>0</v>
      </c>
      <c r="AI817" s="147">
        <f t="shared" si="310"/>
        <v>0</v>
      </c>
      <c r="AJ817" s="148">
        <f t="shared" si="311"/>
        <v>0</v>
      </c>
      <c r="AK817" s="149">
        <f t="shared" si="315"/>
        <v>0</v>
      </c>
      <c r="AL817" s="149">
        <f t="shared" si="316"/>
        <v>0</v>
      </c>
      <c r="AM817" s="149">
        <f t="shared" si="317"/>
        <v>0</v>
      </c>
      <c r="AN817" s="149">
        <f t="shared" si="318"/>
        <v>0</v>
      </c>
      <c r="AO817" s="150">
        <f t="shared" si="312"/>
        <v>0</v>
      </c>
      <c r="AQ817" s="151">
        <f t="shared" si="313"/>
        <v>0</v>
      </c>
    </row>
    <row r="818" spans="1:43" ht="15" customHeight="1">
      <c r="A818" s="82" t="e">
        <f t="shared" si="298"/>
        <v>#REF!</v>
      </c>
      <c r="B818" s="134">
        <v>113</v>
      </c>
      <c r="C818" s="135" t="s">
        <v>946</v>
      </c>
      <c r="D818" s="136" t="s">
        <v>39</v>
      </c>
      <c r="E818" s="137"/>
      <c r="F818" s="138" t="s">
        <v>211</v>
      </c>
      <c r="G818" s="139">
        <v>34</v>
      </c>
      <c r="H818" s="140" t="str">
        <f t="shared" si="299"/>
        <v>Liften</v>
      </c>
      <c r="I818" s="138" t="s">
        <v>457</v>
      </c>
      <c r="J818" s="138" t="s">
        <v>1171</v>
      </c>
      <c r="K818" s="141" t="str">
        <f t="shared" si="300"/>
        <v>Omde dag Vol/Nal.</v>
      </c>
      <c r="L818" s="141" t="str">
        <f t="shared" si="301"/>
        <v>Omde dag Nal./Vol</v>
      </c>
      <c r="M818" s="141" t="str">
        <f t="shared" si="302"/>
        <v>Omde dag Vol/Nal.</v>
      </c>
      <c r="N818" s="141" t="str">
        <f t="shared" si="303"/>
        <v>Omde dag Nal./Vol</v>
      </c>
      <c r="O818" s="141" t="str">
        <f t="shared" si="304"/>
        <v>Omde dag Vol/Nal.</v>
      </c>
      <c r="P818" s="141" t="str">
        <f t="shared" si="305"/>
        <v>Omde dag Nal./Vol</v>
      </c>
      <c r="Q818" s="141" t="str">
        <f t="shared" si="306"/>
        <v>Omde dag Vol/Nal.</v>
      </c>
      <c r="R818" s="63" t="s">
        <v>1475</v>
      </c>
      <c r="S818" s="142">
        <f t="shared" si="314"/>
        <v>365</v>
      </c>
      <c r="T818" s="143">
        <v>2.8</v>
      </c>
      <c r="U818" s="144"/>
      <c r="V818" s="144"/>
      <c r="W818" s="144"/>
      <c r="X818" s="144">
        <v>11.5</v>
      </c>
      <c r="Y818" s="144">
        <v>3.5</v>
      </c>
      <c r="Z818" s="145"/>
      <c r="AA818" s="145"/>
      <c r="AB818" s="145"/>
      <c r="AC818" s="145">
        <f>T818</f>
        <v>2.8</v>
      </c>
      <c r="AD818" s="146" t="s">
        <v>1112</v>
      </c>
      <c r="AE818" s="171">
        <v>1</v>
      </c>
      <c r="AF818" s="147">
        <f t="shared" si="307"/>
        <v>0</v>
      </c>
      <c r="AG818" s="147">
        <f t="shared" si="308"/>
        <v>0</v>
      </c>
      <c r="AH818" s="147">
        <f t="shared" si="309"/>
        <v>0</v>
      </c>
      <c r="AI818" s="147">
        <f t="shared" si="310"/>
        <v>0</v>
      </c>
      <c r="AJ818" s="148" t="str">
        <f t="shared" si="311"/>
        <v>ja</v>
      </c>
      <c r="AK818" s="149">
        <f t="shared" si="315"/>
        <v>0</v>
      </c>
      <c r="AL818" s="149">
        <f t="shared" si="316"/>
        <v>0</v>
      </c>
      <c r="AM818" s="149">
        <f t="shared" si="317"/>
        <v>0</v>
      </c>
      <c r="AN818" s="149">
        <f t="shared" si="318"/>
        <v>0</v>
      </c>
      <c r="AO818" s="150" t="str">
        <f t="shared" si="312"/>
        <v>V</v>
      </c>
      <c r="AQ818" s="151">
        <f t="shared" si="313"/>
        <v>1021.9999999999999</v>
      </c>
    </row>
    <row r="819" spans="1:43" ht="15" customHeight="1">
      <c r="A819" s="82" t="e">
        <f t="shared" si="298"/>
        <v>#REF!</v>
      </c>
      <c r="B819" s="134">
        <v>113</v>
      </c>
      <c r="C819" s="135" t="s">
        <v>946</v>
      </c>
      <c r="D819" s="136" t="s">
        <v>39</v>
      </c>
      <c r="E819" s="137"/>
      <c r="F819" s="138" t="s">
        <v>210</v>
      </c>
      <c r="G819" s="139" t="s">
        <v>90</v>
      </c>
      <c r="H819" s="140" t="str">
        <f t="shared" si="299"/>
        <v>Niet van toepassing</v>
      </c>
      <c r="I819" s="138" t="s">
        <v>18</v>
      </c>
      <c r="J819" s="138" t="s">
        <v>1172</v>
      </c>
      <c r="K819" s="141" t="str">
        <f t="shared" si="300"/>
        <v>NVT</v>
      </c>
      <c r="L819" s="141" t="str">
        <f t="shared" si="301"/>
        <v>NVT</v>
      </c>
      <c r="M819" s="141" t="str">
        <f t="shared" si="302"/>
        <v>NVT</v>
      </c>
      <c r="N819" s="141" t="str">
        <f t="shared" si="303"/>
        <v>NVT</v>
      </c>
      <c r="O819" s="141" t="str">
        <f t="shared" si="304"/>
        <v>NVT</v>
      </c>
      <c r="P819" s="141" t="str">
        <f t="shared" si="305"/>
        <v>NVT</v>
      </c>
      <c r="Q819" s="141" t="str">
        <f t="shared" si="306"/>
        <v>NVT</v>
      </c>
      <c r="R819" s="63" t="s">
        <v>1221</v>
      </c>
      <c r="S819" s="142">
        <f t="shared" si="314"/>
        <v>0</v>
      </c>
      <c r="T819" s="143">
        <v>7.25</v>
      </c>
      <c r="U819" s="144"/>
      <c r="V819" s="144"/>
      <c r="W819" s="144">
        <v>26.6</v>
      </c>
      <c r="X819" s="144"/>
      <c r="Y819" s="144"/>
      <c r="Z819" s="145"/>
      <c r="AA819" s="145">
        <f>T819</f>
        <v>7.25</v>
      </c>
      <c r="AB819" s="145"/>
      <c r="AC819" s="145"/>
      <c r="AD819" s="146" t="s">
        <v>226</v>
      </c>
      <c r="AE819" s="171">
        <v>1</v>
      </c>
      <c r="AF819" s="147">
        <f t="shared" si="307"/>
        <v>0</v>
      </c>
      <c r="AG819" s="147">
        <f t="shared" si="308"/>
        <v>0</v>
      </c>
      <c r="AH819" s="147">
        <f t="shared" si="309"/>
        <v>0</v>
      </c>
      <c r="AI819" s="147">
        <f t="shared" si="310"/>
        <v>0</v>
      </c>
      <c r="AJ819" s="148">
        <f t="shared" si="311"/>
        <v>0</v>
      </c>
      <c r="AK819" s="149">
        <f t="shared" si="315"/>
        <v>0</v>
      </c>
      <c r="AL819" s="149">
        <f t="shared" si="316"/>
        <v>0</v>
      </c>
      <c r="AM819" s="149">
        <f t="shared" si="317"/>
        <v>0</v>
      </c>
      <c r="AN819" s="149">
        <f t="shared" si="318"/>
        <v>0</v>
      </c>
      <c r="AO819" s="150">
        <f t="shared" si="312"/>
        <v>0</v>
      </c>
      <c r="AQ819" s="151">
        <f t="shared" si="313"/>
        <v>0</v>
      </c>
    </row>
    <row r="820" spans="1:43" ht="15" customHeight="1">
      <c r="A820" s="82" t="e">
        <f t="shared" si="298"/>
        <v>#REF!</v>
      </c>
      <c r="B820" s="134">
        <v>113</v>
      </c>
      <c r="C820" s="135" t="s">
        <v>946</v>
      </c>
      <c r="D820" s="136" t="s">
        <v>39</v>
      </c>
      <c r="E820" s="137"/>
      <c r="F820" s="138" t="s">
        <v>212</v>
      </c>
      <c r="G820" s="139" t="s">
        <v>92</v>
      </c>
      <c r="H820" s="140" t="str">
        <f t="shared" si="299"/>
        <v>Liften</v>
      </c>
      <c r="I820" s="138" t="s">
        <v>131</v>
      </c>
      <c r="J820" s="138" t="s">
        <v>1171</v>
      </c>
      <c r="K820" s="141" t="str">
        <f t="shared" si="300"/>
        <v>Omde dag Vol/Nal.</v>
      </c>
      <c r="L820" s="141" t="str">
        <f t="shared" si="301"/>
        <v>Omde dag Nal./Vol</v>
      </c>
      <c r="M820" s="141" t="str">
        <f t="shared" si="302"/>
        <v>Omde dag Vol/Nal.</v>
      </c>
      <c r="N820" s="141" t="str">
        <f t="shared" si="303"/>
        <v>Omde dag Nal./Vol</v>
      </c>
      <c r="O820" s="141" t="str">
        <f t="shared" si="304"/>
        <v>Omde dag Vol/Nal.</v>
      </c>
      <c r="P820" s="141" t="str">
        <f t="shared" si="305"/>
        <v>Omde dag Nal./Vol</v>
      </c>
      <c r="Q820" s="141" t="str">
        <f t="shared" si="306"/>
        <v>Omde dag Vol/Nal.</v>
      </c>
      <c r="R820" s="63" t="s">
        <v>1475</v>
      </c>
      <c r="S820" s="142">
        <f t="shared" si="314"/>
        <v>365</v>
      </c>
      <c r="T820" s="143">
        <v>5.75</v>
      </c>
      <c r="U820" s="144" t="s">
        <v>1114</v>
      </c>
      <c r="V820" s="144"/>
      <c r="W820" s="144"/>
      <c r="X820" s="144"/>
      <c r="Y820" s="144"/>
      <c r="Z820" s="145"/>
      <c r="AA820" s="145"/>
      <c r="AB820" s="145"/>
      <c r="AC820" s="145"/>
      <c r="AD820" s="146" t="s">
        <v>227</v>
      </c>
      <c r="AE820" s="171">
        <v>1</v>
      </c>
      <c r="AF820" s="147">
        <f t="shared" si="307"/>
        <v>0</v>
      </c>
      <c r="AG820" s="147">
        <f t="shared" si="308"/>
        <v>0</v>
      </c>
      <c r="AH820" s="147">
        <f t="shared" si="309"/>
        <v>0</v>
      </c>
      <c r="AI820" s="147">
        <f t="shared" si="310"/>
        <v>0</v>
      </c>
      <c r="AJ820" s="148" t="str">
        <f t="shared" si="311"/>
        <v>ja</v>
      </c>
      <c r="AK820" s="149">
        <f t="shared" si="315"/>
        <v>0</v>
      </c>
      <c r="AL820" s="149">
        <f t="shared" si="316"/>
        <v>0</v>
      </c>
      <c r="AM820" s="149">
        <f t="shared" si="317"/>
        <v>0</v>
      </c>
      <c r="AN820" s="149">
        <f t="shared" si="318"/>
        <v>0</v>
      </c>
      <c r="AO820" s="150" t="str">
        <f t="shared" si="312"/>
        <v>V</v>
      </c>
      <c r="AQ820" s="151">
        <f t="shared" si="313"/>
        <v>2098.75</v>
      </c>
    </row>
    <row r="821" spans="1:43" ht="15" customHeight="1">
      <c r="A821" s="82" t="e">
        <f t="shared" si="298"/>
        <v>#REF!</v>
      </c>
      <c r="B821" s="134">
        <v>113</v>
      </c>
      <c r="C821" s="135" t="s">
        <v>946</v>
      </c>
      <c r="D821" s="136" t="s">
        <v>39</v>
      </c>
      <c r="E821" s="137"/>
      <c r="F821" s="138" t="s">
        <v>213</v>
      </c>
      <c r="G821" s="139" t="s">
        <v>142</v>
      </c>
      <c r="H821" s="140" t="str">
        <f t="shared" si="299"/>
        <v>Niet van toepassing</v>
      </c>
      <c r="I821" s="138" t="s">
        <v>254</v>
      </c>
      <c r="J821" s="138" t="s">
        <v>1172</v>
      </c>
      <c r="K821" s="141" t="str">
        <f t="shared" si="300"/>
        <v>NVT</v>
      </c>
      <c r="L821" s="141" t="str">
        <f t="shared" si="301"/>
        <v>NVT</v>
      </c>
      <c r="M821" s="141" t="str">
        <f t="shared" si="302"/>
        <v>NVT</v>
      </c>
      <c r="N821" s="141" t="str">
        <f t="shared" si="303"/>
        <v>NVT</v>
      </c>
      <c r="O821" s="141" t="str">
        <f t="shared" si="304"/>
        <v>NVT</v>
      </c>
      <c r="P821" s="141" t="str">
        <f t="shared" si="305"/>
        <v>NVT</v>
      </c>
      <c r="Q821" s="141" t="str">
        <f t="shared" si="306"/>
        <v>NVT</v>
      </c>
      <c r="R821" s="63" t="s">
        <v>1221</v>
      </c>
      <c r="S821" s="142">
        <f t="shared" si="314"/>
        <v>0</v>
      </c>
      <c r="T821" s="143">
        <v>10.4</v>
      </c>
      <c r="U821" s="144"/>
      <c r="V821" s="144"/>
      <c r="W821" s="144">
        <v>39.1</v>
      </c>
      <c r="X821" s="144"/>
      <c r="Y821" s="144"/>
      <c r="Z821" s="145"/>
      <c r="AA821" s="145">
        <f>T821</f>
        <v>10.4</v>
      </c>
      <c r="AB821" s="145"/>
      <c r="AC821" s="145"/>
      <c r="AD821" s="146" t="s">
        <v>228</v>
      </c>
      <c r="AE821" s="171">
        <v>1</v>
      </c>
      <c r="AF821" s="147">
        <f t="shared" si="307"/>
        <v>0</v>
      </c>
      <c r="AG821" s="147">
        <f t="shared" si="308"/>
        <v>0</v>
      </c>
      <c r="AH821" s="147">
        <f t="shared" si="309"/>
        <v>0</v>
      </c>
      <c r="AI821" s="147">
        <f t="shared" si="310"/>
        <v>0</v>
      </c>
      <c r="AJ821" s="148">
        <f t="shared" si="311"/>
        <v>0</v>
      </c>
      <c r="AK821" s="149">
        <f t="shared" si="315"/>
        <v>0</v>
      </c>
      <c r="AL821" s="149">
        <f t="shared" si="316"/>
        <v>0</v>
      </c>
      <c r="AM821" s="149">
        <f t="shared" si="317"/>
        <v>0</v>
      </c>
      <c r="AN821" s="149">
        <f t="shared" si="318"/>
        <v>0</v>
      </c>
      <c r="AO821" s="150">
        <f t="shared" si="312"/>
        <v>0</v>
      </c>
      <c r="AQ821" s="151">
        <f t="shared" si="313"/>
        <v>0</v>
      </c>
    </row>
    <row r="822" spans="1:43" ht="15" customHeight="1">
      <c r="A822" s="82" t="e">
        <f t="shared" si="298"/>
        <v>#REF!</v>
      </c>
      <c r="B822" s="134">
        <v>113</v>
      </c>
      <c r="C822" s="135" t="s">
        <v>946</v>
      </c>
      <c r="D822" s="136" t="s">
        <v>39</v>
      </c>
      <c r="E822" s="137"/>
      <c r="F822" s="138" t="s">
        <v>214</v>
      </c>
      <c r="G822" s="139" t="s">
        <v>157</v>
      </c>
      <c r="H822" s="140" t="str">
        <f t="shared" si="299"/>
        <v>Niet van toepassing</v>
      </c>
      <c r="I822" s="138" t="s">
        <v>254</v>
      </c>
      <c r="J822" s="138" t="s">
        <v>1172</v>
      </c>
      <c r="K822" s="141" t="str">
        <f t="shared" si="300"/>
        <v>NVT</v>
      </c>
      <c r="L822" s="141" t="str">
        <f t="shared" si="301"/>
        <v>NVT</v>
      </c>
      <c r="M822" s="141" t="str">
        <f t="shared" si="302"/>
        <v>NVT</v>
      </c>
      <c r="N822" s="141" t="str">
        <f t="shared" si="303"/>
        <v>NVT</v>
      </c>
      <c r="O822" s="141" t="str">
        <f t="shared" si="304"/>
        <v>NVT</v>
      </c>
      <c r="P822" s="141" t="str">
        <f t="shared" si="305"/>
        <v>NVT</v>
      </c>
      <c r="Q822" s="141" t="str">
        <f t="shared" si="306"/>
        <v>NVT</v>
      </c>
      <c r="R822" s="63" t="s">
        <v>1221</v>
      </c>
      <c r="S822" s="142">
        <f t="shared" si="314"/>
        <v>0</v>
      </c>
      <c r="T822" s="143">
        <v>20.7</v>
      </c>
      <c r="U822" s="144"/>
      <c r="V822" s="144"/>
      <c r="W822" s="144">
        <v>50.6</v>
      </c>
      <c r="X822" s="144"/>
      <c r="Y822" s="144"/>
      <c r="Z822" s="145"/>
      <c r="AA822" s="145">
        <f>T822</f>
        <v>20.7</v>
      </c>
      <c r="AB822" s="145"/>
      <c r="AC822" s="145"/>
      <c r="AD822" s="146" t="s">
        <v>222</v>
      </c>
      <c r="AE822" s="171">
        <v>1</v>
      </c>
      <c r="AF822" s="147">
        <f t="shared" si="307"/>
        <v>0</v>
      </c>
      <c r="AG822" s="147">
        <f t="shared" si="308"/>
        <v>0</v>
      </c>
      <c r="AH822" s="147">
        <f t="shared" si="309"/>
        <v>0</v>
      </c>
      <c r="AI822" s="147">
        <f t="shared" si="310"/>
        <v>0</v>
      </c>
      <c r="AJ822" s="148">
        <f t="shared" si="311"/>
        <v>0</v>
      </c>
      <c r="AK822" s="149">
        <f t="shared" si="315"/>
        <v>0</v>
      </c>
      <c r="AL822" s="149">
        <f t="shared" si="316"/>
        <v>0</v>
      </c>
      <c r="AM822" s="149">
        <f t="shared" si="317"/>
        <v>0</v>
      </c>
      <c r="AN822" s="149">
        <f t="shared" si="318"/>
        <v>0</v>
      </c>
      <c r="AO822" s="150">
        <f t="shared" si="312"/>
        <v>0</v>
      </c>
      <c r="AQ822" s="151">
        <f t="shared" si="313"/>
        <v>0</v>
      </c>
    </row>
    <row r="823" spans="1:43" ht="15" customHeight="1">
      <c r="A823" s="82" t="e">
        <f t="shared" si="298"/>
        <v>#REF!</v>
      </c>
      <c r="B823" s="134">
        <v>113</v>
      </c>
      <c r="C823" s="135" t="s">
        <v>946</v>
      </c>
      <c r="D823" s="136" t="s">
        <v>39</v>
      </c>
      <c r="E823" s="137"/>
      <c r="F823" s="138" t="s">
        <v>215</v>
      </c>
      <c r="G823" s="139" t="s">
        <v>159</v>
      </c>
      <c r="H823" s="140" t="str">
        <f t="shared" si="299"/>
        <v>Niet van toepassing</v>
      </c>
      <c r="I823" s="138" t="s">
        <v>254</v>
      </c>
      <c r="J823" s="138" t="s">
        <v>1172</v>
      </c>
      <c r="K823" s="141" t="str">
        <f t="shared" si="300"/>
        <v>NVT</v>
      </c>
      <c r="L823" s="141" t="str">
        <f t="shared" si="301"/>
        <v>NVT</v>
      </c>
      <c r="M823" s="141" t="str">
        <f t="shared" si="302"/>
        <v>NVT</v>
      </c>
      <c r="N823" s="141" t="str">
        <f t="shared" si="303"/>
        <v>NVT</v>
      </c>
      <c r="O823" s="141" t="str">
        <f t="shared" si="304"/>
        <v>NVT</v>
      </c>
      <c r="P823" s="141" t="str">
        <f t="shared" si="305"/>
        <v>NVT</v>
      </c>
      <c r="Q823" s="141" t="str">
        <f t="shared" si="306"/>
        <v>NVT</v>
      </c>
      <c r="R823" s="63" t="s">
        <v>1221</v>
      </c>
      <c r="S823" s="142">
        <f t="shared" si="314"/>
        <v>0</v>
      </c>
      <c r="T823" s="143">
        <v>9.4</v>
      </c>
      <c r="U823" s="144"/>
      <c r="V823" s="144"/>
      <c r="W823" s="144">
        <v>23.7</v>
      </c>
      <c r="X823" s="144"/>
      <c r="Y823" s="144"/>
      <c r="Z823" s="145"/>
      <c r="AA823" s="145">
        <f>T823</f>
        <v>9.4</v>
      </c>
      <c r="AB823" s="145"/>
      <c r="AC823" s="145"/>
      <c r="AD823" s="146" t="s">
        <v>221</v>
      </c>
      <c r="AE823" s="171">
        <v>1</v>
      </c>
      <c r="AF823" s="147">
        <f t="shared" si="307"/>
        <v>0</v>
      </c>
      <c r="AG823" s="147">
        <f t="shared" si="308"/>
        <v>0</v>
      </c>
      <c r="AH823" s="147">
        <f t="shared" si="309"/>
        <v>0</v>
      </c>
      <c r="AI823" s="147">
        <f t="shared" si="310"/>
        <v>0</v>
      </c>
      <c r="AJ823" s="148">
        <f t="shared" si="311"/>
        <v>0</v>
      </c>
      <c r="AK823" s="149">
        <f t="shared" si="315"/>
        <v>0</v>
      </c>
      <c r="AL823" s="149">
        <f t="shared" si="316"/>
        <v>0</v>
      </c>
      <c r="AM823" s="149">
        <f t="shared" si="317"/>
        <v>0</v>
      </c>
      <c r="AN823" s="149">
        <f t="shared" si="318"/>
        <v>0</v>
      </c>
      <c r="AO823" s="150">
        <f t="shared" si="312"/>
        <v>0</v>
      </c>
      <c r="AQ823" s="151">
        <f t="shared" si="313"/>
        <v>0</v>
      </c>
    </row>
    <row r="824" spans="1:43" ht="15" customHeight="1">
      <c r="A824" s="82" t="e">
        <f t="shared" si="298"/>
        <v>#REF!</v>
      </c>
      <c r="B824" s="134">
        <v>113</v>
      </c>
      <c r="C824" s="135" t="s">
        <v>946</v>
      </c>
      <c r="D824" s="136" t="s">
        <v>39</v>
      </c>
      <c r="E824" s="137"/>
      <c r="F824" s="138" t="s">
        <v>216</v>
      </c>
      <c r="G824" s="139" t="s">
        <v>217</v>
      </c>
      <c r="H824" s="140" t="str">
        <f t="shared" si="299"/>
        <v>Kantoren/spreekkamers</v>
      </c>
      <c r="I824" s="138" t="s">
        <v>270</v>
      </c>
      <c r="J824" s="138" t="s">
        <v>1171</v>
      </c>
      <c r="K824" s="141" t="str">
        <f t="shared" si="300"/>
        <v>Omde dag Vol/Nal.</v>
      </c>
      <c r="L824" s="141" t="str">
        <f t="shared" si="301"/>
        <v>Omde dag Nal./Vol</v>
      </c>
      <c r="M824" s="141" t="str">
        <f t="shared" si="302"/>
        <v>Omde dag Vol/Nal.</v>
      </c>
      <c r="N824" s="141" t="str">
        <f t="shared" si="303"/>
        <v>Omde dag Nal./Vol</v>
      </c>
      <c r="O824" s="141" t="str">
        <f t="shared" si="304"/>
        <v>Omde dag Vol/Nal.</v>
      </c>
      <c r="P824" s="141" t="str">
        <f t="shared" si="305"/>
        <v>Omde dag Nal./Vol</v>
      </c>
      <c r="Q824" s="141" t="str">
        <f t="shared" si="306"/>
        <v>Omde dag Vol/Nal.</v>
      </c>
      <c r="R824" s="63" t="s">
        <v>1220</v>
      </c>
      <c r="S824" s="142">
        <f t="shared" si="314"/>
        <v>365</v>
      </c>
      <c r="T824" s="143">
        <v>25.79</v>
      </c>
      <c r="U824" s="144"/>
      <c r="V824" s="144"/>
      <c r="W824" s="144"/>
      <c r="X824" s="144"/>
      <c r="Y824" s="144">
        <v>63</v>
      </c>
      <c r="Z824" s="145"/>
      <c r="AA824" s="145"/>
      <c r="AB824" s="145"/>
      <c r="AC824" s="145"/>
      <c r="AD824" s="146" t="s">
        <v>222</v>
      </c>
      <c r="AE824" s="171">
        <v>1</v>
      </c>
      <c r="AF824" s="147">
        <f t="shared" si="307"/>
        <v>0</v>
      </c>
      <c r="AG824" s="147">
        <f t="shared" si="308"/>
        <v>0</v>
      </c>
      <c r="AH824" s="147">
        <f t="shared" si="309"/>
        <v>0</v>
      </c>
      <c r="AI824" s="147">
        <f t="shared" si="310"/>
        <v>0</v>
      </c>
      <c r="AJ824" s="148" t="str">
        <f t="shared" si="311"/>
        <v>nee</v>
      </c>
      <c r="AK824" s="149">
        <f t="shared" si="315"/>
        <v>0</v>
      </c>
      <c r="AL824" s="149">
        <f t="shared" si="316"/>
        <v>0</v>
      </c>
      <c r="AM824" s="149">
        <f t="shared" si="317"/>
        <v>0</v>
      </c>
      <c r="AN824" s="149">
        <f t="shared" si="318"/>
        <v>0</v>
      </c>
      <c r="AO824" s="150" t="str">
        <f t="shared" si="312"/>
        <v>B</v>
      </c>
      <c r="AQ824" s="151">
        <f t="shared" si="313"/>
        <v>9413.35</v>
      </c>
    </row>
    <row r="825" spans="1:43" ht="15" customHeight="1">
      <c r="A825" s="82" t="e">
        <f t="shared" si="298"/>
        <v>#REF!</v>
      </c>
      <c r="B825" s="134">
        <v>113</v>
      </c>
      <c r="C825" s="135" t="s">
        <v>946</v>
      </c>
      <c r="D825" s="136" t="s">
        <v>39</v>
      </c>
      <c r="E825" s="137"/>
      <c r="F825" s="138" t="s">
        <v>218</v>
      </c>
      <c r="G825" s="139" t="s">
        <v>219</v>
      </c>
      <c r="H825" s="140" t="str">
        <f t="shared" si="299"/>
        <v>Niet van toepassing</v>
      </c>
      <c r="I825" s="138" t="s">
        <v>254</v>
      </c>
      <c r="J825" s="138" t="s">
        <v>1172</v>
      </c>
      <c r="K825" s="141" t="str">
        <f t="shared" si="300"/>
        <v>NVT</v>
      </c>
      <c r="L825" s="141" t="str">
        <f t="shared" si="301"/>
        <v>NVT</v>
      </c>
      <c r="M825" s="141" t="str">
        <f t="shared" si="302"/>
        <v>NVT</v>
      </c>
      <c r="N825" s="141" t="str">
        <f t="shared" si="303"/>
        <v>NVT</v>
      </c>
      <c r="O825" s="141" t="str">
        <f t="shared" si="304"/>
        <v>NVT</v>
      </c>
      <c r="P825" s="141" t="str">
        <f t="shared" si="305"/>
        <v>NVT</v>
      </c>
      <c r="Q825" s="141" t="str">
        <f t="shared" si="306"/>
        <v>NVT</v>
      </c>
      <c r="R825" s="63" t="s">
        <v>1221</v>
      </c>
      <c r="S825" s="142">
        <f t="shared" si="314"/>
        <v>0</v>
      </c>
      <c r="T825" s="143">
        <v>46.17</v>
      </c>
      <c r="U825" s="144"/>
      <c r="V825" s="144"/>
      <c r="W825" s="144"/>
      <c r="X825" s="144"/>
      <c r="Y825" s="144">
        <v>58</v>
      </c>
      <c r="Z825" s="145"/>
      <c r="AA825" s="145"/>
      <c r="AB825" s="145">
        <f>T825</f>
        <v>46.17</v>
      </c>
      <c r="AC825" s="145"/>
      <c r="AD825" s="146" t="s">
        <v>221</v>
      </c>
      <c r="AE825" s="171">
        <v>1</v>
      </c>
      <c r="AF825" s="147">
        <f t="shared" si="307"/>
        <v>0</v>
      </c>
      <c r="AG825" s="147">
        <f t="shared" si="308"/>
        <v>0</v>
      </c>
      <c r="AH825" s="147">
        <f t="shared" si="309"/>
        <v>0</v>
      </c>
      <c r="AI825" s="147">
        <f t="shared" si="310"/>
        <v>0</v>
      </c>
      <c r="AJ825" s="148">
        <f t="shared" si="311"/>
        <v>0</v>
      </c>
      <c r="AK825" s="149">
        <f t="shared" si="315"/>
        <v>0</v>
      </c>
      <c r="AL825" s="149">
        <f t="shared" si="316"/>
        <v>0</v>
      </c>
      <c r="AM825" s="149">
        <f t="shared" si="317"/>
        <v>0</v>
      </c>
      <c r="AN825" s="149">
        <f t="shared" si="318"/>
        <v>0</v>
      </c>
      <c r="AO825" s="150">
        <f t="shared" si="312"/>
        <v>0</v>
      </c>
      <c r="AQ825" s="151">
        <f t="shared" si="313"/>
        <v>0</v>
      </c>
    </row>
    <row r="826" spans="1:43" ht="15" customHeight="1">
      <c r="A826" s="82" t="e">
        <f t="shared" si="298"/>
        <v>#REF!</v>
      </c>
      <c r="B826" s="134">
        <v>113</v>
      </c>
      <c r="C826" s="135" t="s">
        <v>946</v>
      </c>
      <c r="D826" s="136" t="s">
        <v>39</v>
      </c>
      <c r="E826" s="137"/>
      <c r="F826" s="138" t="s">
        <v>218</v>
      </c>
      <c r="G826" s="139" t="s">
        <v>175</v>
      </c>
      <c r="H826" s="140" t="str">
        <f t="shared" si="299"/>
        <v>Niet van toepassing</v>
      </c>
      <c r="I826" s="138" t="s">
        <v>254</v>
      </c>
      <c r="J826" s="138" t="s">
        <v>1172</v>
      </c>
      <c r="K826" s="141" t="str">
        <f t="shared" si="300"/>
        <v>NVT</v>
      </c>
      <c r="L826" s="141" t="str">
        <f t="shared" si="301"/>
        <v>NVT</v>
      </c>
      <c r="M826" s="141" t="str">
        <f t="shared" si="302"/>
        <v>NVT</v>
      </c>
      <c r="N826" s="141" t="str">
        <f t="shared" si="303"/>
        <v>NVT</v>
      </c>
      <c r="O826" s="141" t="str">
        <f t="shared" si="304"/>
        <v>NVT</v>
      </c>
      <c r="P826" s="141" t="str">
        <f t="shared" si="305"/>
        <v>NVT</v>
      </c>
      <c r="Q826" s="141" t="str">
        <f t="shared" si="306"/>
        <v>NVT</v>
      </c>
      <c r="R826" s="63" t="s">
        <v>1221</v>
      </c>
      <c r="S826" s="142">
        <f t="shared" si="314"/>
        <v>0</v>
      </c>
      <c r="T826" s="143">
        <v>47.88</v>
      </c>
      <c r="U826" s="144"/>
      <c r="V826" s="144"/>
      <c r="W826" s="144"/>
      <c r="X826" s="144"/>
      <c r="Y826" s="144">
        <v>51</v>
      </c>
      <c r="Z826" s="145"/>
      <c r="AA826" s="145"/>
      <c r="AB826" s="145">
        <f>T826</f>
        <v>47.88</v>
      </c>
      <c r="AC826" s="145"/>
      <c r="AD826" s="146" t="s">
        <v>222</v>
      </c>
      <c r="AE826" s="171">
        <v>1</v>
      </c>
      <c r="AF826" s="147">
        <f t="shared" si="307"/>
        <v>0</v>
      </c>
      <c r="AG826" s="147">
        <f t="shared" si="308"/>
        <v>0</v>
      </c>
      <c r="AH826" s="147">
        <f t="shared" si="309"/>
        <v>0</v>
      </c>
      <c r="AI826" s="147">
        <f t="shared" si="310"/>
        <v>0</v>
      </c>
      <c r="AJ826" s="148">
        <f t="shared" si="311"/>
        <v>0</v>
      </c>
      <c r="AK826" s="149">
        <f t="shared" si="315"/>
        <v>0</v>
      </c>
      <c r="AL826" s="149">
        <f t="shared" si="316"/>
        <v>0</v>
      </c>
      <c r="AM826" s="149">
        <f t="shared" si="317"/>
        <v>0</v>
      </c>
      <c r="AN826" s="149">
        <f t="shared" si="318"/>
        <v>0</v>
      </c>
      <c r="AO826" s="150">
        <f t="shared" si="312"/>
        <v>0</v>
      </c>
      <c r="AQ826" s="151">
        <f t="shared" si="313"/>
        <v>0</v>
      </c>
    </row>
    <row r="827" spans="1:43" ht="15" customHeight="1">
      <c r="A827" s="82" t="e">
        <f t="shared" si="298"/>
        <v>#REF!</v>
      </c>
      <c r="B827" s="134">
        <v>113</v>
      </c>
      <c r="C827" s="135" t="s">
        <v>946</v>
      </c>
      <c r="D827" s="136" t="s">
        <v>39</v>
      </c>
      <c r="E827" s="137"/>
      <c r="F827" s="138" t="s">
        <v>220</v>
      </c>
      <c r="G827" s="139" t="s">
        <v>171</v>
      </c>
      <c r="H827" s="140" t="str">
        <f t="shared" si="299"/>
        <v>Niet van toepassing</v>
      </c>
      <c r="I827" s="138" t="s">
        <v>195</v>
      </c>
      <c r="J827" s="138" t="s">
        <v>1172</v>
      </c>
      <c r="K827" s="141" t="str">
        <f t="shared" si="300"/>
        <v>NVT</v>
      </c>
      <c r="L827" s="141" t="str">
        <f t="shared" si="301"/>
        <v>NVT</v>
      </c>
      <c r="M827" s="141" t="str">
        <f t="shared" si="302"/>
        <v>NVT</v>
      </c>
      <c r="N827" s="141" t="str">
        <f t="shared" si="303"/>
        <v>NVT</v>
      </c>
      <c r="O827" s="141" t="str">
        <f t="shared" si="304"/>
        <v>NVT</v>
      </c>
      <c r="P827" s="141" t="str">
        <f t="shared" si="305"/>
        <v>NVT</v>
      </c>
      <c r="Q827" s="141" t="str">
        <f t="shared" si="306"/>
        <v>NVT</v>
      </c>
      <c r="R827" s="63" t="s">
        <v>1221</v>
      </c>
      <c r="S827" s="142">
        <f t="shared" si="314"/>
        <v>0</v>
      </c>
      <c r="T827" s="143">
        <v>46.25</v>
      </c>
      <c r="U827" s="144"/>
      <c r="V827" s="144"/>
      <c r="W827" s="144"/>
      <c r="X827" s="144"/>
      <c r="Y827" s="144">
        <v>62.6</v>
      </c>
      <c r="Z827" s="145"/>
      <c r="AA827" s="145"/>
      <c r="AB827" s="145">
        <v>13.1</v>
      </c>
      <c r="AC827" s="145"/>
      <c r="AD827" s="146" t="s">
        <v>378</v>
      </c>
      <c r="AE827" s="171">
        <v>1</v>
      </c>
      <c r="AF827" s="147">
        <f t="shared" si="307"/>
        <v>0</v>
      </c>
      <c r="AG827" s="147">
        <f t="shared" si="308"/>
        <v>0</v>
      </c>
      <c r="AH827" s="147">
        <f t="shared" si="309"/>
        <v>0</v>
      </c>
      <c r="AI827" s="147">
        <f t="shared" si="310"/>
        <v>0</v>
      </c>
      <c r="AJ827" s="148">
        <f t="shared" si="311"/>
        <v>0</v>
      </c>
      <c r="AK827" s="149">
        <f t="shared" si="315"/>
        <v>0</v>
      </c>
      <c r="AL827" s="149">
        <f t="shared" si="316"/>
        <v>0</v>
      </c>
      <c r="AM827" s="149">
        <f t="shared" si="317"/>
        <v>0</v>
      </c>
      <c r="AN827" s="149">
        <f t="shared" si="318"/>
        <v>0</v>
      </c>
      <c r="AO827" s="150">
        <f t="shared" si="312"/>
        <v>0</v>
      </c>
      <c r="AQ827" s="151">
        <f t="shared" si="313"/>
        <v>0</v>
      </c>
    </row>
    <row r="828" spans="1:43" ht="15" customHeight="1">
      <c r="A828" s="82" t="e">
        <f t="shared" ref="A828:A891" si="319">1+A827</f>
        <v>#REF!</v>
      </c>
      <c r="B828" s="134">
        <v>113</v>
      </c>
      <c r="C828" s="135" t="s">
        <v>946</v>
      </c>
      <c r="D828" s="136" t="s">
        <v>39</v>
      </c>
      <c r="E828" s="137"/>
      <c r="F828" s="138" t="s">
        <v>220</v>
      </c>
      <c r="G828" s="139" t="s">
        <v>172</v>
      </c>
      <c r="H828" s="140" t="str">
        <f t="shared" si="299"/>
        <v>Niet van toepassing</v>
      </c>
      <c r="I828" s="138" t="s">
        <v>254</v>
      </c>
      <c r="J828" s="138" t="s">
        <v>1172</v>
      </c>
      <c r="K828" s="141" t="str">
        <f t="shared" si="300"/>
        <v>NVT</v>
      </c>
      <c r="L828" s="141" t="str">
        <f t="shared" si="301"/>
        <v>NVT</v>
      </c>
      <c r="M828" s="141" t="str">
        <f t="shared" si="302"/>
        <v>NVT</v>
      </c>
      <c r="N828" s="141" t="str">
        <f t="shared" si="303"/>
        <v>NVT</v>
      </c>
      <c r="O828" s="141" t="str">
        <f t="shared" si="304"/>
        <v>NVT</v>
      </c>
      <c r="P828" s="141" t="str">
        <f t="shared" si="305"/>
        <v>NVT</v>
      </c>
      <c r="Q828" s="141" t="str">
        <f t="shared" si="306"/>
        <v>NVT</v>
      </c>
      <c r="R828" s="63" t="s">
        <v>1221</v>
      </c>
      <c r="S828" s="142">
        <f t="shared" si="314"/>
        <v>0</v>
      </c>
      <c r="T828" s="143">
        <v>42.01</v>
      </c>
      <c r="U828" s="144"/>
      <c r="V828" s="144"/>
      <c r="W828" s="144"/>
      <c r="X828" s="144"/>
      <c r="Y828" s="144">
        <v>63</v>
      </c>
      <c r="Z828" s="145"/>
      <c r="AA828" s="145"/>
      <c r="AB828" s="145">
        <v>13.1</v>
      </c>
      <c r="AC828" s="145"/>
      <c r="AD828" s="146" t="s">
        <v>379</v>
      </c>
      <c r="AE828" s="171">
        <v>1</v>
      </c>
      <c r="AF828" s="147">
        <f t="shared" si="307"/>
        <v>0</v>
      </c>
      <c r="AG828" s="147">
        <f t="shared" si="308"/>
        <v>0</v>
      </c>
      <c r="AH828" s="147">
        <f t="shared" si="309"/>
        <v>0</v>
      </c>
      <c r="AI828" s="147">
        <f t="shared" si="310"/>
        <v>0</v>
      </c>
      <c r="AJ828" s="148">
        <f t="shared" si="311"/>
        <v>0</v>
      </c>
      <c r="AK828" s="149">
        <f t="shared" si="315"/>
        <v>0</v>
      </c>
      <c r="AL828" s="149">
        <f t="shared" si="316"/>
        <v>0</v>
      </c>
      <c r="AM828" s="149">
        <f t="shared" si="317"/>
        <v>0</v>
      </c>
      <c r="AN828" s="149">
        <f t="shared" si="318"/>
        <v>0</v>
      </c>
      <c r="AO828" s="150">
        <f t="shared" si="312"/>
        <v>0</v>
      </c>
      <c r="AQ828" s="151">
        <f t="shared" si="313"/>
        <v>0</v>
      </c>
    </row>
    <row r="829" spans="1:43" ht="15" customHeight="1">
      <c r="A829" s="82" t="e">
        <f t="shared" si="319"/>
        <v>#REF!</v>
      </c>
      <c r="B829" s="134">
        <v>114</v>
      </c>
      <c r="C829" s="135" t="s">
        <v>38</v>
      </c>
      <c r="D829" s="136" t="s">
        <v>39</v>
      </c>
      <c r="E829" s="137"/>
      <c r="F829" s="138" t="s">
        <v>40</v>
      </c>
      <c r="G829" s="139" t="s">
        <v>41</v>
      </c>
      <c r="H829" s="140" t="str">
        <f t="shared" si="299"/>
        <v>Hallen</v>
      </c>
      <c r="I829" s="138" t="s">
        <v>195</v>
      </c>
      <c r="J829" s="138" t="s">
        <v>1171</v>
      </c>
      <c r="K829" s="141" t="str">
        <f t="shared" si="300"/>
        <v>Omde dag Vol/Nal.</v>
      </c>
      <c r="L829" s="141" t="str">
        <f t="shared" si="301"/>
        <v>Omde dag Nal./Vol</v>
      </c>
      <c r="M829" s="141" t="str">
        <f t="shared" si="302"/>
        <v>Omde dag Vol/Nal.</v>
      </c>
      <c r="N829" s="141" t="str">
        <f t="shared" si="303"/>
        <v>Omde dag Nal./Vol</v>
      </c>
      <c r="O829" s="141" t="str">
        <f t="shared" si="304"/>
        <v>Omde dag Vol/Nal.</v>
      </c>
      <c r="P829" s="141" t="str">
        <f t="shared" si="305"/>
        <v>Omde dag Nal./Vol</v>
      </c>
      <c r="Q829" s="141" t="str">
        <f t="shared" si="306"/>
        <v>Omde dag Vol/Nal.</v>
      </c>
      <c r="R829" s="63" t="s">
        <v>1479</v>
      </c>
      <c r="S829" s="142">
        <f t="shared" si="314"/>
        <v>365</v>
      </c>
      <c r="T829" s="143">
        <v>202.8</v>
      </c>
      <c r="U829" s="144">
        <f>10*3.8+16.4</f>
        <v>54.4</v>
      </c>
      <c r="V829" s="144"/>
      <c r="W829" s="144"/>
      <c r="X829" s="144"/>
      <c r="Y829" s="144"/>
      <c r="Z829" s="145"/>
      <c r="AA829" s="145"/>
      <c r="AB829" s="145"/>
      <c r="AC829" s="145">
        <f>21.5*4*1.8+1.8*1.5*18</f>
        <v>203.4</v>
      </c>
      <c r="AD829" s="146" t="s">
        <v>42</v>
      </c>
      <c r="AE829" s="171">
        <v>1</v>
      </c>
      <c r="AF829" s="147">
        <f t="shared" si="307"/>
        <v>0</v>
      </c>
      <c r="AG829" s="147">
        <f t="shared" si="308"/>
        <v>0</v>
      </c>
      <c r="AH829" s="147">
        <f t="shared" si="309"/>
        <v>0</v>
      </c>
      <c r="AI829" s="147">
        <f t="shared" si="310"/>
        <v>0</v>
      </c>
      <c r="AJ829" s="148" t="str">
        <f t="shared" si="311"/>
        <v>ja</v>
      </c>
      <c r="AK829" s="149">
        <f t="shared" si="315"/>
        <v>0</v>
      </c>
      <c r="AL829" s="149">
        <f t="shared" si="316"/>
        <v>0</v>
      </c>
      <c r="AM829" s="149">
        <f t="shared" si="317"/>
        <v>0</v>
      </c>
      <c r="AN829" s="149">
        <f t="shared" si="318"/>
        <v>0</v>
      </c>
      <c r="AO829" s="150" t="str">
        <f t="shared" si="312"/>
        <v>V</v>
      </c>
      <c r="AQ829" s="151">
        <f t="shared" si="313"/>
        <v>74022</v>
      </c>
    </row>
    <row r="830" spans="1:43" ht="15" customHeight="1">
      <c r="A830" s="82" t="e">
        <f t="shared" si="319"/>
        <v>#REF!</v>
      </c>
      <c r="B830" s="134">
        <v>114</v>
      </c>
      <c r="C830" s="135" t="s">
        <v>38</v>
      </c>
      <c r="D830" s="136" t="s">
        <v>39</v>
      </c>
      <c r="E830" s="137"/>
      <c r="F830" s="138" t="s">
        <v>43</v>
      </c>
      <c r="G830" s="139" t="s">
        <v>44</v>
      </c>
      <c r="H830" s="140" t="str">
        <f t="shared" si="299"/>
        <v>Hallen</v>
      </c>
      <c r="I830" s="138" t="s">
        <v>195</v>
      </c>
      <c r="J830" s="138" t="s">
        <v>1171</v>
      </c>
      <c r="K830" s="141" t="str">
        <f t="shared" si="300"/>
        <v>Omde dag Vol/Nal.</v>
      </c>
      <c r="L830" s="141" t="str">
        <f t="shared" si="301"/>
        <v>Omde dag Nal./Vol</v>
      </c>
      <c r="M830" s="141" t="str">
        <f t="shared" si="302"/>
        <v>Omde dag Vol/Nal.</v>
      </c>
      <c r="N830" s="141" t="str">
        <f t="shared" si="303"/>
        <v>Omde dag Nal./Vol</v>
      </c>
      <c r="O830" s="141" t="str">
        <f t="shared" si="304"/>
        <v>Omde dag Vol/Nal.</v>
      </c>
      <c r="P830" s="141" t="str">
        <f t="shared" si="305"/>
        <v>Omde dag Nal./Vol</v>
      </c>
      <c r="Q830" s="141" t="str">
        <f t="shared" si="306"/>
        <v>Omde dag Vol/Nal.</v>
      </c>
      <c r="R830" s="63" t="s">
        <v>1479</v>
      </c>
      <c r="S830" s="142">
        <f t="shared" si="314"/>
        <v>365</v>
      </c>
      <c r="T830" s="143">
        <v>176.71</v>
      </c>
      <c r="U830" s="144">
        <v>316</v>
      </c>
      <c r="V830" s="144"/>
      <c r="W830" s="144"/>
      <c r="X830" s="144">
        <v>20</v>
      </c>
      <c r="Y830" s="144"/>
      <c r="Z830" s="145"/>
      <c r="AA830" s="145">
        <f>176.7+16*1.4+18.9*2.4</f>
        <v>244.45999999999998</v>
      </c>
      <c r="AB830" s="145"/>
      <c r="AC830" s="145"/>
      <c r="AD830" s="146" t="s">
        <v>45</v>
      </c>
      <c r="AE830" s="171">
        <v>1</v>
      </c>
      <c r="AF830" s="147">
        <f t="shared" si="307"/>
        <v>0</v>
      </c>
      <c r="AG830" s="147">
        <f t="shared" si="308"/>
        <v>0</v>
      </c>
      <c r="AH830" s="147">
        <f t="shared" si="309"/>
        <v>0</v>
      </c>
      <c r="AI830" s="147">
        <f t="shared" si="310"/>
        <v>0</v>
      </c>
      <c r="AJ830" s="148" t="str">
        <f t="shared" si="311"/>
        <v>ja</v>
      </c>
      <c r="AK830" s="149">
        <f t="shared" si="315"/>
        <v>0</v>
      </c>
      <c r="AL830" s="149">
        <f t="shared" si="316"/>
        <v>0</v>
      </c>
      <c r="AM830" s="149">
        <f t="shared" si="317"/>
        <v>0</v>
      </c>
      <c r="AN830" s="149">
        <f t="shared" si="318"/>
        <v>0</v>
      </c>
      <c r="AO830" s="150" t="str">
        <f t="shared" si="312"/>
        <v>V</v>
      </c>
      <c r="AQ830" s="151">
        <f t="shared" si="313"/>
        <v>64499.15</v>
      </c>
    </row>
    <row r="831" spans="1:43" ht="15" customHeight="1">
      <c r="A831" s="82" t="e">
        <f t="shared" si="319"/>
        <v>#REF!</v>
      </c>
      <c r="B831" s="134">
        <v>114</v>
      </c>
      <c r="C831" s="135" t="s">
        <v>38</v>
      </c>
      <c r="D831" s="136" t="s">
        <v>39</v>
      </c>
      <c r="E831" s="137"/>
      <c r="F831" s="138" t="s">
        <v>46</v>
      </c>
      <c r="G831" s="139" t="s">
        <v>47</v>
      </c>
      <c r="H831" s="140" t="str">
        <f t="shared" si="299"/>
        <v>Sanitair</v>
      </c>
      <c r="I831" s="138" t="s">
        <v>270</v>
      </c>
      <c r="J831" s="138" t="s">
        <v>1171</v>
      </c>
      <c r="K831" s="141" t="str">
        <f t="shared" si="300"/>
        <v>Omde dag Vol/Nal.</v>
      </c>
      <c r="L831" s="141" t="str">
        <f t="shared" si="301"/>
        <v>Omde dag Nal./Vol</v>
      </c>
      <c r="M831" s="141" t="str">
        <f t="shared" si="302"/>
        <v>Omde dag Vol/Nal.</v>
      </c>
      <c r="N831" s="141" t="str">
        <f t="shared" si="303"/>
        <v>Omde dag Nal./Vol</v>
      </c>
      <c r="O831" s="141" t="str">
        <f t="shared" si="304"/>
        <v>Omde dag Vol/Nal.</v>
      </c>
      <c r="P831" s="141" t="str">
        <f t="shared" si="305"/>
        <v>Omde dag Nal./Vol</v>
      </c>
      <c r="Q831" s="141" t="str">
        <f t="shared" si="306"/>
        <v>Omde dag Vol/Nal.</v>
      </c>
      <c r="R831" s="63" t="s">
        <v>1211</v>
      </c>
      <c r="S831" s="142">
        <f t="shared" si="314"/>
        <v>365</v>
      </c>
      <c r="T831" s="143">
        <v>3.9</v>
      </c>
      <c r="U831" s="144"/>
      <c r="V831" s="144"/>
      <c r="W831" s="144"/>
      <c r="X831" s="144"/>
      <c r="Y831" s="144"/>
      <c r="Z831" s="145"/>
      <c r="AA831" s="145"/>
      <c r="AB831" s="145"/>
      <c r="AC831" s="145">
        <f>T831</f>
        <v>3.9</v>
      </c>
      <c r="AD831" s="146" t="s">
        <v>42</v>
      </c>
      <c r="AE831" s="171">
        <v>1</v>
      </c>
      <c r="AF831" s="147">
        <f t="shared" si="307"/>
        <v>0</v>
      </c>
      <c r="AG831" s="147">
        <f t="shared" si="308"/>
        <v>0</v>
      </c>
      <c r="AH831" s="147">
        <f t="shared" si="309"/>
        <v>0</v>
      </c>
      <c r="AI831" s="147">
        <f t="shared" si="310"/>
        <v>0</v>
      </c>
      <c r="AJ831" s="148" t="str">
        <f t="shared" si="311"/>
        <v>ja</v>
      </c>
      <c r="AK831" s="149">
        <f t="shared" si="315"/>
        <v>0</v>
      </c>
      <c r="AL831" s="149">
        <f t="shared" si="316"/>
        <v>0</v>
      </c>
      <c r="AM831" s="149">
        <f t="shared" si="317"/>
        <v>0</v>
      </c>
      <c r="AN831" s="149">
        <f t="shared" si="318"/>
        <v>0</v>
      </c>
      <c r="AO831" s="150" t="str">
        <f t="shared" si="312"/>
        <v>S</v>
      </c>
      <c r="AQ831" s="151">
        <f t="shared" si="313"/>
        <v>1423.5</v>
      </c>
    </row>
    <row r="832" spans="1:43" ht="15" customHeight="1">
      <c r="A832" s="82" t="e">
        <f t="shared" si="319"/>
        <v>#REF!</v>
      </c>
      <c r="B832" s="134">
        <v>114</v>
      </c>
      <c r="C832" s="135" t="s">
        <v>38</v>
      </c>
      <c r="D832" s="136" t="s">
        <v>39</v>
      </c>
      <c r="E832" s="137"/>
      <c r="F832" s="138" t="s">
        <v>37</v>
      </c>
      <c r="G832" s="139" t="s">
        <v>48</v>
      </c>
      <c r="H832" s="140" t="str">
        <f t="shared" si="299"/>
        <v>Gangen</v>
      </c>
      <c r="I832" s="138" t="s">
        <v>1022</v>
      </c>
      <c r="J832" s="138" t="s">
        <v>1171</v>
      </c>
      <c r="K832" s="141" t="str">
        <f t="shared" si="300"/>
        <v>Omde dag Vol/Nal.</v>
      </c>
      <c r="L832" s="141" t="str">
        <f t="shared" si="301"/>
        <v>Omde dag Nal./Vol</v>
      </c>
      <c r="M832" s="141" t="str">
        <f t="shared" si="302"/>
        <v>Omde dag Vol/Nal.</v>
      </c>
      <c r="N832" s="141" t="str">
        <f t="shared" si="303"/>
        <v>Omde dag Nal./Vol</v>
      </c>
      <c r="O832" s="141" t="str">
        <f t="shared" si="304"/>
        <v>Omde dag Vol/Nal.</v>
      </c>
      <c r="P832" s="141" t="str">
        <f t="shared" si="305"/>
        <v>Omde dag Nal./Vol</v>
      </c>
      <c r="Q832" s="141" t="str">
        <f t="shared" si="306"/>
        <v>Omde dag Vol/Nal.</v>
      </c>
      <c r="R832" s="63" t="s">
        <v>1265</v>
      </c>
      <c r="S832" s="142">
        <f t="shared" si="314"/>
        <v>365</v>
      </c>
      <c r="T832" s="143">
        <v>57.2</v>
      </c>
      <c r="U832" s="144"/>
      <c r="V832" s="144"/>
      <c r="W832" s="144"/>
      <c r="X832" s="144"/>
      <c r="Y832" s="144">
        <v>316</v>
      </c>
      <c r="Z832" s="145"/>
      <c r="AA832" s="145">
        <f>57.5-21</f>
        <v>36.5</v>
      </c>
      <c r="AB832" s="145">
        <v>21</v>
      </c>
      <c r="AC832" s="145"/>
      <c r="AD832" s="146" t="s">
        <v>42</v>
      </c>
      <c r="AE832" s="171">
        <v>1</v>
      </c>
      <c r="AF832" s="147">
        <f t="shared" si="307"/>
        <v>0</v>
      </c>
      <c r="AG832" s="147">
        <f t="shared" si="308"/>
        <v>0</v>
      </c>
      <c r="AH832" s="147">
        <f t="shared" si="309"/>
        <v>0</v>
      </c>
      <c r="AI832" s="147">
        <f t="shared" si="310"/>
        <v>0</v>
      </c>
      <c r="AJ832" s="148" t="str">
        <f t="shared" si="311"/>
        <v>ja</v>
      </c>
      <c r="AK832" s="149">
        <f t="shared" si="315"/>
        <v>0</v>
      </c>
      <c r="AL832" s="149">
        <f t="shared" si="316"/>
        <v>0</v>
      </c>
      <c r="AM832" s="149">
        <f t="shared" si="317"/>
        <v>0</v>
      </c>
      <c r="AN832" s="149">
        <f t="shared" si="318"/>
        <v>0</v>
      </c>
      <c r="AO832" s="150" t="str">
        <f t="shared" si="312"/>
        <v>V</v>
      </c>
      <c r="AQ832" s="151">
        <f t="shared" si="313"/>
        <v>20878</v>
      </c>
    </row>
    <row r="833" spans="1:43" ht="15" customHeight="1">
      <c r="A833" s="82" t="e">
        <f t="shared" si="319"/>
        <v>#REF!</v>
      </c>
      <c r="B833" s="134">
        <v>114</v>
      </c>
      <c r="C833" s="135" t="s">
        <v>38</v>
      </c>
      <c r="D833" s="136" t="s">
        <v>39</v>
      </c>
      <c r="E833" s="137"/>
      <c r="F833" s="138" t="s">
        <v>37</v>
      </c>
      <c r="G833" s="139" t="s">
        <v>49</v>
      </c>
      <c r="H833" s="140" t="str">
        <f t="shared" si="299"/>
        <v>Niet van toepassing</v>
      </c>
      <c r="I833" s="138" t="s">
        <v>195</v>
      </c>
      <c r="J833" s="138" t="s">
        <v>1172</v>
      </c>
      <c r="K833" s="141" t="str">
        <f t="shared" si="300"/>
        <v>NVT</v>
      </c>
      <c r="L833" s="141" t="str">
        <f t="shared" si="301"/>
        <v>NVT</v>
      </c>
      <c r="M833" s="141" t="str">
        <f t="shared" si="302"/>
        <v>NVT</v>
      </c>
      <c r="N833" s="141" t="str">
        <f t="shared" si="303"/>
        <v>NVT</v>
      </c>
      <c r="O833" s="141" t="str">
        <f t="shared" si="304"/>
        <v>NVT</v>
      </c>
      <c r="P833" s="141" t="str">
        <f t="shared" si="305"/>
        <v>NVT</v>
      </c>
      <c r="Q833" s="141" t="str">
        <f t="shared" si="306"/>
        <v>NVT</v>
      </c>
      <c r="R833" s="63" t="s">
        <v>1221</v>
      </c>
      <c r="S833" s="142">
        <f t="shared" si="314"/>
        <v>0</v>
      </c>
      <c r="T833" s="143">
        <v>8.7799999999999994</v>
      </c>
      <c r="U833" s="144"/>
      <c r="V833" s="144"/>
      <c r="W833" s="144">
        <v>61</v>
      </c>
      <c r="X833" s="144"/>
      <c r="Y833" s="144"/>
      <c r="Z833" s="145"/>
      <c r="AA833" s="145">
        <f>T833</f>
        <v>8.7799999999999994</v>
      </c>
      <c r="AB833" s="145"/>
      <c r="AC833" s="145"/>
      <c r="AD833" s="146" t="s">
        <v>42</v>
      </c>
      <c r="AE833" s="171">
        <v>1</v>
      </c>
      <c r="AF833" s="147">
        <f t="shared" si="307"/>
        <v>0</v>
      </c>
      <c r="AG833" s="147">
        <f t="shared" si="308"/>
        <v>0</v>
      </c>
      <c r="AH833" s="147">
        <f t="shared" si="309"/>
        <v>0</v>
      </c>
      <c r="AI833" s="147">
        <f t="shared" si="310"/>
        <v>0</v>
      </c>
      <c r="AJ833" s="148">
        <f t="shared" si="311"/>
        <v>0</v>
      </c>
      <c r="AK833" s="149">
        <f t="shared" si="315"/>
        <v>0</v>
      </c>
      <c r="AL833" s="149">
        <f t="shared" si="316"/>
        <v>0</v>
      </c>
      <c r="AM833" s="149">
        <f t="shared" si="317"/>
        <v>0</v>
      </c>
      <c r="AN833" s="149">
        <f t="shared" si="318"/>
        <v>0</v>
      </c>
      <c r="AO833" s="150">
        <f t="shared" si="312"/>
        <v>0</v>
      </c>
      <c r="AQ833" s="151">
        <f t="shared" si="313"/>
        <v>0</v>
      </c>
    </row>
    <row r="834" spans="1:43" ht="15" customHeight="1">
      <c r="A834" s="82" t="e">
        <f t="shared" si="319"/>
        <v>#REF!</v>
      </c>
      <c r="B834" s="134">
        <v>114</v>
      </c>
      <c r="C834" s="135" t="s">
        <v>38</v>
      </c>
      <c r="D834" s="136" t="s">
        <v>39</v>
      </c>
      <c r="E834" s="137"/>
      <c r="F834" s="138" t="s">
        <v>37</v>
      </c>
      <c r="G834" s="139" t="s">
        <v>50</v>
      </c>
      <c r="H834" s="140" t="str">
        <f t="shared" si="299"/>
        <v>Niet van toepassing</v>
      </c>
      <c r="I834" s="138" t="s">
        <v>195</v>
      </c>
      <c r="J834" s="138" t="s">
        <v>1172</v>
      </c>
      <c r="K834" s="141" t="str">
        <f t="shared" si="300"/>
        <v>NVT</v>
      </c>
      <c r="L834" s="141" t="str">
        <f t="shared" si="301"/>
        <v>NVT</v>
      </c>
      <c r="M834" s="141" t="str">
        <f t="shared" si="302"/>
        <v>NVT</v>
      </c>
      <c r="N834" s="141" t="str">
        <f t="shared" si="303"/>
        <v>NVT</v>
      </c>
      <c r="O834" s="141" t="str">
        <f t="shared" si="304"/>
        <v>NVT</v>
      </c>
      <c r="P834" s="141" t="str">
        <f t="shared" si="305"/>
        <v>NVT</v>
      </c>
      <c r="Q834" s="141" t="str">
        <f t="shared" si="306"/>
        <v>NVT</v>
      </c>
      <c r="R834" s="63" t="s">
        <v>1221</v>
      </c>
      <c r="S834" s="142">
        <f t="shared" si="314"/>
        <v>0</v>
      </c>
      <c r="T834" s="143">
        <v>13.81</v>
      </c>
      <c r="U834" s="144"/>
      <c r="V834" s="144"/>
      <c r="W834" s="144">
        <v>67</v>
      </c>
      <c r="X834" s="144"/>
      <c r="Y834" s="144"/>
      <c r="Z834" s="145"/>
      <c r="AA834" s="145">
        <f>T834</f>
        <v>13.81</v>
      </c>
      <c r="AB834" s="145"/>
      <c r="AC834" s="145"/>
      <c r="AD834" s="146" t="s">
        <v>45</v>
      </c>
      <c r="AE834" s="171">
        <v>1</v>
      </c>
      <c r="AF834" s="147">
        <f t="shared" si="307"/>
        <v>0</v>
      </c>
      <c r="AG834" s="147">
        <f t="shared" si="308"/>
        <v>0</v>
      </c>
      <c r="AH834" s="147">
        <f t="shared" si="309"/>
        <v>0</v>
      </c>
      <c r="AI834" s="147">
        <f t="shared" si="310"/>
        <v>0</v>
      </c>
      <c r="AJ834" s="148">
        <f t="shared" si="311"/>
        <v>0</v>
      </c>
      <c r="AK834" s="149">
        <f t="shared" si="315"/>
        <v>0</v>
      </c>
      <c r="AL834" s="149">
        <f t="shared" si="316"/>
        <v>0</v>
      </c>
      <c r="AM834" s="149">
        <f t="shared" si="317"/>
        <v>0</v>
      </c>
      <c r="AN834" s="149">
        <f t="shared" si="318"/>
        <v>0</v>
      </c>
      <c r="AO834" s="150">
        <f t="shared" si="312"/>
        <v>0</v>
      </c>
      <c r="AQ834" s="151">
        <f t="shared" si="313"/>
        <v>0</v>
      </c>
    </row>
    <row r="835" spans="1:43" ht="15" customHeight="1">
      <c r="A835" s="82" t="e">
        <f t="shared" si="319"/>
        <v>#REF!</v>
      </c>
      <c r="B835" s="134">
        <v>114</v>
      </c>
      <c r="C835" s="135" t="s">
        <v>38</v>
      </c>
      <c r="D835" s="136" t="s">
        <v>39</v>
      </c>
      <c r="E835" s="137"/>
      <c r="F835" s="138" t="s">
        <v>51</v>
      </c>
      <c r="G835" s="139" t="s">
        <v>52</v>
      </c>
      <c r="H835" s="140" t="str">
        <f t="shared" si="299"/>
        <v>Niet van toepassing</v>
      </c>
      <c r="I835" s="138" t="s">
        <v>35</v>
      </c>
      <c r="J835" s="138" t="s">
        <v>1172</v>
      </c>
      <c r="K835" s="141" t="str">
        <f t="shared" si="300"/>
        <v>NVT</v>
      </c>
      <c r="L835" s="141" t="str">
        <f t="shared" si="301"/>
        <v>NVT</v>
      </c>
      <c r="M835" s="141" t="str">
        <f t="shared" si="302"/>
        <v>NVT</v>
      </c>
      <c r="N835" s="141" t="str">
        <f t="shared" si="303"/>
        <v>NVT</v>
      </c>
      <c r="O835" s="141" t="str">
        <f t="shared" si="304"/>
        <v>NVT</v>
      </c>
      <c r="P835" s="141" t="str">
        <f t="shared" si="305"/>
        <v>NVT</v>
      </c>
      <c r="Q835" s="141" t="str">
        <f t="shared" si="306"/>
        <v>NVT</v>
      </c>
      <c r="R835" s="63" t="s">
        <v>1221</v>
      </c>
      <c r="S835" s="142">
        <f t="shared" si="314"/>
        <v>0</v>
      </c>
      <c r="T835" s="143">
        <v>2.42</v>
      </c>
      <c r="U835" s="144"/>
      <c r="V835" s="144"/>
      <c r="W835" s="144">
        <v>29</v>
      </c>
      <c r="X835" s="144"/>
      <c r="Y835" s="144"/>
      <c r="Z835" s="145"/>
      <c r="AA835" s="145">
        <f>T835</f>
        <v>2.42</v>
      </c>
      <c r="AB835" s="145"/>
      <c r="AC835" s="145"/>
      <c r="AD835" s="146" t="s">
        <v>45</v>
      </c>
      <c r="AE835" s="171">
        <v>1</v>
      </c>
      <c r="AF835" s="147">
        <f t="shared" si="307"/>
        <v>0</v>
      </c>
      <c r="AG835" s="147">
        <f t="shared" si="308"/>
        <v>0</v>
      </c>
      <c r="AH835" s="147">
        <f t="shared" si="309"/>
        <v>0</v>
      </c>
      <c r="AI835" s="147">
        <f t="shared" si="310"/>
        <v>0</v>
      </c>
      <c r="AJ835" s="148">
        <f t="shared" si="311"/>
        <v>0</v>
      </c>
      <c r="AK835" s="149">
        <f t="shared" si="315"/>
        <v>0</v>
      </c>
      <c r="AL835" s="149">
        <f t="shared" si="316"/>
        <v>0</v>
      </c>
      <c r="AM835" s="149">
        <f t="shared" si="317"/>
        <v>0</v>
      </c>
      <c r="AN835" s="149">
        <f t="shared" si="318"/>
        <v>0</v>
      </c>
      <c r="AO835" s="150">
        <f t="shared" si="312"/>
        <v>0</v>
      </c>
      <c r="AQ835" s="151">
        <f t="shared" si="313"/>
        <v>0</v>
      </c>
    </row>
    <row r="836" spans="1:43" ht="15" customHeight="1">
      <c r="A836" s="82" t="e">
        <f t="shared" si="319"/>
        <v>#REF!</v>
      </c>
      <c r="B836" s="134">
        <v>114</v>
      </c>
      <c r="C836" s="135" t="s">
        <v>38</v>
      </c>
      <c r="D836" s="136" t="s">
        <v>39</v>
      </c>
      <c r="E836" s="137"/>
      <c r="F836" s="138" t="s">
        <v>53</v>
      </c>
      <c r="G836" s="139" t="s">
        <v>54</v>
      </c>
      <c r="H836" s="140" t="str">
        <f t="shared" si="299"/>
        <v>Niet van toepassing</v>
      </c>
      <c r="I836" s="138" t="s">
        <v>1256</v>
      </c>
      <c r="J836" s="138" t="s">
        <v>1172</v>
      </c>
      <c r="K836" s="141" t="str">
        <f t="shared" si="300"/>
        <v>NVT</v>
      </c>
      <c r="L836" s="141" t="str">
        <f t="shared" si="301"/>
        <v>NVT</v>
      </c>
      <c r="M836" s="141" t="str">
        <f t="shared" si="302"/>
        <v>NVT</v>
      </c>
      <c r="N836" s="141" t="str">
        <f t="shared" si="303"/>
        <v>NVT</v>
      </c>
      <c r="O836" s="141" t="str">
        <f t="shared" si="304"/>
        <v>NVT</v>
      </c>
      <c r="P836" s="141" t="str">
        <f t="shared" si="305"/>
        <v>NVT</v>
      </c>
      <c r="Q836" s="141" t="str">
        <f t="shared" si="306"/>
        <v>NVT</v>
      </c>
      <c r="R836" s="63" t="s">
        <v>1221</v>
      </c>
      <c r="S836" s="142">
        <f t="shared" si="314"/>
        <v>0</v>
      </c>
      <c r="T836" s="143">
        <v>40.619999999999997</v>
      </c>
      <c r="U836" s="144"/>
      <c r="V836" s="144"/>
      <c r="W836" s="144"/>
      <c r="X836" s="144"/>
      <c r="Y836" s="144"/>
      <c r="Z836" s="145"/>
      <c r="AA836" s="145"/>
      <c r="AB836" s="145"/>
      <c r="AC836" s="145"/>
      <c r="AD836" s="146" t="s">
        <v>42</v>
      </c>
      <c r="AE836" s="171">
        <v>1</v>
      </c>
      <c r="AF836" s="147">
        <f t="shared" si="307"/>
        <v>0</v>
      </c>
      <c r="AG836" s="147">
        <f t="shared" si="308"/>
        <v>0</v>
      </c>
      <c r="AH836" s="147">
        <f t="shared" si="309"/>
        <v>0</v>
      </c>
      <c r="AI836" s="147">
        <f t="shared" si="310"/>
        <v>0</v>
      </c>
      <c r="AJ836" s="148">
        <f t="shared" si="311"/>
        <v>0</v>
      </c>
      <c r="AK836" s="149">
        <f t="shared" si="315"/>
        <v>0</v>
      </c>
      <c r="AL836" s="149">
        <f t="shared" si="316"/>
        <v>0</v>
      </c>
      <c r="AM836" s="149">
        <f t="shared" si="317"/>
        <v>0</v>
      </c>
      <c r="AN836" s="149">
        <f t="shared" si="318"/>
        <v>0</v>
      </c>
      <c r="AO836" s="150">
        <f t="shared" si="312"/>
        <v>0</v>
      </c>
      <c r="AQ836" s="151">
        <f t="shared" si="313"/>
        <v>0</v>
      </c>
    </row>
    <row r="837" spans="1:43" ht="15" customHeight="1">
      <c r="A837" s="82" t="e">
        <f t="shared" si="319"/>
        <v>#REF!</v>
      </c>
      <c r="B837" s="134">
        <v>114</v>
      </c>
      <c r="C837" s="135" t="s">
        <v>38</v>
      </c>
      <c r="D837" s="136" t="s">
        <v>39</v>
      </c>
      <c r="E837" s="137"/>
      <c r="F837" s="138" t="s">
        <v>55</v>
      </c>
      <c r="G837" s="139" t="s">
        <v>56</v>
      </c>
      <c r="H837" s="140" t="str">
        <f t="shared" ref="H837:H900" si="320">VLOOKUP(R837,Kengetal,3,FALSE)</f>
        <v>Niet van toepassing</v>
      </c>
      <c r="I837" s="138" t="s">
        <v>1256</v>
      </c>
      <c r="J837" s="138" t="s">
        <v>1172</v>
      </c>
      <c r="K837" s="141" t="str">
        <f t="shared" ref="K837:K900" si="321">IF($R837="",0,VLOOKUP($R837,Kengetal,14,FALSE))</f>
        <v>NVT</v>
      </c>
      <c r="L837" s="141" t="str">
        <f t="shared" ref="L837:L900" si="322">IF($R837="",0,VLOOKUP($R837,Kengetal,15,FALSE))</f>
        <v>NVT</v>
      </c>
      <c r="M837" s="141" t="str">
        <f t="shared" ref="M837:M900" si="323">IF($R837="",0,VLOOKUP($R837,Kengetal,16,FALSE))</f>
        <v>NVT</v>
      </c>
      <c r="N837" s="141" t="str">
        <f t="shared" ref="N837:N900" si="324">IF($R837="",0,VLOOKUP($R837,Kengetal,17,FALSE))</f>
        <v>NVT</v>
      </c>
      <c r="O837" s="141" t="str">
        <f t="shared" ref="O837:O900" si="325">IF($R837="",0,VLOOKUP($R837,Kengetal,18,FALSE))</f>
        <v>NVT</v>
      </c>
      <c r="P837" s="141" t="str">
        <f t="shared" ref="P837:P900" si="326">IF($R837="",0,VLOOKUP($R837,Kengetal,19,FALSE))</f>
        <v>NVT</v>
      </c>
      <c r="Q837" s="141" t="str">
        <f t="shared" ref="Q837:Q900" si="327">IF($R837="",0,VLOOKUP($R837,Kengetal,20,FALSE))</f>
        <v>NVT</v>
      </c>
      <c r="R837" s="63" t="s">
        <v>1221</v>
      </c>
      <c r="S837" s="142">
        <f t="shared" si="314"/>
        <v>0</v>
      </c>
      <c r="T837" s="143">
        <v>34.79</v>
      </c>
      <c r="U837" s="144"/>
      <c r="V837" s="144"/>
      <c r="W837" s="144"/>
      <c r="X837" s="144"/>
      <c r="Y837" s="144"/>
      <c r="Z837" s="145"/>
      <c r="AA837" s="145"/>
      <c r="AB837" s="145"/>
      <c r="AC837" s="145"/>
      <c r="AD837" s="146" t="s">
        <v>42</v>
      </c>
      <c r="AE837" s="171">
        <v>1</v>
      </c>
      <c r="AF837" s="147">
        <f t="shared" ref="AF837:AF900" si="328">T837*AK837*AE837</f>
        <v>0</v>
      </c>
      <c r="AG837" s="147">
        <f t="shared" ref="AG837:AG900" si="329">T837*AL837*AE837</f>
        <v>0</v>
      </c>
      <c r="AH837" s="147">
        <f t="shared" ref="AH837:AH900" si="330">T837*AM837*AE837</f>
        <v>0</v>
      </c>
      <c r="AI837" s="147">
        <f t="shared" ref="AI837:AI900" si="331">T837*AN837*AE837</f>
        <v>0</v>
      </c>
      <c r="AJ837" s="148">
        <f t="shared" ref="AJ837:AJ900" si="332">IF($R837="",0,VLOOKUP($R837,Kengetal,12,FALSE))</f>
        <v>0</v>
      </c>
      <c r="AK837" s="149">
        <f t="shared" si="315"/>
        <v>0</v>
      </c>
      <c r="AL837" s="149">
        <f t="shared" si="316"/>
        <v>0</v>
      </c>
      <c r="AM837" s="149">
        <f t="shared" si="317"/>
        <v>0</v>
      </c>
      <c r="AN837" s="149">
        <f t="shared" si="318"/>
        <v>0</v>
      </c>
      <c r="AO837" s="150">
        <f t="shared" ref="AO837:AO900" si="333">IF($R837="",0,VLOOKUP($R837,Kengetal,13,FALSE))</f>
        <v>0</v>
      </c>
      <c r="AQ837" s="151">
        <f t="shared" ref="AQ837:AQ900" si="334">T837*S837</f>
        <v>0</v>
      </c>
    </row>
    <row r="838" spans="1:43" ht="15" customHeight="1">
      <c r="A838" s="82" t="e">
        <f t="shared" si="319"/>
        <v>#REF!</v>
      </c>
      <c r="B838" s="134">
        <v>114</v>
      </c>
      <c r="C838" s="135" t="s">
        <v>38</v>
      </c>
      <c r="D838" s="136" t="s">
        <v>39</v>
      </c>
      <c r="E838" s="137"/>
      <c r="F838" s="138" t="s">
        <v>57</v>
      </c>
      <c r="G838" s="139" t="s">
        <v>58</v>
      </c>
      <c r="H838" s="140" t="str">
        <f t="shared" si="320"/>
        <v>Niet van toepassing</v>
      </c>
      <c r="I838" s="138" t="s">
        <v>195</v>
      </c>
      <c r="J838" s="138" t="s">
        <v>1172</v>
      </c>
      <c r="K838" s="141" t="str">
        <f t="shared" si="321"/>
        <v>NVT</v>
      </c>
      <c r="L838" s="141" t="str">
        <f t="shared" si="322"/>
        <v>NVT</v>
      </c>
      <c r="M838" s="141" t="str">
        <f t="shared" si="323"/>
        <v>NVT</v>
      </c>
      <c r="N838" s="141" t="str">
        <f t="shared" si="324"/>
        <v>NVT</v>
      </c>
      <c r="O838" s="141" t="str">
        <f t="shared" si="325"/>
        <v>NVT</v>
      </c>
      <c r="P838" s="141" t="str">
        <f t="shared" si="326"/>
        <v>NVT</v>
      </c>
      <c r="Q838" s="141" t="str">
        <f t="shared" si="327"/>
        <v>NVT</v>
      </c>
      <c r="R838" s="63" t="s">
        <v>1221</v>
      </c>
      <c r="S838" s="142">
        <f t="shared" si="314"/>
        <v>0</v>
      </c>
      <c r="T838" s="143">
        <v>17.68</v>
      </c>
      <c r="U838" s="144"/>
      <c r="V838" s="144"/>
      <c r="W838" s="144"/>
      <c r="X838" s="144"/>
      <c r="Y838" s="144">
        <v>70</v>
      </c>
      <c r="Z838" s="145"/>
      <c r="AA838" s="145"/>
      <c r="AB838" s="145">
        <f>T838</f>
        <v>17.68</v>
      </c>
      <c r="AC838" s="145"/>
      <c r="AD838" s="146" t="s">
        <v>42</v>
      </c>
      <c r="AE838" s="171">
        <v>1</v>
      </c>
      <c r="AF838" s="147">
        <f t="shared" si="328"/>
        <v>0</v>
      </c>
      <c r="AG838" s="147">
        <f t="shared" si="329"/>
        <v>0</v>
      </c>
      <c r="AH838" s="147">
        <f t="shared" si="330"/>
        <v>0</v>
      </c>
      <c r="AI838" s="147">
        <f t="shared" si="331"/>
        <v>0</v>
      </c>
      <c r="AJ838" s="148">
        <f t="shared" si="332"/>
        <v>0</v>
      </c>
      <c r="AK838" s="149">
        <f t="shared" si="315"/>
        <v>0</v>
      </c>
      <c r="AL838" s="149">
        <f t="shared" si="316"/>
        <v>0</v>
      </c>
      <c r="AM838" s="149">
        <f t="shared" si="317"/>
        <v>0</v>
      </c>
      <c r="AN838" s="149">
        <f t="shared" si="318"/>
        <v>0</v>
      </c>
      <c r="AO838" s="150">
        <f t="shared" si="333"/>
        <v>0</v>
      </c>
      <c r="AQ838" s="151">
        <f t="shared" si="334"/>
        <v>0</v>
      </c>
    </row>
    <row r="839" spans="1:43" ht="15" customHeight="1">
      <c r="A839" s="82" t="e">
        <f t="shared" si="319"/>
        <v>#REF!</v>
      </c>
      <c r="B839" s="134">
        <v>114</v>
      </c>
      <c r="C839" s="135" t="s">
        <v>38</v>
      </c>
      <c r="D839" s="136" t="s">
        <v>39</v>
      </c>
      <c r="E839" s="137"/>
      <c r="F839" s="138" t="s">
        <v>59</v>
      </c>
      <c r="G839" s="139" t="s">
        <v>60</v>
      </c>
      <c r="H839" s="140" t="str">
        <f t="shared" si="320"/>
        <v>Niet van toepassing</v>
      </c>
      <c r="I839" s="138" t="s">
        <v>195</v>
      </c>
      <c r="J839" s="138" t="s">
        <v>1172</v>
      </c>
      <c r="K839" s="141" t="str">
        <f t="shared" si="321"/>
        <v>NVT</v>
      </c>
      <c r="L839" s="141" t="str">
        <f t="shared" si="322"/>
        <v>NVT</v>
      </c>
      <c r="M839" s="141" t="str">
        <f t="shared" si="323"/>
        <v>NVT</v>
      </c>
      <c r="N839" s="141" t="str">
        <f t="shared" si="324"/>
        <v>NVT</v>
      </c>
      <c r="O839" s="141" t="str">
        <f t="shared" si="325"/>
        <v>NVT</v>
      </c>
      <c r="P839" s="141" t="str">
        <f t="shared" si="326"/>
        <v>NVT</v>
      </c>
      <c r="Q839" s="141" t="str">
        <f t="shared" si="327"/>
        <v>NVT</v>
      </c>
      <c r="R839" s="63" t="s">
        <v>1221</v>
      </c>
      <c r="S839" s="142">
        <f t="shared" si="314"/>
        <v>0</v>
      </c>
      <c r="T839" s="143">
        <v>8.16</v>
      </c>
      <c r="U839" s="144"/>
      <c r="V839" s="144"/>
      <c r="W839" s="144">
        <v>36.799999999999997</v>
      </c>
      <c r="X839" s="144"/>
      <c r="Y839" s="144"/>
      <c r="Z839" s="145"/>
      <c r="AA839" s="145">
        <f>T839</f>
        <v>8.16</v>
      </c>
      <c r="AB839" s="145"/>
      <c r="AC839" s="145"/>
      <c r="AD839" s="146" t="s">
        <v>61</v>
      </c>
      <c r="AE839" s="171">
        <v>1</v>
      </c>
      <c r="AF839" s="147">
        <f t="shared" si="328"/>
        <v>0</v>
      </c>
      <c r="AG839" s="147">
        <f t="shared" si="329"/>
        <v>0</v>
      </c>
      <c r="AH839" s="147">
        <f t="shared" si="330"/>
        <v>0</v>
      </c>
      <c r="AI839" s="147">
        <f t="shared" si="331"/>
        <v>0</v>
      </c>
      <c r="AJ839" s="148">
        <f t="shared" si="332"/>
        <v>0</v>
      </c>
      <c r="AK839" s="149">
        <f t="shared" si="315"/>
        <v>0</v>
      </c>
      <c r="AL839" s="149">
        <f t="shared" si="316"/>
        <v>0</v>
      </c>
      <c r="AM839" s="149">
        <f t="shared" si="317"/>
        <v>0</v>
      </c>
      <c r="AN839" s="149">
        <f t="shared" si="318"/>
        <v>0</v>
      </c>
      <c r="AO839" s="150">
        <f t="shared" si="333"/>
        <v>0</v>
      </c>
      <c r="AQ839" s="151">
        <f t="shared" si="334"/>
        <v>0</v>
      </c>
    </row>
    <row r="840" spans="1:43" ht="15" customHeight="1">
      <c r="A840" s="82" t="e">
        <f t="shared" si="319"/>
        <v>#REF!</v>
      </c>
      <c r="B840" s="134">
        <v>114</v>
      </c>
      <c r="C840" s="135" t="s">
        <v>38</v>
      </c>
      <c r="D840" s="136" t="s">
        <v>39</v>
      </c>
      <c r="E840" s="137"/>
      <c r="F840" s="138" t="s">
        <v>62</v>
      </c>
      <c r="G840" s="139" t="s">
        <v>63</v>
      </c>
      <c r="H840" s="140" t="str">
        <f t="shared" si="320"/>
        <v>Niet van toepassing</v>
      </c>
      <c r="I840" s="138" t="s">
        <v>270</v>
      </c>
      <c r="J840" s="138" t="s">
        <v>1172</v>
      </c>
      <c r="K840" s="141" t="str">
        <f t="shared" si="321"/>
        <v>NVT</v>
      </c>
      <c r="L840" s="141" t="str">
        <f t="shared" si="322"/>
        <v>NVT</v>
      </c>
      <c r="M840" s="141" t="str">
        <f t="shared" si="323"/>
        <v>NVT</v>
      </c>
      <c r="N840" s="141" t="str">
        <f t="shared" si="324"/>
        <v>NVT</v>
      </c>
      <c r="O840" s="141" t="str">
        <f t="shared" si="325"/>
        <v>NVT</v>
      </c>
      <c r="P840" s="141" t="str">
        <f t="shared" si="326"/>
        <v>NVT</v>
      </c>
      <c r="Q840" s="141" t="str">
        <f t="shared" si="327"/>
        <v>NVT</v>
      </c>
      <c r="R840" s="63" t="s">
        <v>1221</v>
      </c>
      <c r="S840" s="142">
        <f t="shared" si="314"/>
        <v>0</v>
      </c>
      <c r="T840" s="143">
        <v>14.31</v>
      </c>
      <c r="U840" s="144"/>
      <c r="V840" s="144"/>
      <c r="W840" s="144"/>
      <c r="X840" s="144"/>
      <c r="Y840" s="144">
        <v>64</v>
      </c>
      <c r="Z840" s="145"/>
      <c r="AA840" s="145"/>
      <c r="AB840" s="145">
        <f>T840</f>
        <v>14.31</v>
      </c>
      <c r="AC840" s="145"/>
      <c r="AD840" s="146" t="s">
        <v>45</v>
      </c>
      <c r="AE840" s="171">
        <v>1</v>
      </c>
      <c r="AF840" s="147">
        <f t="shared" si="328"/>
        <v>0</v>
      </c>
      <c r="AG840" s="147">
        <f t="shared" si="329"/>
        <v>0</v>
      </c>
      <c r="AH840" s="147">
        <f t="shared" si="330"/>
        <v>0</v>
      </c>
      <c r="AI840" s="147">
        <f t="shared" si="331"/>
        <v>0</v>
      </c>
      <c r="AJ840" s="148">
        <f t="shared" si="332"/>
        <v>0</v>
      </c>
      <c r="AK840" s="149">
        <f t="shared" si="315"/>
        <v>0</v>
      </c>
      <c r="AL840" s="149">
        <f t="shared" si="316"/>
        <v>0</v>
      </c>
      <c r="AM840" s="149">
        <f t="shared" si="317"/>
        <v>0</v>
      </c>
      <c r="AN840" s="149">
        <f t="shared" si="318"/>
        <v>0</v>
      </c>
      <c r="AO840" s="150">
        <f t="shared" si="333"/>
        <v>0</v>
      </c>
      <c r="AQ840" s="151">
        <f t="shared" si="334"/>
        <v>0</v>
      </c>
    </row>
    <row r="841" spans="1:43" ht="15" customHeight="1">
      <c r="A841" s="82" t="e">
        <f t="shared" si="319"/>
        <v>#REF!</v>
      </c>
      <c r="B841" s="134">
        <v>114</v>
      </c>
      <c r="C841" s="135" t="s">
        <v>38</v>
      </c>
      <c r="D841" s="136" t="s">
        <v>39</v>
      </c>
      <c r="E841" s="137"/>
      <c r="F841" s="138" t="s">
        <v>64</v>
      </c>
      <c r="G841" s="139" t="s">
        <v>65</v>
      </c>
      <c r="H841" s="140" t="str">
        <f t="shared" si="320"/>
        <v>Niet van toepassing</v>
      </c>
      <c r="I841" s="138" t="s">
        <v>195</v>
      </c>
      <c r="J841" s="138" t="s">
        <v>1172</v>
      </c>
      <c r="K841" s="141" t="str">
        <f t="shared" si="321"/>
        <v>NVT</v>
      </c>
      <c r="L841" s="141" t="str">
        <f t="shared" si="322"/>
        <v>NVT</v>
      </c>
      <c r="M841" s="141" t="str">
        <f t="shared" si="323"/>
        <v>NVT</v>
      </c>
      <c r="N841" s="141" t="str">
        <f t="shared" si="324"/>
        <v>NVT</v>
      </c>
      <c r="O841" s="141" t="str">
        <f t="shared" si="325"/>
        <v>NVT</v>
      </c>
      <c r="P841" s="141" t="str">
        <f t="shared" si="326"/>
        <v>NVT</v>
      </c>
      <c r="Q841" s="141" t="str">
        <f t="shared" si="327"/>
        <v>NVT</v>
      </c>
      <c r="R841" s="63" t="s">
        <v>1221</v>
      </c>
      <c r="S841" s="142">
        <f t="shared" si="314"/>
        <v>0</v>
      </c>
      <c r="T841" s="143">
        <v>14.9</v>
      </c>
      <c r="U841" s="144"/>
      <c r="V841" s="144"/>
      <c r="W841" s="144">
        <v>65</v>
      </c>
      <c r="X841" s="144"/>
      <c r="Y841" s="144"/>
      <c r="Z841" s="145"/>
      <c r="AA841" s="145">
        <f>T841</f>
        <v>14.9</v>
      </c>
      <c r="AB841" s="145"/>
      <c r="AC841" s="145"/>
      <c r="AD841" s="146" t="s">
        <v>42</v>
      </c>
      <c r="AE841" s="171">
        <v>1</v>
      </c>
      <c r="AF841" s="147">
        <f t="shared" si="328"/>
        <v>0</v>
      </c>
      <c r="AG841" s="147">
        <f t="shared" si="329"/>
        <v>0</v>
      </c>
      <c r="AH841" s="147">
        <f t="shared" si="330"/>
        <v>0</v>
      </c>
      <c r="AI841" s="147">
        <f t="shared" si="331"/>
        <v>0</v>
      </c>
      <c r="AJ841" s="148">
        <f t="shared" si="332"/>
        <v>0</v>
      </c>
      <c r="AK841" s="149">
        <f t="shared" si="315"/>
        <v>0</v>
      </c>
      <c r="AL841" s="149">
        <f t="shared" si="316"/>
        <v>0</v>
      </c>
      <c r="AM841" s="149">
        <f t="shared" si="317"/>
        <v>0</v>
      </c>
      <c r="AN841" s="149">
        <f t="shared" si="318"/>
        <v>0</v>
      </c>
      <c r="AO841" s="150">
        <f t="shared" si="333"/>
        <v>0</v>
      </c>
      <c r="AQ841" s="151">
        <f t="shared" si="334"/>
        <v>0</v>
      </c>
    </row>
    <row r="842" spans="1:43" ht="15" customHeight="1">
      <c r="A842" s="82" t="e">
        <f t="shared" si="319"/>
        <v>#REF!</v>
      </c>
      <c r="B842" s="134">
        <v>114</v>
      </c>
      <c r="C842" s="135" t="s">
        <v>38</v>
      </c>
      <c r="D842" s="136" t="s">
        <v>39</v>
      </c>
      <c r="E842" s="137"/>
      <c r="F842" s="138" t="s">
        <v>66</v>
      </c>
      <c r="G842" s="139" t="s">
        <v>67</v>
      </c>
      <c r="H842" s="140" t="str">
        <f t="shared" si="320"/>
        <v>Niet van toepassing</v>
      </c>
      <c r="I842" s="138" t="s">
        <v>195</v>
      </c>
      <c r="J842" s="138" t="s">
        <v>1172</v>
      </c>
      <c r="K842" s="141" t="str">
        <f t="shared" si="321"/>
        <v>NVT</v>
      </c>
      <c r="L842" s="141" t="str">
        <f t="shared" si="322"/>
        <v>NVT</v>
      </c>
      <c r="M842" s="141" t="str">
        <f t="shared" si="323"/>
        <v>NVT</v>
      </c>
      <c r="N842" s="141" t="str">
        <f t="shared" si="324"/>
        <v>NVT</v>
      </c>
      <c r="O842" s="141" t="str">
        <f t="shared" si="325"/>
        <v>NVT</v>
      </c>
      <c r="P842" s="141" t="str">
        <f t="shared" si="326"/>
        <v>NVT</v>
      </c>
      <c r="Q842" s="141" t="str">
        <f t="shared" si="327"/>
        <v>NVT</v>
      </c>
      <c r="R842" s="63" t="s">
        <v>1221</v>
      </c>
      <c r="S842" s="142">
        <f t="shared" si="314"/>
        <v>0</v>
      </c>
      <c r="T842" s="143">
        <v>11.71</v>
      </c>
      <c r="U842" s="144"/>
      <c r="V842" s="144"/>
      <c r="W842" s="144">
        <v>58</v>
      </c>
      <c r="X842" s="144"/>
      <c r="Y842" s="144"/>
      <c r="Z842" s="145"/>
      <c r="AA842" s="145">
        <f>T842</f>
        <v>11.71</v>
      </c>
      <c r="AB842" s="145"/>
      <c r="AC842" s="145"/>
      <c r="AD842" s="146" t="s">
        <v>45</v>
      </c>
      <c r="AE842" s="171">
        <v>1</v>
      </c>
      <c r="AF842" s="147">
        <f t="shared" si="328"/>
        <v>0</v>
      </c>
      <c r="AG842" s="147">
        <f t="shared" si="329"/>
        <v>0</v>
      </c>
      <c r="AH842" s="147">
        <f t="shared" si="330"/>
        <v>0</v>
      </c>
      <c r="AI842" s="147">
        <f t="shared" si="331"/>
        <v>0</v>
      </c>
      <c r="AJ842" s="148">
        <f t="shared" si="332"/>
        <v>0</v>
      </c>
      <c r="AK842" s="149">
        <f t="shared" si="315"/>
        <v>0</v>
      </c>
      <c r="AL842" s="149">
        <f t="shared" si="316"/>
        <v>0</v>
      </c>
      <c r="AM842" s="149">
        <f t="shared" si="317"/>
        <v>0</v>
      </c>
      <c r="AN842" s="149">
        <f t="shared" si="318"/>
        <v>0</v>
      </c>
      <c r="AO842" s="150">
        <f t="shared" si="333"/>
        <v>0</v>
      </c>
      <c r="AQ842" s="151">
        <f t="shared" si="334"/>
        <v>0</v>
      </c>
    </row>
    <row r="843" spans="1:43" ht="15" customHeight="1">
      <c r="A843" s="82" t="e">
        <f t="shared" si="319"/>
        <v>#REF!</v>
      </c>
      <c r="B843" s="134">
        <v>114</v>
      </c>
      <c r="C843" s="135" t="s">
        <v>38</v>
      </c>
      <c r="D843" s="136" t="s">
        <v>39</v>
      </c>
      <c r="E843" s="137"/>
      <c r="F843" s="138" t="s">
        <v>68</v>
      </c>
      <c r="G843" s="139" t="s">
        <v>69</v>
      </c>
      <c r="H843" s="140" t="str">
        <f t="shared" si="320"/>
        <v>Niet van toepassing</v>
      </c>
      <c r="I843" s="138" t="s">
        <v>195</v>
      </c>
      <c r="J843" s="138" t="s">
        <v>1172</v>
      </c>
      <c r="K843" s="141" t="str">
        <f t="shared" si="321"/>
        <v>NVT</v>
      </c>
      <c r="L843" s="141" t="str">
        <f t="shared" si="322"/>
        <v>NVT</v>
      </c>
      <c r="M843" s="141" t="str">
        <f t="shared" si="323"/>
        <v>NVT</v>
      </c>
      <c r="N843" s="141" t="str">
        <f t="shared" si="324"/>
        <v>NVT</v>
      </c>
      <c r="O843" s="141" t="str">
        <f t="shared" si="325"/>
        <v>NVT</v>
      </c>
      <c r="P843" s="141" t="str">
        <f t="shared" si="326"/>
        <v>NVT</v>
      </c>
      <c r="Q843" s="141" t="str">
        <f t="shared" si="327"/>
        <v>NVT</v>
      </c>
      <c r="R843" s="63" t="s">
        <v>1221</v>
      </c>
      <c r="S843" s="142">
        <f t="shared" si="314"/>
        <v>0</v>
      </c>
      <c r="T843" s="143">
        <v>21.55</v>
      </c>
      <c r="U843" s="144"/>
      <c r="V843" s="144"/>
      <c r="W843" s="144">
        <v>76</v>
      </c>
      <c r="X843" s="144"/>
      <c r="Y843" s="144"/>
      <c r="Z843" s="145"/>
      <c r="AA843" s="145">
        <f>T843</f>
        <v>21.55</v>
      </c>
      <c r="AB843" s="145"/>
      <c r="AC843" s="145"/>
      <c r="AD843" s="146" t="s">
        <v>42</v>
      </c>
      <c r="AE843" s="171">
        <v>1</v>
      </c>
      <c r="AF843" s="147">
        <f t="shared" si="328"/>
        <v>0</v>
      </c>
      <c r="AG843" s="147">
        <f t="shared" si="329"/>
        <v>0</v>
      </c>
      <c r="AH843" s="147">
        <f t="shared" si="330"/>
        <v>0</v>
      </c>
      <c r="AI843" s="147">
        <f t="shared" si="331"/>
        <v>0</v>
      </c>
      <c r="AJ843" s="148">
        <f t="shared" si="332"/>
        <v>0</v>
      </c>
      <c r="AK843" s="149">
        <f t="shared" si="315"/>
        <v>0</v>
      </c>
      <c r="AL843" s="149">
        <f t="shared" si="316"/>
        <v>0</v>
      </c>
      <c r="AM843" s="149">
        <f t="shared" si="317"/>
        <v>0</v>
      </c>
      <c r="AN843" s="149">
        <f t="shared" si="318"/>
        <v>0</v>
      </c>
      <c r="AO843" s="150">
        <f t="shared" si="333"/>
        <v>0</v>
      </c>
      <c r="AQ843" s="151">
        <f t="shared" si="334"/>
        <v>0</v>
      </c>
    </row>
    <row r="844" spans="1:43" ht="15" customHeight="1">
      <c r="A844" s="82" t="e">
        <f t="shared" si="319"/>
        <v>#REF!</v>
      </c>
      <c r="B844" s="134">
        <v>114</v>
      </c>
      <c r="C844" s="135" t="s">
        <v>38</v>
      </c>
      <c r="D844" s="136" t="s">
        <v>39</v>
      </c>
      <c r="E844" s="137"/>
      <c r="F844" s="138" t="s">
        <v>70</v>
      </c>
      <c r="G844" s="139" t="s">
        <v>71</v>
      </c>
      <c r="H844" s="140" t="str">
        <f t="shared" si="320"/>
        <v>Niet van toepassing</v>
      </c>
      <c r="I844" s="138" t="s">
        <v>270</v>
      </c>
      <c r="J844" s="138" t="s">
        <v>1172</v>
      </c>
      <c r="K844" s="141" t="str">
        <f t="shared" si="321"/>
        <v>NVT</v>
      </c>
      <c r="L844" s="141" t="str">
        <f t="shared" si="322"/>
        <v>NVT</v>
      </c>
      <c r="M844" s="141" t="str">
        <f t="shared" si="323"/>
        <v>NVT</v>
      </c>
      <c r="N844" s="141" t="str">
        <f t="shared" si="324"/>
        <v>NVT</v>
      </c>
      <c r="O844" s="141" t="str">
        <f t="shared" si="325"/>
        <v>NVT</v>
      </c>
      <c r="P844" s="141" t="str">
        <f t="shared" si="326"/>
        <v>NVT</v>
      </c>
      <c r="Q844" s="141" t="str">
        <f t="shared" si="327"/>
        <v>NVT</v>
      </c>
      <c r="R844" s="63" t="s">
        <v>1221</v>
      </c>
      <c r="S844" s="142">
        <f t="shared" ref="S844:S907" si="335">VLOOKUP(R844,Kengetal,2,FALSE)</f>
        <v>0</v>
      </c>
      <c r="T844" s="143">
        <v>10.62</v>
      </c>
      <c r="U844" s="144"/>
      <c r="V844" s="144"/>
      <c r="W844" s="144"/>
      <c r="X844" s="144"/>
      <c r="Y844" s="144">
        <v>54</v>
      </c>
      <c r="Z844" s="145"/>
      <c r="AA844" s="145"/>
      <c r="AB844" s="145"/>
      <c r="AC844" s="145">
        <f>T844</f>
        <v>10.62</v>
      </c>
      <c r="AD844" s="146" t="s">
        <v>42</v>
      </c>
      <c r="AE844" s="171">
        <v>1</v>
      </c>
      <c r="AF844" s="147">
        <f t="shared" si="328"/>
        <v>0</v>
      </c>
      <c r="AG844" s="147">
        <f t="shared" si="329"/>
        <v>0</v>
      </c>
      <c r="AH844" s="147">
        <f t="shared" si="330"/>
        <v>0</v>
      </c>
      <c r="AI844" s="147">
        <f t="shared" si="331"/>
        <v>0</v>
      </c>
      <c r="AJ844" s="148">
        <f t="shared" si="332"/>
        <v>0</v>
      </c>
      <c r="AK844" s="149">
        <f t="shared" si="315"/>
        <v>0</v>
      </c>
      <c r="AL844" s="149">
        <f t="shared" si="316"/>
        <v>0</v>
      </c>
      <c r="AM844" s="149">
        <f t="shared" si="317"/>
        <v>0</v>
      </c>
      <c r="AN844" s="149">
        <f t="shared" si="318"/>
        <v>0</v>
      </c>
      <c r="AO844" s="150">
        <f t="shared" si="333"/>
        <v>0</v>
      </c>
      <c r="AQ844" s="151">
        <f t="shared" si="334"/>
        <v>0</v>
      </c>
    </row>
    <row r="845" spans="1:43" ht="15" customHeight="1">
      <c r="A845" s="82" t="e">
        <f t="shared" si="319"/>
        <v>#REF!</v>
      </c>
      <c r="B845" s="134">
        <v>114</v>
      </c>
      <c r="C845" s="135" t="s">
        <v>38</v>
      </c>
      <c r="D845" s="136" t="s">
        <v>39</v>
      </c>
      <c r="E845" s="137"/>
      <c r="F845" s="138" t="s">
        <v>72</v>
      </c>
      <c r="G845" s="139" t="s">
        <v>73</v>
      </c>
      <c r="H845" s="140" t="str">
        <f t="shared" si="320"/>
        <v>Niet van toepassing</v>
      </c>
      <c r="I845" s="138" t="s">
        <v>270</v>
      </c>
      <c r="J845" s="138" t="s">
        <v>1172</v>
      </c>
      <c r="K845" s="141" t="str">
        <f t="shared" si="321"/>
        <v>NVT</v>
      </c>
      <c r="L845" s="141" t="str">
        <f t="shared" si="322"/>
        <v>NVT</v>
      </c>
      <c r="M845" s="141" t="str">
        <f t="shared" si="323"/>
        <v>NVT</v>
      </c>
      <c r="N845" s="141" t="str">
        <f t="shared" si="324"/>
        <v>NVT</v>
      </c>
      <c r="O845" s="141" t="str">
        <f t="shared" si="325"/>
        <v>NVT</v>
      </c>
      <c r="P845" s="141" t="str">
        <f t="shared" si="326"/>
        <v>NVT</v>
      </c>
      <c r="Q845" s="141" t="str">
        <f t="shared" si="327"/>
        <v>NVT</v>
      </c>
      <c r="R845" s="63" t="s">
        <v>1221</v>
      </c>
      <c r="S845" s="142">
        <f t="shared" si="335"/>
        <v>0</v>
      </c>
      <c r="T845" s="143">
        <v>24.6</v>
      </c>
      <c r="U845" s="144"/>
      <c r="V845" s="144"/>
      <c r="W845" s="144"/>
      <c r="X845" s="144"/>
      <c r="Y845" s="144">
        <v>69</v>
      </c>
      <c r="Z845" s="145"/>
      <c r="AA845" s="145"/>
      <c r="AB845" s="145"/>
      <c r="AC845" s="145">
        <f>T845</f>
        <v>24.6</v>
      </c>
      <c r="AD845" s="146" t="s">
        <v>42</v>
      </c>
      <c r="AE845" s="171">
        <v>1</v>
      </c>
      <c r="AF845" s="147">
        <f t="shared" si="328"/>
        <v>0</v>
      </c>
      <c r="AG845" s="147">
        <f t="shared" si="329"/>
        <v>0</v>
      </c>
      <c r="AH845" s="147">
        <f t="shared" si="330"/>
        <v>0</v>
      </c>
      <c r="AI845" s="147">
        <f t="shared" si="331"/>
        <v>0</v>
      </c>
      <c r="AJ845" s="148">
        <f t="shared" si="332"/>
        <v>0</v>
      </c>
      <c r="AK845" s="149">
        <f t="shared" si="315"/>
        <v>0</v>
      </c>
      <c r="AL845" s="149">
        <f t="shared" si="316"/>
        <v>0</v>
      </c>
      <c r="AM845" s="149">
        <f t="shared" si="317"/>
        <v>0</v>
      </c>
      <c r="AN845" s="149">
        <f t="shared" si="318"/>
        <v>0</v>
      </c>
      <c r="AO845" s="150">
        <f t="shared" si="333"/>
        <v>0</v>
      </c>
      <c r="AQ845" s="151">
        <f t="shared" si="334"/>
        <v>0</v>
      </c>
    </row>
    <row r="846" spans="1:43" ht="15" customHeight="1">
      <c r="A846" s="82" t="e">
        <f t="shared" si="319"/>
        <v>#REF!</v>
      </c>
      <c r="B846" s="134">
        <v>114</v>
      </c>
      <c r="C846" s="135" t="s">
        <v>38</v>
      </c>
      <c r="D846" s="136" t="s">
        <v>39</v>
      </c>
      <c r="E846" s="137"/>
      <c r="F846" s="138" t="s">
        <v>74</v>
      </c>
      <c r="G846" s="139" t="s">
        <v>75</v>
      </c>
      <c r="H846" s="140" t="str">
        <f t="shared" si="320"/>
        <v>Berging/opslag/magazijn</v>
      </c>
      <c r="I846" s="138" t="s">
        <v>195</v>
      </c>
      <c r="J846" s="138" t="s">
        <v>1207</v>
      </c>
      <c r="K846" s="141" t="str">
        <f t="shared" si="321"/>
        <v>Zie Freq</v>
      </c>
      <c r="L846" s="141" t="str">
        <f t="shared" si="322"/>
        <v>Zie Freq</v>
      </c>
      <c r="M846" s="141" t="str">
        <f t="shared" si="323"/>
        <v>Zie Freq</v>
      </c>
      <c r="N846" s="141" t="str">
        <f t="shared" si="324"/>
        <v>Zie Freq</v>
      </c>
      <c r="O846" s="141" t="str">
        <f t="shared" si="325"/>
        <v>Zie Freq</v>
      </c>
      <c r="P846" s="141" t="str">
        <f t="shared" si="326"/>
        <v>NVT</v>
      </c>
      <c r="Q846" s="141" t="str">
        <f t="shared" si="327"/>
        <v>NVT</v>
      </c>
      <c r="R846" s="63" t="s">
        <v>1264</v>
      </c>
      <c r="S846" s="142">
        <f t="shared" si="335"/>
        <v>2</v>
      </c>
      <c r="T846" s="143">
        <v>9.32</v>
      </c>
      <c r="U846" s="144">
        <v>51</v>
      </c>
      <c r="V846" s="144"/>
      <c r="W846" s="144"/>
      <c r="X846" s="144"/>
      <c r="Y846" s="144"/>
      <c r="Z846" s="145"/>
      <c r="AA846" s="145">
        <f>T846</f>
        <v>9.32</v>
      </c>
      <c r="AB846" s="145"/>
      <c r="AC846" s="145"/>
      <c r="AD846" s="146" t="s">
        <v>42</v>
      </c>
      <c r="AE846" s="171">
        <v>1</v>
      </c>
      <c r="AF846" s="147">
        <f t="shared" si="328"/>
        <v>0</v>
      </c>
      <c r="AG846" s="147">
        <f t="shared" si="329"/>
        <v>0</v>
      </c>
      <c r="AH846" s="147">
        <f t="shared" si="330"/>
        <v>0</v>
      </c>
      <c r="AI846" s="147">
        <f t="shared" si="331"/>
        <v>0</v>
      </c>
      <c r="AJ846" s="148" t="str">
        <f t="shared" si="332"/>
        <v>nee</v>
      </c>
      <c r="AK846" s="149">
        <f t="shared" si="315"/>
        <v>0</v>
      </c>
      <c r="AL846" s="149">
        <f t="shared" si="316"/>
        <v>0</v>
      </c>
      <c r="AM846" s="149">
        <f t="shared" si="317"/>
        <v>0</v>
      </c>
      <c r="AN846" s="149">
        <f t="shared" si="318"/>
        <v>0</v>
      </c>
      <c r="AO846" s="150" t="str">
        <f t="shared" si="333"/>
        <v>V</v>
      </c>
      <c r="AQ846" s="151">
        <f t="shared" si="334"/>
        <v>18.64</v>
      </c>
    </row>
    <row r="847" spans="1:43" ht="15" customHeight="1">
      <c r="A847" s="82" t="e">
        <f t="shared" si="319"/>
        <v>#REF!</v>
      </c>
      <c r="B847" s="134">
        <v>114</v>
      </c>
      <c r="C847" s="135" t="s">
        <v>38</v>
      </c>
      <c r="D847" s="136" t="s">
        <v>39</v>
      </c>
      <c r="E847" s="137"/>
      <c r="F847" s="138" t="s">
        <v>76</v>
      </c>
      <c r="G847" s="139" t="s">
        <v>77</v>
      </c>
      <c r="H847" s="140" t="str">
        <f t="shared" si="320"/>
        <v>Niet van toepassing</v>
      </c>
      <c r="I847" s="138" t="s">
        <v>195</v>
      </c>
      <c r="J847" s="138" t="s">
        <v>1172</v>
      </c>
      <c r="K847" s="141" t="str">
        <f t="shared" si="321"/>
        <v>NVT</v>
      </c>
      <c r="L847" s="141" t="str">
        <f t="shared" si="322"/>
        <v>NVT</v>
      </c>
      <c r="M847" s="141" t="str">
        <f t="shared" si="323"/>
        <v>NVT</v>
      </c>
      <c r="N847" s="141" t="str">
        <f t="shared" si="324"/>
        <v>NVT</v>
      </c>
      <c r="O847" s="141" t="str">
        <f t="shared" si="325"/>
        <v>NVT</v>
      </c>
      <c r="P847" s="141" t="str">
        <f t="shared" si="326"/>
        <v>NVT</v>
      </c>
      <c r="Q847" s="141" t="str">
        <f t="shared" si="327"/>
        <v>NVT</v>
      </c>
      <c r="R847" s="63" t="s">
        <v>1221</v>
      </c>
      <c r="S847" s="142">
        <f t="shared" si="335"/>
        <v>0</v>
      </c>
      <c r="T847" s="143">
        <v>13.85</v>
      </c>
      <c r="U847" s="144">
        <v>67</v>
      </c>
      <c r="V847" s="144"/>
      <c r="W847" s="144"/>
      <c r="X847" s="144"/>
      <c r="Y847" s="144"/>
      <c r="Z847" s="145"/>
      <c r="AA847" s="145">
        <f>T847</f>
        <v>13.85</v>
      </c>
      <c r="AB847" s="145"/>
      <c r="AC847" s="145"/>
      <c r="AD847" s="146" t="s">
        <v>42</v>
      </c>
      <c r="AE847" s="171">
        <v>1</v>
      </c>
      <c r="AF847" s="147">
        <f t="shared" si="328"/>
        <v>0</v>
      </c>
      <c r="AG847" s="147">
        <f t="shared" si="329"/>
        <v>0</v>
      </c>
      <c r="AH847" s="147">
        <f t="shared" si="330"/>
        <v>0</v>
      </c>
      <c r="AI847" s="147">
        <f t="shared" si="331"/>
        <v>0</v>
      </c>
      <c r="AJ847" s="148">
        <f t="shared" si="332"/>
        <v>0</v>
      </c>
      <c r="AK847" s="149">
        <f t="shared" si="315"/>
        <v>0</v>
      </c>
      <c r="AL847" s="149">
        <f t="shared" si="316"/>
        <v>0</v>
      </c>
      <c r="AM847" s="149">
        <f t="shared" si="317"/>
        <v>0</v>
      </c>
      <c r="AN847" s="149">
        <f t="shared" si="318"/>
        <v>0</v>
      </c>
      <c r="AO847" s="150">
        <f t="shared" si="333"/>
        <v>0</v>
      </c>
      <c r="AQ847" s="151">
        <f t="shared" si="334"/>
        <v>0</v>
      </c>
    </row>
    <row r="848" spans="1:43" ht="15" customHeight="1">
      <c r="A848" s="82" t="e">
        <f t="shared" si="319"/>
        <v>#REF!</v>
      </c>
      <c r="B848" s="134">
        <v>114</v>
      </c>
      <c r="C848" s="135" t="s">
        <v>38</v>
      </c>
      <c r="D848" s="136" t="s">
        <v>39</v>
      </c>
      <c r="E848" s="137"/>
      <c r="F848" s="138" t="s">
        <v>78</v>
      </c>
      <c r="G848" s="139" t="s">
        <v>79</v>
      </c>
      <c r="H848" s="140" t="str">
        <f t="shared" si="320"/>
        <v>Sanitair</v>
      </c>
      <c r="I848" s="138" t="s">
        <v>195</v>
      </c>
      <c r="J848" s="138" t="s">
        <v>1171</v>
      </c>
      <c r="K848" s="141" t="str">
        <f t="shared" si="321"/>
        <v>Omde dag Vol/Nal.</v>
      </c>
      <c r="L848" s="141" t="str">
        <f t="shared" si="322"/>
        <v>Omde dag Nal./Vol</v>
      </c>
      <c r="M848" s="141" t="str">
        <f t="shared" si="323"/>
        <v>Omde dag Vol/Nal.</v>
      </c>
      <c r="N848" s="141" t="str">
        <f t="shared" si="324"/>
        <v>Omde dag Nal./Vol</v>
      </c>
      <c r="O848" s="141" t="str">
        <f t="shared" si="325"/>
        <v>Omde dag Vol/Nal.</v>
      </c>
      <c r="P848" s="141" t="str">
        <f t="shared" si="326"/>
        <v>Omde dag Nal./Vol</v>
      </c>
      <c r="Q848" s="141" t="str">
        <f t="shared" si="327"/>
        <v>Omde dag Vol/Nal.</v>
      </c>
      <c r="R848" s="63" t="s">
        <v>1211</v>
      </c>
      <c r="S848" s="142">
        <f t="shared" si="335"/>
        <v>365</v>
      </c>
      <c r="T848" s="143">
        <v>4.0199999999999996</v>
      </c>
      <c r="U848" s="144">
        <v>31</v>
      </c>
      <c r="V848" s="144"/>
      <c r="W848" s="144"/>
      <c r="X848" s="144"/>
      <c r="Y848" s="144"/>
      <c r="Z848" s="145"/>
      <c r="AA848" s="145"/>
      <c r="AB848" s="145"/>
      <c r="AC848" s="145">
        <f>T848</f>
        <v>4.0199999999999996</v>
      </c>
      <c r="AD848" s="146" t="s">
        <v>42</v>
      </c>
      <c r="AE848" s="171">
        <v>1</v>
      </c>
      <c r="AF848" s="147">
        <f t="shared" si="328"/>
        <v>0</v>
      </c>
      <c r="AG848" s="147">
        <f t="shared" si="329"/>
        <v>0</v>
      </c>
      <c r="AH848" s="147">
        <f t="shared" si="330"/>
        <v>0</v>
      </c>
      <c r="AI848" s="147">
        <f t="shared" si="331"/>
        <v>0</v>
      </c>
      <c r="AJ848" s="148" t="str">
        <f t="shared" si="332"/>
        <v>ja</v>
      </c>
      <c r="AK848" s="149">
        <f t="shared" si="315"/>
        <v>0</v>
      </c>
      <c r="AL848" s="149">
        <f t="shared" si="316"/>
        <v>0</v>
      </c>
      <c r="AM848" s="149">
        <f t="shared" si="317"/>
        <v>0</v>
      </c>
      <c r="AN848" s="149">
        <f t="shared" si="318"/>
        <v>0</v>
      </c>
      <c r="AO848" s="150" t="str">
        <f t="shared" si="333"/>
        <v>S</v>
      </c>
      <c r="AQ848" s="151">
        <f t="shared" si="334"/>
        <v>1467.3</v>
      </c>
    </row>
    <row r="849" spans="1:43" ht="15" customHeight="1">
      <c r="A849" s="82" t="e">
        <f t="shared" si="319"/>
        <v>#REF!</v>
      </c>
      <c r="B849" s="134">
        <v>114</v>
      </c>
      <c r="C849" s="135" t="s">
        <v>38</v>
      </c>
      <c r="D849" s="136" t="s">
        <v>39</v>
      </c>
      <c r="E849" s="137"/>
      <c r="F849" s="138" t="s">
        <v>80</v>
      </c>
      <c r="G849" s="139" t="s">
        <v>81</v>
      </c>
      <c r="H849" s="140" t="str">
        <f t="shared" si="320"/>
        <v>Niet van toepassing</v>
      </c>
      <c r="I849" s="138" t="s">
        <v>82</v>
      </c>
      <c r="J849" s="138" t="s">
        <v>1172</v>
      </c>
      <c r="K849" s="141" t="str">
        <f t="shared" si="321"/>
        <v>NVT</v>
      </c>
      <c r="L849" s="141" t="str">
        <f t="shared" si="322"/>
        <v>NVT</v>
      </c>
      <c r="M849" s="141" t="str">
        <f t="shared" si="323"/>
        <v>NVT</v>
      </c>
      <c r="N849" s="141" t="str">
        <f t="shared" si="324"/>
        <v>NVT</v>
      </c>
      <c r="O849" s="141" t="str">
        <f t="shared" si="325"/>
        <v>NVT</v>
      </c>
      <c r="P849" s="141" t="str">
        <f t="shared" si="326"/>
        <v>NVT</v>
      </c>
      <c r="Q849" s="141" t="str">
        <f t="shared" si="327"/>
        <v>NVT</v>
      </c>
      <c r="R849" s="63" t="s">
        <v>1221</v>
      </c>
      <c r="S849" s="142">
        <f t="shared" si="335"/>
        <v>0</v>
      </c>
      <c r="T849" s="143">
        <v>6.53</v>
      </c>
      <c r="U849" s="144"/>
      <c r="V849" s="144"/>
      <c r="W849" s="144">
        <v>44</v>
      </c>
      <c r="X849" s="144"/>
      <c r="Y849" s="144"/>
      <c r="Z849" s="145"/>
      <c r="AA849" s="145">
        <f>T849</f>
        <v>6.53</v>
      </c>
      <c r="AB849" s="145"/>
      <c r="AC849" s="145"/>
      <c r="AD849" s="146" t="s">
        <v>42</v>
      </c>
      <c r="AE849" s="171">
        <v>1</v>
      </c>
      <c r="AF849" s="147">
        <f t="shared" si="328"/>
        <v>0</v>
      </c>
      <c r="AG849" s="147">
        <f t="shared" si="329"/>
        <v>0</v>
      </c>
      <c r="AH849" s="147">
        <f t="shared" si="330"/>
        <v>0</v>
      </c>
      <c r="AI849" s="147">
        <f t="shared" si="331"/>
        <v>0</v>
      </c>
      <c r="AJ849" s="148">
        <f t="shared" si="332"/>
        <v>0</v>
      </c>
      <c r="AK849" s="149">
        <f t="shared" si="315"/>
        <v>0</v>
      </c>
      <c r="AL849" s="149">
        <f t="shared" si="316"/>
        <v>0</v>
      </c>
      <c r="AM849" s="149">
        <f t="shared" si="317"/>
        <v>0</v>
      </c>
      <c r="AN849" s="149">
        <f t="shared" si="318"/>
        <v>0</v>
      </c>
      <c r="AO849" s="150">
        <f t="shared" si="333"/>
        <v>0</v>
      </c>
      <c r="AQ849" s="151">
        <f t="shared" si="334"/>
        <v>0</v>
      </c>
    </row>
    <row r="850" spans="1:43" ht="15" customHeight="1">
      <c r="A850" s="82" t="e">
        <f t="shared" si="319"/>
        <v>#REF!</v>
      </c>
      <c r="B850" s="134">
        <v>114</v>
      </c>
      <c r="C850" s="135" t="s">
        <v>38</v>
      </c>
      <c r="D850" s="136" t="s">
        <v>39</v>
      </c>
      <c r="E850" s="137"/>
      <c r="F850" s="138" t="s">
        <v>83</v>
      </c>
      <c r="G850" s="139" t="s">
        <v>84</v>
      </c>
      <c r="H850" s="140" t="str">
        <f t="shared" si="320"/>
        <v>Niet van toepassing</v>
      </c>
      <c r="I850" s="138" t="s">
        <v>195</v>
      </c>
      <c r="J850" s="138" t="s">
        <v>1172</v>
      </c>
      <c r="K850" s="141" t="str">
        <f t="shared" si="321"/>
        <v>NVT</v>
      </c>
      <c r="L850" s="141" t="str">
        <f t="shared" si="322"/>
        <v>NVT</v>
      </c>
      <c r="M850" s="141" t="str">
        <f t="shared" si="323"/>
        <v>NVT</v>
      </c>
      <c r="N850" s="141" t="str">
        <f t="shared" si="324"/>
        <v>NVT</v>
      </c>
      <c r="O850" s="141" t="str">
        <f t="shared" si="325"/>
        <v>NVT</v>
      </c>
      <c r="P850" s="141" t="str">
        <f t="shared" si="326"/>
        <v>NVT</v>
      </c>
      <c r="Q850" s="141" t="str">
        <f t="shared" si="327"/>
        <v>NVT</v>
      </c>
      <c r="R850" s="63" t="s">
        <v>1221</v>
      </c>
      <c r="S850" s="142">
        <f t="shared" si="335"/>
        <v>0</v>
      </c>
      <c r="T850" s="143">
        <v>7</v>
      </c>
      <c r="U850" s="144">
        <v>14.9</v>
      </c>
      <c r="V850" s="144"/>
      <c r="W850" s="144"/>
      <c r="X850" s="144"/>
      <c r="Y850" s="144">
        <v>54.4</v>
      </c>
      <c r="Z850" s="145"/>
      <c r="AA850" s="145">
        <f>T850</f>
        <v>7</v>
      </c>
      <c r="AB850" s="145"/>
      <c r="AC850" s="145"/>
      <c r="AD850" s="146" t="s">
        <v>42</v>
      </c>
      <c r="AE850" s="171">
        <v>1</v>
      </c>
      <c r="AF850" s="147">
        <f t="shared" si="328"/>
        <v>0</v>
      </c>
      <c r="AG850" s="147">
        <f t="shared" si="329"/>
        <v>0</v>
      </c>
      <c r="AH850" s="147">
        <f t="shared" si="330"/>
        <v>0</v>
      </c>
      <c r="AI850" s="147">
        <f t="shared" si="331"/>
        <v>0</v>
      </c>
      <c r="AJ850" s="148">
        <f t="shared" si="332"/>
        <v>0</v>
      </c>
      <c r="AK850" s="149">
        <f t="shared" si="315"/>
        <v>0</v>
      </c>
      <c r="AL850" s="149">
        <f t="shared" si="316"/>
        <v>0</v>
      </c>
      <c r="AM850" s="149">
        <f t="shared" si="317"/>
        <v>0</v>
      </c>
      <c r="AN850" s="149">
        <f t="shared" si="318"/>
        <v>0</v>
      </c>
      <c r="AO850" s="150">
        <f t="shared" si="333"/>
        <v>0</v>
      </c>
      <c r="AQ850" s="151">
        <f t="shared" si="334"/>
        <v>0</v>
      </c>
    </row>
    <row r="851" spans="1:43" ht="15" customHeight="1">
      <c r="A851" s="82" t="e">
        <f t="shared" si="319"/>
        <v>#REF!</v>
      </c>
      <c r="B851" s="134">
        <v>114</v>
      </c>
      <c r="C851" s="135" t="s">
        <v>38</v>
      </c>
      <c r="D851" s="136" t="s">
        <v>39</v>
      </c>
      <c r="E851" s="137"/>
      <c r="F851" s="138" t="s">
        <v>85</v>
      </c>
      <c r="G851" s="139" t="s">
        <v>86</v>
      </c>
      <c r="H851" s="140" t="str">
        <f t="shared" si="320"/>
        <v>Liften</v>
      </c>
      <c r="I851" s="138" t="s">
        <v>457</v>
      </c>
      <c r="J851" s="138" t="s">
        <v>1171</v>
      </c>
      <c r="K851" s="141" t="str">
        <f t="shared" si="321"/>
        <v>Omde dag Vol/Nal.</v>
      </c>
      <c r="L851" s="141" t="str">
        <f t="shared" si="322"/>
        <v>Omde dag Nal./Vol</v>
      </c>
      <c r="M851" s="141" t="str">
        <f t="shared" si="323"/>
        <v>Omde dag Vol/Nal.</v>
      </c>
      <c r="N851" s="141" t="str">
        <f t="shared" si="324"/>
        <v>Omde dag Nal./Vol</v>
      </c>
      <c r="O851" s="141" t="str">
        <f t="shared" si="325"/>
        <v>Omde dag Vol/Nal.</v>
      </c>
      <c r="P851" s="141" t="str">
        <f t="shared" si="326"/>
        <v>Omde dag Nal./Vol</v>
      </c>
      <c r="Q851" s="141" t="str">
        <f t="shared" si="327"/>
        <v>Omde dag Vol/Nal.</v>
      </c>
      <c r="R851" s="63" t="s">
        <v>1475</v>
      </c>
      <c r="S851" s="142">
        <f t="shared" si="335"/>
        <v>365</v>
      </c>
      <c r="T851" s="143">
        <v>6.61</v>
      </c>
      <c r="U851" s="144"/>
      <c r="V851" s="144"/>
      <c r="W851" s="144"/>
      <c r="X851" s="144">
        <v>2.3849999999999998</v>
      </c>
      <c r="Y851" s="144"/>
      <c r="Z851" s="145"/>
      <c r="AA851" s="145"/>
      <c r="AB851" s="145"/>
      <c r="AC851" s="145">
        <f>T851</f>
        <v>6.61</v>
      </c>
      <c r="AD851" s="146" t="s">
        <v>1115</v>
      </c>
      <c r="AE851" s="171">
        <v>1</v>
      </c>
      <c r="AF851" s="147">
        <f t="shared" si="328"/>
        <v>0</v>
      </c>
      <c r="AG851" s="147">
        <f t="shared" si="329"/>
        <v>0</v>
      </c>
      <c r="AH851" s="147">
        <f t="shared" si="330"/>
        <v>0</v>
      </c>
      <c r="AI851" s="147">
        <f t="shared" si="331"/>
        <v>0</v>
      </c>
      <c r="AJ851" s="148" t="str">
        <f t="shared" si="332"/>
        <v>ja</v>
      </c>
      <c r="AK851" s="149">
        <f t="shared" si="315"/>
        <v>0</v>
      </c>
      <c r="AL851" s="149">
        <f t="shared" si="316"/>
        <v>0</v>
      </c>
      <c r="AM851" s="149">
        <f t="shared" si="317"/>
        <v>0</v>
      </c>
      <c r="AN851" s="149">
        <f t="shared" si="318"/>
        <v>0</v>
      </c>
      <c r="AO851" s="150" t="str">
        <f t="shared" si="333"/>
        <v>V</v>
      </c>
      <c r="AQ851" s="151">
        <f t="shared" si="334"/>
        <v>2412.65</v>
      </c>
    </row>
    <row r="852" spans="1:43" ht="15" customHeight="1">
      <c r="A852" s="82" t="e">
        <f t="shared" si="319"/>
        <v>#REF!</v>
      </c>
      <c r="B852" s="134">
        <v>114</v>
      </c>
      <c r="C852" s="135" t="s">
        <v>38</v>
      </c>
      <c r="D852" s="136" t="s">
        <v>39</v>
      </c>
      <c r="E852" s="137"/>
      <c r="F852" s="138" t="s">
        <v>87</v>
      </c>
      <c r="G852" s="139" t="s">
        <v>88</v>
      </c>
      <c r="H852" s="140" t="str">
        <f t="shared" si="320"/>
        <v>Niet van toepassing</v>
      </c>
      <c r="I852" s="138" t="s">
        <v>82</v>
      </c>
      <c r="J852" s="138" t="s">
        <v>1172</v>
      </c>
      <c r="K852" s="141" t="str">
        <f t="shared" si="321"/>
        <v>NVT</v>
      </c>
      <c r="L852" s="141" t="str">
        <f t="shared" si="322"/>
        <v>NVT</v>
      </c>
      <c r="M852" s="141" t="str">
        <f t="shared" si="323"/>
        <v>NVT</v>
      </c>
      <c r="N852" s="141" t="str">
        <f t="shared" si="324"/>
        <v>NVT</v>
      </c>
      <c r="O852" s="141" t="str">
        <f t="shared" si="325"/>
        <v>NVT</v>
      </c>
      <c r="P852" s="141" t="str">
        <f t="shared" si="326"/>
        <v>NVT</v>
      </c>
      <c r="Q852" s="141" t="str">
        <f t="shared" si="327"/>
        <v>NVT</v>
      </c>
      <c r="R852" s="63" t="s">
        <v>1221</v>
      </c>
      <c r="S852" s="142">
        <f t="shared" si="335"/>
        <v>0</v>
      </c>
      <c r="T852" s="143">
        <v>18.2</v>
      </c>
      <c r="U852" s="144"/>
      <c r="V852" s="144"/>
      <c r="W852" s="144"/>
      <c r="X852" s="144"/>
      <c r="Y852" s="144">
        <v>78</v>
      </c>
      <c r="Z852" s="145"/>
      <c r="AA852" s="145"/>
      <c r="AB852" s="145">
        <f>T852</f>
        <v>18.2</v>
      </c>
      <c r="AC852" s="145"/>
      <c r="AD852" s="146" t="s">
        <v>42</v>
      </c>
      <c r="AE852" s="171">
        <v>1</v>
      </c>
      <c r="AF852" s="147">
        <f t="shared" si="328"/>
        <v>0</v>
      </c>
      <c r="AG852" s="147">
        <f t="shared" si="329"/>
        <v>0</v>
      </c>
      <c r="AH852" s="147">
        <f t="shared" si="330"/>
        <v>0</v>
      </c>
      <c r="AI852" s="147">
        <f t="shared" si="331"/>
        <v>0</v>
      </c>
      <c r="AJ852" s="148">
        <f t="shared" si="332"/>
        <v>0</v>
      </c>
      <c r="AK852" s="149">
        <f t="shared" si="315"/>
        <v>0</v>
      </c>
      <c r="AL852" s="149">
        <f t="shared" si="316"/>
        <v>0</v>
      </c>
      <c r="AM852" s="149">
        <f t="shared" si="317"/>
        <v>0</v>
      </c>
      <c r="AN852" s="149">
        <f t="shared" si="318"/>
        <v>0</v>
      </c>
      <c r="AO852" s="150">
        <f t="shared" si="333"/>
        <v>0</v>
      </c>
      <c r="AQ852" s="151">
        <f t="shared" si="334"/>
        <v>0</v>
      </c>
    </row>
    <row r="853" spans="1:43" ht="15" customHeight="1">
      <c r="A853" s="82" t="e">
        <f t="shared" si="319"/>
        <v>#REF!</v>
      </c>
      <c r="B853" s="134">
        <v>114</v>
      </c>
      <c r="C853" s="135" t="s">
        <v>38</v>
      </c>
      <c r="D853" s="136" t="s">
        <v>39</v>
      </c>
      <c r="E853" s="137"/>
      <c r="F853" s="138" t="s">
        <v>89</v>
      </c>
      <c r="G853" s="139" t="s">
        <v>90</v>
      </c>
      <c r="H853" s="140" t="str">
        <f t="shared" si="320"/>
        <v>Niet van toepassing</v>
      </c>
      <c r="I853" s="138" t="s">
        <v>195</v>
      </c>
      <c r="J853" s="138" t="s">
        <v>1172</v>
      </c>
      <c r="K853" s="141" t="str">
        <f t="shared" si="321"/>
        <v>NVT</v>
      </c>
      <c r="L853" s="141" t="str">
        <f t="shared" si="322"/>
        <v>NVT</v>
      </c>
      <c r="M853" s="141" t="str">
        <f t="shared" si="323"/>
        <v>NVT</v>
      </c>
      <c r="N853" s="141" t="str">
        <f t="shared" si="324"/>
        <v>NVT</v>
      </c>
      <c r="O853" s="141" t="str">
        <f t="shared" si="325"/>
        <v>NVT</v>
      </c>
      <c r="P853" s="141" t="str">
        <f t="shared" si="326"/>
        <v>NVT</v>
      </c>
      <c r="Q853" s="141" t="str">
        <f t="shared" si="327"/>
        <v>NVT</v>
      </c>
      <c r="R853" s="63" t="s">
        <v>1221</v>
      </c>
      <c r="S853" s="142">
        <f t="shared" si="335"/>
        <v>0</v>
      </c>
      <c r="T853" s="143">
        <v>6.36</v>
      </c>
      <c r="U853" s="144"/>
      <c r="V853" s="144"/>
      <c r="W853" s="144">
        <v>47</v>
      </c>
      <c r="X853" s="144"/>
      <c r="Y853" s="144"/>
      <c r="Z853" s="145"/>
      <c r="AA853" s="145">
        <f>T853</f>
        <v>6.36</v>
      </c>
      <c r="AB853" s="145"/>
      <c r="AC853" s="145"/>
      <c r="AD853" s="146" t="s">
        <v>45</v>
      </c>
      <c r="AE853" s="171">
        <v>1</v>
      </c>
      <c r="AF853" s="147">
        <f t="shared" si="328"/>
        <v>0</v>
      </c>
      <c r="AG853" s="147">
        <f t="shared" si="329"/>
        <v>0</v>
      </c>
      <c r="AH853" s="147">
        <f t="shared" si="330"/>
        <v>0</v>
      </c>
      <c r="AI853" s="147">
        <f t="shared" si="331"/>
        <v>0</v>
      </c>
      <c r="AJ853" s="148">
        <f t="shared" si="332"/>
        <v>0</v>
      </c>
      <c r="AK853" s="149">
        <f t="shared" si="315"/>
        <v>0</v>
      </c>
      <c r="AL853" s="149">
        <f t="shared" si="316"/>
        <v>0</v>
      </c>
      <c r="AM853" s="149">
        <f t="shared" si="317"/>
        <v>0</v>
      </c>
      <c r="AN853" s="149">
        <f t="shared" si="318"/>
        <v>0</v>
      </c>
      <c r="AO853" s="150">
        <f t="shared" si="333"/>
        <v>0</v>
      </c>
      <c r="AQ853" s="151">
        <f t="shared" si="334"/>
        <v>0</v>
      </c>
    </row>
    <row r="854" spans="1:43" ht="15" customHeight="1">
      <c r="A854" s="82" t="e">
        <f t="shared" si="319"/>
        <v>#REF!</v>
      </c>
      <c r="B854" s="134">
        <v>114</v>
      </c>
      <c r="C854" s="135" t="s">
        <v>38</v>
      </c>
      <c r="D854" s="136" t="s">
        <v>39</v>
      </c>
      <c r="E854" s="137"/>
      <c r="F854" s="138" t="s">
        <v>91</v>
      </c>
      <c r="G854" s="139" t="s">
        <v>92</v>
      </c>
      <c r="H854" s="140" t="str">
        <f t="shared" si="320"/>
        <v>Niet van toepassing</v>
      </c>
      <c r="I854" s="138" t="s">
        <v>195</v>
      </c>
      <c r="J854" s="138" t="s">
        <v>1172</v>
      </c>
      <c r="K854" s="141" t="str">
        <f t="shared" si="321"/>
        <v>NVT</v>
      </c>
      <c r="L854" s="141" t="str">
        <f t="shared" si="322"/>
        <v>NVT</v>
      </c>
      <c r="M854" s="141" t="str">
        <f t="shared" si="323"/>
        <v>NVT</v>
      </c>
      <c r="N854" s="141" t="str">
        <f t="shared" si="324"/>
        <v>NVT</v>
      </c>
      <c r="O854" s="141" t="str">
        <f t="shared" si="325"/>
        <v>NVT</v>
      </c>
      <c r="P854" s="141" t="str">
        <f t="shared" si="326"/>
        <v>NVT</v>
      </c>
      <c r="Q854" s="141" t="str">
        <f t="shared" si="327"/>
        <v>NVT</v>
      </c>
      <c r="R854" s="63" t="s">
        <v>1221</v>
      </c>
      <c r="S854" s="142">
        <f t="shared" si="335"/>
        <v>0</v>
      </c>
      <c r="T854" s="143">
        <v>2.23</v>
      </c>
      <c r="U854" s="144"/>
      <c r="V854" s="144"/>
      <c r="W854" s="144"/>
      <c r="X854" s="144"/>
      <c r="Y854" s="144">
        <v>51</v>
      </c>
      <c r="Z854" s="145"/>
      <c r="AA854" s="145"/>
      <c r="AB854" s="145">
        <f>T854</f>
        <v>2.23</v>
      </c>
      <c r="AC854" s="145"/>
      <c r="AD854" s="146" t="s">
        <v>45</v>
      </c>
      <c r="AE854" s="171">
        <v>1</v>
      </c>
      <c r="AF854" s="147">
        <f t="shared" si="328"/>
        <v>0</v>
      </c>
      <c r="AG854" s="147">
        <f t="shared" si="329"/>
        <v>0</v>
      </c>
      <c r="AH854" s="147">
        <f t="shared" si="330"/>
        <v>0</v>
      </c>
      <c r="AI854" s="147">
        <f t="shared" si="331"/>
        <v>0</v>
      </c>
      <c r="AJ854" s="148">
        <f t="shared" si="332"/>
        <v>0</v>
      </c>
      <c r="AK854" s="149">
        <f t="shared" si="315"/>
        <v>0</v>
      </c>
      <c r="AL854" s="149">
        <f t="shared" si="316"/>
        <v>0</v>
      </c>
      <c r="AM854" s="149">
        <f t="shared" si="317"/>
        <v>0</v>
      </c>
      <c r="AN854" s="149">
        <f t="shared" si="318"/>
        <v>0</v>
      </c>
      <c r="AO854" s="150">
        <f t="shared" si="333"/>
        <v>0</v>
      </c>
      <c r="AQ854" s="151">
        <f t="shared" si="334"/>
        <v>0</v>
      </c>
    </row>
    <row r="855" spans="1:43" ht="15" customHeight="1">
      <c r="A855" s="82" t="e">
        <f t="shared" si="319"/>
        <v>#REF!</v>
      </c>
      <c r="B855" s="134">
        <v>114</v>
      </c>
      <c r="C855" s="135" t="s">
        <v>38</v>
      </c>
      <c r="D855" s="136" t="s">
        <v>39</v>
      </c>
      <c r="E855" s="137"/>
      <c r="F855" s="138" t="s">
        <v>93</v>
      </c>
      <c r="G855" s="139" t="s">
        <v>94</v>
      </c>
      <c r="H855" s="140" t="str">
        <f t="shared" si="320"/>
        <v>Niet van toepassing</v>
      </c>
      <c r="I855" s="138" t="s">
        <v>195</v>
      </c>
      <c r="J855" s="138" t="s">
        <v>1172</v>
      </c>
      <c r="K855" s="141" t="str">
        <f t="shared" si="321"/>
        <v>NVT</v>
      </c>
      <c r="L855" s="141" t="str">
        <f t="shared" si="322"/>
        <v>NVT</v>
      </c>
      <c r="M855" s="141" t="str">
        <f t="shared" si="323"/>
        <v>NVT</v>
      </c>
      <c r="N855" s="141" t="str">
        <f t="shared" si="324"/>
        <v>NVT</v>
      </c>
      <c r="O855" s="141" t="str">
        <f t="shared" si="325"/>
        <v>NVT</v>
      </c>
      <c r="P855" s="141" t="str">
        <f t="shared" si="326"/>
        <v>NVT</v>
      </c>
      <c r="Q855" s="141" t="str">
        <f t="shared" si="327"/>
        <v>NVT</v>
      </c>
      <c r="R855" s="63" t="s">
        <v>1221</v>
      </c>
      <c r="S855" s="142">
        <f t="shared" si="335"/>
        <v>0</v>
      </c>
      <c r="T855" s="143">
        <v>5.0199999999999996</v>
      </c>
      <c r="U855" s="144"/>
      <c r="V855" s="144"/>
      <c r="W855" s="144"/>
      <c r="X855" s="144"/>
      <c r="Y855" s="144">
        <v>37</v>
      </c>
      <c r="Z855" s="145"/>
      <c r="AA855" s="145"/>
      <c r="AB855" s="145">
        <f>T855</f>
        <v>5.0199999999999996</v>
      </c>
      <c r="AC855" s="145"/>
      <c r="AD855" s="146" t="s">
        <v>45</v>
      </c>
      <c r="AE855" s="171">
        <v>1</v>
      </c>
      <c r="AF855" s="147">
        <f t="shared" si="328"/>
        <v>0</v>
      </c>
      <c r="AG855" s="147">
        <f t="shared" si="329"/>
        <v>0</v>
      </c>
      <c r="AH855" s="147">
        <f t="shared" si="330"/>
        <v>0</v>
      </c>
      <c r="AI855" s="147">
        <f t="shared" si="331"/>
        <v>0</v>
      </c>
      <c r="AJ855" s="148">
        <f t="shared" si="332"/>
        <v>0</v>
      </c>
      <c r="AK855" s="149">
        <f t="shared" si="315"/>
        <v>0</v>
      </c>
      <c r="AL855" s="149">
        <f t="shared" si="316"/>
        <v>0</v>
      </c>
      <c r="AM855" s="149">
        <f t="shared" si="317"/>
        <v>0</v>
      </c>
      <c r="AN855" s="149">
        <f t="shared" si="318"/>
        <v>0</v>
      </c>
      <c r="AO855" s="150">
        <f t="shared" si="333"/>
        <v>0</v>
      </c>
      <c r="AQ855" s="151">
        <f t="shared" si="334"/>
        <v>0</v>
      </c>
    </row>
    <row r="856" spans="1:43" ht="15" customHeight="1">
      <c r="A856" s="82" t="e">
        <f t="shared" si="319"/>
        <v>#REF!</v>
      </c>
      <c r="B856" s="134">
        <v>114</v>
      </c>
      <c r="C856" s="135" t="s">
        <v>38</v>
      </c>
      <c r="D856" s="136" t="s">
        <v>39</v>
      </c>
      <c r="E856" s="137"/>
      <c r="F856" s="138" t="s">
        <v>95</v>
      </c>
      <c r="G856" s="139" t="s">
        <v>96</v>
      </c>
      <c r="H856" s="140" t="str">
        <f t="shared" si="320"/>
        <v>Liften</v>
      </c>
      <c r="I856" s="138" t="s">
        <v>457</v>
      </c>
      <c r="J856" s="138" t="s">
        <v>1171</v>
      </c>
      <c r="K856" s="141" t="str">
        <f t="shared" si="321"/>
        <v>Omde dag Vol/Nal.</v>
      </c>
      <c r="L856" s="141" t="str">
        <f t="shared" si="322"/>
        <v>Omde dag Nal./Vol</v>
      </c>
      <c r="M856" s="141" t="str">
        <f t="shared" si="323"/>
        <v>Omde dag Vol/Nal.</v>
      </c>
      <c r="N856" s="141" t="str">
        <f t="shared" si="324"/>
        <v>Omde dag Nal./Vol</v>
      </c>
      <c r="O856" s="141" t="str">
        <f t="shared" si="325"/>
        <v>Omde dag Vol/Nal.</v>
      </c>
      <c r="P856" s="141" t="str">
        <f t="shared" si="326"/>
        <v>Omde dag Nal./Vol</v>
      </c>
      <c r="Q856" s="141" t="str">
        <f t="shared" si="327"/>
        <v>Omde dag Vol/Nal.</v>
      </c>
      <c r="R856" s="63" t="s">
        <v>1475</v>
      </c>
      <c r="S856" s="142">
        <f t="shared" si="335"/>
        <v>365</v>
      </c>
      <c r="T856" s="143">
        <v>4.07</v>
      </c>
      <c r="U856" s="144"/>
      <c r="V856" s="144"/>
      <c r="W856" s="144"/>
      <c r="X856" s="144">
        <v>15.9</v>
      </c>
      <c r="Y856" s="144"/>
      <c r="Z856" s="145"/>
      <c r="AA856" s="145"/>
      <c r="AB856" s="145"/>
      <c r="AC856" s="145">
        <f>T856</f>
        <v>4.07</v>
      </c>
      <c r="AD856" s="146" t="s">
        <v>1116</v>
      </c>
      <c r="AE856" s="171">
        <v>1</v>
      </c>
      <c r="AF856" s="147">
        <f t="shared" si="328"/>
        <v>0</v>
      </c>
      <c r="AG856" s="147">
        <f t="shared" si="329"/>
        <v>0</v>
      </c>
      <c r="AH856" s="147">
        <f t="shared" si="330"/>
        <v>0</v>
      </c>
      <c r="AI856" s="147">
        <f t="shared" si="331"/>
        <v>0</v>
      </c>
      <c r="AJ856" s="148" t="str">
        <f t="shared" si="332"/>
        <v>ja</v>
      </c>
      <c r="AK856" s="149">
        <f t="shared" si="315"/>
        <v>0</v>
      </c>
      <c r="AL856" s="149">
        <f t="shared" si="316"/>
        <v>0</v>
      </c>
      <c r="AM856" s="149">
        <f t="shared" si="317"/>
        <v>0</v>
      </c>
      <c r="AN856" s="149">
        <f t="shared" si="318"/>
        <v>0</v>
      </c>
      <c r="AO856" s="150" t="str">
        <f t="shared" si="333"/>
        <v>V</v>
      </c>
      <c r="AQ856" s="151">
        <f t="shared" si="334"/>
        <v>1485.5500000000002</v>
      </c>
    </row>
    <row r="857" spans="1:43" ht="15" customHeight="1">
      <c r="A857" s="82" t="e">
        <f t="shared" si="319"/>
        <v>#REF!</v>
      </c>
      <c r="B857" s="134">
        <v>114</v>
      </c>
      <c r="C857" s="135" t="s">
        <v>38</v>
      </c>
      <c r="D857" s="136" t="s">
        <v>39</v>
      </c>
      <c r="E857" s="137"/>
      <c r="F857" s="138" t="s">
        <v>97</v>
      </c>
      <c r="G857" s="139" t="s">
        <v>98</v>
      </c>
      <c r="H857" s="140" t="str">
        <f t="shared" si="320"/>
        <v>Niet van toepassing</v>
      </c>
      <c r="I857" s="138" t="s">
        <v>195</v>
      </c>
      <c r="J857" s="138" t="s">
        <v>1172</v>
      </c>
      <c r="K857" s="141" t="str">
        <f t="shared" si="321"/>
        <v>NVT</v>
      </c>
      <c r="L857" s="141" t="str">
        <f t="shared" si="322"/>
        <v>NVT</v>
      </c>
      <c r="M857" s="141" t="str">
        <f t="shared" si="323"/>
        <v>NVT</v>
      </c>
      <c r="N857" s="141" t="str">
        <f t="shared" si="324"/>
        <v>NVT</v>
      </c>
      <c r="O857" s="141" t="str">
        <f t="shared" si="325"/>
        <v>NVT</v>
      </c>
      <c r="P857" s="141" t="str">
        <f t="shared" si="326"/>
        <v>NVT</v>
      </c>
      <c r="Q857" s="141" t="str">
        <f t="shared" si="327"/>
        <v>NVT</v>
      </c>
      <c r="R857" s="63" t="s">
        <v>1221</v>
      </c>
      <c r="S857" s="142">
        <f t="shared" si="335"/>
        <v>0</v>
      </c>
      <c r="T857" s="143">
        <v>32.75</v>
      </c>
      <c r="U857" s="144"/>
      <c r="V857" s="144"/>
      <c r="W857" s="144"/>
      <c r="X857" s="144"/>
      <c r="Y857" s="144">
        <v>38.299999999999997</v>
      </c>
      <c r="Z857" s="145"/>
      <c r="AA857" s="145"/>
      <c r="AB857" s="145">
        <f>T857</f>
        <v>32.75</v>
      </c>
      <c r="AC857" s="145"/>
      <c r="AD857" s="146" t="s">
        <v>42</v>
      </c>
      <c r="AE857" s="171">
        <v>1</v>
      </c>
      <c r="AF857" s="147">
        <f t="shared" si="328"/>
        <v>0</v>
      </c>
      <c r="AG857" s="147">
        <f t="shared" si="329"/>
        <v>0</v>
      </c>
      <c r="AH857" s="147">
        <f t="shared" si="330"/>
        <v>0</v>
      </c>
      <c r="AI857" s="147">
        <f t="shared" si="331"/>
        <v>0</v>
      </c>
      <c r="AJ857" s="148">
        <f t="shared" si="332"/>
        <v>0</v>
      </c>
      <c r="AK857" s="149">
        <f t="shared" si="315"/>
        <v>0</v>
      </c>
      <c r="AL857" s="149">
        <f t="shared" si="316"/>
        <v>0</v>
      </c>
      <c r="AM857" s="149">
        <f t="shared" si="317"/>
        <v>0</v>
      </c>
      <c r="AN857" s="149">
        <f t="shared" si="318"/>
        <v>0</v>
      </c>
      <c r="AO857" s="150">
        <f t="shared" si="333"/>
        <v>0</v>
      </c>
      <c r="AQ857" s="151">
        <f t="shared" si="334"/>
        <v>0</v>
      </c>
    </row>
    <row r="858" spans="1:43" ht="15" customHeight="1">
      <c r="A858" s="82" t="e">
        <f t="shared" si="319"/>
        <v>#REF!</v>
      </c>
      <c r="B858" s="134">
        <v>114</v>
      </c>
      <c r="C858" s="135" t="s">
        <v>38</v>
      </c>
      <c r="D858" s="136" t="s">
        <v>39</v>
      </c>
      <c r="E858" s="137"/>
      <c r="F858" s="138" t="s">
        <v>99</v>
      </c>
      <c r="G858" s="139" t="s">
        <v>100</v>
      </c>
      <c r="H858" s="140" t="str">
        <f t="shared" si="320"/>
        <v>Niet van toepassing</v>
      </c>
      <c r="I858" s="138" t="s">
        <v>82</v>
      </c>
      <c r="J858" s="138" t="s">
        <v>1172</v>
      </c>
      <c r="K858" s="141" t="str">
        <f t="shared" si="321"/>
        <v>NVT</v>
      </c>
      <c r="L858" s="141" t="str">
        <f t="shared" si="322"/>
        <v>NVT</v>
      </c>
      <c r="M858" s="141" t="str">
        <f t="shared" si="323"/>
        <v>NVT</v>
      </c>
      <c r="N858" s="141" t="str">
        <f t="shared" si="324"/>
        <v>NVT</v>
      </c>
      <c r="O858" s="141" t="str">
        <f t="shared" si="325"/>
        <v>NVT</v>
      </c>
      <c r="P858" s="141" t="str">
        <f t="shared" si="326"/>
        <v>NVT</v>
      </c>
      <c r="Q858" s="141" t="str">
        <f t="shared" si="327"/>
        <v>NVT</v>
      </c>
      <c r="R858" s="63" t="s">
        <v>1221</v>
      </c>
      <c r="S858" s="142">
        <f t="shared" si="335"/>
        <v>0</v>
      </c>
      <c r="T858" s="143">
        <v>15.07</v>
      </c>
      <c r="U858" s="144"/>
      <c r="V858" s="144"/>
      <c r="W858" s="144"/>
      <c r="X858" s="144"/>
      <c r="Y858" s="144">
        <v>64</v>
      </c>
      <c r="Z858" s="145"/>
      <c r="AA858" s="145">
        <f>T858</f>
        <v>15.07</v>
      </c>
      <c r="AB858" s="145"/>
      <c r="AC858" s="145"/>
      <c r="AD858" s="146" t="s">
        <v>42</v>
      </c>
      <c r="AE858" s="171">
        <v>1</v>
      </c>
      <c r="AF858" s="147">
        <f t="shared" si="328"/>
        <v>0</v>
      </c>
      <c r="AG858" s="147">
        <f t="shared" si="329"/>
        <v>0</v>
      </c>
      <c r="AH858" s="147">
        <f t="shared" si="330"/>
        <v>0</v>
      </c>
      <c r="AI858" s="147">
        <f t="shared" si="331"/>
        <v>0</v>
      </c>
      <c r="AJ858" s="148">
        <f t="shared" si="332"/>
        <v>0</v>
      </c>
      <c r="AK858" s="149">
        <f t="shared" si="315"/>
        <v>0</v>
      </c>
      <c r="AL858" s="149">
        <f t="shared" si="316"/>
        <v>0</v>
      </c>
      <c r="AM858" s="149">
        <f t="shared" si="317"/>
        <v>0</v>
      </c>
      <c r="AN858" s="149">
        <f t="shared" si="318"/>
        <v>0</v>
      </c>
      <c r="AO858" s="150">
        <f t="shared" si="333"/>
        <v>0</v>
      </c>
      <c r="AQ858" s="151">
        <f t="shared" si="334"/>
        <v>0</v>
      </c>
    </row>
    <row r="859" spans="1:43" ht="15" customHeight="1">
      <c r="A859" s="82" t="e">
        <f t="shared" si="319"/>
        <v>#REF!</v>
      </c>
      <c r="B859" s="134">
        <v>114</v>
      </c>
      <c r="C859" s="135" t="s">
        <v>38</v>
      </c>
      <c r="D859" s="136" t="s">
        <v>39</v>
      </c>
      <c r="E859" s="137"/>
      <c r="F859" s="138" t="s">
        <v>101</v>
      </c>
      <c r="G859" s="139" t="s">
        <v>102</v>
      </c>
      <c r="H859" s="140" t="str">
        <f t="shared" si="320"/>
        <v>Perrons</v>
      </c>
      <c r="I859" s="138" t="s">
        <v>199</v>
      </c>
      <c r="J859" s="138" t="s">
        <v>1171</v>
      </c>
      <c r="K859" s="141" t="str">
        <f t="shared" si="321"/>
        <v>Omde dag Vol/Nal.</v>
      </c>
      <c r="L859" s="141" t="str">
        <f t="shared" si="322"/>
        <v>Omde dag Nal./Vol</v>
      </c>
      <c r="M859" s="141" t="str">
        <f t="shared" si="323"/>
        <v>Omde dag Vol/Nal.</v>
      </c>
      <c r="N859" s="141" t="str">
        <f t="shared" si="324"/>
        <v>Omde dag Nal./Vol</v>
      </c>
      <c r="O859" s="141" t="str">
        <f t="shared" si="325"/>
        <v>Omde dag Vol/Nal.</v>
      </c>
      <c r="P859" s="141" t="str">
        <f t="shared" si="326"/>
        <v>Omde dag Nal./Vol</v>
      </c>
      <c r="Q859" s="141" t="str">
        <f t="shared" si="327"/>
        <v>Omde dag Vol/Nal.</v>
      </c>
      <c r="R859" s="63" t="s">
        <v>1473</v>
      </c>
      <c r="S859" s="142">
        <f t="shared" si="335"/>
        <v>365</v>
      </c>
      <c r="T859" s="143">
        <v>1503.07</v>
      </c>
      <c r="U859" s="144"/>
      <c r="V859" s="144"/>
      <c r="W859" s="144"/>
      <c r="X859" s="144"/>
      <c r="Y859" s="144"/>
      <c r="Z859" s="145">
        <f>152.39*10.09</f>
        <v>1537.6150999999998</v>
      </c>
      <c r="AA859" s="145"/>
      <c r="AB859" s="145"/>
      <c r="AC859" s="145"/>
      <c r="AD859" s="146"/>
      <c r="AE859" s="171">
        <v>1</v>
      </c>
      <c r="AF859" s="147">
        <f t="shared" si="328"/>
        <v>0</v>
      </c>
      <c r="AG859" s="147">
        <f t="shared" si="329"/>
        <v>0</v>
      </c>
      <c r="AH859" s="147">
        <f t="shared" si="330"/>
        <v>0</v>
      </c>
      <c r="AI859" s="147">
        <f t="shared" si="331"/>
        <v>0</v>
      </c>
      <c r="AJ859" s="148" t="str">
        <f t="shared" si="332"/>
        <v>ja</v>
      </c>
      <c r="AK859" s="149">
        <f t="shared" si="315"/>
        <v>0</v>
      </c>
      <c r="AL859" s="149">
        <f t="shared" si="316"/>
        <v>0</v>
      </c>
      <c r="AM859" s="149">
        <f t="shared" si="317"/>
        <v>0</v>
      </c>
      <c r="AN859" s="149">
        <f t="shared" si="318"/>
        <v>0</v>
      </c>
      <c r="AO859" s="150" t="str">
        <f t="shared" si="333"/>
        <v>V</v>
      </c>
      <c r="AQ859" s="151">
        <f t="shared" si="334"/>
        <v>548620.54999999993</v>
      </c>
    </row>
    <row r="860" spans="1:43" ht="15" customHeight="1">
      <c r="A860" s="82" t="e">
        <f t="shared" si="319"/>
        <v>#REF!</v>
      </c>
      <c r="B860" s="134">
        <v>114</v>
      </c>
      <c r="C860" s="135" t="s">
        <v>38</v>
      </c>
      <c r="D860" s="136" t="s">
        <v>39</v>
      </c>
      <c r="E860" s="137"/>
      <c r="F860" s="138" t="s">
        <v>103</v>
      </c>
      <c r="G860" s="139" t="s">
        <v>104</v>
      </c>
      <c r="H860" s="140" t="str">
        <f t="shared" si="320"/>
        <v>Niet van toepassing</v>
      </c>
      <c r="I860" s="138" t="s">
        <v>195</v>
      </c>
      <c r="J860" s="138" t="s">
        <v>1172</v>
      </c>
      <c r="K860" s="141" t="str">
        <f t="shared" si="321"/>
        <v>NVT</v>
      </c>
      <c r="L860" s="141" t="str">
        <f t="shared" si="322"/>
        <v>NVT</v>
      </c>
      <c r="M860" s="141" t="str">
        <f t="shared" si="323"/>
        <v>NVT</v>
      </c>
      <c r="N860" s="141" t="str">
        <f t="shared" si="324"/>
        <v>NVT</v>
      </c>
      <c r="O860" s="141" t="str">
        <f t="shared" si="325"/>
        <v>NVT</v>
      </c>
      <c r="P860" s="141" t="str">
        <f t="shared" si="326"/>
        <v>NVT</v>
      </c>
      <c r="Q860" s="141" t="str">
        <f t="shared" si="327"/>
        <v>NVT</v>
      </c>
      <c r="R860" s="63" t="s">
        <v>1221</v>
      </c>
      <c r="S860" s="142">
        <f t="shared" si="335"/>
        <v>0</v>
      </c>
      <c r="T860" s="143">
        <v>35.49</v>
      </c>
      <c r="U860" s="144"/>
      <c r="V860" s="144"/>
      <c r="W860" s="144"/>
      <c r="X860" s="144"/>
      <c r="Y860" s="144">
        <v>123</v>
      </c>
      <c r="Z860" s="145"/>
      <c r="AA860" s="145"/>
      <c r="AB860" s="145">
        <f>T860</f>
        <v>35.49</v>
      </c>
      <c r="AC860" s="145"/>
      <c r="AD860" s="146" t="s">
        <v>45</v>
      </c>
      <c r="AE860" s="171">
        <v>1</v>
      </c>
      <c r="AF860" s="147">
        <f t="shared" si="328"/>
        <v>0</v>
      </c>
      <c r="AG860" s="147">
        <f t="shared" si="329"/>
        <v>0</v>
      </c>
      <c r="AH860" s="147">
        <f t="shared" si="330"/>
        <v>0</v>
      </c>
      <c r="AI860" s="147">
        <f t="shared" si="331"/>
        <v>0</v>
      </c>
      <c r="AJ860" s="148">
        <f t="shared" si="332"/>
        <v>0</v>
      </c>
      <c r="AK860" s="149">
        <f t="shared" si="315"/>
        <v>0</v>
      </c>
      <c r="AL860" s="149">
        <f t="shared" si="316"/>
        <v>0</v>
      </c>
      <c r="AM860" s="149">
        <f t="shared" si="317"/>
        <v>0</v>
      </c>
      <c r="AN860" s="149">
        <f t="shared" si="318"/>
        <v>0</v>
      </c>
      <c r="AO860" s="150">
        <f t="shared" si="333"/>
        <v>0</v>
      </c>
      <c r="AQ860" s="151">
        <f t="shared" si="334"/>
        <v>0</v>
      </c>
    </row>
    <row r="861" spans="1:43" ht="15" customHeight="1">
      <c r="A861" s="82" t="e">
        <f t="shared" si="319"/>
        <v>#REF!</v>
      </c>
      <c r="B861" s="134">
        <v>114</v>
      </c>
      <c r="C861" s="135" t="s">
        <v>38</v>
      </c>
      <c r="D861" s="136" t="s">
        <v>39</v>
      </c>
      <c r="E861" s="137"/>
      <c r="F861" s="138" t="s">
        <v>105</v>
      </c>
      <c r="G861" s="139" t="s">
        <v>106</v>
      </c>
      <c r="H861" s="140" t="str">
        <f t="shared" si="320"/>
        <v>Niet van toepassing</v>
      </c>
      <c r="I861" s="138" t="s">
        <v>195</v>
      </c>
      <c r="J861" s="138" t="s">
        <v>1172</v>
      </c>
      <c r="K861" s="141" t="str">
        <f t="shared" si="321"/>
        <v>NVT</v>
      </c>
      <c r="L861" s="141" t="str">
        <f t="shared" si="322"/>
        <v>NVT</v>
      </c>
      <c r="M861" s="141" t="str">
        <f t="shared" si="323"/>
        <v>NVT</v>
      </c>
      <c r="N861" s="141" t="str">
        <f t="shared" si="324"/>
        <v>NVT</v>
      </c>
      <c r="O861" s="141" t="str">
        <f t="shared" si="325"/>
        <v>NVT</v>
      </c>
      <c r="P861" s="141" t="str">
        <f t="shared" si="326"/>
        <v>NVT</v>
      </c>
      <c r="Q861" s="141" t="str">
        <f t="shared" si="327"/>
        <v>NVT</v>
      </c>
      <c r="R861" s="63" t="s">
        <v>1221</v>
      </c>
      <c r="S861" s="142">
        <f t="shared" si="335"/>
        <v>0</v>
      </c>
      <c r="T861" s="143">
        <v>34.61</v>
      </c>
      <c r="U861" s="144"/>
      <c r="V861" s="144"/>
      <c r="W861" s="144"/>
      <c r="X861" s="144"/>
      <c r="Y861" s="144">
        <v>111</v>
      </c>
      <c r="Z861" s="145"/>
      <c r="AA861" s="145"/>
      <c r="AB861" s="145">
        <f>T861</f>
        <v>34.61</v>
      </c>
      <c r="AC861" s="145"/>
      <c r="AD861" s="146" t="s">
        <v>42</v>
      </c>
      <c r="AE861" s="171">
        <v>1</v>
      </c>
      <c r="AF861" s="147">
        <f t="shared" si="328"/>
        <v>0</v>
      </c>
      <c r="AG861" s="147">
        <f t="shared" si="329"/>
        <v>0</v>
      </c>
      <c r="AH861" s="147">
        <f t="shared" si="330"/>
        <v>0</v>
      </c>
      <c r="AI861" s="147">
        <f t="shared" si="331"/>
        <v>0</v>
      </c>
      <c r="AJ861" s="148">
        <f t="shared" si="332"/>
        <v>0</v>
      </c>
      <c r="AK861" s="149">
        <f t="shared" si="315"/>
        <v>0</v>
      </c>
      <c r="AL861" s="149">
        <f t="shared" si="316"/>
        <v>0</v>
      </c>
      <c r="AM861" s="149">
        <f t="shared" si="317"/>
        <v>0</v>
      </c>
      <c r="AN861" s="149">
        <f t="shared" si="318"/>
        <v>0</v>
      </c>
      <c r="AO861" s="150">
        <f t="shared" si="333"/>
        <v>0</v>
      </c>
      <c r="AQ861" s="151">
        <f t="shared" si="334"/>
        <v>0</v>
      </c>
    </row>
    <row r="862" spans="1:43" ht="15" customHeight="1">
      <c r="A862" s="82" t="e">
        <f t="shared" si="319"/>
        <v>#REF!</v>
      </c>
      <c r="B862" s="134">
        <v>114</v>
      </c>
      <c r="C862" s="135" t="s">
        <v>38</v>
      </c>
      <c r="D862" s="136" t="s">
        <v>39</v>
      </c>
      <c r="E862" s="137"/>
      <c r="F862" s="138" t="s">
        <v>107</v>
      </c>
      <c r="G862" s="139" t="s">
        <v>108</v>
      </c>
      <c r="H862" s="140" t="str">
        <f t="shared" si="320"/>
        <v>Trappen</v>
      </c>
      <c r="I862" s="138" t="s">
        <v>118</v>
      </c>
      <c r="J862" s="138" t="s">
        <v>1171</v>
      </c>
      <c r="K862" s="141" t="str">
        <f t="shared" si="321"/>
        <v>Omde dag Vol/Nal.</v>
      </c>
      <c r="L862" s="141" t="str">
        <f t="shared" si="322"/>
        <v>Omde dag Nal./Vol</v>
      </c>
      <c r="M862" s="141" t="str">
        <f t="shared" si="323"/>
        <v>Omde dag Vol/Nal.</v>
      </c>
      <c r="N862" s="141" t="str">
        <f t="shared" si="324"/>
        <v>Omde dag Nal./Vol</v>
      </c>
      <c r="O862" s="141" t="str">
        <f t="shared" si="325"/>
        <v>Omde dag Vol/Nal.</v>
      </c>
      <c r="P862" s="141" t="str">
        <f t="shared" si="326"/>
        <v>Omde dag Nal./Vol</v>
      </c>
      <c r="Q862" s="141" t="str">
        <f t="shared" si="327"/>
        <v>Omde dag Vol/Nal.</v>
      </c>
      <c r="R862" s="63" t="s">
        <v>1477</v>
      </c>
      <c r="S862" s="142">
        <f t="shared" si="335"/>
        <v>365</v>
      </c>
      <c r="T862" s="143">
        <v>42</v>
      </c>
      <c r="U862" s="144" t="s">
        <v>1111</v>
      </c>
      <c r="V862" s="144"/>
      <c r="W862" s="144"/>
      <c r="X862" s="144"/>
      <c r="Y862" s="144"/>
      <c r="Z862" s="145"/>
      <c r="AA862" s="145"/>
      <c r="AB862" s="145"/>
      <c r="AC862" s="145"/>
      <c r="AD862" s="146" t="s">
        <v>183</v>
      </c>
      <c r="AE862" s="171">
        <v>1</v>
      </c>
      <c r="AF862" s="147">
        <f t="shared" si="328"/>
        <v>0</v>
      </c>
      <c r="AG862" s="147">
        <f t="shared" si="329"/>
        <v>0</v>
      </c>
      <c r="AH862" s="147">
        <f t="shared" si="330"/>
        <v>0</v>
      </c>
      <c r="AI862" s="147">
        <f t="shared" si="331"/>
        <v>0</v>
      </c>
      <c r="AJ862" s="148" t="str">
        <f t="shared" si="332"/>
        <v>ja</v>
      </c>
      <c r="AK862" s="149">
        <f t="shared" si="315"/>
        <v>0</v>
      </c>
      <c r="AL862" s="149">
        <f t="shared" si="316"/>
        <v>0</v>
      </c>
      <c r="AM862" s="149">
        <f t="shared" si="317"/>
        <v>0</v>
      </c>
      <c r="AN862" s="149">
        <f t="shared" si="318"/>
        <v>0</v>
      </c>
      <c r="AO862" s="150" t="str">
        <f t="shared" si="333"/>
        <v>V</v>
      </c>
      <c r="AQ862" s="151">
        <f t="shared" si="334"/>
        <v>15330</v>
      </c>
    </row>
    <row r="863" spans="1:43" ht="15" customHeight="1">
      <c r="A863" s="82" t="e">
        <f t="shared" si="319"/>
        <v>#REF!</v>
      </c>
      <c r="B863" s="134">
        <v>114</v>
      </c>
      <c r="C863" s="135" t="s">
        <v>38</v>
      </c>
      <c r="D863" s="136" t="s">
        <v>39</v>
      </c>
      <c r="E863" s="137"/>
      <c r="F863" s="138" t="s">
        <v>110</v>
      </c>
      <c r="G863" s="139" t="s">
        <v>108</v>
      </c>
      <c r="H863" s="140" t="str">
        <f t="shared" si="320"/>
        <v>Trappen</v>
      </c>
      <c r="I863" s="138" t="s">
        <v>118</v>
      </c>
      <c r="J863" s="138" t="s">
        <v>1171</v>
      </c>
      <c r="K863" s="141" t="str">
        <f t="shared" si="321"/>
        <v>Omde dag Vol/Nal.</v>
      </c>
      <c r="L863" s="141" t="str">
        <f t="shared" si="322"/>
        <v>Omde dag Nal./Vol</v>
      </c>
      <c r="M863" s="141" t="str">
        <f t="shared" si="323"/>
        <v>Omde dag Vol/Nal.</v>
      </c>
      <c r="N863" s="141" t="str">
        <f t="shared" si="324"/>
        <v>Omde dag Nal./Vol</v>
      </c>
      <c r="O863" s="141" t="str">
        <f t="shared" si="325"/>
        <v>Omde dag Vol/Nal.</v>
      </c>
      <c r="P863" s="141" t="str">
        <f t="shared" si="326"/>
        <v>Omde dag Nal./Vol</v>
      </c>
      <c r="Q863" s="141" t="str">
        <f t="shared" si="327"/>
        <v>Omde dag Vol/Nal.</v>
      </c>
      <c r="R863" s="63" t="s">
        <v>1477</v>
      </c>
      <c r="S863" s="142">
        <f t="shared" si="335"/>
        <v>365</v>
      </c>
      <c r="T863" s="143">
        <v>42</v>
      </c>
      <c r="U863" s="144" t="s">
        <v>1111</v>
      </c>
      <c r="V863" s="144"/>
      <c r="W863" s="144"/>
      <c r="X863" s="144"/>
      <c r="Y863" s="144"/>
      <c r="Z863" s="145"/>
      <c r="AA863" s="145"/>
      <c r="AB863" s="145"/>
      <c r="AC863" s="145"/>
      <c r="AD863" s="146" t="s">
        <v>183</v>
      </c>
      <c r="AE863" s="171">
        <v>1</v>
      </c>
      <c r="AF863" s="147">
        <f t="shared" si="328"/>
        <v>0</v>
      </c>
      <c r="AG863" s="147">
        <f t="shared" si="329"/>
        <v>0</v>
      </c>
      <c r="AH863" s="147">
        <f t="shared" si="330"/>
        <v>0</v>
      </c>
      <c r="AI863" s="147">
        <f t="shared" si="331"/>
        <v>0</v>
      </c>
      <c r="AJ863" s="148" t="str">
        <f t="shared" si="332"/>
        <v>ja</v>
      </c>
      <c r="AK863" s="149">
        <f t="shared" si="315"/>
        <v>0</v>
      </c>
      <c r="AL863" s="149">
        <f t="shared" si="316"/>
        <v>0</v>
      </c>
      <c r="AM863" s="149">
        <f t="shared" si="317"/>
        <v>0</v>
      </c>
      <c r="AN863" s="149">
        <f t="shared" si="318"/>
        <v>0</v>
      </c>
      <c r="AO863" s="150" t="str">
        <f t="shared" si="333"/>
        <v>V</v>
      </c>
      <c r="AQ863" s="151">
        <f t="shared" si="334"/>
        <v>15330</v>
      </c>
    </row>
    <row r="864" spans="1:43" ht="15" customHeight="1">
      <c r="A864" s="82" t="e">
        <f t="shared" si="319"/>
        <v>#REF!</v>
      </c>
      <c r="B864" s="134">
        <v>114</v>
      </c>
      <c r="C864" s="135" t="s">
        <v>38</v>
      </c>
      <c r="D864" s="136" t="s">
        <v>39</v>
      </c>
      <c r="E864" s="137"/>
      <c r="F864" s="138" t="s">
        <v>111</v>
      </c>
      <c r="G864" s="139" t="s">
        <v>108</v>
      </c>
      <c r="H864" s="140" t="str">
        <f t="shared" si="320"/>
        <v>Roltrappen(inclusief aangrenzende bouwdelen)</v>
      </c>
      <c r="I864" s="138" t="s">
        <v>1251</v>
      </c>
      <c r="J864" s="138" t="s">
        <v>1171</v>
      </c>
      <c r="K864" s="141" t="str">
        <f t="shared" si="321"/>
        <v>Omde dag Vol/Nal.</v>
      </c>
      <c r="L864" s="141" t="str">
        <f t="shared" si="322"/>
        <v>Omde dag Nal./Vol</v>
      </c>
      <c r="M864" s="141" t="str">
        <f t="shared" si="323"/>
        <v>Omde dag Vol/Nal.</v>
      </c>
      <c r="N864" s="141" t="str">
        <f t="shared" si="324"/>
        <v>Omde dag Nal./Vol</v>
      </c>
      <c r="O864" s="141" t="str">
        <f t="shared" si="325"/>
        <v>Omde dag Vol/Nal.</v>
      </c>
      <c r="P864" s="141" t="str">
        <f t="shared" si="326"/>
        <v>Omde dag Nal./Vol</v>
      </c>
      <c r="Q864" s="141" t="str">
        <f t="shared" si="327"/>
        <v>Omde dag Vol/Nal.</v>
      </c>
      <c r="R864" s="63" t="s">
        <v>1481</v>
      </c>
      <c r="S864" s="142">
        <f t="shared" si="335"/>
        <v>365</v>
      </c>
      <c r="T864" s="143">
        <v>26.25</v>
      </c>
      <c r="U864" s="144" t="s">
        <v>1111</v>
      </c>
      <c r="V864" s="144"/>
      <c r="W864" s="144"/>
      <c r="X864" s="144"/>
      <c r="Y864" s="144"/>
      <c r="Z864" s="145"/>
      <c r="AA864" s="145"/>
      <c r="AB864" s="145"/>
      <c r="AC864" s="145"/>
      <c r="AD864" s="146" t="s">
        <v>109</v>
      </c>
      <c r="AE864" s="171">
        <v>1</v>
      </c>
      <c r="AF864" s="147">
        <f t="shared" si="328"/>
        <v>0</v>
      </c>
      <c r="AG864" s="147">
        <f t="shared" si="329"/>
        <v>0</v>
      </c>
      <c r="AH864" s="147">
        <f t="shared" si="330"/>
        <v>0</v>
      </c>
      <c r="AI864" s="147">
        <f t="shared" si="331"/>
        <v>0</v>
      </c>
      <c r="AJ864" s="148" t="str">
        <f t="shared" si="332"/>
        <v>ja</v>
      </c>
      <c r="AK864" s="149">
        <f t="shared" si="315"/>
        <v>0</v>
      </c>
      <c r="AL864" s="149">
        <f t="shared" si="316"/>
        <v>0</v>
      </c>
      <c r="AM864" s="149">
        <f t="shared" si="317"/>
        <v>0</v>
      </c>
      <c r="AN864" s="149">
        <f t="shared" si="318"/>
        <v>0</v>
      </c>
      <c r="AO864" s="150" t="str">
        <f t="shared" si="333"/>
        <v>V</v>
      </c>
      <c r="AQ864" s="151">
        <f t="shared" si="334"/>
        <v>9581.25</v>
      </c>
    </row>
    <row r="865" spans="1:43" ht="15" customHeight="1">
      <c r="A865" s="82" t="e">
        <f t="shared" si="319"/>
        <v>#REF!</v>
      </c>
      <c r="B865" s="134">
        <v>114</v>
      </c>
      <c r="C865" s="135" t="s">
        <v>38</v>
      </c>
      <c r="D865" s="136" t="s">
        <v>39</v>
      </c>
      <c r="E865" s="137"/>
      <c r="F865" s="138" t="s">
        <v>112</v>
      </c>
      <c r="G865" s="139" t="s">
        <v>108</v>
      </c>
      <c r="H865" s="140" t="str">
        <f t="shared" si="320"/>
        <v>Roltrappen(inclusief aangrenzende bouwdelen)</v>
      </c>
      <c r="I865" s="138" t="s">
        <v>920</v>
      </c>
      <c r="J865" s="138" t="s">
        <v>1171</v>
      </c>
      <c r="K865" s="141" t="str">
        <f t="shared" si="321"/>
        <v>Omde dag Vol/Nal.</v>
      </c>
      <c r="L865" s="141" t="str">
        <f t="shared" si="322"/>
        <v>Omde dag Nal./Vol</v>
      </c>
      <c r="M865" s="141" t="str">
        <f t="shared" si="323"/>
        <v>Omde dag Vol/Nal.</v>
      </c>
      <c r="N865" s="141" t="str">
        <f t="shared" si="324"/>
        <v>Omde dag Nal./Vol</v>
      </c>
      <c r="O865" s="141" t="str">
        <f t="shared" si="325"/>
        <v>Omde dag Vol/Nal.</v>
      </c>
      <c r="P865" s="141" t="str">
        <f t="shared" si="326"/>
        <v>Omde dag Nal./Vol</v>
      </c>
      <c r="Q865" s="141" t="str">
        <f t="shared" si="327"/>
        <v>Omde dag Vol/Nal.</v>
      </c>
      <c r="R865" s="63" t="s">
        <v>1481</v>
      </c>
      <c r="S865" s="142">
        <f t="shared" si="335"/>
        <v>365</v>
      </c>
      <c r="T865" s="143">
        <v>26.25</v>
      </c>
      <c r="U865" s="144" t="s">
        <v>1111</v>
      </c>
      <c r="V865" s="144"/>
      <c r="W865" s="144"/>
      <c r="X865" s="144"/>
      <c r="Y865" s="144"/>
      <c r="Z865" s="145"/>
      <c r="AA865" s="145"/>
      <c r="AB865" s="145"/>
      <c r="AC865" s="145"/>
      <c r="AD865" s="146" t="s">
        <v>109</v>
      </c>
      <c r="AE865" s="171">
        <v>1</v>
      </c>
      <c r="AF865" s="147">
        <f t="shared" si="328"/>
        <v>0</v>
      </c>
      <c r="AG865" s="147">
        <f t="shared" si="329"/>
        <v>0</v>
      </c>
      <c r="AH865" s="147">
        <f t="shared" si="330"/>
        <v>0</v>
      </c>
      <c r="AI865" s="147">
        <f t="shared" si="331"/>
        <v>0</v>
      </c>
      <c r="AJ865" s="148" t="str">
        <f t="shared" si="332"/>
        <v>ja</v>
      </c>
      <c r="AK865" s="149">
        <f t="shared" si="315"/>
        <v>0</v>
      </c>
      <c r="AL865" s="149">
        <f t="shared" si="316"/>
        <v>0</v>
      </c>
      <c r="AM865" s="149">
        <f t="shared" si="317"/>
        <v>0</v>
      </c>
      <c r="AN865" s="149">
        <f t="shared" si="318"/>
        <v>0</v>
      </c>
      <c r="AO865" s="150" t="str">
        <f t="shared" si="333"/>
        <v>V</v>
      </c>
      <c r="AQ865" s="151">
        <f t="shared" si="334"/>
        <v>9581.25</v>
      </c>
    </row>
    <row r="866" spans="1:43" ht="15" customHeight="1">
      <c r="A866" s="82" t="e">
        <f t="shared" si="319"/>
        <v>#REF!</v>
      </c>
      <c r="B866" s="134">
        <v>115</v>
      </c>
      <c r="C866" s="135" t="s">
        <v>126</v>
      </c>
      <c r="D866" s="136" t="s">
        <v>127</v>
      </c>
      <c r="E866" s="137"/>
      <c r="F866" s="138" t="s">
        <v>123</v>
      </c>
      <c r="G866" s="139" t="s">
        <v>41</v>
      </c>
      <c r="H866" s="140" t="str">
        <f t="shared" si="320"/>
        <v>Hallen</v>
      </c>
      <c r="I866" s="138" t="s">
        <v>195</v>
      </c>
      <c r="J866" s="138" t="s">
        <v>1170</v>
      </c>
      <c r="K866" s="141" t="str">
        <f t="shared" si="321"/>
        <v>Volledig</v>
      </c>
      <c r="L866" s="141" t="str">
        <f t="shared" si="322"/>
        <v>naloop</v>
      </c>
      <c r="M866" s="141" t="str">
        <f t="shared" si="323"/>
        <v>naloop</v>
      </c>
      <c r="N866" s="141" t="str">
        <f t="shared" si="324"/>
        <v>Volledig</v>
      </c>
      <c r="O866" s="141" t="str">
        <f t="shared" si="325"/>
        <v>naloop</v>
      </c>
      <c r="P866" s="141" t="str">
        <f t="shared" si="326"/>
        <v>naloop</v>
      </c>
      <c r="Q866" s="141" t="str">
        <f t="shared" si="327"/>
        <v>naloop</v>
      </c>
      <c r="R866" s="63" t="s">
        <v>1478</v>
      </c>
      <c r="S866" s="142">
        <f t="shared" si="335"/>
        <v>365</v>
      </c>
      <c r="T866" s="143">
        <v>182.62</v>
      </c>
      <c r="U866" s="144"/>
      <c r="V866" s="144"/>
      <c r="W866" s="144"/>
      <c r="X866" s="144">
        <v>20</v>
      </c>
      <c r="Y866" s="144">
        <v>577</v>
      </c>
      <c r="Z866" s="145"/>
      <c r="AA866" s="145">
        <f>161.2-27.6</f>
        <v>133.6</v>
      </c>
      <c r="AB866" s="145"/>
      <c r="AC866" s="145"/>
      <c r="AD866" s="146" t="s">
        <v>1117</v>
      </c>
      <c r="AE866" s="171">
        <v>1</v>
      </c>
      <c r="AF866" s="147">
        <f t="shared" si="328"/>
        <v>0</v>
      </c>
      <c r="AG866" s="147">
        <f t="shared" si="329"/>
        <v>0</v>
      </c>
      <c r="AH866" s="147">
        <f t="shared" si="330"/>
        <v>0</v>
      </c>
      <c r="AI866" s="147">
        <f t="shared" si="331"/>
        <v>0</v>
      </c>
      <c r="AJ866" s="148" t="str">
        <f t="shared" si="332"/>
        <v>ja</v>
      </c>
      <c r="AK866" s="149">
        <f t="shared" si="315"/>
        <v>0</v>
      </c>
      <c r="AL866" s="149">
        <f t="shared" si="316"/>
        <v>0</v>
      </c>
      <c r="AM866" s="149">
        <f t="shared" si="317"/>
        <v>0</v>
      </c>
      <c r="AN866" s="149">
        <f t="shared" si="318"/>
        <v>0</v>
      </c>
      <c r="AO866" s="150" t="str">
        <f t="shared" si="333"/>
        <v>V</v>
      </c>
      <c r="AQ866" s="151">
        <f t="shared" si="334"/>
        <v>66656.3</v>
      </c>
    </row>
    <row r="867" spans="1:43" ht="15" customHeight="1">
      <c r="A867" s="82" t="e">
        <f t="shared" si="319"/>
        <v>#REF!</v>
      </c>
      <c r="B867" s="134">
        <v>115</v>
      </c>
      <c r="C867" s="135" t="s">
        <v>126</v>
      </c>
      <c r="D867" s="136" t="s">
        <v>127</v>
      </c>
      <c r="E867" s="137"/>
      <c r="F867" s="138" t="s">
        <v>123</v>
      </c>
      <c r="G867" s="139" t="s">
        <v>44</v>
      </c>
      <c r="H867" s="140" t="str">
        <f t="shared" si="320"/>
        <v>Hallen</v>
      </c>
      <c r="I867" s="138" t="s">
        <v>195</v>
      </c>
      <c r="J867" s="138" t="s">
        <v>1170</v>
      </c>
      <c r="K867" s="141" t="str">
        <f t="shared" si="321"/>
        <v>Volledig</v>
      </c>
      <c r="L867" s="141" t="str">
        <f t="shared" si="322"/>
        <v>naloop</v>
      </c>
      <c r="M867" s="141" t="str">
        <f t="shared" si="323"/>
        <v>naloop</v>
      </c>
      <c r="N867" s="141" t="str">
        <f t="shared" si="324"/>
        <v>Volledig</v>
      </c>
      <c r="O867" s="141" t="str">
        <f t="shared" si="325"/>
        <v>naloop</v>
      </c>
      <c r="P867" s="141" t="str">
        <f t="shared" si="326"/>
        <v>naloop</v>
      </c>
      <c r="Q867" s="141" t="str">
        <f t="shared" si="327"/>
        <v>naloop</v>
      </c>
      <c r="R867" s="63" t="s">
        <v>1478</v>
      </c>
      <c r="S867" s="142">
        <f t="shared" si="335"/>
        <v>365</v>
      </c>
      <c r="T867" s="143">
        <v>128.96</v>
      </c>
      <c r="U867" s="144"/>
      <c r="V867" s="144"/>
      <c r="W867" s="144"/>
      <c r="X867" s="144"/>
      <c r="Y867" s="144">
        <v>418</v>
      </c>
      <c r="Z867" s="145"/>
      <c r="AA867" s="145"/>
      <c r="AB867" s="145">
        <v>198</v>
      </c>
      <c r="AC867" s="145"/>
      <c r="AD867" s="146" t="s">
        <v>42</v>
      </c>
      <c r="AE867" s="171">
        <v>1</v>
      </c>
      <c r="AF867" s="147">
        <f t="shared" si="328"/>
        <v>0</v>
      </c>
      <c r="AG867" s="147">
        <f t="shared" si="329"/>
        <v>0</v>
      </c>
      <c r="AH867" s="147">
        <f t="shared" si="330"/>
        <v>0</v>
      </c>
      <c r="AI867" s="147">
        <f t="shared" si="331"/>
        <v>0</v>
      </c>
      <c r="AJ867" s="148" t="str">
        <f t="shared" si="332"/>
        <v>ja</v>
      </c>
      <c r="AK867" s="149">
        <f t="shared" si="315"/>
        <v>0</v>
      </c>
      <c r="AL867" s="149">
        <f t="shared" si="316"/>
        <v>0</v>
      </c>
      <c r="AM867" s="149">
        <f t="shared" si="317"/>
        <v>0</v>
      </c>
      <c r="AN867" s="149">
        <f t="shared" si="318"/>
        <v>0</v>
      </c>
      <c r="AO867" s="150" t="str">
        <f t="shared" si="333"/>
        <v>V</v>
      </c>
      <c r="AQ867" s="151">
        <f t="shared" si="334"/>
        <v>47070.400000000001</v>
      </c>
    </row>
    <row r="868" spans="1:43" ht="15" customHeight="1">
      <c r="A868" s="82" t="e">
        <f t="shared" si="319"/>
        <v>#REF!</v>
      </c>
      <c r="B868" s="134">
        <v>115</v>
      </c>
      <c r="C868" s="135" t="s">
        <v>126</v>
      </c>
      <c r="D868" s="136" t="s">
        <v>127</v>
      </c>
      <c r="E868" s="137"/>
      <c r="F868" s="138" t="s">
        <v>117</v>
      </c>
      <c r="G868" s="139" t="s">
        <v>129</v>
      </c>
      <c r="H868" s="140" t="str">
        <f t="shared" si="320"/>
        <v>Perrons</v>
      </c>
      <c r="I868" s="138" t="s">
        <v>199</v>
      </c>
      <c r="J868" s="138" t="s">
        <v>1170</v>
      </c>
      <c r="K868" s="141" t="str">
        <f t="shared" si="321"/>
        <v>Volledig</v>
      </c>
      <c r="L868" s="141" t="str">
        <f t="shared" si="322"/>
        <v>naloop</v>
      </c>
      <c r="M868" s="141" t="str">
        <f t="shared" si="323"/>
        <v>naloop</v>
      </c>
      <c r="N868" s="141" t="str">
        <f t="shared" si="324"/>
        <v>Volledig</v>
      </c>
      <c r="O868" s="141" t="str">
        <f t="shared" si="325"/>
        <v>naloop</v>
      </c>
      <c r="P868" s="141" t="str">
        <f t="shared" si="326"/>
        <v>naloop</v>
      </c>
      <c r="Q868" s="141" t="str">
        <f t="shared" si="327"/>
        <v>naloop</v>
      </c>
      <c r="R868" s="63" t="s">
        <v>1472</v>
      </c>
      <c r="S868" s="142">
        <f t="shared" si="335"/>
        <v>365</v>
      </c>
      <c r="T868" s="143">
        <v>1699.37</v>
      </c>
      <c r="U868" s="144"/>
      <c r="V868" s="144"/>
      <c r="W868" s="144"/>
      <c r="X868" s="144"/>
      <c r="Y868" s="144">
        <v>70</v>
      </c>
      <c r="Z868" s="145">
        <f>121.5*12</f>
        <v>1458</v>
      </c>
      <c r="AA868" s="145"/>
      <c r="AB868" s="145"/>
      <c r="AC868" s="145"/>
      <c r="AD868" s="146"/>
      <c r="AE868" s="171">
        <v>1</v>
      </c>
      <c r="AF868" s="147">
        <f t="shared" si="328"/>
        <v>0</v>
      </c>
      <c r="AG868" s="147">
        <f t="shared" si="329"/>
        <v>0</v>
      </c>
      <c r="AH868" s="147">
        <f t="shared" si="330"/>
        <v>0</v>
      </c>
      <c r="AI868" s="147">
        <f t="shared" si="331"/>
        <v>0</v>
      </c>
      <c r="AJ868" s="148" t="str">
        <f t="shared" si="332"/>
        <v>ja</v>
      </c>
      <c r="AK868" s="149">
        <f t="shared" si="315"/>
        <v>0</v>
      </c>
      <c r="AL868" s="149">
        <f t="shared" si="316"/>
        <v>0</v>
      </c>
      <c r="AM868" s="149">
        <f t="shared" si="317"/>
        <v>0</v>
      </c>
      <c r="AN868" s="149">
        <f t="shared" si="318"/>
        <v>0</v>
      </c>
      <c r="AO868" s="150" t="str">
        <f t="shared" si="333"/>
        <v>V</v>
      </c>
      <c r="AQ868" s="151">
        <f t="shared" si="334"/>
        <v>620270.04999999993</v>
      </c>
    </row>
    <row r="869" spans="1:43" ht="15" customHeight="1">
      <c r="A869" s="82" t="e">
        <f t="shared" si="319"/>
        <v>#REF!</v>
      </c>
      <c r="B869" s="134">
        <v>115</v>
      </c>
      <c r="C869" s="135" t="s">
        <v>126</v>
      </c>
      <c r="D869" s="136" t="s">
        <v>127</v>
      </c>
      <c r="E869" s="137"/>
      <c r="F869" s="138" t="s">
        <v>132</v>
      </c>
      <c r="G869" s="139" t="s">
        <v>47</v>
      </c>
      <c r="H869" s="140" t="str">
        <f t="shared" si="320"/>
        <v>Gangen</v>
      </c>
      <c r="I869" s="138" t="s">
        <v>195</v>
      </c>
      <c r="J869" s="138" t="s">
        <v>1170</v>
      </c>
      <c r="K869" s="141" t="str">
        <f t="shared" si="321"/>
        <v>Volledig</v>
      </c>
      <c r="L869" s="141" t="str">
        <f t="shared" si="322"/>
        <v>naloop</v>
      </c>
      <c r="M869" s="141" t="str">
        <f t="shared" si="323"/>
        <v>naloop</v>
      </c>
      <c r="N869" s="141" t="str">
        <f t="shared" si="324"/>
        <v>Volledig</v>
      </c>
      <c r="O869" s="141" t="str">
        <f t="shared" si="325"/>
        <v>naloop</v>
      </c>
      <c r="P869" s="141" t="str">
        <f t="shared" si="326"/>
        <v>naloop</v>
      </c>
      <c r="Q869" s="141" t="str">
        <f t="shared" si="327"/>
        <v>naloop</v>
      </c>
      <c r="R869" s="63" t="s">
        <v>1222</v>
      </c>
      <c r="S869" s="142">
        <f t="shared" si="335"/>
        <v>365</v>
      </c>
      <c r="T869" s="143">
        <v>11.01</v>
      </c>
      <c r="U869" s="144"/>
      <c r="V869" s="144"/>
      <c r="W869" s="144"/>
      <c r="X869" s="144"/>
      <c r="Y869" s="144">
        <v>50</v>
      </c>
      <c r="Z869" s="145"/>
      <c r="AA869" s="145"/>
      <c r="AB869" s="145">
        <f>T869</f>
        <v>11.01</v>
      </c>
      <c r="AC869" s="145"/>
      <c r="AD869" s="146" t="s">
        <v>45</v>
      </c>
      <c r="AE869" s="171">
        <v>1</v>
      </c>
      <c r="AF869" s="147">
        <f t="shared" si="328"/>
        <v>0</v>
      </c>
      <c r="AG869" s="147">
        <f t="shared" si="329"/>
        <v>0</v>
      </c>
      <c r="AH869" s="147">
        <f t="shared" si="330"/>
        <v>0</v>
      </c>
      <c r="AI869" s="147">
        <f t="shared" si="331"/>
        <v>0</v>
      </c>
      <c r="AJ869" s="148" t="str">
        <f t="shared" si="332"/>
        <v>ja</v>
      </c>
      <c r="AK869" s="149">
        <f t="shared" si="315"/>
        <v>0</v>
      </c>
      <c r="AL869" s="149">
        <f t="shared" si="316"/>
        <v>0</v>
      </c>
      <c r="AM869" s="149">
        <f t="shared" si="317"/>
        <v>0</v>
      </c>
      <c r="AN869" s="149">
        <f t="shared" si="318"/>
        <v>0</v>
      </c>
      <c r="AO869" s="150" t="str">
        <f t="shared" si="333"/>
        <v>V</v>
      </c>
      <c r="AQ869" s="151">
        <f t="shared" si="334"/>
        <v>4018.65</v>
      </c>
    </row>
    <row r="870" spans="1:43" ht="15" customHeight="1">
      <c r="A870" s="82" t="e">
        <f t="shared" si="319"/>
        <v>#REF!</v>
      </c>
      <c r="B870" s="134">
        <v>115</v>
      </c>
      <c r="C870" s="135" t="s">
        <v>126</v>
      </c>
      <c r="D870" s="136" t="s">
        <v>127</v>
      </c>
      <c r="E870" s="137"/>
      <c r="F870" s="138" t="s">
        <v>37</v>
      </c>
      <c r="G870" s="139" t="s">
        <v>48</v>
      </c>
      <c r="H870" s="140" t="str">
        <f t="shared" si="320"/>
        <v>Gangen</v>
      </c>
      <c r="I870" s="138" t="s">
        <v>195</v>
      </c>
      <c r="J870" s="138" t="s">
        <v>1170</v>
      </c>
      <c r="K870" s="141" t="str">
        <f t="shared" si="321"/>
        <v>Volledig</v>
      </c>
      <c r="L870" s="141" t="str">
        <f t="shared" si="322"/>
        <v>naloop</v>
      </c>
      <c r="M870" s="141" t="str">
        <f t="shared" si="323"/>
        <v>naloop</v>
      </c>
      <c r="N870" s="141" t="str">
        <f t="shared" si="324"/>
        <v>Volledig</v>
      </c>
      <c r="O870" s="141" t="str">
        <f t="shared" si="325"/>
        <v>naloop</v>
      </c>
      <c r="P870" s="141" t="str">
        <f t="shared" si="326"/>
        <v>naloop</v>
      </c>
      <c r="Q870" s="141" t="str">
        <f t="shared" si="327"/>
        <v>naloop</v>
      </c>
      <c r="R870" s="63" t="s">
        <v>1222</v>
      </c>
      <c r="S870" s="142">
        <f t="shared" si="335"/>
        <v>365</v>
      </c>
      <c r="T870" s="143">
        <v>3.89</v>
      </c>
      <c r="U870" s="144"/>
      <c r="V870" s="144"/>
      <c r="W870" s="144"/>
      <c r="X870" s="144"/>
      <c r="Y870" s="144">
        <v>20</v>
      </c>
      <c r="Z870" s="145"/>
      <c r="AA870" s="145"/>
      <c r="AB870" s="145">
        <f>T870</f>
        <v>3.89</v>
      </c>
      <c r="AC870" s="145"/>
      <c r="AD870" s="146" t="s">
        <v>45</v>
      </c>
      <c r="AE870" s="171">
        <v>1</v>
      </c>
      <c r="AF870" s="147">
        <f t="shared" si="328"/>
        <v>0</v>
      </c>
      <c r="AG870" s="147">
        <f t="shared" si="329"/>
        <v>0</v>
      </c>
      <c r="AH870" s="147">
        <f t="shared" si="330"/>
        <v>0</v>
      </c>
      <c r="AI870" s="147">
        <f t="shared" si="331"/>
        <v>0</v>
      </c>
      <c r="AJ870" s="148" t="str">
        <f t="shared" si="332"/>
        <v>ja</v>
      </c>
      <c r="AK870" s="149">
        <f t="shared" si="315"/>
        <v>0</v>
      </c>
      <c r="AL870" s="149">
        <f t="shared" si="316"/>
        <v>0</v>
      </c>
      <c r="AM870" s="149">
        <f t="shared" si="317"/>
        <v>0</v>
      </c>
      <c r="AN870" s="149">
        <f t="shared" si="318"/>
        <v>0</v>
      </c>
      <c r="AO870" s="150" t="str">
        <f t="shared" si="333"/>
        <v>V</v>
      </c>
      <c r="AQ870" s="151">
        <f t="shared" si="334"/>
        <v>1419.8500000000001</v>
      </c>
    </row>
    <row r="871" spans="1:43" ht="15" customHeight="1">
      <c r="A871" s="82" t="e">
        <f t="shared" si="319"/>
        <v>#REF!</v>
      </c>
      <c r="B871" s="134">
        <v>115</v>
      </c>
      <c r="C871" s="135" t="s">
        <v>126</v>
      </c>
      <c r="D871" s="136" t="s">
        <v>127</v>
      </c>
      <c r="E871" s="137"/>
      <c r="F871" s="138" t="s">
        <v>37</v>
      </c>
      <c r="G871" s="139" t="s">
        <v>49</v>
      </c>
      <c r="H871" s="140" t="str">
        <f t="shared" si="320"/>
        <v>Niet van toepassing</v>
      </c>
      <c r="I871" s="138" t="s">
        <v>195</v>
      </c>
      <c r="J871" s="138" t="s">
        <v>1172</v>
      </c>
      <c r="K871" s="141" t="str">
        <f t="shared" si="321"/>
        <v>NVT</v>
      </c>
      <c r="L871" s="141" t="str">
        <f t="shared" si="322"/>
        <v>NVT</v>
      </c>
      <c r="M871" s="141" t="str">
        <f t="shared" si="323"/>
        <v>NVT</v>
      </c>
      <c r="N871" s="141" t="str">
        <f t="shared" si="324"/>
        <v>NVT</v>
      </c>
      <c r="O871" s="141" t="str">
        <f t="shared" si="325"/>
        <v>NVT</v>
      </c>
      <c r="P871" s="141" t="str">
        <f t="shared" si="326"/>
        <v>NVT</v>
      </c>
      <c r="Q871" s="141" t="str">
        <f t="shared" si="327"/>
        <v>NVT</v>
      </c>
      <c r="R871" s="63" t="s">
        <v>1221</v>
      </c>
      <c r="S871" s="142">
        <f t="shared" si="335"/>
        <v>0</v>
      </c>
      <c r="T871" s="143">
        <v>19.579999999999998</v>
      </c>
      <c r="U871" s="144"/>
      <c r="V871" s="144"/>
      <c r="W871" s="144"/>
      <c r="X871" s="144"/>
      <c r="Y871" s="144">
        <v>73</v>
      </c>
      <c r="Z871" s="145"/>
      <c r="AA871" s="145"/>
      <c r="AB871" s="145">
        <f>T871</f>
        <v>19.579999999999998</v>
      </c>
      <c r="AC871" s="145"/>
      <c r="AD871" s="146" t="s">
        <v>1118</v>
      </c>
      <c r="AE871" s="171">
        <v>1</v>
      </c>
      <c r="AF871" s="147">
        <f t="shared" si="328"/>
        <v>0</v>
      </c>
      <c r="AG871" s="147">
        <f t="shared" si="329"/>
        <v>0</v>
      </c>
      <c r="AH871" s="147">
        <f t="shared" si="330"/>
        <v>0</v>
      </c>
      <c r="AI871" s="147">
        <f t="shared" si="331"/>
        <v>0</v>
      </c>
      <c r="AJ871" s="148">
        <f t="shared" si="332"/>
        <v>0</v>
      </c>
      <c r="AK871" s="149">
        <f t="shared" si="315"/>
        <v>0</v>
      </c>
      <c r="AL871" s="149">
        <f t="shared" si="316"/>
        <v>0</v>
      </c>
      <c r="AM871" s="149">
        <f t="shared" si="317"/>
        <v>0</v>
      </c>
      <c r="AN871" s="149">
        <f t="shared" si="318"/>
        <v>0</v>
      </c>
      <c r="AO871" s="150">
        <f t="shared" si="333"/>
        <v>0</v>
      </c>
      <c r="AQ871" s="151">
        <f t="shared" si="334"/>
        <v>0</v>
      </c>
    </row>
    <row r="872" spans="1:43" ht="15" customHeight="1">
      <c r="A872" s="82" t="e">
        <f t="shared" si="319"/>
        <v>#REF!</v>
      </c>
      <c r="B872" s="134">
        <v>115</v>
      </c>
      <c r="C872" s="135" t="s">
        <v>126</v>
      </c>
      <c r="D872" s="136" t="s">
        <v>127</v>
      </c>
      <c r="E872" s="137"/>
      <c r="F872" s="138" t="s">
        <v>37</v>
      </c>
      <c r="G872" s="139" t="s">
        <v>50</v>
      </c>
      <c r="H872" s="140" t="str">
        <f t="shared" si="320"/>
        <v>Niet van toepassing</v>
      </c>
      <c r="I872" s="138" t="s">
        <v>195</v>
      </c>
      <c r="J872" s="138" t="s">
        <v>1172</v>
      </c>
      <c r="K872" s="141" t="str">
        <f t="shared" si="321"/>
        <v>NVT</v>
      </c>
      <c r="L872" s="141" t="str">
        <f t="shared" si="322"/>
        <v>NVT</v>
      </c>
      <c r="M872" s="141" t="str">
        <f t="shared" si="323"/>
        <v>NVT</v>
      </c>
      <c r="N872" s="141" t="str">
        <f t="shared" si="324"/>
        <v>NVT</v>
      </c>
      <c r="O872" s="141" t="str">
        <f t="shared" si="325"/>
        <v>NVT</v>
      </c>
      <c r="P872" s="141" t="str">
        <f t="shared" si="326"/>
        <v>NVT</v>
      </c>
      <c r="Q872" s="141" t="str">
        <f t="shared" si="327"/>
        <v>NVT</v>
      </c>
      <c r="R872" s="63" t="s">
        <v>1221</v>
      </c>
      <c r="S872" s="142">
        <f t="shared" si="335"/>
        <v>0</v>
      </c>
      <c r="T872" s="143">
        <v>18.52</v>
      </c>
      <c r="U872" s="144"/>
      <c r="V872" s="144"/>
      <c r="W872" s="144"/>
      <c r="X872" s="144"/>
      <c r="Y872" s="144">
        <v>70</v>
      </c>
      <c r="Z872" s="145"/>
      <c r="AA872" s="145"/>
      <c r="AB872" s="145">
        <f>T872</f>
        <v>18.52</v>
      </c>
      <c r="AC872" s="145"/>
      <c r="AD872" s="146" t="s">
        <v>380</v>
      </c>
      <c r="AE872" s="171">
        <v>1</v>
      </c>
      <c r="AF872" s="147">
        <f t="shared" si="328"/>
        <v>0</v>
      </c>
      <c r="AG872" s="147">
        <f t="shared" si="329"/>
        <v>0</v>
      </c>
      <c r="AH872" s="147">
        <f t="shared" si="330"/>
        <v>0</v>
      </c>
      <c r="AI872" s="147">
        <f t="shared" si="331"/>
        <v>0</v>
      </c>
      <c r="AJ872" s="148">
        <f t="shared" si="332"/>
        <v>0</v>
      </c>
      <c r="AK872" s="149">
        <f t="shared" si="315"/>
        <v>0</v>
      </c>
      <c r="AL872" s="149">
        <f t="shared" si="316"/>
        <v>0</v>
      </c>
      <c r="AM872" s="149">
        <f t="shared" si="317"/>
        <v>0</v>
      </c>
      <c r="AN872" s="149">
        <f t="shared" si="318"/>
        <v>0</v>
      </c>
      <c r="AO872" s="150">
        <f t="shared" si="333"/>
        <v>0</v>
      </c>
      <c r="AQ872" s="151">
        <f t="shared" si="334"/>
        <v>0</v>
      </c>
    </row>
    <row r="873" spans="1:43" ht="15" customHeight="1">
      <c r="A873" s="82" t="e">
        <f t="shared" si="319"/>
        <v>#REF!</v>
      </c>
      <c r="B873" s="134">
        <v>115</v>
      </c>
      <c r="C873" s="135" t="s">
        <v>126</v>
      </c>
      <c r="D873" s="136" t="s">
        <v>127</v>
      </c>
      <c r="E873" s="137"/>
      <c r="F873" s="138" t="s">
        <v>135</v>
      </c>
      <c r="G873" s="139" t="s">
        <v>136</v>
      </c>
      <c r="H873" s="140" t="str">
        <f t="shared" si="320"/>
        <v>Niet van toepassing</v>
      </c>
      <c r="I873" s="138" t="s">
        <v>195</v>
      </c>
      <c r="J873" s="138" t="s">
        <v>1172</v>
      </c>
      <c r="K873" s="141" t="str">
        <f t="shared" si="321"/>
        <v>NVT</v>
      </c>
      <c r="L873" s="141" t="str">
        <f t="shared" si="322"/>
        <v>NVT</v>
      </c>
      <c r="M873" s="141" t="str">
        <f t="shared" si="323"/>
        <v>NVT</v>
      </c>
      <c r="N873" s="141" t="str">
        <f t="shared" si="324"/>
        <v>NVT</v>
      </c>
      <c r="O873" s="141" t="str">
        <f t="shared" si="325"/>
        <v>NVT</v>
      </c>
      <c r="P873" s="141" t="str">
        <f t="shared" si="326"/>
        <v>NVT</v>
      </c>
      <c r="Q873" s="141" t="str">
        <f t="shared" si="327"/>
        <v>NVT</v>
      </c>
      <c r="R873" s="63" t="s">
        <v>1221</v>
      </c>
      <c r="S873" s="142">
        <f t="shared" si="335"/>
        <v>0</v>
      </c>
      <c r="T873" s="143">
        <v>20.94</v>
      </c>
      <c r="U873" s="144"/>
      <c r="V873" s="144"/>
      <c r="W873" s="144"/>
      <c r="X873" s="144"/>
      <c r="Y873" s="144">
        <v>58.3</v>
      </c>
      <c r="Z873" s="145"/>
      <c r="AA873" s="145"/>
      <c r="AB873" s="145">
        <f>T873</f>
        <v>20.94</v>
      </c>
      <c r="AC873" s="145"/>
      <c r="AD873" s="146" t="s">
        <v>380</v>
      </c>
      <c r="AE873" s="171">
        <v>1</v>
      </c>
      <c r="AF873" s="147">
        <f t="shared" si="328"/>
        <v>0</v>
      </c>
      <c r="AG873" s="147">
        <f t="shared" si="329"/>
        <v>0</v>
      </c>
      <c r="AH873" s="147">
        <f t="shared" si="330"/>
        <v>0</v>
      </c>
      <c r="AI873" s="147">
        <f t="shared" si="331"/>
        <v>0</v>
      </c>
      <c r="AJ873" s="148">
        <f t="shared" si="332"/>
        <v>0</v>
      </c>
      <c r="AK873" s="149">
        <f t="shared" si="315"/>
        <v>0</v>
      </c>
      <c r="AL873" s="149">
        <f t="shared" si="316"/>
        <v>0</v>
      </c>
      <c r="AM873" s="149">
        <f t="shared" si="317"/>
        <v>0</v>
      </c>
      <c r="AN873" s="149">
        <f t="shared" si="318"/>
        <v>0</v>
      </c>
      <c r="AO873" s="150">
        <f t="shared" si="333"/>
        <v>0</v>
      </c>
      <c r="AQ873" s="151">
        <f t="shared" si="334"/>
        <v>0</v>
      </c>
    </row>
    <row r="874" spans="1:43" ht="15" customHeight="1">
      <c r="A874" s="82" t="e">
        <f t="shared" si="319"/>
        <v>#REF!</v>
      </c>
      <c r="B874" s="134">
        <v>115</v>
      </c>
      <c r="C874" s="135" t="s">
        <v>126</v>
      </c>
      <c r="D874" s="136" t="s">
        <v>127</v>
      </c>
      <c r="E874" s="137"/>
      <c r="F874" s="138" t="s">
        <v>137</v>
      </c>
      <c r="G874" s="139" t="s">
        <v>119</v>
      </c>
      <c r="H874" s="140" t="str">
        <f t="shared" si="320"/>
        <v>Niet van toepassing</v>
      </c>
      <c r="I874" s="138" t="s">
        <v>270</v>
      </c>
      <c r="J874" s="138" t="s">
        <v>1172</v>
      </c>
      <c r="K874" s="141" t="str">
        <f t="shared" si="321"/>
        <v>NVT</v>
      </c>
      <c r="L874" s="141" t="str">
        <f t="shared" si="322"/>
        <v>NVT</v>
      </c>
      <c r="M874" s="141" t="str">
        <f t="shared" si="323"/>
        <v>NVT</v>
      </c>
      <c r="N874" s="141" t="str">
        <f t="shared" si="324"/>
        <v>NVT</v>
      </c>
      <c r="O874" s="141" t="str">
        <f t="shared" si="325"/>
        <v>NVT</v>
      </c>
      <c r="P874" s="141" t="str">
        <f t="shared" si="326"/>
        <v>NVT</v>
      </c>
      <c r="Q874" s="141" t="str">
        <f t="shared" si="327"/>
        <v>NVT</v>
      </c>
      <c r="R874" s="63" t="s">
        <v>1221</v>
      </c>
      <c r="S874" s="142">
        <f t="shared" si="335"/>
        <v>0</v>
      </c>
      <c r="T874" s="143">
        <v>34.950000000000003</v>
      </c>
      <c r="U874" s="144"/>
      <c r="V874" s="144"/>
      <c r="W874" s="144">
        <v>74</v>
      </c>
      <c r="X874" s="144"/>
      <c r="Y874" s="144"/>
      <c r="Z874" s="145"/>
      <c r="AA874" s="145">
        <f>T874</f>
        <v>34.950000000000003</v>
      </c>
      <c r="AB874" s="145"/>
      <c r="AC874" s="145"/>
      <c r="AD874" s="146" t="s">
        <v>380</v>
      </c>
      <c r="AE874" s="171">
        <v>1</v>
      </c>
      <c r="AF874" s="147">
        <f t="shared" si="328"/>
        <v>0</v>
      </c>
      <c r="AG874" s="147">
        <f t="shared" si="329"/>
        <v>0</v>
      </c>
      <c r="AH874" s="147">
        <f t="shared" si="330"/>
        <v>0</v>
      </c>
      <c r="AI874" s="147">
        <f t="shared" si="331"/>
        <v>0</v>
      </c>
      <c r="AJ874" s="148">
        <f t="shared" si="332"/>
        <v>0</v>
      </c>
      <c r="AK874" s="149">
        <f t="shared" si="315"/>
        <v>0</v>
      </c>
      <c r="AL874" s="149">
        <f t="shared" si="316"/>
        <v>0</v>
      </c>
      <c r="AM874" s="149">
        <f t="shared" si="317"/>
        <v>0</v>
      </c>
      <c r="AN874" s="149">
        <f t="shared" si="318"/>
        <v>0</v>
      </c>
      <c r="AO874" s="150">
        <f t="shared" si="333"/>
        <v>0</v>
      </c>
      <c r="AQ874" s="151">
        <f t="shared" si="334"/>
        <v>0</v>
      </c>
    </row>
    <row r="875" spans="1:43" ht="15" customHeight="1">
      <c r="A875" s="82" t="e">
        <f t="shared" si="319"/>
        <v>#REF!</v>
      </c>
      <c r="B875" s="134">
        <v>115</v>
      </c>
      <c r="C875" s="135" t="s">
        <v>126</v>
      </c>
      <c r="D875" s="136" t="s">
        <v>127</v>
      </c>
      <c r="E875" s="137"/>
      <c r="F875" s="138" t="s">
        <v>138</v>
      </c>
      <c r="G875" s="139" t="s">
        <v>139</v>
      </c>
      <c r="H875" s="140" t="str">
        <f t="shared" si="320"/>
        <v>Niet van toepassing</v>
      </c>
      <c r="I875" s="138" t="s">
        <v>270</v>
      </c>
      <c r="J875" s="138" t="s">
        <v>1172</v>
      </c>
      <c r="K875" s="141" t="str">
        <f t="shared" si="321"/>
        <v>NVT</v>
      </c>
      <c r="L875" s="141" t="str">
        <f t="shared" si="322"/>
        <v>NVT</v>
      </c>
      <c r="M875" s="141" t="str">
        <f t="shared" si="323"/>
        <v>NVT</v>
      </c>
      <c r="N875" s="141" t="str">
        <f t="shared" si="324"/>
        <v>NVT</v>
      </c>
      <c r="O875" s="141" t="str">
        <f t="shared" si="325"/>
        <v>NVT</v>
      </c>
      <c r="P875" s="141" t="str">
        <f t="shared" si="326"/>
        <v>NVT</v>
      </c>
      <c r="Q875" s="141" t="str">
        <f t="shared" si="327"/>
        <v>NVT</v>
      </c>
      <c r="R875" s="63" t="s">
        <v>1221</v>
      </c>
      <c r="S875" s="142">
        <f t="shared" si="335"/>
        <v>0</v>
      </c>
      <c r="T875" s="143">
        <v>28.37</v>
      </c>
      <c r="U875" s="144"/>
      <c r="V875" s="144"/>
      <c r="W875" s="144">
        <v>62.4</v>
      </c>
      <c r="X875" s="144"/>
      <c r="Y875" s="144"/>
      <c r="Z875" s="145"/>
      <c r="AA875" s="145">
        <f>T875</f>
        <v>28.37</v>
      </c>
      <c r="AB875" s="145"/>
      <c r="AC875" s="145"/>
      <c r="AD875" s="146" t="s">
        <v>380</v>
      </c>
      <c r="AE875" s="171">
        <v>1</v>
      </c>
      <c r="AF875" s="147">
        <f t="shared" si="328"/>
        <v>0</v>
      </c>
      <c r="AG875" s="147">
        <f t="shared" si="329"/>
        <v>0</v>
      </c>
      <c r="AH875" s="147">
        <f t="shared" si="330"/>
        <v>0</v>
      </c>
      <c r="AI875" s="147">
        <f t="shared" si="331"/>
        <v>0</v>
      </c>
      <c r="AJ875" s="148">
        <f t="shared" si="332"/>
        <v>0</v>
      </c>
      <c r="AK875" s="149">
        <f t="shared" ref="AK875:AK933" si="336">IF($R875="",0,VLOOKUP($R875,Kengetal,5,FALSE))</f>
        <v>0</v>
      </c>
      <c r="AL875" s="149">
        <f t="shared" ref="AL875:AL933" si="337">IF($R875="",0,VLOOKUP($R875,Kengetal,6,FALSE))</f>
        <v>0</v>
      </c>
      <c r="AM875" s="149">
        <f t="shared" ref="AM875:AM933" si="338">IF($R875="",0,VLOOKUP($R875,Kengetal,7,FALSE))</f>
        <v>0</v>
      </c>
      <c r="AN875" s="149">
        <f t="shared" ref="AN875:AN933" si="339">IF($R875="",0,VLOOKUP($R875,Kengetal,8,FALSE))</f>
        <v>0</v>
      </c>
      <c r="AO875" s="150">
        <f t="shared" si="333"/>
        <v>0</v>
      </c>
      <c r="AQ875" s="151">
        <f t="shared" si="334"/>
        <v>0</v>
      </c>
    </row>
    <row r="876" spans="1:43" ht="15" customHeight="1">
      <c r="A876" s="82" t="e">
        <f t="shared" si="319"/>
        <v>#REF!</v>
      </c>
      <c r="B876" s="134">
        <v>115</v>
      </c>
      <c r="C876" s="135" t="s">
        <v>126</v>
      </c>
      <c r="D876" s="136" t="s">
        <v>127</v>
      </c>
      <c r="E876" s="137"/>
      <c r="F876" s="138" t="s">
        <v>140</v>
      </c>
      <c r="G876" s="139" t="s">
        <v>141</v>
      </c>
      <c r="H876" s="140" t="str">
        <f t="shared" si="320"/>
        <v>Niet van toepassing</v>
      </c>
      <c r="I876" s="138" t="s">
        <v>270</v>
      </c>
      <c r="J876" s="138" t="s">
        <v>1172</v>
      </c>
      <c r="K876" s="141" t="str">
        <f t="shared" si="321"/>
        <v>NVT</v>
      </c>
      <c r="L876" s="141" t="str">
        <f t="shared" si="322"/>
        <v>NVT</v>
      </c>
      <c r="M876" s="141" t="str">
        <f t="shared" si="323"/>
        <v>NVT</v>
      </c>
      <c r="N876" s="141" t="str">
        <f t="shared" si="324"/>
        <v>NVT</v>
      </c>
      <c r="O876" s="141" t="str">
        <f t="shared" si="325"/>
        <v>NVT</v>
      </c>
      <c r="P876" s="141" t="str">
        <f t="shared" si="326"/>
        <v>NVT</v>
      </c>
      <c r="Q876" s="141" t="str">
        <f t="shared" si="327"/>
        <v>NVT</v>
      </c>
      <c r="R876" s="63" t="s">
        <v>1221</v>
      </c>
      <c r="S876" s="142">
        <f t="shared" si="335"/>
        <v>0</v>
      </c>
      <c r="T876" s="143">
        <v>15.1</v>
      </c>
      <c r="U876" s="144"/>
      <c r="V876" s="144"/>
      <c r="W876" s="144">
        <v>50</v>
      </c>
      <c r="X876" s="144"/>
      <c r="Y876" s="144"/>
      <c r="Z876" s="145"/>
      <c r="AA876" s="145">
        <f>T876</f>
        <v>15.1</v>
      </c>
      <c r="AB876" s="145"/>
      <c r="AC876" s="145"/>
      <c r="AD876" s="146" t="s">
        <v>380</v>
      </c>
      <c r="AE876" s="171">
        <v>1</v>
      </c>
      <c r="AF876" s="147">
        <f t="shared" si="328"/>
        <v>0</v>
      </c>
      <c r="AG876" s="147">
        <f t="shared" si="329"/>
        <v>0</v>
      </c>
      <c r="AH876" s="147">
        <f t="shared" si="330"/>
        <v>0</v>
      </c>
      <c r="AI876" s="147">
        <f t="shared" si="331"/>
        <v>0</v>
      </c>
      <c r="AJ876" s="148">
        <f t="shared" si="332"/>
        <v>0</v>
      </c>
      <c r="AK876" s="149">
        <f t="shared" si="336"/>
        <v>0</v>
      </c>
      <c r="AL876" s="149">
        <f t="shared" si="337"/>
        <v>0</v>
      </c>
      <c r="AM876" s="149">
        <f t="shared" si="338"/>
        <v>0</v>
      </c>
      <c r="AN876" s="149">
        <f t="shared" si="339"/>
        <v>0</v>
      </c>
      <c r="AO876" s="150">
        <f t="shared" si="333"/>
        <v>0</v>
      </c>
      <c r="AQ876" s="151">
        <f t="shared" si="334"/>
        <v>0</v>
      </c>
    </row>
    <row r="877" spans="1:43" ht="15" customHeight="1">
      <c r="A877" s="82" t="e">
        <f t="shared" si="319"/>
        <v>#REF!</v>
      </c>
      <c r="B877" s="134">
        <v>115</v>
      </c>
      <c r="C877" s="135" t="s">
        <v>126</v>
      </c>
      <c r="D877" s="136" t="s">
        <v>127</v>
      </c>
      <c r="E877" s="137"/>
      <c r="F877" s="138" t="s">
        <v>120</v>
      </c>
      <c r="G877" s="139" t="s">
        <v>58</v>
      </c>
      <c r="H877" s="140" t="str">
        <f t="shared" si="320"/>
        <v>Niet van toepassing</v>
      </c>
      <c r="I877" s="138" t="s">
        <v>270</v>
      </c>
      <c r="J877" s="138" t="s">
        <v>1172</v>
      </c>
      <c r="K877" s="141" t="str">
        <f t="shared" si="321"/>
        <v>NVT</v>
      </c>
      <c r="L877" s="141" t="str">
        <f t="shared" si="322"/>
        <v>NVT</v>
      </c>
      <c r="M877" s="141" t="str">
        <f t="shared" si="323"/>
        <v>NVT</v>
      </c>
      <c r="N877" s="141" t="str">
        <f t="shared" si="324"/>
        <v>NVT</v>
      </c>
      <c r="O877" s="141" t="str">
        <f t="shared" si="325"/>
        <v>NVT</v>
      </c>
      <c r="P877" s="141" t="str">
        <f t="shared" si="326"/>
        <v>NVT</v>
      </c>
      <c r="Q877" s="141" t="str">
        <f t="shared" si="327"/>
        <v>NVT</v>
      </c>
      <c r="R877" s="63" t="s">
        <v>1221</v>
      </c>
      <c r="S877" s="142">
        <f t="shared" si="335"/>
        <v>0</v>
      </c>
      <c r="T877" s="143">
        <v>14.18</v>
      </c>
      <c r="U877" s="144"/>
      <c r="V877" s="144"/>
      <c r="W877" s="144"/>
      <c r="X877" s="144"/>
      <c r="Y877" s="144">
        <v>49</v>
      </c>
      <c r="Z877" s="145"/>
      <c r="AA877" s="145"/>
      <c r="AB877" s="145">
        <f>T877</f>
        <v>14.18</v>
      </c>
      <c r="AC877" s="145"/>
      <c r="AD877" s="146" t="s">
        <v>45</v>
      </c>
      <c r="AE877" s="171">
        <v>1</v>
      </c>
      <c r="AF877" s="147">
        <f t="shared" si="328"/>
        <v>0</v>
      </c>
      <c r="AG877" s="147">
        <f t="shared" si="329"/>
        <v>0</v>
      </c>
      <c r="AH877" s="147">
        <f t="shared" si="330"/>
        <v>0</v>
      </c>
      <c r="AI877" s="147">
        <f t="shared" si="331"/>
        <v>0</v>
      </c>
      <c r="AJ877" s="148">
        <f t="shared" si="332"/>
        <v>0</v>
      </c>
      <c r="AK877" s="149">
        <f t="shared" si="336"/>
        <v>0</v>
      </c>
      <c r="AL877" s="149">
        <f t="shared" si="337"/>
        <v>0</v>
      </c>
      <c r="AM877" s="149">
        <f t="shared" si="338"/>
        <v>0</v>
      </c>
      <c r="AN877" s="149">
        <f t="shared" si="339"/>
        <v>0</v>
      </c>
      <c r="AO877" s="150">
        <f t="shared" si="333"/>
        <v>0</v>
      </c>
      <c r="AQ877" s="151">
        <f t="shared" si="334"/>
        <v>0</v>
      </c>
    </row>
    <row r="878" spans="1:43" ht="15" customHeight="1">
      <c r="A878" s="82" t="e">
        <f t="shared" si="319"/>
        <v>#REF!</v>
      </c>
      <c r="B878" s="134">
        <v>115</v>
      </c>
      <c r="C878" s="135" t="s">
        <v>126</v>
      </c>
      <c r="D878" s="136" t="s">
        <v>127</v>
      </c>
      <c r="E878" s="137"/>
      <c r="F878" s="138" t="s">
        <v>59</v>
      </c>
      <c r="G878" s="139" t="s">
        <v>142</v>
      </c>
      <c r="H878" s="140" t="str">
        <f t="shared" si="320"/>
        <v>Niet van toepassing</v>
      </c>
      <c r="I878" s="138" t="s">
        <v>195</v>
      </c>
      <c r="J878" s="138" t="s">
        <v>1172</v>
      </c>
      <c r="K878" s="141" t="str">
        <f t="shared" si="321"/>
        <v>NVT</v>
      </c>
      <c r="L878" s="141" t="str">
        <f t="shared" si="322"/>
        <v>NVT</v>
      </c>
      <c r="M878" s="141" t="str">
        <f t="shared" si="323"/>
        <v>NVT</v>
      </c>
      <c r="N878" s="141" t="str">
        <f t="shared" si="324"/>
        <v>NVT</v>
      </c>
      <c r="O878" s="141" t="str">
        <f t="shared" si="325"/>
        <v>NVT</v>
      </c>
      <c r="P878" s="141" t="str">
        <f t="shared" si="326"/>
        <v>NVT</v>
      </c>
      <c r="Q878" s="141" t="str">
        <f t="shared" si="327"/>
        <v>NVT</v>
      </c>
      <c r="R878" s="63" t="s">
        <v>1221</v>
      </c>
      <c r="S878" s="142">
        <f t="shared" si="335"/>
        <v>0</v>
      </c>
      <c r="T878" s="143">
        <v>12.53</v>
      </c>
      <c r="U878" s="144"/>
      <c r="V878" s="144"/>
      <c r="W878" s="144">
        <v>63</v>
      </c>
      <c r="X878" s="144"/>
      <c r="Y878" s="144"/>
      <c r="Z878" s="145"/>
      <c r="AA878" s="145">
        <f t="shared" ref="AA878:AA883" si="340">T878</f>
        <v>12.53</v>
      </c>
      <c r="AB878" s="145"/>
      <c r="AC878" s="145"/>
      <c r="AD878" s="146" t="s">
        <v>45</v>
      </c>
      <c r="AE878" s="171">
        <v>1</v>
      </c>
      <c r="AF878" s="147">
        <f t="shared" si="328"/>
        <v>0</v>
      </c>
      <c r="AG878" s="147">
        <f t="shared" si="329"/>
        <v>0</v>
      </c>
      <c r="AH878" s="147">
        <f t="shared" si="330"/>
        <v>0</v>
      </c>
      <c r="AI878" s="147">
        <f t="shared" si="331"/>
        <v>0</v>
      </c>
      <c r="AJ878" s="148">
        <f t="shared" si="332"/>
        <v>0</v>
      </c>
      <c r="AK878" s="149">
        <f t="shared" si="336"/>
        <v>0</v>
      </c>
      <c r="AL878" s="149">
        <f t="shared" si="337"/>
        <v>0</v>
      </c>
      <c r="AM878" s="149">
        <f t="shared" si="338"/>
        <v>0</v>
      </c>
      <c r="AN878" s="149">
        <f t="shared" si="339"/>
        <v>0</v>
      </c>
      <c r="AO878" s="150">
        <f t="shared" si="333"/>
        <v>0</v>
      </c>
      <c r="AQ878" s="151">
        <f t="shared" si="334"/>
        <v>0</v>
      </c>
    </row>
    <row r="879" spans="1:43" ht="15" customHeight="1">
      <c r="A879" s="82" t="e">
        <f t="shared" si="319"/>
        <v>#REF!</v>
      </c>
      <c r="B879" s="134">
        <v>115</v>
      </c>
      <c r="C879" s="135" t="s">
        <v>126</v>
      </c>
      <c r="D879" s="136" t="s">
        <v>127</v>
      </c>
      <c r="E879" s="137"/>
      <c r="F879" s="138" t="s">
        <v>143</v>
      </c>
      <c r="G879" s="139" t="s">
        <v>65</v>
      </c>
      <c r="H879" s="140" t="str">
        <f t="shared" si="320"/>
        <v>Niet van toepassing</v>
      </c>
      <c r="I879" s="138" t="s">
        <v>195</v>
      </c>
      <c r="J879" s="138" t="s">
        <v>1172</v>
      </c>
      <c r="K879" s="141" t="str">
        <f t="shared" si="321"/>
        <v>NVT</v>
      </c>
      <c r="L879" s="141" t="str">
        <f t="shared" si="322"/>
        <v>NVT</v>
      </c>
      <c r="M879" s="141" t="str">
        <f t="shared" si="323"/>
        <v>NVT</v>
      </c>
      <c r="N879" s="141" t="str">
        <f t="shared" si="324"/>
        <v>NVT</v>
      </c>
      <c r="O879" s="141" t="str">
        <f t="shared" si="325"/>
        <v>NVT</v>
      </c>
      <c r="P879" s="141" t="str">
        <f t="shared" si="326"/>
        <v>NVT</v>
      </c>
      <c r="Q879" s="141" t="str">
        <f t="shared" si="327"/>
        <v>NVT</v>
      </c>
      <c r="R879" s="63" t="s">
        <v>1221</v>
      </c>
      <c r="S879" s="142">
        <f t="shared" si="335"/>
        <v>0</v>
      </c>
      <c r="T879" s="143">
        <v>11.08</v>
      </c>
      <c r="U879" s="144"/>
      <c r="V879" s="144"/>
      <c r="W879" s="144">
        <v>50</v>
      </c>
      <c r="X879" s="144"/>
      <c r="Y879" s="144"/>
      <c r="Z879" s="145"/>
      <c r="AA879" s="145">
        <f t="shared" si="340"/>
        <v>11.08</v>
      </c>
      <c r="AB879" s="145"/>
      <c r="AC879" s="145"/>
      <c r="AD879" s="146" t="s">
        <v>45</v>
      </c>
      <c r="AE879" s="171">
        <v>1</v>
      </c>
      <c r="AF879" s="147">
        <f t="shared" si="328"/>
        <v>0</v>
      </c>
      <c r="AG879" s="147">
        <f t="shared" si="329"/>
        <v>0</v>
      </c>
      <c r="AH879" s="147">
        <f t="shared" si="330"/>
        <v>0</v>
      </c>
      <c r="AI879" s="147">
        <f t="shared" si="331"/>
        <v>0</v>
      </c>
      <c r="AJ879" s="148">
        <f t="shared" si="332"/>
        <v>0</v>
      </c>
      <c r="AK879" s="149">
        <f t="shared" si="336"/>
        <v>0</v>
      </c>
      <c r="AL879" s="149">
        <f t="shared" si="337"/>
        <v>0</v>
      </c>
      <c r="AM879" s="149">
        <f t="shared" si="338"/>
        <v>0</v>
      </c>
      <c r="AN879" s="149">
        <f t="shared" si="339"/>
        <v>0</v>
      </c>
      <c r="AO879" s="150">
        <f t="shared" si="333"/>
        <v>0</v>
      </c>
      <c r="AQ879" s="151">
        <f t="shared" si="334"/>
        <v>0</v>
      </c>
    </row>
    <row r="880" spans="1:43" ht="15" customHeight="1">
      <c r="A880" s="82" t="e">
        <f t="shared" si="319"/>
        <v>#REF!</v>
      </c>
      <c r="B880" s="134">
        <v>115</v>
      </c>
      <c r="C880" s="135" t="s">
        <v>126</v>
      </c>
      <c r="D880" s="136" t="s">
        <v>127</v>
      </c>
      <c r="E880" s="137"/>
      <c r="F880" s="138" t="s">
        <v>143</v>
      </c>
      <c r="G880" s="139" t="s">
        <v>67</v>
      </c>
      <c r="H880" s="140" t="str">
        <f t="shared" si="320"/>
        <v>Niet van toepassing</v>
      </c>
      <c r="I880" s="138" t="s">
        <v>195</v>
      </c>
      <c r="J880" s="138" t="s">
        <v>1172</v>
      </c>
      <c r="K880" s="141" t="str">
        <f t="shared" si="321"/>
        <v>NVT</v>
      </c>
      <c r="L880" s="141" t="str">
        <f t="shared" si="322"/>
        <v>NVT</v>
      </c>
      <c r="M880" s="141" t="str">
        <f t="shared" si="323"/>
        <v>NVT</v>
      </c>
      <c r="N880" s="141" t="str">
        <f t="shared" si="324"/>
        <v>NVT</v>
      </c>
      <c r="O880" s="141" t="str">
        <f t="shared" si="325"/>
        <v>NVT</v>
      </c>
      <c r="P880" s="141" t="str">
        <f t="shared" si="326"/>
        <v>NVT</v>
      </c>
      <c r="Q880" s="141" t="str">
        <f t="shared" si="327"/>
        <v>NVT</v>
      </c>
      <c r="R880" s="63" t="s">
        <v>1221</v>
      </c>
      <c r="S880" s="142">
        <f t="shared" si="335"/>
        <v>0</v>
      </c>
      <c r="T880" s="143">
        <v>6.91</v>
      </c>
      <c r="U880" s="144"/>
      <c r="V880" s="144"/>
      <c r="W880" s="144">
        <v>40</v>
      </c>
      <c r="X880" s="144"/>
      <c r="Y880" s="144"/>
      <c r="Z880" s="145"/>
      <c r="AA880" s="145">
        <f t="shared" si="340"/>
        <v>6.91</v>
      </c>
      <c r="AB880" s="145"/>
      <c r="AC880" s="145"/>
      <c r="AD880" s="146" t="s">
        <v>42</v>
      </c>
      <c r="AE880" s="171">
        <v>1</v>
      </c>
      <c r="AF880" s="147">
        <f t="shared" si="328"/>
        <v>0</v>
      </c>
      <c r="AG880" s="147">
        <f t="shared" si="329"/>
        <v>0</v>
      </c>
      <c r="AH880" s="147">
        <f t="shared" si="330"/>
        <v>0</v>
      </c>
      <c r="AI880" s="147">
        <f t="shared" si="331"/>
        <v>0</v>
      </c>
      <c r="AJ880" s="148">
        <f t="shared" si="332"/>
        <v>0</v>
      </c>
      <c r="AK880" s="149">
        <f t="shared" si="336"/>
        <v>0</v>
      </c>
      <c r="AL880" s="149">
        <f t="shared" si="337"/>
        <v>0</v>
      </c>
      <c r="AM880" s="149">
        <f t="shared" si="338"/>
        <v>0</v>
      </c>
      <c r="AN880" s="149">
        <f t="shared" si="339"/>
        <v>0</v>
      </c>
      <c r="AO880" s="150">
        <f t="shared" si="333"/>
        <v>0</v>
      </c>
      <c r="AQ880" s="151">
        <f t="shared" si="334"/>
        <v>0</v>
      </c>
    </row>
    <row r="881" spans="1:43" ht="15" customHeight="1">
      <c r="A881" s="82" t="e">
        <f t="shared" si="319"/>
        <v>#REF!</v>
      </c>
      <c r="B881" s="134">
        <v>115</v>
      </c>
      <c r="C881" s="135" t="s">
        <v>126</v>
      </c>
      <c r="D881" s="136" t="s">
        <v>127</v>
      </c>
      <c r="E881" s="137"/>
      <c r="F881" s="138" t="s">
        <v>144</v>
      </c>
      <c r="G881" s="139" t="s">
        <v>69</v>
      </c>
      <c r="H881" s="140" t="str">
        <f t="shared" si="320"/>
        <v>Niet van toepassing</v>
      </c>
      <c r="I881" s="138" t="s">
        <v>195</v>
      </c>
      <c r="J881" s="138" t="s">
        <v>1172</v>
      </c>
      <c r="K881" s="141" t="str">
        <f t="shared" si="321"/>
        <v>NVT</v>
      </c>
      <c r="L881" s="141" t="str">
        <f t="shared" si="322"/>
        <v>NVT</v>
      </c>
      <c r="M881" s="141" t="str">
        <f t="shared" si="323"/>
        <v>NVT</v>
      </c>
      <c r="N881" s="141" t="str">
        <f t="shared" si="324"/>
        <v>NVT</v>
      </c>
      <c r="O881" s="141" t="str">
        <f t="shared" si="325"/>
        <v>NVT</v>
      </c>
      <c r="P881" s="141" t="str">
        <f t="shared" si="326"/>
        <v>NVT</v>
      </c>
      <c r="Q881" s="141" t="str">
        <f t="shared" si="327"/>
        <v>NVT</v>
      </c>
      <c r="R881" s="63" t="s">
        <v>1221</v>
      </c>
      <c r="S881" s="142">
        <f t="shared" si="335"/>
        <v>0</v>
      </c>
      <c r="T881" s="143">
        <v>14.75</v>
      </c>
      <c r="U881" s="144"/>
      <c r="V881" s="144"/>
      <c r="W881" s="144">
        <v>61</v>
      </c>
      <c r="X881" s="144"/>
      <c r="Y881" s="144"/>
      <c r="Z881" s="145"/>
      <c r="AA881" s="145">
        <f t="shared" si="340"/>
        <v>14.75</v>
      </c>
      <c r="AB881" s="145"/>
      <c r="AC881" s="145"/>
      <c r="AD881" s="146" t="s">
        <v>45</v>
      </c>
      <c r="AE881" s="171">
        <v>1</v>
      </c>
      <c r="AF881" s="147">
        <f t="shared" si="328"/>
        <v>0</v>
      </c>
      <c r="AG881" s="147">
        <f t="shared" si="329"/>
        <v>0</v>
      </c>
      <c r="AH881" s="147">
        <f t="shared" si="330"/>
        <v>0</v>
      </c>
      <c r="AI881" s="147">
        <f t="shared" si="331"/>
        <v>0</v>
      </c>
      <c r="AJ881" s="148">
        <f t="shared" si="332"/>
        <v>0</v>
      </c>
      <c r="AK881" s="149">
        <f t="shared" si="336"/>
        <v>0</v>
      </c>
      <c r="AL881" s="149">
        <f t="shared" si="337"/>
        <v>0</v>
      </c>
      <c r="AM881" s="149">
        <f t="shared" si="338"/>
        <v>0</v>
      </c>
      <c r="AN881" s="149">
        <f t="shared" si="339"/>
        <v>0</v>
      </c>
      <c r="AO881" s="150">
        <f t="shared" si="333"/>
        <v>0</v>
      </c>
      <c r="AQ881" s="151">
        <f t="shared" si="334"/>
        <v>0</v>
      </c>
    </row>
    <row r="882" spans="1:43" ht="15" customHeight="1">
      <c r="A882" s="82" t="e">
        <f t="shared" si="319"/>
        <v>#REF!</v>
      </c>
      <c r="B882" s="134">
        <v>115</v>
      </c>
      <c r="C882" s="135" t="s">
        <v>126</v>
      </c>
      <c r="D882" s="136" t="s">
        <v>127</v>
      </c>
      <c r="E882" s="137"/>
      <c r="F882" s="138" t="s">
        <v>145</v>
      </c>
      <c r="G882" s="139" t="s">
        <v>71</v>
      </c>
      <c r="H882" s="140" t="str">
        <f t="shared" si="320"/>
        <v>Berging/opslag/magazijn</v>
      </c>
      <c r="I882" s="138" t="s">
        <v>195</v>
      </c>
      <c r="J882" s="138" t="s">
        <v>1207</v>
      </c>
      <c r="K882" s="141" t="str">
        <f t="shared" si="321"/>
        <v>Zie Freq</v>
      </c>
      <c r="L882" s="141" t="str">
        <f t="shared" si="322"/>
        <v>Zie Freq</v>
      </c>
      <c r="M882" s="141" t="str">
        <f t="shared" si="323"/>
        <v>Zie Freq</v>
      </c>
      <c r="N882" s="141" t="str">
        <f t="shared" si="324"/>
        <v>Zie Freq</v>
      </c>
      <c r="O882" s="141" t="str">
        <f t="shared" si="325"/>
        <v>Zie Freq</v>
      </c>
      <c r="P882" s="141" t="str">
        <f t="shared" si="326"/>
        <v>NVT</v>
      </c>
      <c r="Q882" s="141" t="str">
        <f t="shared" si="327"/>
        <v>NVT</v>
      </c>
      <c r="R882" s="63" t="s">
        <v>1264</v>
      </c>
      <c r="S882" s="142">
        <f t="shared" si="335"/>
        <v>2</v>
      </c>
      <c r="T882" s="143">
        <v>5.93</v>
      </c>
      <c r="U882" s="144"/>
      <c r="V882" s="144"/>
      <c r="W882" s="144">
        <v>31</v>
      </c>
      <c r="X882" s="144"/>
      <c r="Y882" s="144"/>
      <c r="Z882" s="145"/>
      <c r="AA882" s="145">
        <f t="shared" si="340"/>
        <v>5.93</v>
      </c>
      <c r="AB882" s="145"/>
      <c r="AC882" s="145"/>
      <c r="AD882" s="146" t="s">
        <v>1119</v>
      </c>
      <c r="AE882" s="171">
        <v>1</v>
      </c>
      <c r="AF882" s="147">
        <f t="shared" si="328"/>
        <v>0</v>
      </c>
      <c r="AG882" s="147">
        <f t="shared" si="329"/>
        <v>0</v>
      </c>
      <c r="AH882" s="147">
        <f t="shared" si="330"/>
        <v>0</v>
      </c>
      <c r="AI882" s="147">
        <f t="shared" si="331"/>
        <v>0</v>
      </c>
      <c r="AJ882" s="148" t="str">
        <f t="shared" si="332"/>
        <v>nee</v>
      </c>
      <c r="AK882" s="149">
        <f t="shared" si="336"/>
        <v>0</v>
      </c>
      <c r="AL882" s="149">
        <f t="shared" si="337"/>
        <v>0</v>
      </c>
      <c r="AM882" s="149">
        <f t="shared" si="338"/>
        <v>0</v>
      </c>
      <c r="AN882" s="149">
        <f t="shared" si="339"/>
        <v>0</v>
      </c>
      <c r="AO882" s="150" t="str">
        <f t="shared" si="333"/>
        <v>V</v>
      </c>
      <c r="AQ882" s="151">
        <f t="shared" si="334"/>
        <v>11.86</v>
      </c>
    </row>
    <row r="883" spans="1:43" ht="15" customHeight="1">
      <c r="A883" s="82" t="e">
        <f t="shared" si="319"/>
        <v>#REF!</v>
      </c>
      <c r="B883" s="134">
        <v>115</v>
      </c>
      <c r="C883" s="135" t="s">
        <v>126</v>
      </c>
      <c r="D883" s="136" t="s">
        <v>127</v>
      </c>
      <c r="E883" s="137"/>
      <c r="F883" s="138" t="s">
        <v>147</v>
      </c>
      <c r="G883" s="139" t="s">
        <v>73</v>
      </c>
      <c r="H883" s="140" t="str">
        <f t="shared" si="320"/>
        <v>Niet van toepassing</v>
      </c>
      <c r="I883" s="138" t="s">
        <v>195</v>
      </c>
      <c r="J883" s="138" t="s">
        <v>1172</v>
      </c>
      <c r="K883" s="141" t="str">
        <f t="shared" si="321"/>
        <v>NVT</v>
      </c>
      <c r="L883" s="141" t="str">
        <f t="shared" si="322"/>
        <v>NVT</v>
      </c>
      <c r="M883" s="141" t="str">
        <f t="shared" si="323"/>
        <v>NVT</v>
      </c>
      <c r="N883" s="141" t="str">
        <f t="shared" si="324"/>
        <v>NVT</v>
      </c>
      <c r="O883" s="141" t="str">
        <f t="shared" si="325"/>
        <v>NVT</v>
      </c>
      <c r="P883" s="141" t="str">
        <f t="shared" si="326"/>
        <v>NVT</v>
      </c>
      <c r="Q883" s="141" t="str">
        <f t="shared" si="327"/>
        <v>NVT</v>
      </c>
      <c r="R883" s="63" t="s">
        <v>1221</v>
      </c>
      <c r="S883" s="142">
        <f t="shared" si="335"/>
        <v>0</v>
      </c>
      <c r="T883" s="143">
        <v>4.38</v>
      </c>
      <c r="U883" s="144"/>
      <c r="V883" s="144"/>
      <c r="W883" s="144">
        <v>25</v>
      </c>
      <c r="X883" s="144"/>
      <c r="Y883" s="144"/>
      <c r="Z883" s="145"/>
      <c r="AA883" s="145">
        <f t="shared" si="340"/>
        <v>4.38</v>
      </c>
      <c r="AB883" s="145"/>
      <c r="AC883" s="145"/>
      <c r="AD883" s="146" t="s">
        <v>45</v>
      </c>
      <c r="AE883" s="171">
        <v>1</v>
      </c>
      <c r="AF883" s="147">
        <f t="shared" si="328"/>
        <v>0</v>
      </c>
      <c r="AG883" s="147">
        <f t="shared" si="329"/>
        <v>0</v>
      </c>
      <c r="AH883" s="147">
        <f t="shared" si="330"/>
        <v>0</v>
      </c>
      <c r="AI883" s="147">
        <f t="shared" si="331"/>
        <v>0</v>
      </c>
      <c r="AJ883" s="148">
        <f t="shared" si="332"/>
        <v>0</v>
      </c>
      <c r="AK883" s="149">
        <f t="shared" si="336"/>
        <v>0</v>
      </c>
      <c r="AL883" s="149">
        <f t="shared" si="337"/>
        <v>0</v>
      </c>
      <c r="AM883" s="149">
        <f t="shared" si="338"/>
        <v>0</v>
      </c>
      <c r="AN883" s="149">
        <f t="shared" si="339"/>
        <v>0</v>
      </c>
      <c r="AO883" s="150">
        <f t="shared" si="333"/>
        <v>0</v>
      </c>
      <c r="AQ883" s="151">
        <f t="shared" si="334"/>
        <v>0</v>
      </c>
    </row>
    <row r="884" spans="1:43" ht="15" customHeight="1">
      <c r="A884" s="82" t="e">
        <f t="shared" si="319"/>
        <v>#REF!</v>
      </c>
      <c r="B884" s="134">
        <v>115</v>
      </c>
      <c r="C884" s="135" t="s">
        <v>126</v>
      </c>
      <c r="D884" s="136" t="s">
        <v>127</v>
      </c>
      <c r="E884" s="137"/>
      <c r="F884" s="138" t="s">
        <v>122</v>
      </c>
      <c r="G884" s="139" t="s">
        <v>75</v>
      </c>
      <c r="H884" s="140" t="str">
        <f t="shared" si="320"/>
        <v>Niet van toepassing</v>
      </c>
      <c r="I884" s="138" t="s">
        <v>195</v>
      </c>
      <c r="J884" s="138" t="s">
        <v>1172</v>
      </c>
      <c r="K884" s="141" t="str">
        <f t="shared" si="321"/>
        <v>NVT</v>
      </c>
      <c r="L884" s="141" t="str">
        <f t="shared" si="322"/>
        <v>NVT</v>
      </c>
      <c r="M884" s="141" t="str">
        <f t="shared" si="323"/>
        <v>NVT</v>
      </c>
      <c r="N884" s="141" t="str">
        <f t="shared" si="324"/>
        <v>NVT</v>
      </c>
      <c r="O884" s="141" t="str">
        <f t="shared" si="325"/>
        <v>NVT</v>
      </c>
      <c r="P884" s="141" t="str">
        <f t="shared" si="326"/>
        <v>NVT</v>
      </c>
      <c r="Q884" s="141" t="str">
        <f t="shared" si="327"/>
        <v>NVT</v>
      </c>
      <c r="R884" s="63" t="s">
        <v>1221</v>
      </c>
      <c r="S884" s="142">
        <f t="shared" si="335"/>
        <v>0</v>
      </c>
      <c r="T884" s="143">
        <v>13.63</v>
      </c>
      <c r="U884" s="144"/>
      <c r="V884" s="144"/>
      <c r="W884" s="144"/>
      <c r="X884" s="144"/>
      <c r="Y884" s="144">
        <v>51</v>
      </c>
      <c r="Z884" s="145"/>
      <c r="AA884" s="145"/>
      <c r="AB884" s="145">
        <f>T884</f>
        <v>13.63</v>
      </c>
      <c r="AC884" s="145"/>
      <c r="AD884" s="146" t="s">
        <v>45</v>
      </c>
      <c r="AE884" s="171">
        <v>1</v>
      </c>
      <c r="AF884" s="147">
        <f t="shared" si="328"/>
        <v>0</v>
      </c>
      <c r="AG884" s="147">
        <f t="shared" si="329"/>
        <v>0</v>
      </c>
      <c r="AH884" s="147">
        <f t="shared" si="330"/>
        <v>0</v>
      </c>
      <c r="AI884" s="147">
        <f t="shared" si="331"/>
        <v>0</v>
      </c>
      <c r="AJ884" s="148">
        <f t="shared" si="332"/>
        <v>0</v>
      </c>
      <c r="AK884" s="149">
        <f t="shared" si="336"/>
        <v>0</v>
      </c>
      <c r="AL884" s="149">
        <f t="shared" si="337"/>
        <v>0</v>
      </c>
      <c r="AM884" s="149">
        <f t="shared" si="338"/>
        <v>0</v>
      </c>
      <c r="AN884" s="149">
        <f t="shared" si="339"/>
        <v>0</v>
      </c>
      <c r="AO884" s="150">
        <f t="shared" si="333"/>
        <v>0</v>
      </c>
      <c r="AQ884" s="151">
        <f t="shared" si="334"/>
        <v>0</v>
      </c>
    </row>
    <row r="885" spans="1:43" ht="15" customHeight="1">
      <c r="A885" s="82" t="e">
        <f t="shared" si="319"/>
        <v>#REF!</v>
      </c>
      <c r="B885" s="134">
        <v>115</v>
      </c>
      <c r="C885" s="135" t="s">
        <v>126</v>
      </c>
      <c r="D885" s="136" t="s">
        <v>127</v>
      </c>
      <c r="E885" s="137"/>
      <c r="F885" s="138" t="s">
        <v>148</v>
      </c>
      <c r="G885" s="139" t="s">
        <v>79</v>
      </c>
      <c r="H885" s="140" t="str">
        <f t="shared" si="320"/>
        <v>Sanitair</v>
      </c>
      <c r="I885" s="138" t="s">
        <v>237</v>
      </c>
      <c r="J885" s="138" t="s">
        <v>1170</v>
      </c>
      <c r="K885" s="141" t="str">
        <f t="shared" si="321"/>
        <v>Volledig</v>
      </c>
      <c r="L885" s="141" t="str">
        <f t="shared" si="322"/>
        <v>naloop</v>
      </c>
      <c r="M885" s="141" t="str">
        <f t="shared" si="323"/>
        <v>naloop</v>
      </c>
      <c r="N885" s="141" t="str">
        <f t="shared" si="324"/>
        <v>Volledig</v>
      </c>
      <c r="O885" s="141" t="str">
        <f t="shared" si="325"/>
        <v>naloop</v>
      </c>
      <c r="P885" s="141" t="str">
        <f t="shared" si="326"/>
        <v>naloop</v>
      </c>
      <c r="Q885" s="141" t="str">
        <f t="shared" si="327"/>
        <v>naloop</v>
      </c>
      <c r="R885" s="63" t="s">
        <v>1210</v>
      </c>
      <c r="S885" s="142">
        <f t="shared" si="335"/>
        <v>365</v>
      </c>
      <c r="T885" s="143">
        <v>3.76</v>
      </c>
      <c r="U885" s="144">
        <v>16</v>
      </c>
      <c r="V885" s="144"/>
      <c r="W885" s="144"/>
      <c r="X885" s="144"/>
      <c r="Y885" s="144"/>
      <c r="Z885" s="145"/>
      <c r="AA885" s="145"/>
      <c r="AB885" s="145"/>
      <c r="AC885" s="145">
        <f>T885</f>
        <v>3.76</v>
      </c>
      <c r="AD885" s="146" t="s">
        <v>45</v>
      </c>
      <c r="AE885" s="171">
        <v>1</v>
      </c>
      <c r="AF885" s="147">
        <f t="shared" si="328"/>
        <v>0</v>
      </c>
      <c r="AG885" s="147">
        <f t="shared" si="329"/>
        <v>0</v>
      </c>
      <c r="AH885" s="147">
        <f t="shared" si="330"/>
        <v>0</v>
      </c>
      <c r="AI885" s="147">
        <f t="shared" si="331"/>
        <v>0</v>
      </c>
      <c r="AJ885" s="148" t="str">
        <f t="shared" si="332"/>
        <v>ja</v>
      </c>
      <c r="AK885" s="149">
        <f t="shared" si="336"/>
        <v>0</v>
      </c>
      <c r="AL885" s="149">
        <f t="shared" si="337"/>
        <v>0</v>
      </c>
      <c r="AM885" s="149">
        <f t="shared" si="338"/>
        <v>0</v>
      </c>
      <c r="AN885" s="149">
        <f t="shared" si="339"/>
        <v>0</v>
      </c>
      <c r="AO885" s="150" t="str">
        <f t="shared" si="333"/>
        <v>S</v>
      </c>
      <c r="AQ885" s="151">
        <f t="shared" si="334"/>
        <v>1372.3999999999999</v>
      </c>
    </row>
    <row r="886" spans="1:43" ht="15" customHeight="1">
      <c r="A886" s="82" t="e">
        <f t="shared" si="319"/>
        <v>#REF!</v>
      </c>
      <c r="B886" s="134">
        <v>115</v>
      </c>
      <c r="C886" s="135" t="s">
        <v>126</v>
      </c>
      <c r="D886" s="136" t="s">
        <v>127</v>
      </c>
      <c r="E886" s="137"/>
      <c r="F886" s="138" t="s">
        <v>150</v>
      </c>
      <c r="G886" s="139" t="s">
        <v>151</v>
      </c>
      <c r="H886" s="140" t="str">
        <f t="shared" si="320"/>
        <v>Sanitair</v>
      </c>
      <c r="I886" s="138" t="s">
        <v>237</v>
      </c>
      <c r="J886" s="138" t="s">
        <v>1170</v>
      </c>
      <c r="K886" s="141" t="str">
        <f t="shared" si="321"/>
        <v>Volledig</v>
      </c>
      <c r="L886" s="141" t="str">
        <f t="shared" si="322"/>
        <v>naloop</v>
      </c>
      <c r="M886" s="141" t="str">
        <f t="shared" si="323"/>
        <v>naloop</v>
      </c>
      <c r="N886" s="141" t="str">
        <f t="shared" si="324"/>
        <v>Volledig</v>
      </c>
      <c r="O886" s="141" t="str">
        <f t="shared" si="325"/>
        <v>naloop</v>
      </c>
      <c r="P886" s="141" t="str">
        <f t="shared" si="326"/>
        <v>naloop</v>
      </c>
      <c r="Q886" s="141" t="str">
        <f t="shared" si="327"/>
        <v>naloop</v>
      </c>
      <c r="R886" s="63" t="s">
        <v>1210</v>
      </c>
      <c r="S886" s="142">
        <f t="shared" si="335"/>
        <v>365</v>
      </c>
      <c r="T886" s="143">
        <v>3.75</v>
      </c>
      <c r="U886" s="144">
        <v>16</v>
      </c>
      <c r="V886" s="144"/>
      <c r="W886" s="144"/>
      <c r="X886" s="144"/>
      <c r="Y886" s="144"/>
      <c r="Z886" s="145"/>
      <c r="AA886" s="145"/>
      <c r="AB886" s="145"/>
      <c r="AC886" s="145">
        <f>T886</f>
        <v>3.75</v>
      </c>
      <c r="AD886" s="146" t="s">
        <v>45</v>
      </c>
      <c r="AE886" s="171">
        <v>1</v>
      </c>
      <c r="AF886" s="147">
        <f t="shared" si="328"/>
        <v>0</v>
      </c>
      <c r="AG886" s="147">
        <f t="shared" si="329"/>
        <v>0</v>
      </c>
      <c r="AH886" s="147">
        <f t="shared" si="330"/>
        <v>0</v>
      </c>
      <c r="AI886" s="147">
        <f t="shared" si="331"/>
        <v>0</v>
      </c>
      <c r="AJ886" s="148" t="str">
        <f t="shared" si="332"/>
        <v>ja</v>
      </c>
      <c r="AK886" s="149">
        <f t="shared" si="336"/>
        <v>0</v>
      </c>
      <c r="AL886" s="149">
        <f t="shared" si="337"/>
        <v>0</v>
      </c>
      <c r="AM886" s="149">
        <f t="shared" si="338"/>
        <v>0</v>
      </c>
      <c r="AN886" s="149">
        <f t="shared" si="339"/>
        <v>0</v>
      </c>
      <c r="AO886" s="150" t="str">
        <f t="shared" si="333"/>
        <v>S</v>
      </c>
      <c r="AQ886" s="151">
        <f t="shared" si="334"/>
        <v>1368.75</v>
      </c>
    </row>
    <row r="887" spans="1:43" ht="15" customHeight="1">
      <c r="A887" s="82" t="e">
        <f t="shared" si="319"/>
        <v>#REF!</v>
      </c>
      <c r="B887" s="134">
        <v>115</v>
      </c>
      <c r="C887" s="135" t="s">
        <v>126</v>
      </c>
      <c r="D887" s="136" t="s">
        <v>127</v>
      </c>
      <c r="E887" s="137"/>
      <c r="F887" s="138" t="s">
        <v>152</v>
      </c>
      <c r="G887" s="139" t="s">
        <v>153</v>
      </c>
      <c r="H887" s="140" t="str">
        <f t="shared" si="320"/>
        <v>Niet van toepassing</v>
      </c>
      <c r="I887" s="138" t="s">
        <v>195</v>
      </c>
      <c r="J887" s="138" t="s">
        <v>1172</v>
      </c>
      <c r="K887" s="141" t="str">
        <f t="shared" si="321"/>
        <v>NVT</v>
      </c>
      <c r="L887" s="141" t="str">
        <f t="shared" si="322"/>
        <v>NVT</v>
      </c>
      <c r="M887" s="141" t="str">
        <f t="shared" si="323"/>
        <v>NVT</v>
      </c>
      <c r="N887" s="141" t="str">
        <f t="shared" si="324"/>
        <v>NVT</v>
      </c>
      <c r="O887" s="141" t="str">
        <f t="shared" si="325"/>
        <v>NVT</v>
      </c>
      <c r="P887" s="141" t="str">
        <f t="shared" si="326"/>
        <v>NVT</v>
      </c>
      <c r="Q887" s="141" t="str">
        <f t="shared" si="327"/>
        <v>NVT</v>
      </c>
      <c r="R887" s="63" t="s">
        <v>1221</v>
      </c>
      <c r="S887" s="142">
        <f t="shared" si="335"/>
        <v>0</v>
      </c>
      <c r="T887" s="143">
        <v>2.2000000000000002</v>
      </c>
      <c r="U887" s="144"/>
      <c r="V887" s="144"/>
      <c r="W887" s="144"/>
      <c r="X887" s="144"/>
      <c r="Y887" s="144">
        <v>20</v>
      </c>
      <c r="Z887" s="145"/>
      <c r="AA887" s="145"/>
      <c r="AB887" s="145">
        <f>T887</f>
        <v>2.2000000000000002</v>
      </c>
      <c r="AC887" s="145"/>
      <c r="AD887" s="146" t="s">
        <v>45</v>
      </c>
      <c r="AE887" s="171">
        <v>1</v>
      </c>
      <c r="AF887" s="147">
        <f t="shared" si="328"/>
        <v>0</v>
      </c>
      <c r="AG887" s="147">
        <f t="shared" si="329"/>
        <v>0</v>
      </c>
      <c r="AH887" s="147">
        <f t="shared" si="330"/>
        <v>0</v>
      </c>
      <c r="AI887" s="147">
        <f t="shared" si="331"/>
        <v>0</v>
      </c>
      <c r="AJ887" s="148">
        <f t="shared" si="332"/>
        <v>0</v>
      </c>
      <c r="AK887" s="149">
        <f t="shared" si="336"/>
        <v>0</v>
      </c>
      <c r="AL887" s="149">
        <f t="shared" si="337"/>
        <v>0</v>
      </c>
      <c r="AM887" s="149">
        <f t="shared" si="338"/>
        <v>0</v>
      </c>
      <c r="AN887" s="149">
        <f t="shared" si="339"/>
        <v>0</v>
      </c>
      <c r="AO887" s="150">
        <f t="shared" si="333"/>
        <v>0</v>
      </c>
      <c r="AQ887" s="151">
        <f t="shared" si="334"/>
        <v>0</v>
      </c>
    </row>
    <row r="888" spans="1:43" ht="15" customHeight="1">
      <c r="A888" s="82" t="e">
        <f t="shared" si="319"/>
        <v>#REF!</v>
      </c>
      <c r="B888" s="134">
        <v>115</v>
      </c>
      <c r="C888" s="135" t="s">
        <v>126</v>
      </c>
      <c r="D888" s="136" t="s">
        <v>127</v>
      </c>
      <c r="E888" s="137"/>
      <c r="F888" s="138" t="s">
        <v>115</v>
      </c>
      <c r="G888" s="139" t="s">
        <v>88</v>
      </c>
      <c r="H888" s="140" t="str">
        <f t="shared" si="320"/>
        <v>Niet van toepassing</v>
      </c>
      <c r="I888" s="138" t="s">
        <v>195</v>
      </c>
      <c r="J888" s="138" t="s">
        <v>1172</v>
      </c>
      <c r="K888" s="141" t="str">
        <f t="shared" si="321"/>
        <v>NVT</v>
      </c>
      <c r="L888" s="141" t="str">
        <f t="shared" si="322"/>
        <v>NVT</v>
      </c>
      <c r="M888" s="141" t="str">
        <f t="shared" si="323"/>
        <v>NVT</v>
      </c>
      <c r="N888" s="141" t="str">
        <f t="shared" si="324"/>
        <v>NVT</v>
      </c>
      <c r="O888" s="141" t="str">
        <f t="shared" si="325"/>
        <v>NVT</v>
      </c>
      <c r="P888" s="141" t="str">
        <f t="shared" si="326"/>
        <v>NVT</v>
      </c>
      <c r="Q888" s="141" t="str">
        <f t="shared" si="327"/>
        <v>NVT</v>
      </c>
      <c r="R888" s="63" t="s">
        <v>1221</v>
      </c>
      <c r="S888" s="142">
        <f t="shared" si="335"/>
        <v>0</v>
      </c>
      <c r="T888" s="143">
        <v>5.55</v>
      </c>
      <c r="U888" s="144"/>
      <c r="V888" s="144"/>
      <c r="W888" s="144"/>
      <c r="X888" s="144"/>
      <c r="Y888" s="144">
        <v>31</v>
      </c>
      <c r="Z888" s="145"/>
      <c r="AA888" s="145"/>
      <c r="AB888" s="145">
        <f>T888</f>
        <v>5.55</v>
      </c>
      <c r="AC888" s="145"/>
      <c r="AD888" s="146" t="s">
        <v>45</v>
      </c>
      <c r="AE888" s="171">
        <v>1</v>
      </c>
      <c r="AF888" s="147">
        <f t="shared" si="328"/>
        <v>0</v>
      </c>
      <c r="AG888" s="147">
        <f t="shared" si="329"/>
        <v>0</v>
      </c>
      <c r="AH888" s="147">
        <f t="shared" si="330"/>
        <v>0</v>
      </c>
      <c r="AI888" s="147">
        <f t="shared" si="331"/>
        <v>0</v>
      </c>
      <c r="AJ888" s="148">
        <f t="shared" si="332"/>
        <v>0</v>
      </c>
      <c r="AK888" s="149">
        <f t="shared" si="336"/>
        <v>0</v>
      </c>
      <c r="AL888" s="149">
        <f t="shared" si="337"/>
        <v>0</v>
      </c>
      <c r="AM888" s="149">
        <f t="shared" si="338"/>
        <v>0</v>
      </c>
      <c r="AN888" s="149">
        <f t="shared" si="339"/>
        <v>0</v>
      </c>
      <c r="AO888" s="150">
        <f t="shared" si="333"/>
        <v>0</v>
      </c>
      <c r="AQ888" s="151">
        <f t="shared" si="334"/>
        <v>0</v>
      </c>
    </row>
    <row r="889" spans="1:43" ht="15" customHeight="1">
      <c r="A889" s="82" t="e">
        <f t="shared" si="319"/>
        <v>#REF!</v>
      </c>
      <c r="B889" s="134">
        <v>115</v>
      </c>
      <c r="C889" s="135" t="s">
        <v>126</v>
      </c>
      <c r="D889" s="136" t="s">
        <v>127</v>
      </c>
      <c r="E889" s="137"/>
      <c r="F889" s="138" t="s">
        <v>154</v>
      </c>
      <c r="G889" s="139" t="s">
        <v>92</v>
      </c>
      <c r="H889" s="140" t="str">
        <f t="shared" si="320"/>
        <v>Niet van toepassing</v>
      </c>
      <c r="I889" s="138" t="s">
        <v>195</v>
      </c>
      <c r="J889" s="138" t="s">
        <v>1172</v>
      </c>
      <c r="K889" s="141" t="str">
        <f t="shared" si="321"/>
        <v>NVT</v>
      </c>
      <c r="L889" s="141" t="str">
        <f t="shared" si="322"/>
        <v>NVT</v>
      </c>
      <c r="M889" s="141" t="str">
        <f t="shared" si="323"/>
        <v>NVT</v>
      </c>
      <c r="N889" s="141" t="str">
        <f t="shared" si="324"/>
        <v>NVT</v>
      </c>
      <c r="O889" s="141" t="str">
        <f t="shared" si="325"/>
        <v>NVT</v>
      </c>
      <c r="P889" s="141" t="str">
        <f t="shared" si="326"/>
        <v>NVT</v>
      </c>
      <c r="Q889" s="141" t="str">
        <f t="shared" si="327"/>
        <v>NVT</v>
      </c>
      <c r="R889" s="63" t="s">
        <v>1221</v>
      </c>
      <c r="S889" s="142">
        <f t="shared" si="335"/>
        <v>0</v>
      </c>
      <c r="T889" s="143">
        <v>3.36</v>
      </c>
      <c r="U889" s="144"/>
      <c r="V889" s="144"/>
      <c r="W889" s="144">
        <v>25</v>
      </c>
      <c r="X889" s="144"/>
      <c r="Y889" s="144"/>
      <c r="Z889" s="145"/>
      <c r="AA889" s="145">
        <f t="shared" ref="AA889:AA895" si="341">T889</f>
        <v>3.36</v>
      </c>
      <c r="AB889" s="145"/>
      <c r="AC889" s="145"/>
      <c r="AD889" s="146" t="s">
        <v>45</v>
      </c>
      <c r="AE889" s="171">
        <v>1</v>
      </c>
      <c r="AF889" s="147">
        <f t="shared" si="328"/>
        <v>0</v>
      </c>
      <c r="AG889" s="147">
        <f t="shared" si="329"/>
        <v>0</v>
      </c>
      <c r="AH889" s="147">
        <f t="shared" si="330"/>
        <v>0</v>
      </c>
      <c r="AI889" s="147">
        <f t="shared" si="331"/>
        <v>0</v>
      </c>
      <c r="AJ889" s="148">
        <f t="shared" si="332"/>
        <v>0</v>
      </c>
      <c r="AK889" s="149">
        <f t="shared" si="336"/>
        <v>0</v>
      </c>
      <c r="AL889" s="149">
        <f t="shared" si="337"/>
        <v>0</v>
      </c>
      <c r="AM889" s="149">
        <f t="shared" si="338"/>
        <v>0</v>
      </c>
      <c r="AN889" s="149">
        <f t="shared" si="339"/>
        <v>0</v>
      </c>
      <c r="AO889" s="150">
        <f t="shared" si="333"/>
        <v>0</v>
      </c>
      <c r="AQ889" s="151">
        <f t="shared" si="334"/>
        <v>0</v>
      </c>
    </row>
    <row r="890" spans="1:43" ht="15" customHeight="1">
      <c r="A890" s="82" t="e">
        <f t="shared" si="319"/>
        <v>#REF!</v>
      </c>
      <c r="B890" s="134">
        <v>115</v>
      </c>
      <c r="C890" s="135" t="s">
        <v>126</v>
      </c>
      <c r="D890" s="136" t="s">
        <v>127</v>
      </c>
      <c r="E890" s="137"/>
      <c r="F890" s="138" t="s">
        <v>155</v>
      </c>
      <c r="G890" s="139" t="s">
        <v>94</v>
      </c>
      <c r="H890" s="140" t="str">
        <f t="shared" si="320"/>
        <v>Niet van toepassing</v>
      </c>
      <c r="I890" s="138" t="s">
        <v>195</v>
      </c>
      <c r="J890" s="138" t="s">
        <v>1172</v>
      </c>
      <c r="K890" s="141" t="str">
        <f t="shared" si="321"/>
        <v>NVT</v>
      </c>
      <c r="L890" s="141" t="str">
        <f t="shared" si="322"/>
        <v>NVT</v>
      </c>
      <c r="M890" s="141" t="str">
        <f t="shared" si="323"/>
        <v>NVT</v>
      </c>
      <c r="N890" s="141" t="str">
        <f t="shared" si="324"/>
        <v>NVT</v>
      </c>
      <c r="O890" s="141" t="str">
        <f t="shared" si="325"/>
        <v>NVT</v>
      </c>
      <c r="P890" s="141" t="str">
        <f t="shared" si="326"/>
        <v>NVT</v>
      </c>
      <c r="Q890" s="141" t="str">
        <f t="shared" si="327"/>
        <v>NVT</v>
      </c>
      <c r="R890" s="63" t="s">
        <v>1221</v>
      </c>
      <c r="S890" s="142">
        <f t="shared" si="335"/>
        <v>0</v>
      </c>
      <c r="T890" s="143">
        <v>10.53</v>
      </c>
      <c r="U890" s="144"/>
      <c r="V890" s="144"/>
      <c r="W890" s="144">
        <v>39</v>
      </c>
      <c r="X890" s="144"/>
      <c r="Y890" s="144"/>
      <c r="Z890" s="145"/>
      <c r="AA890" s="145">
        <f t="shared" si="341"/>
        <v>10.53</v>
      </c>
      <c r="AB890" s="145"/>
      <c r="AC890" s="145"/>
      <c r="AD890" s="146" t="s">
        <v>134</v>
      </c>
      <c r="AE890" s="171">
        <v>1</v>
      </c>
      <c r="AF890" s="147">
        <f t="shared" si="328"/>
        <v>0</v>
      </c>
      <c r="AG890" s="147">
        <f t="shared" si="329"/>
        <v>0</v>
      </c>
      <c r="AH890" s="147">
        <f t="shared" si="330"/>
        <v>0</v>
      </c>
      <c r="AI890" s="147">
        <f t="shared" si="331"/>
        <v>0</v>
      </c>
      <c r="AJ890" s="148">
        <f t="shared" si="332"/>
        <v>0</v>
      </c>
      <c r="AK890" s="149">
        <f t="shared" si="336"/>
        <v>0</v>
      </c>
      <c r="AL890" s="149">
        <f t="shared" si="337"/>
        <v>0</v>
      </c>
      <c r="AM890" s="149">
        <f t="shared" si="338"/>
        <v>0</v>
      </c>
      <c r="AN890" s="149">
        <f t="shared" si="339"/>
        <v>0</v>
      </c>
      <c r="AO890" s="150">
        <f t="shared" si="333"/>
        <v>0</v>
      </c>
      <c r="AQ890" s="151">
        <f t="shared" si="334"/>
        <v>0</v>
      </c>
    </row>
    <row r="891" spans="1:43" ht="15" customHeight="1">
      <c r="A891" s="82" t="e">
        <f t="shared" si="319"/>
        <v>#REF!</v>
      </c>
      <c r="B891" s="134">
        <v>115</v>
      </c>
      <c r="C891" s="135" t="s">
        <v>126</v>
      </c>
      <c r="D891" s="136" t="s">
        <v>127</v>
      </c>
      <c r="E891" s="137"/>
      <c r="F891" s="138" t="s">
        <v>156</v>
      </c>
      <c r="G891" s="139" t="s">
        <v>100</v>
      </c>
      <c r="H891" s="140" t="str">
        <f t="shared" si="320"/>
        <v>Niet van toepassing</v>
      </c>
      <c r="I891" s="138" t="s">
        <v>195</v>
      </c>
      <c r="J891" s="138" t="s">
        <v>1172</v>
      </c>
      <c r="K891" s="141" t="str">
        <f t="shared" si="321"/>
        <v>NVT</v>
      </c>
      <c r="L891" s="141" t="str">
        <f t="shared" si="322"/>
        <v>NVT</v>
      </c>
      <c r="M891" s="141" t="str">
        <f t="shared" si="323"/>
        <v>NVT</v>
      </c>
      <c r="N891" s="141" t="str">
        <f t="shared" si="324"/>
        <v>NVT</v>
      </c>
      <c r="O891" s="141" t="str">
        <f t="shared" si="325"/>
        <v>NVT</v>
      </c>
      <c r="P891" s="141" t="str">
        <f t="shared" si="326"/>
        <v>NVT</v>
      </c>
      <c r="Q891" s="141" t="str">
        <f t="shared" si="327"/>
        <v>NVT</v>
      </c>
      <c r="R891" s="63" t="s">
        <v>1221</v>
      </c>
      <c r="S891" s="142">
        <f t="shared" si="335"/>
        <v>0</v>
      </c>
      <c r="T891" s="143">
        <v>6.55</v>
      </c>
      <c r="U891" s="144"/>
      <c r="V891" s="144"/>
      <c r="W891" s="144">
        <v>11.7</v>
      </c>
      <c r="X891" s="144"/>
      <c r="Y891" s="144"/>
      <c r="Z891" s="145"/>
      <c r="AA891" s="145">
        <f t="shared" si="341"/>
        <v>6.55</v>
      </c>
      <c r="AB891" s="145"/>
      <c r="AC891" s="145"/>
      <c r="AD891" s="146" t="s">
        <v>1120</v>
      </c>
      <c r="AE891" s="171">
        <v>1</v>
      </c>
      <c r="AF891" s="147">
        <f t="shared" si="328"/>
        <v>0</v>
      </c>
      <c r="AG891" s="147">
        <f t="shared" si="329"/>
        <v>0</v>
      </c>
      <c r="AH891" s="147">
        <f t="shared" si="330"/>
        <v>0</v>
      </c>
      <c r="AI891" s="147">
        <f t="shared" si="331"/>
        <v>0</v>
      </c>
      <c r="AJ891" s="148">
        <f t="shared" si="332"/>
        <v>0</v>
      </c>
      <c r="AK891" s="149">
        <f t="shared" si="336"/>
        <v>0</v>
      </c>
      <c r="AL891" s="149">
        <f t="shared" si="337"/>
        <v>0</v>
      </c>
      <c r="AM891" s="149">
        <f t="shared" si="338"/>
        <v>0</v>
      </c>
      <c r="AN891" s="149">
        <f t="shared" si="339"/>
        <v>0</v>
      </c>
      <c r="AO891" s="150">
        <f t="shared" si="333"/>
        <v>0</v>
      </c>
      <c r="AQ891" s="151">
        <f t="shared" si="334"/>
        <v>0</v>
      </c>
    </row>
    <row r="892" spans="1:43" ht="15" customHeight="1">
      <c r="A892" s="82" t="e">
        <f t="shared" ref="A892:A950" si="342">1+A891</f>
        <v>#REF!</v>
      </c>
      <c r="B892" s="134">
        <v>115</v>
      </c>
      <c r="C892" s="135" t="s">
        <v>126</v>
      </c>
      <c r="D892" s="136" t="s">
        <v>127</v>
      </c>
      <c r="E892" s="137"/>
      <c r="F892" s="138" t="s">
        <v>33</v>
      </c>
      <c r="G892" s="139" t="s">
        <v>157</v>
      </c>
      <c r="H892" s="140" t="str">
        <f t="shared" si="320"/>
        <v>Niet van toepassing</v>
      </c>
      <c r="I892" s="138" t="s">
        <v>195</v>
      </c>
      <c r="J892" s="138" t="s">
        <v>1172</v>
      </c>
      <c r="K892" s="141" t="str">
        <f t="shared" si="321"/>
        <v>NVT</v>
      </c>
      <c r="L892" s="141" t="str">
        <f t="shared" si="322"/>
        <v>NVT</v>
      </c>
      <c r="M892" s="141" t="str">
        <f t="shared" si="323"/>
        <v>NVT</v>
      </c>
      <c r="N892" s="141" t="str">
        <f t="shared" si="324"/>
        <v>NVT</v>
      </c>
      <c r="O892" s="141" t="str">
        <f t="shared" si="325"/>
        <v>NVT</v>
      </c>
      <c r="P892" s="141" t="str">
        <f t="shared" si="326"/>
        <v>NVT</v>
      </c>
      <c r="Q892" s="141" t="str">
        <f t="shared" si="327"/>
        <v>NVT</v>
      </c>
      <c r="R892" s="63" t="s">
        <v>1221</v>
      </c>
      <c r="S892" s="142">
        <f t="shared" si="335"/>
        <v>0</v>
      </c>
      <c r="T892" s="143">
        <v>6.25</v>
      </c>
      <c r="U892" s="144"/>
      <c r="V892" s="144"/>
      <c r="W892" s="144">
        <v>35</v>
      </c>
      <c r="X892" s="144"/>
      <c r="Y892" s="144"/>
      <c r="Z892" s="145"/>
      <c r="AA892" s="145">
        <f t="shared" si="341"/>
        <v>6.25</v>
      </c>
      <c r="AB892" s="145"/>
      <c r="AC892" s="145"/>
      <c r="AD892" s="146" t="s">
        <v>45</v>
      </c>
      <c r="AE892" s="171">
        <v>1</v>
      </c>
      <c r="AF892" s="147">
        <f t="shared" si="328"/>
        <v>0</v>
      </c>
      <c r="AG892" s="147">
        <f t="shared" si="329"/>
        <v>0</v>
      </c>
      <c r="AH892" s="147">
        <f t="shared" si="330"/>
        <v>0</v>
      </c>
      <c r="AI892" s="147">
        <f t="shared" si="331"/>
        <v>0</v>
      </c>
      <c r="AJ892" s="148">
        <f t="shared" si="332"/>
        <v>0</v>
      </c>
      <c r="AK892" s="149">
        <f t="shared" si="336"/>
        <v>0</v>
      </c>
      <c r="AL892" s="149">
        <f t="shared" si="337"/>
        <v>0</v>
      </c>
      <c r="AM892" s="149">
        <f t="shared" si="338"/>
        <v>0</v>
      </c>
      <c r="AN892" s="149">
        <f t="shared" si="339"/>
        <v>0</v>
      </c>
      <c r="AO892" s="150">
        <f t="shared" si="333"/>
        <v>0</v>
      </c>
      <c r="AQ892" s="151">
        <f t="shared" si="334"/>
        <v>0</v>
      </c>
    </row>
    <row r="893" spans="1:43" ht="15" customHeight="1">
      <c r="A893" s="82" t="e">
        <f t="shared" si="342"/>
        <v>#REF!</v>
      </c>
      <c r="B893" s="134">
        <v>115</v>
      </c>
      <c r="C893" s="135" t="s">
        <v>126</v>
      </c>
      <c r="D893" s="136" t="s">
        <v>127</v>
      </c>
      <c r="E893" s="137"/>
      <c r="F893" s="138" t="s">
        <v>158</v>
      </c>
      <c r="G893" s="139" t="s">
        <v>159</v>
      </c>
      <c r="H893" s="140" t="str">
        <f t="shared" si="320"/>
        <v>Niet van toepassing</v>
      </c>
      <c r="I893" s="138" t="s">
        <v>195</v>
      </c>
      <c r="J893" s="138" t="s">
        <v>1172</v>
      </c>
      <c r="K893" s="141" t="str">
        <f t="shared" si="321"/>
        <v>NVT</v>
      </c>
      <c r="L893" s="141" t="str">
        <f t="shared" si="322"/>
        <v>NVT</v>
      </c>
      <c r="M893" s="141" t="str">
        <f t="shared" si="323"/>
        <v>NVT</v>
      </c>
      <c r="N893" s="141" t="str">
        <f t="shared" si="324"/>
        <v>NVT</v>
      </c>
      <c r="O893" s="141" t="str">
        <f t="shared" si="325"/>
        <v>NVT</v>
      </c>
      <c r="P893" s="141" t="str">
        <f t="shared" si="326"/>
        <v>NVT</v>
      </c>
      <c r="Q893" s="141" t="str">
        <f t="shared" si="327"/>
        <v>NVT</v>
      </c>
      <c r="R893" s="63" t="s">
        <v>1221</v>
      </c>
      <c r="S893" s="142">
        <f t="shared" si="335"/>
        <v>0</v>
      </c>
      <c r="T893" s="143">
        <v>5.25</v>
      </c>
      <c r="U893" s="144"/>
      <c r="V893" s="144"/>
      <c r="W893" s="144">
        <v>35</v>
      </c>
      <c r="X893" s="144"/>
      <c r="Y893" s="144"/>
      <c r="Z893" s="145"/>
      <c r="AA893" s="145">
        <f t="shared" si="341"/>
        <v>5.25</v>
      </c>
      <c r="AB893" s="145"/>
      <c r="AC893" s="145"/>
      <c r="AD893" s="146" t="s">
        <v>1121</v>
      </c>
      <c r="AE893" s="171">
        <v>1</v>
      </c>
      <c r="AF893" s="147">
        <f t="shared" si="328"/>
        <v>0</v>
      </c>
      <c r="AG893" s="147">
        <f t="shared" si="329"/>
        <v>0</v>
      </c>
      <c r="AH893" s="147">
        <f t="shared" si="330"/>
        <v>0</v>
      </c>
      <c r="AI893" s="147">
        <f t="shared" si="331"/>
        <v>0</v>
      </c>
      <c r="AJ893" s="148">
        <f t="shared" si="332"/>
        <v>0</v>
      </c>
      <c r="AK893" s="149">
        <f t="shared" si="336"/>
        <v>0</v>
      </c>
      <c r="AL893" s="149">
        <f t="shared" si="337"/>
        <v>0</v>
      </c>
      <c r="AM893" s="149">
        <f t="shared" si="338"/>
        <v>0</v>
      </c>
      <c r="AN893" s="149">
        <f t="shared" si="339"/>
        <v>0</v>
      </c>
      <c r="AO893" s="150">
        <f t="shared" si="333"/>
        <v>0</v>
      </c>
      <c r="AQ893" s="151">
        <f t="shared" si="334"/>
        <v>0</v>
      </c>
    </row>
    <row r="894" spans="1:43" ht="15" customHeight="1">
      <c r="A894" s="82" t="e">
        <f t="shared" si="342"/>
        <v>#REF!</v>
      </c>
      <c r="B894" s="134">
        <v>115</v>
      </c>
      <c r="C894" s="135" t="s">
        <v>126</v>
      </c>
      <c r="D894" s="136" t="s">
        <v>127</v>
      </c>
      <c r="E894" s="137"/>
      <c r="F894" s="138" t="s">
        <v>160</v>
      </c>
      <c r="G894" s="139" t="s">
        <v>161</v>
      </c>
      <c r="H894" s="140" t="str">
        <f t="shared" si="320"/>
        <v>Niet van toepassing</v>
      </c>
      <c r="I894" s="138" t="s">
        <v>195</v>
      </c>
      <c r="J894" s="138" t="s">
        <v>1172</v>
      </c>
      <c r="K894" s="141" t="str">
        <f t="shared" si="321"/>
        <v>NVT</v>
      </c>
      <c r="L894" s="141" t="str">
        <f t="shared" si="322"/>
        <v>NVT</v>
      </c>
      <c r="M894" s="141" t="str">
        <f t="shared" si="323"/>
        <v>NVT</v>
      </c>
      <c r="N894" s="141" t="str">
        <f t="shared" si="324"/>
        <v>NVT</v>
      </c>
      <c r="O894" s="141" t="str">
        <f t="shared" si="325"/>
        <v>NVT</v>
      </c>
      <c r="P894" s="141" t="str">
        <f t="shared" si="326"/>
        <v>NVT</v>
      </c>
      <c r="Q894" s="141" t="str">
        <f t="shared" si="327"/>
        <v>NVT</v>
      </c>
      <c r="R894" s="63" t="s">
        <v>1221</v>
      </c>
      <c r="S894" s="142">
        <f t="shared" si="335"/>
        <v>0</v>
      </c>
      <c r="T894" s="143">
        <v>11.57</v>
      </c>
      <c r="U894" s="144"/>
      <c r="V894" s="144"/>
      <c r="W894" s="144">
        <v>39</v>
      </c>
      <c r="X894" s="144"/>
      <c r="Y894" s="144"/>
      <c r="Z894" s="145"/>
      <c r="AA894" s="145">
        <f t="shared" si="341"/>
        <v>11.57</v>
      </c>
      <c r="AB894" s="145"/>
      <c r="AC894" s="145"/>
      <c r="AD894" s="146" t="s">
        <v>134</v>
      </c>
      <c r="AE894" s="171">
        <v>1</v>
      </c>
      <c r="AF894" s="147">
        <f t="shared" si="328"/>
        <v>0</v>
      </c>
      <c r="AG894" s="147">
        <f t="shared" si="329"/>
        <v>0</v>
      </c>
      <c r="AH894" s="147">
        <f t="shared" si="330"/>
        <v>0</v>
      </c>
      <c r="AI894" s="147">
        <f t="shared" si="331"/>
        <v>0</v>
      </c>
      <c r="AJ894" s="148">
        <f t="shared" si="332"/>
        <v>0</v>
      </c>
      <c r="AK894" s="149">
        <f t="shared" si="336"/>
        <v>0</v>
      </c>
      <c r="AL894" s="149">
        <f t="shared" si="337"/>
        <v>0</v>
      </c>
      <c r="AM894" s="149">
        <f t="shared" si="338"/>
        <v>0</v>
      </c>
      <c r="AN894" s="149">
        <f t="shared" si="339"/>
        <v>0</v>
      </c>
      <c r="AO894" s="150">
        <f t="shared" si="333"/>
        <v>0</v>
      </c>
      <c r="AQ894" s="151">
        <f t="shared" si="334"/>
        <v>0</v>
      </c>
    </row>
    <row r="895" spans="1:43" ht="15" customHeight="1">
      <c r="A895" s="82" t="e">
        <f t="shared" si="342"/>
        <v>#REF!</v>
      </c>
      <c r="B895" s="134">
        <v>115</v>
      </c>
      <c r="C895" s="135" t="s">
        <v>126</v>
      </c>
      <c r="D895" s="136" t="s">
        <v>127</v>
      </c>
      <c r="E895" s="137"/>
      <c r="F895" s="138" t="s">
        <v>162</v>
      </c>
      <c r="G895" s="139" t="s">
        <v>163</v>
      </c>
      <c r="H895" s="140" t="str">
        <f t="shared" si="320"/>
        <v>Niet van toepassing</v>
      </c>
      <c r="I895" s="138" t="s">
        <v>270</v>
      </c>
      <c r="J895" s="138" t="s">
        <v>1172</v>
      </c>
      <c r="K895" s="141" t="str">
        <f t="shared" si="321"/>
        <v>NVT</v>
      </c>
      <c r="L895" s="141" t="str">
        <f t="shared" si="322"/>
        <v>NVT</v>
      </c>
      <c r="M895" s="141" t="str">
        <f t="shared" si="323"/>
        <v>NVT</v>
      </c>
      <c r="N895" s="141" t="str">
        <f t="shared" si="324"/>
        <v>NVT</v>
      </c>
      <c r="O895" s="141" t="str">
        <f t="shared" si="325"/>
        <v>NVT</v>
      </c>
      <c r="P895" s="141" t="str">
        <f t="shared" si="326"/>
        <v>NVT</v>
      </c>
      <c r="Q895" s="141" t="str">
        <f t="shared" si="327"/>
        <v>NVT</v>
      </c>
      <c r="R895" s="63" t="s">
        <v>1221</v>
      </c>
      <c r="S895" s="142">
        <f t="shared" si="335"/>
        <v>0</v>
      </c>
      <c r="T895" s="143">
        <v>8.6300000000000008</v>
      </c>
      <c r="U895" s="144"/>
      <c r="V895" s="144"/>
      <c r="W895" s="144">
        <v>32</v>
      </c>
      <c r="X895" s="144"/>
      <c r="Y895" s="144"/>
      <c r="Z895" s="145"/>
      <c r="AA895" s="145">
        <f t="shared" si="341"/>
        <v>8.6300000000000008</v>
      </c>
      <c r="AB895" s="145"/>
      <c r="AC895" s="145"/>
      <c r="AD895" s="146" t="s">
        <v>134</v>
      </c>
      <c r="AE895" s="171">
        <v>1</v>
      </c>
      <c r="AF895" s="147">
        <f t="shared" si="328"/>
        <v>0</v>
      </c>
      <c r="AG895" s="147">
        <f t="shared" si="329"/>
        <v>0</v>
      </c>
      <c r="AH895" s="147">
        <f t="shared" si="330"/>
        <v>0</v>
      </c>
      <c r="AI895" s="147">
        <f t="shared" si="331"/>
        <v>0</v>
      </c>
      <c r="AJ895" s="148">
        <f t="shared" si="332"/>
        <v>0</v>
      </c>
      <c r="AK895" s="149">
        <f t="shared" si="336"/>
        <v>0</v>
      </c>
      <c r="AL895" s="149">
        <f t="shared" si="337"/>
        <v>0</v>
      </c>
      <c r="AM895" s="149">
        <f t="shared" si="338"/>
        <v>0</v>
      </c>
      <c r="AN895" s="149">
        <f t="shared" si="339"/>
        <v>0</v>
      </c>
      <c r="AO895" s="150">
        <f t="shared" si="333"/>
        <v>0</v>
      </c>
      <c r="AQ895" s="151">
        <f t="shared" si="334"/>
        <v>0</v>
      </c>
    </row>
    <row r="896" spans="1:43" ht="15" customHeight="1">
      <c r="A896" s="82" t="e">
        <f t="shared" si="342"/>
        <v>#REF!</v>
      </c>
      <c r="B896" s="134">
        <v>115</v>
      </c>
      <c r="C896" s="135" t="s">
        <v>126</v>
      </c>
      <c r="D896" s="136" t="s">
        <v>127</v>
      </c>
      <c r="E896" s="137"/>
      <c r="F896" s="138" t="s">
        <v>164</v>
      </c>
      <c r="G896" s="139" t="s">
        <v>165</v>
      </c>
      <c r="H896" s="140" t="str">
        <f t="shared" si="320"/>
        <v>Kantoren/spreekkamers</v>
      </c>
      <c r="I896" s="138" t="s">
        <v>270</v>
      </c>
      <c r="J896" s="138" t="s">
        <v>1170</v>
      </c>
      <c r="K896" s="141" t="str">
        <f t="shared" si="321"/>
        <v>Volledig</v>
      </c>
      <c r="L896" s="141" t="str">
        <f t="shared" si="322"/>
        <v>naloop</v>
      </c>
      <c r="M896" s="141" t="str">
        <f t="shared" si="323"/>
        <v>naloop</v>
      </c>
      <c r="N896" s="141" t="str">
        <f t="shared" si="324"/>
        <v>Volledig</v>
      </c>
      <c r="O896" s="141" t="str">
        <f t="shared" si="325"/>
        <v>naloop</v>
      </c>
      <c r="P896" s="141" t="str">
        <f t="shared" si="326"/>
        <v>naloop</v>
      </c>
      <c r="Q896" s="141" t="str">
        <f t="shared" si="327"/>
        <v>naloop</v>
      </c>
      <c r="R896" s="63" t="s">
        <v>1219</v>
      </c>
      <c r="S896" s="142">
        <f t="shared" si="335"/>
        <v>365</v>
      </c>
      <c r="T896" s="143">
        <v>16.23</v>
      </c>
      <c r="U896" s="144"/>
      <c r="V896" s="144"/>
      <c r="W896" s="144"/>
      <c r="X896" s="144"/>
      <c r="Y896" s="144">
        <v>61</v>
      </c>
      <c r="Z896" s="145"/>
      <c r="AA896" s="145"/>
      <c r="AB896" s="145">
        <f>T896</f>
        <v>16.23</v>
      </c>
      <c r="AC896" s="145"/>
      <c r="AD896" s="146" t="s">
        <v>45</v>
      </c>
      <c r="AE896" s="171">
        <v>1</v>
      </c>
      <c r="AF896" s="147">
        <f t="shared" si="328"/>
        <v>0</v>
      </c>
      <c r="AG896" s="147">
        <f t="shared" si="329"/>
        <v>0</v>
      </c>
      <c r="AH896" s="147">
        <f t="shared" si="330"/>
        <v>0</v>
      </c>
      <c r="AI896" s="147">
        <f t="shared" si="331"/>
        <v>0</v>
      </c>
      <c r="AJ896" s="148" t="str">
        <f t="shared" si="332"/>
        <v>nee</v>
      </c>
      <c r="AK896" s="149">
        <f t="shared" si="336"/>
        <v>0</v>
      </c>
      <c r="AL896" s="149">
        <f t="shared" si="337"/>
        <v>0</v>
      </c>
      <c r="AM896" s="149">
        <f t="shared" si="338"/>
        <v>0</v>
      </c>
      <c r="AN896" s="149">
        <f t="shared" si="339"/>
        <v>0</v>
      </c>
      <c r="AO896" s="150" t="str">
        <f t="shared" si="333"/>
        <v>B</v>
      </c>
      <c r="AQ896" s="151">
        <f t="shared" si="334"/>
        <v>5923.95</v>
      </c>
    </row>
    <row r="897" spans="1:43" ht="15" customHeight="1">
      <c r="A897" s="82" t="e">
        <f t="shared" si="342"/>
        <v>#REF!</v>
      </c>
      <c r="B897" s="134">
        <v>115</v>
      </c>
      <c r="C897" s="135" t="s">
        <v>126</v>
      </c>
      <c r="D897" s="136" t="s">
        <v>127</v>
      </c>
      <c r="E897" s="137"/>
      <c r="F897" s="138" t="s">
        <v>167</v>
      </c>
      <c r="G897" s="139" t="s">
        <v>168</v>
      </c>
      <c r="H897" s="140" t="str">
        <f t="shared" si="320"/>
        <v>Trappen</v>
      </c>
      <c r="I897" s="138" t="s">
        <v>118</v>
      </c>
      <c r="J897" s="138" t="s">
        <v>1170</v>
      </c>
      <c r="K897" s="141" t="str">
        <f t="shared" si="321"/>
        <v>Volledig</v>
      </c>
      <c r="L897" s="141" t="str">
        <f t="shared" si="322"/>
        <v>naloop</v>
      </c>
      <c r="M897" s="141" t="str">
        <f t="shared" si="323"/>
        <v>naloop</v>
      </c>
      <c r="N897" s="141" t="str">
        <f t="shared" si="324"/>
        <v>Volledig</v>
      </c>
      <c r="O897" s="141" t="str">
        <f t="shared" si="325"/>
        <v>naloop</v>
      </c>
      <c r="P897" s="141" t="str">
        <f t="shared" si="326"/>
        <v>naloop</v>
      </c>
      <c r="Q897" s="141" t="str">
        <f t="shared" si="327"/>
        <v>naloop</v>
      </c>
      <c r="R897" s="63" t="s">
        <v>1476</v>
      </c>
      <c r="S897" s="142">
        <f t="shared" si="335"/>
        <v>365</v>
      </c>
      <c r="T897" s="143">
        <f>10.3*2.6*1.5+1.7*3*1.5+28.1</f>
        <v>75.92</v>
      </c>
      <c r="U897" s="144" t="s">
        <v>1111</v>
      </c>
      <c r="V897" s="144"/>
      <c r="W897" s="144"/>
      <c r="X897" s="144"/>
      <c r="Y897" s="144"/>
      <c r="Z897" s="145"/>
      <c r="AA897" s="145"/>
      <c r="AB897" s="145"/>
      <c r="AC897" s="145"/>
      <c r="AD897" s="146" t="s">
        <v>42</v>
      </c>
      <c r="AE897" s="171">
        <v>1</v>
      </c>
      <c r="AF897" s="147">
        <f t="shared" si="328"/>
        <v>0</v>
      </c>
      <c r="AG897" s="147">
        <f t="shared" si="329"/>
        <v>0</v>
      </c>
      <c r="AH897" s="147">
        <f t="shared" si="330"/>
        <v>0</v>
      </c>
      <c r="AI897" s="147">
        <f t="shared" si="331"/>
        <v>0</v>
      </c>
      <c r="AJ897" s="148" t="str">
        <f t="shared" si="332"/>
        <v>ja</v>
      </c>
      <c r="AK897" s="149">
        <f t="shared" si="336"/>
        <v>0</v>
      </c>
      <c r="AL897" s="149">
        <f t="shared" si="337"/>
        <v>0</v>
      </c>
      <c r="AM897" s="149">
        <f t="shared" si="338"/>
        <v>0</v>
      </c>
      <c r="AN897" s="149">
        <f t="shared" si="339"/>
        <v>0</v>
      </c>
      <c r="AO897" s="150" t="str">
        <f t="shared" si="333"/>
        <v>V</v>
      </c>
      <c r="AQ897" s="151">
        <f t="shared" si="334"/>
        <v>27710.799999999999</v>
      </c>
    </row>
    <row r="898" spans="1:43" ht="15" customHeight="1">
      <c r="A898" s="82" t="e">
        <f t="shared" si="342"/>
        <v>#REF!</v>
      </c>
      <c r="B898" s="134">
        <v>115</v>
      </c>
      <c r="C898" s="135" t="s">
        <v>126</v>
      </c>
      <c r="D898" s="136" t="s">
        <v>127</v>
      </c>
      <c r="E898" s="137"/>
      <c r="F898" s="138" t="s">
        <v>167</v>
      </c>
      <c r="G898" s="139" t="s">
        <v>170</v>
      </c>
      <c r="H898" s="140" t="str">
        <f t="shared" si="320"/>
        <v>Trappen</v>
      </c>
      <c r="I898" s="138" t="s">
        <v>118</v>
      </c>
      <c r="J898" s="138" t="s">
        <v>1170</v>
      </c>
      <c r="K898" s="141" t="str">
        <f t="shared" si="321"/>
        <v>Volledig</v>
      </c>
      <c r="L898" s="141" t="str">
        <f t="shared" si="322"/>
        <v>naloop</v>
      </c>
      <c r="M898" s="141" t="str">
        <f t="shared" si="323"/>
        <v>naloop</v>
      </c>
      <c r="N898" s="141" t="str">
        <f t="shared" si="324"/>
        <v>Volledig</v>
      </c>
      <c r="O898" s="141" t="str">
        <f t="shared" si="325"/>
        <v>naloop</v>
      </c>
      <c r="P898" s="141" t="str">
        <f t="shared" si="326"/>
        <v>naloop</v>
      </c>
      <c r="Q898" s="141" t="str">
        <f t="shared" si="327"/>
        <v>naloop</v>
      </c>
      <c r="R898" s="63" t="s">
        <v>1476</v>
      </c>
      <c r="S898" s="142">
        <f t="shared" si="335"/>
        <v>365</v>
      </c>
      <c r="T898" s="143">
        <v>62.4</v>
      </c>
      <c r="U898" s="144" t="s">
        <v>1111</v>
      </c>
      <c r="V898" s="144"/>
      <c r="W898" s="144"/>
      <c r="X898" s="144"/>
      <c r="Y898" s="144"/>
      <c r="Z898" s="145"/>
      <c r="AA898" s="145"/>
      <c r="AB898" s="145"/>
      <c r="AC898" s="145"/>
      <c r="AD898" s="146" t="s">
        <v>45</v>
      </c>
      <c r="AE898" s="171">
        <v>1</v>
      </c>
      <c r="AF898" s="147">
        <f t="shared" si="328"/>
        <v>0</v>
      </c>
      <c r="AG898" s="147">
        <f t="shared" si="329"/>
        <v>0</v>
      </c>
      <c r="AH898" s="147">
        <f t="shared" si="330"/>
        <v>0</v>
      </c>
      <c r="AI898" s="147">
        <f t="shared" si="331"/>
        <v>0</v>
      </c>
      <c r="AJ898" s="148" t="str">
        <f t="shared" si="332"/>
        <v>ja</v>
      </c>
      <c r="AK898" s="149">
        <f t="shared" si="336"/>
        <v>0</v>
      </c>
      <c r="AL898" s="149">
        <f t="shared" si="337"/>
        <v>0</v>
      </c>
      <c r="AM898" s="149">
        <f t="shared" si="338"/>
        <v>0</v>
      </c>
      <c r="AN898" s="149">
        <f t="shared" si="339"/>
        <v>0</v>
      </c>
      <c r="AO898" s="150" t="str">
        <f t="shared" si="333"/>
        <v>V</v>
      </c>
      <c r="AQ898" s="151">
        <f t="shared" si="334"/>
        <v>22776</v>
      </c>
    </row>
    <row r="899" spans="1:43" ht="15" customHeight="1">
      <c r="A899" s="82" t="e">
        <f t="shared" si="342"/>
        <v>#REF!</v>
      </c>
      <c r="B899" s="134">
        <v>115</v>
      </c>
      <c r="C899" s="135" t="s">
        <v>126</v>
      </c>
      <c r="D899" s="136" t="s">
        <v>127</v>
      </c>
      <c r="E899" s="137"/>
      <c r="F899" s="138" t="s">
        <v>115</v>
      </c>
      <c r="G899" s="139" t="s">
        <v>171</v>
      </c>
      <c r="H899" s="140" t="str">
        <f t="shared" si="320"/>
        <v>Niet van toepassing</v>
      </c>
      <c r="I899" s="138" t="s">
        <v>195</v>
      </c>
      <c r="J899" s="138" t="s">
        <v>1172</v>
      </c>
      <c r="K899" s="141" t="str">
        <f t="shared" si="321"/>
        <v>NVT</v>
      </c>
      <c r="L899" s="141" t="str">
        <f t="shared" si="322"/>
        <v>NVT</v>
      </c>
      <c r="M899" s="141" t="str">
        <f t="shared" si="323"/>
        <v>NVT</v>
      </c>
      <c r="N899" s="141" t="str">
        <f t="shared" si="324"/>
        <v>NVT</v>
      </c>
      <c r="O899" s="141" t="str">
        <f t="shared" si="325"/>
        <v>NVT</v>
      </c>
      <c r="P899" s="141" t="str">
        <f t="shared" si="326"/>
        <v>NVT</v>
      </c>
      <c r="Q899" s="141" t="str">
        <f t="shared" si="327"/>
        <v>NVT</v>
      </c>
      <c r="R899" s="63" t="s">
        <v>1221</v>
      </c>
      <c r="S899" s="142">
        <f t="shared" si="335"/>
        <v>0</v>
      </c>
      <c r="T899" s="143">
        <v>13.76</v>
      </c>
      <c r="U899" s="144"/>
      <c r="V899" s="144"/>
      <c r="W899" s="144"/>
      <c r="X899" s="144"/>
      <c r="Y899" s="144">
        <v>38</v>
      </c>
      <c r="Z899" s="145"/>
      <c r="AA899" s="145"/>
      <c r="AB899" s="145">
        <f>T899</f>
        <v>13.76</v>
      </c>
      <c r="AC899" s="145"/>
      <c r="AD899" s="146"/>
      <c r="AE899" s="171">
        <v>1</v>
      </c>
      <c r="AF899" s="147">
        <f t="shared" si="328"/>
        <v>0</v>
      </c>
      <c r="AG899" s="147">
        <f t="shared" si="329"/>
        <v>0</v>
      </c>
      <c r="AH899" s="147">
        <f t="shared" si="330"/>
        <v>0</v>
      </c>
      <c r="AI899" s="147">
        <f t="shared" si="331"/>
        <v>0</v>
      </c>
      <c r="AJ899" s="148">
        <f t="shared" si="332"/>
        <v>0</v>
      </c>
      <c r="AK899" s="149">
        <f t="shared" si="336"/>
        <v>0</v>
      </c>
      <c r="AL899" s="149">
        <f t="shared" si="337"/>
        <v>0</v>
      </c>
      <c r="AM899" s="149">
        <f t="shared" si="338"/>
        <v>0</v>
      </c>
      <c r="AN899" s="149">
        <f t="shared" si="339"/>
        <v>0</v>
      </c>
      <c r="AO899" s="150">
        <f t="shared" si="333"/>
        <v>0</v>
      </c>
      <c r="AQ899" s="151">
        <f t="shared" si="334"/>
        <v>0</v>
      </c>
    </row>
    <row r="900" spans="1:43" ht="15" customHeight="1">
      <c r="A900" s="82" t="e">
        <f t="shared" si="342"/>
        <v>#REF!</v>
      </c>
      <c r="B900" s="134">
        <v>115</v>
      </c>
      <c r="C900" s="135" t="s">
        <v>126</v>
      </c>
      <c r="D900" s="136" t="s">
        <v>127</v>
      </c>
      <c r="E900" s="137"/>
      <c r="F900" s="138" t="s">
        <v>152</v>
      </c>
      <c r="G900" s="139" t="s">
        <v>172</v>
      </c>
      <c r="H900" s="140" t="str">
        <f t="shared" si="320"/>
        <v>Niet van toepassing</v>
      </c>
      <c r="I900" s="138" t="s">
        <v>195</v>
      </c>
      <c r="J900" s="138" t="s">
        <v>1172</v>
      </c>
      <c r="K900" s="141" t="str">
        <f t="shared" si="321"/>
        <v>NVT</v>
      </c>
      <c r="L900" s="141" t="str">
        <f t="shared" si="322"/>
        <v>NVT</v>
      </c>
      <c r="M900" s="141" t="str">
        <f t="shared" si="323"/>
        <v>NVT</v>
      </c>
      <c r="N900" s="141" t="str">
        <f t="shared" si="324"/>
        <v>NVT</v>
      </c>
      <c r="O900" s="141" t="str">
        <f t="shared" si="325"/>
        <v>NVT</v>
      </c>
      <c r="P900" s="141" t="str">
        <f t="shared" si="326"/>
        <v>NVT</v>
      </c>
      <c r="Q900" s="141" t="str">
        <f t="shared" si="327"/>
        <v>NVT</v>
      </c>
      <c r="R900" s="63" t="s">
        <v>1221</v>
      </c>
      <c r="S900" s="142">
        <f t="shared" si="335"/>
        <v>0</v>
      </c>
      <c r="T900" s="143">
        <v>25.15</v>
      </c>
      <c r="U900" s="144"/>
      <c r="V900" s="144"/>
      <c r="W900" s="144"/>
      <c r="X900" s="144"/>
      <c r="Y900" s="144">
        <v>175.6</v>
      </c>
      <c r="Z900" s="145"/>
      <c r="AA900" s="145"/>
      <c r="AB900" s="145">
        <v>13.1</v>
      </c>
      <c r="AC900" s="145"/>
      <c r="AD900" s="146" t="s">
        <v>1122</v>
      </c>
      <c r="AE900" s="171">
        <v>1</v>
      </c>
      <c r="AF900" s="147">
        <f t="shared" si="328"/>
        <v>0</v>
      </c>
      <c r="AG900" s="147">
        <f t="shared" si="329"/>
        <v>0</v>
      </c>
      <c r="AH900" s="147">
        <f t="shared" si="330"/>
        <v>0</v>
      </c>
      <c r="AI900" s="147">
        <f t="shared" si="331"/>
        <v>0</v>
      </c>
      <c r="AJ900" s="148">
        <f t="shared" si="332"/>
        <v>0</v>
      </c>
      <c r="AK900" s="149">
        <f t="shared" si="336"/>
        <v>0</v>
      </c>
      <c r="AL900" s="149">
        <f t="shared" si="337"/>
        <v>0</v>
      </c>
      <c r="AM900" s="149">
        <f t="shared" si="338"/>
        <v>0</v>
      </c>
      <c r="AN900" s="149">
        <f t="shared" si="339"/>
        <v>0</v>
      </c>
      <c r="AO900" s="150">
        <f t="shared" si="333"/>
        <v>0</v>
      </c>
      <c r="AQ900" s="151">
        <f t="shared" si="334"/>
        <v>0</v>
      </c>
    </row>
    <row r="901" spans="1:43" ht="15" customHeight="1">
      <c r="A901" s="82" t="e">
        <f t="shared" si="342"/>
        <v>#REF!</v>
      </c>
      <c r="B901" s="134">
        <v>115</v>
      </c>
      <c r="C901" s="135" t="s">
        <v>126</v>
      </c>
      <c r="D901" s="136" t="s">
        <v>127</v>
      </c>
      <c r="E901" s="137"/>
      <c r="F901" s="138" t="s">
        <v>152</v>
      </c>
      <c r="G901" s="139" t="s">
        <v>173</v>
      </c>
      <c r="H901" s="140" t="str">
        <f t="shared" ref="H901:H956" si="343">VLOOKUP(R901,Kengetal,3,FALSE)</f>
        <v>Niet van toepassing</v>
      </c>
      <c r="I901" s="138" t="s">
        <v>195</v>
      </c>
      <c r="J901" s="138" t="s">
        <v>1172</v>
      </c>
      <c r="K901" s="141" t="str">
        <f t="shared" ref="K901:K956" si="344">IF($R901="",0,VLOOKUP($R901,Kengetal,14,FALSE))</f>
        <v>NVT</v>
      </c>
      <c r="L901" s="141" t="str">
        <f t="shared" ref="L901:L956" si="345">IF($R901="",0,VLOOKUP($R901,Kengetal,15,FALSE))</f>
        <v>NVT</v>
      </c>
      <c r="M901" s="141" t="str">
        <f t="shared" ref="M901:M956" si="346">IF($R901="",0,VLOOKUP($R901,Kengetal,16,FALSE))</f>
        <v>NVT</v>
      </c>
      <c r="N901" s="141" t="str">
        <f t="shared" ref="N901:N956" si="347">IF($R901="",0,VLOOKUP($R901,Kengetal,17,FALSE))</f>
        <v>NVT</v>
      </c>
      <c r="O901" s="141" t="str">
        <f t="shared" ref="O901:O956" si="348">IF($R901="",0,VLOOKUP($R901,Kengetal,18,FALSE))</f>
        <v>NVT</v>
      </c>
      <c r="P901" s="141" t="str">
        <f t="shared" ref="P901:P956" si="349">IF($R901="",0,VLOOKUP($R901,Kengetal,19,FALSE))</f>
        <v>NVT</v>
      </c>
      <c r="Q901" s="141" t="str">
        <f t="shared" ref="Q901:Q956" si="350">IF($R901="",0,VLOOKUP($R901,Kengetal,20,FALSE))</f>
        <v>NVT</v>
      </c>
      <c r="R901" s="63" t="s">
        <v>1221</v>
      </c>
      <c r="S901" s="142">
        <f t="shared" si="335"/>
        <v>0</v>
      </c>
      <c r="T901" s="143">
        <v>33.200000000000003</v>
      </c>
      <c r="U901" s="144"/>
      <c r="V901" s="144"/>
      <c r="W901" s="144"/>
      <c r="X901" s="144"/>
      <c r="Y901" s="144">
        <v>57</v>
      </c>
      <c r="Z901" s="145"/>
      <c r="AA901" s="145"/>
      <c r="AB901" s="145">
        <f>T901</f>
        <v>33.200000000000003</v>
      </c>
      <c r="AC901" s="145"/>
      <c r="AD901" s="146" t="s">
        <v>45</v>
      </c>
      <c r="AE901" s="171">
        <v>1</v>
      </c>
      <c r="AF901" s="147">
        <f t="shared" ref="AF901:AF956" si="351">T901*AK901*AE901</f>
        <v>0</v>
      </c>
      <c r="AG901" s="147">
        <f t="shared" ref="AG901:AG956" si="352">T901*AL901*AE901</f>
        <v>0</v>
      </c>
      <c r="AH901" s="147">
        <f t="shared" ref="AH901:AH956" si="353">T901*AM901*AE901</f>
        <v>0</v>
      </c>
      <c r="AI901" s="147">
        <f t="shared" ref="AI901:AI956" si="354">T901*AN901*AE901</f>
        <v>0</v>
      </c>
      <c r="AJ901" s="148">
        <f t="shared" ref="AJ901:AJ956" si="355">IF($R901="",0,VLOOKUP($R901,Kengetal,12,FALSE))</f>
        <v>0</v>
      </c>
      <c r="AK901" s="149">
        <f t="shared" si="336"/>
        <v>0</v>
      </c>
      <c r="AL901" s="149">
        <f t="shared" si="337"/>
        <v>0</v>
      </c>
      <c r="AM901" s="149">
        <f t="shared" si="338"/>
        <v>0</v>
      </c>
      <c r="AN901" s="149">
        <f t="shared" si="339"/>
        <v>0</v>
      </c>
      <c r="AO901" s="150">
        <f t="shared" ref="AO901:AO956" si="356">IF($R901="",0,VLOOKUP($R901,Kengetal,13,FALSE))</f>
        <v>0</v>
      </c>
      <c r="AQ901" s="151">
        <f t="shared" ref="AQ901:AQ956" si="357">T901*S901</f>
        <v>0</v>
      </c>
    </row>
    <row r="902" spans="1:43" ht="15" customHeight="1">
      <c r="A902" s="82" t="e">
        <f t="shared" si="342"/>
        <v>#REF!</v>
      </c>
      <c r="B902" s="134">
        <v>115</v>
      </c>
      <c r="C902" s="135" t="s">
        <v>126</v>
      </c>
      <c r="D902" s="136" t="s">
        <v>127</v>
      </c>
      <c r="E902" s="137"/>
      <c r="F902" s="138" t="s">
        <v>174</v>
      </c>
      <c r="G902" s="139" t="s">
        <v>175</v>
      </c>
      <c r="H902" s="140" t="str">
        <f t="shared" si="343"/>
        <v>Roltrappen(inclusief aangrenzende bouwdelen)</v>
      </c>
      <c r="I902" s="138" t="s">
        <v>1251</v>
      </c>
      <c r="J902" s="138" t="s">
        <v>1170</v>
      </c>
      <c r="K902" s="141" t="str">
        <f t="shared" si="344"/>
        <v>Volledig</v>
      </c>
      <c r="L902" s="141" t="str">
        <f t="shared" si="345"/>
        <v>naloop</v>
      </c>
      <c r="M902" s="141" t="str">
        <f t="shared" si="346"/>
        <v>naloop</v>
      </c>
      <c r="N902" s="141" t="str">
        <f t="shared" si="347"/>
        <v>Volledig</v>
      </c>
      <c r="O902" s="141" t="str">
        <f t="shared" si="348"/>
        <v>naloop</v>
      </c>
      <c r="P902" s="141" t="str">
        <f t="shared" si="349"/>
        <v>naloop</v>
      </c>
      <c r="Q902" s="141" t="str">
        <f t="shared" si="350"/>
        <v>naloop</v>
      </c>
      <c r="R902" s="63" t="s">
        <v>1480</v>
      </c>
      <c r="S902" s="142">
        <f t="shared" si="335"/>
        <v>365</v>
      </c>
      <c r="T902" s="143">
        <v>33.6</v>
      </c>
      <c r="U902" s="144"/>
      <c r="V902" s="144"/>
      <c r="W902" s="144"/>
      <c r="X902" s="144"/>
      <c r="Y902" s="144"/>
      <c r="Z902" s="145"/>
      <c r="AA902" s="145"/>
      <c r="AB902" s="145"/>
      <c r="AC902" s="145"/>
      <c r="AD902" s="146" t="s">
        <v>45</v>
      </c>
      <c r="AE902" s="171">
        <v>1</v>
      </c>
      <c r="AF902" s="147">
        <f t="shared" si="351"/>
        <v>0</v>
      </c>
      <c r="AG902" s="147">
        <f t="shared" si="352"/>
        <v>0</v>
      </c>
      <c r="AH902" s="147">
        <f t="shared" si="353"/>
        <v>0</v>
      </c>
      <c r="AI902" s="147">
        <f t="shared" si="354"/>
        <v>0</v>
      </c>
      <c r="AJ902" s="148" t="str">
        <f t="shared" si="355"/>
        <v>ja</v>
      </c>
      <c r="AK902" s="149">
        <f t="shared" si="336"/>
        <v>0</v>
      </c>
      <c r="AL902" s="149">
        <f t="shared" si="337"/>
        <v>0</v>
      </c>
      <c r="AM902" s="149">
        <f t="shared" si="338"/>
        <v>0</v>
      </c>
      <c r="AN902" s="149">
        <f t="shared" si="339"/>
        <v>0</v>
      </c>
      <c r="AO902" s="150" t="str">
        <f t="shared" si="356"/>
        <v>V</v>
      </c>
      <c r="AQ902" s="151">
        <f t="shared" si="357"/>
        <v>12264</v>
      </c>
    </row>
    <row r="903" spans="1:43" ht="15" customHeight="1">
      <c r="A903" s="82" t="e">
        <f t="shared" si="342"/>
        <v>#REF!</v>
      </c>
      <c r="B903" s="134">
        <v>115</v>
      </c>
      <c r="C903" s="135" t="s">
        <v>126</v>
      </c>
      <c r="D903" s="136" t="s">
        <v>127</v>
      </c>
      <c r="E903" s="137"/>
      <c r="F903" s="138" t="s">
        <v>174</v>
      </c>
      <c r="G903" s="139" t="s">
        <v>175</v>
      </c>
      <c r="H903" s="140" t="str">
        <f t="shared" si="343"/>
        <v>Roltrappen(inclusief aangrenzende bouwdelen)</v>
      </c>
      <c r="I903" s="138" t="s">
        <v>1251</v>
      </c>
      <c r="J903" s="138" t="s">
        <v>1170</v>
      </c>
      <c r="K903" s="141" t="str">
        <f t="shared" si="344"/>
        <v>Volledig</v>
      </c>
      <c r="L903" s="141" t="str">
        <f t="shared" si="345"/>
        <v>naloop</v>
      </c>
      <c r="M903" s="141" t="str">
        <f t="shared" si="346"/>
        <v>naloop</v>
      </c>
      <c r="N903" s="141" t="str">
        <f t="shared" si="347"/>
        <v>Volledig</v>
      </c>
      <c r="O903" s="141" t="str">
        <f t="shared" si="348"/>
        <v>naloop</v>
      </c>
      <c r="P903" s="141" t="str">
        <f t="shared" si="349"/>
        <v>naloop</v>
      </c>
      <c r="Q903" s="141" t="str">
        <f t="shared" si="350"/>
        <v>naloop</v>
      </c>
      <c r="R903" s="63" t="s">
        <v>1480</v>
      </c>
      <c r="S903" s="142">
        <f t="shared" si="335"/>
        <v>365</v>
      </c>
      <c r="T903" s="143">
        <v>33.6</v>
      </c>
      <c r="U903" s="144"/>
      <c r="V903" s="144"/>
      <c r="W903" s="144"/>
      <c r="X903" s="144"/>
      <c r="Y903" s="144"/>
      <c r="Z903" s="145"/>
      <c r="AA903" s="145"/>
      <c r="AB903" s="145"/>
      <c r="AC903" s="145"/>
      <c r="AD903" s="146" t="s">
        <v>42</v>
      </c>
      <c r="AE903" s="171">
        <v>1</v>
      </c>
      <c r="AF903" s="147">
        <f t="shared" si="351"/>
        <v>0</v>
      </c>
      <c r="AG903" s="147">
        <f t="shared" si="352"/>
        <v>0</v>
      </c>
      <c r="AH903" s="147">
        <f t="shared" si="353"/>
        <v>0</v>
      </c>
      <c r="AI903" s="147">
        <f t="shared" si="354"/>
        <v>0</v>
      </c>
      <c r="AJ903" s="148" t="str">
        <f t="shared" si="355"/>
        <v>ja</v>
      </c>
      <c r="AK903" s="149">
        <f t="shared" si="336"/>
        <v>0</v>
      </c>
      <c r="AL903" s="149">
        <f t="shared" si="337"/>
        <v>0</v>
      </c>
      <c r="AM903" s="149">
        <f t="shared" si="338"/>
        <v>0</v>
      </c>
      <c r="AN903" s="149">
        <f t="shared" si="339"/>
        <v>0</v>
      </c>
      <c r="AO903" s="150" t="str">
        <f t="shared" si="356"/>
        <v>V</v>
      </c>
      <c r="AQ903" s="151">
        <f t="shared" si="357"/>
        <v>12264</v>
      </c>
    </row>
    <row r="904" spans="1:43" ht="15" customHeight="1">
      <c r="A904" s="82" t="e">
        <f t="shared" si="342"/>
        <v>#REF!</v>
      </c>
      <c r="B904" s="134">
        <v>115</v>
      </c>
      <c r="C904" s="135" t="s">
        <v>126</v>
      </c>
      <c r="D904" s="136" t="s">
        <v>127</v>
      </c>
      <c r="E904" s="137"/>
      <c r="F904" s="138" t="s">
        <v>156</v>
      </c>
      <c r="G904" s="139" t="s">
        <v>177</v>
      </c>
      <c r="H904" s="140" t="str">
        <f t="shared" si="343"/>
        <v>Niet van toepassing</v>
      </c>
      <c r="I904" s="138" t="s">
        <v>195</v>
      </c>
      <c r="J904" s="138" t="s">
        <v>1172</v>
      </c>
      <c r="K904" s="141" t="str">
        <f t="shared" si="344"/>
        <v>NVT</v>
      </c>
      <c r="L904" s="141" t="str">
        <f t="shared" si="345"/>
        <v>NVT</v>
      </c>
      <c r="M904" s="141" t="str">
        <f t="shared" si="346"/>
        <v>NVT</v>
      </c>
      <c r="N904" s="141" t="str">
        <f t="shared" si="347"/>
        <v>NVT</v>
      </c>
      <c r="O904" s="141" t="str">
        <f t="shared" si="348"/>
        <v>NVT</v>
      </c>
      <c r="P904" s="141" t="str">
        <f t="shared" si="349"/>
        <v>NVT</v>
      </c>
      <c r="Q904" s="141" t="str">
        <f t="shared" si="350"/>
        <v>NVT</v>
      </c>
      <c r="R904" s="63" t="s">
        <v>1221</v>
      </c>
      <c r="S904" s="142">
        <f t="shared" si="335"/>
        <v>0</v>
      </c>
      <c r="T904" s="143">
        <v>14.91</v>
      </c>
      <c r="U904" s="144"/>
      <c r="V904" s="144"/>
      <c r="W904" s="144"/>
      <c r="X904" s="144"/>
      <c r="Y904" s="144">
        <v>48</v>
      </c>
      <c r="Z904" s="145"/>
      <c r="AA904" s="145"/>
      <c r="AB904" s="145">
        <f>T904</f>
        <v>14.91</v>
      </c>
      <c r="AC904" s="145"/>
      <c r="AD904" s="146" t="s">
        <v>42</v>
      </c>
      <c r="AE904" s="171">
        <v>1</v>
      </c>
      <c r="AF904" s="147">
        <f t="shared" si="351"/>
        <v>0</v>
      </c>
      <c r="AG904" s="147">
        <f t="shared" si="352"/>
        <v>0</v>
      </c>
      <c r="AH904" s="147">
        <f t="shared" si="353"/>
        <v>0</v>
      </c>
      <c r="AI904" s="147">
        <f t="shared" si="354"/>
        <v>0</v>
      </c>
      <c r="AJ904" s="148">
        <f t="shared" si="355"/>
        <v>0</v>
      </c>
      <c r="AK904" s="149">
        <f t="shared" si="336"/>
        <v>0</v>
      </c>
      <c r="AL904" s="149">
        <f t="shared" si="337"/>
        <v>0</v>
      </c>
      <c r="AM904" s="149">
        <f t="shared" si="338"/>
        <v>0</v>
      </c>
      <c r="AN904" s="149">
        <f t="shared" si="339"/>
        <v>0</v>
      </c>
      <c r="AO904" s="150">
        <f t="shared" si="356"/>
        <v>0</v>
      </c>
      <c r="AQ904" s="151">
        <f t="shared" si="357"/>
        <v>0</v>
      </c>
    </row>
    <row r="905" spans="1:43" ht="15" customHeight="1">
      <c r="A905" s="82" t="e">
        <f t="shared" si="342"/>
        <v>#REF!</v>
      </c>
      <c r="B905" s="134">
        <v>115</v>
      </c>
      <c r="C905" s="135" t="s">
        <v>126</v>
      </c>
      <c r="D905" s="136" t="s">
        <v>127</v>
      </c>
      <c r="E905" s="137"/>
      <c r="F905" s="138" t="s">
        <v>178</v>
      </c>
      <c r="G905" s="139" t="s">
        <v>179</v>
      </c>
      <c r="H905" s="140" t="str">
        <f t="shared" si="343"/>
        <v>Liften</v>
      </c>
      <c r="I905" s="138" t="s">
        <v>457</v>
      </c>
      <c r="J905" s="138" t="s">
        <v>1170</v>
      </c>
      <c r="K905" s="141" t="str">
        <f t="shared" si="344"/>
        <v>Volledig</v>
      </c>
      <c r="L905" s="141" t="str">
        <f t="shared" si="345"/>
        <v>naloop</v>
      </c>
      <c r="M905" s="141" t="str">
        <f t="shared" si="346"/>
        <v>naloop</v>
      </c>
      <c r="N905" s="141" t="str">
        <f t="shared" si="347"/>
        <v>Volledig</v>
      </c>
      <c r="O905" s="141" t="str">
        <f t="shared" si="348"/>
        <v>naloop</v>
      </c>
      <c r="P905" s="141" t="str">
        <f t="shared" si="349"/>
        <v>naloop</v>
      </c>
      <c r="Q905" s="141" t="str">
        <f t="shared" si="350"/>
        <v>naloop</v>
      </c>
      <c r="R905" s="63" t="s">
        <v>1474</v>
      </c>
      <c r="S905" s="142">
        <f t="shared" si="335"/>
        <v>365</v>
      </c>
      <c r="T905" s="143">
        <v>2.4</v>
      </c>
      <c r="U905" s="144"/>
      <c r="V905" s="144"/>
      <c r="W905" s="144"/>
      <c r="X905" s="144">
        <v>11.5</v>
      </c>
      <c r="Y905" s="144">
        <v>3.5</v>
      </c>
      <c r="Z905" s="145"/>
      <c r="AA905" s="145"/>
      <c r="AB905" s="145"/>
      <c r="AC905" s="145">
        <f>T905</f>
        <v>2.4</v>
      </c>
      <c r="AD905" s="146" t="s">
        <v>1116</v>
      </c>
      <c r="AE905" s="171">
        <v>1</v>
      </c>
      <c r="AF905" s="147">
        <f t="shared" si="351"/>
        <v>0</v>
      </c>
      <c r="AG905" s="147">
        <f t="shared" si="352"/>
        <v>0</v>
      </c>
      <c r="AH905" s="147">
        <f t="shared" si="353"/>
        <v>0</v>
      </c>
      <c r="AI905" s="147">
        <f t="shared" si="354"/>
        <v>0</v>
      </c>
      <c r="AJ905" s="148" t="str">
        <f t="shared" si="355"/>
        <v>ja</v>
      </c>
      <c r="AK905" s="149">
        <f t="shared" si="336"/>
        <v>0</v>
      </c>
      <c r="AL905" s="149">
        <f t="shared" si="337"/>
        <v>0</v>
      </c>
      <c r="AM905" s="149">
        <f t="shared" si="338"/>
        <v>0</v>
      </c>
      <c r="AN905" s="149">
        <f t="shared" si="339"/>
        <v>0</v>
      </c>
      <c r="AO905" s="150" t="str">
        <f t="shared" si="356"/>
        <v>V</v>
      </c>
      <c r="AQ905" s="151">
        <f t="shared" si="357"/>
        <v>876</v>
      </c>
    </row>
    <row r="906" spans="1:43" ht="15" customHeight="1">
      <c r="A906" s="82" t="e">
        <f t="shared" si="342"/>
        <v>#REF!</v>
      </c>
      <c r="B906" s="134">
        <v>115</v>
      </c>
      <c r="C906" s="135" t="s">
        <v>126</v>
      </c>
      <c r="D906" s="136" t="s">
        <v>127</v>
      </c>
      <c r="E906" s="137"/>
      <c r="F906" s="138" t="s">
        <v>181</v>
      </c>
      <c r="G906" s="139" t="s">
        <v>182</v>
      </c>
      <c r="H906" s="140" t="str">
        <f t="shared" si="343"/>
        <v>Liften</v>
      </c>
      <c r="I906" s="138" t="s">
        <v>457</v>
      </c>
      <c r="J906" s="138" t="s">
        <v>1170</v>
      </c>
      <c r="K906" s="141" t="str">
        <f t="shared" si="344"/>
        <v>Volledig</v>
      </c>
      <c r="L906" s="141" t="str">
        <f t="shared" si="345"/>
        <v>naloop</v>
      </c>
      <c r="M906" s="141" t="str">
        <f t="shared" si="346"/>
        <v>naloop</v>
      </c>
      <c r="N906" s="141" t="str">
        <f t="shared" si="347"/>
        <v>Volledig</v>
      </c>
      <c r="O906" s="141" t="str">
        <f t="shared" si="348"/>
        <v>naloop</v>
      </c>
      <c r="P906" s="141" t="str">
        <f t="shared" si="349"/>
        <v>naloop</v>
      </c>
      <c r="Q906" s="141" t="str">
        <f t="shared" si="350"/>
        <v>naloop</v>
      </c>
      <c r="R906" s="63" t="s">
        <v>1474</v>
      </c>
      <c r="S906" s="142">
        <f t="shared" si="335"/>
        <v>365</v>
      </c>
      <c r="T906" s="143">
        <v>2.4</v>
      </c>
      <c r="U906" s="144"/>
      <c r="V906" s="144"/>
      <c r="W906" s="144"/>
      <c r="X906" s="144">
        <v>11.5</v>
      </c>
      <c r="Y906" s="144">
        <v>3.5</v>
      </c>
      <c r="Z906" s="145"/>
      <c r="AA906" s="145"/>
      <c r="AB906" s="145"/>
      <c r="AC906" s="145">
        <f>T906</f>
        <v>2.4</v>
      </c>
      <c r="AD906" s="146" t="s">
        <v>1115</v>
      </c>
      <c r="AE906" s="171">
        <v>1</v>
      </c>
      <c r="AF906" s="147">
        <f t="shared" si="351"/>
        <v>0</v>
      </c>
      <c r="AG906" s="147">
        <f t="shared" si="352"/>
        <v>0</v>
      </c>
      <c r="AH906" s="147">
        <f t="shared" si="353"/>
        <v>0</v>
      </c>
      <c r="AI906" s="147">
        <f t="shared" si="354"/>
        <v>0</v>
      </c>
      <c r="AJ906" s="148" t="str">
        <f t="shared" si="355"/>
        <v>ja</v>
      </c>
      <c r="AK906" s="149">
        <f t="shared" si="336"/>
        <v>0</v>
      </c>
      <c r="AL906" s="149">
        <f t="shared" si="337"/>
        <v>0</v>
      </c>
      <c r="AM906" s="149">
        <f t="shared" si="338"/>
        <v>0</v>
      </c>
      <c r="AN906" s="149">
        <f t="shared" si="339"/>
        <v>0</v>
      </c>
      <c r="AO906" s="150" t="str">
        <f t="shared" si="356"/>
        <v>V</v>
      </c>
      <c r="AQ906" s="151">
        <f t="shared" si="357"/>
        <v>876</v>
      </c>
    </row>
    <row r="907" spans="1:43" ht="15" customHeight="1">
      <c r="A907" s="82" t="e">
        <f t="shared" si="342"/>
        <v>#REF!</v>
      </c>
      <c r="B907" s="134">
        <v>116</v>
      </c>
      <c r="C907" s="135" t="s">
        <v>358</v>
      </c>
      <c r="D907" s="136" t="s">
        <v>39</v>
      </c>
      <c r="E907" s="137"/>
      <c r="F907" s="138" t="s">
        <v>263</v>
      </c>
      <c r="G907" s="139" t="s">
        <v>301</v>
      </c>
      <c r="H907" s="140" t="str">
        <f t="shared" si="343"/>
        <v>Niet van toepassing</v>
      </c>
      <c r="I907" s="138" t="s">
        <v>254</v>
      </c>
      <c r="J907" s="138" t="s">
        <v>1172</v>
      </c>
      <c r="K907" s="141" t="str">
        <f t="shared" si="344"/>
        <v>NVT</v>
      </c>
      <c r="L907" s="141" t="str">
        <f t="shared" si="345"/>
        <v>NVT</v>
      </c>
      <c r="M907" s="141" t="str">
        <f t="shared" si="346"/>
        <v>NVT</v>
      </c>
      <c r="N907" s="141" t="str">
        <f t="shared" si="347"/>
        <v>NVT</v>
      </c>
      <c r="O907" s="141" t="str">
        <f t="shared" si="348"/>
        <v>NVT</v>
      </c>
      <c r="P907" s="141" t="str">
        <f t="shared" si="349"/>
        <v>NVT</v>
      </c>
      <c r="Q907" s="141" t="str">
        <f t="shared" si="350"/>
        <v>NVT</v>
      </c>
      <c r="R907" s="63" t="s">
        <v>1221</v>
      </c>
      <c r="S907" s="142">
        <f t="shared" si="335"/>
        <v>0</v>
      </c>
      <c r="T907" s="143">
        <v>35</v>
      </c>
      <c r="U907" s="144"/>
      <c r="V907" s="144">
        <v>186</v>
      </c>
      <c r="W907" s="144"/>
      <c r="X907" s="144"/>
      <c r="Y907" s="144"/>
      <c r="Z907" s="145"/>
      <c r="AA907" s="145"/>
      <c r="AB907" s="145">
        <f>T907</f>
        <v>35</v>
      </c>
      <c r="AC907" s="145"/>
      <c r="AD907" s="146"/>
      <c r="AE907" s="171">
        <v>1</v>
      </c>
      <c r="AF907" s="147">
        <f t="shared" si="351"/>
        <v>0</v>
      </c>
      <c r="AG907" s="147">
        <f t="shared" si="352"/>
        <v>0</v>
      </c>
      <c r="AH907" s="147">
        <f t="shared" si="353"/>
        <v>0</v>
      </c>
      <c r="AI907" s="147">
        <f t="shared" si="354"/>
        <v>0</v>
      </c>
      <c r="AJ907" s="148">
        <f t="shared" si="355"/>
        <v>0</v>
      </c>
      <c r="AK907" s="149">
        <f t="shared" si="336"/>
        <v>0</v>
      </c>
      <c r="AL907" s="149">
        <f t="shared" si="337"/>
        <v>0</v>
      </c>
      <c r="AM907" s="149">
        <f t="shared" si="338"/>
        <v>0</v>
      </c>
      <c r="AN907" s="149">
        <f t="shared" si="339"/>
        <v>0</v>
      </c>
      <c r="AO907" s="150">
        <f t="shared" si="356"/>
        <v>0</v>
      </c>
      <c r="AQ907" s="151">
        <f t="shared" si="357"/>
        <v>0</v>
      </c>
    </row>
    <row r="908" spans="1:43" ht="15" customHeight="1">
      <c r="A908" s="82" t="e">
        <f t="shared" si="342"/>
        <v>#REF!</v>
      </c>
      <c r="B908" s="134">
        <v>116</v>
      </c>
      <c r="C908" s="135" t="s">
        <v>358</v>
      </c>
      <c r="D908" s="136" t="s">
        <v>39</v>
      </c>
      <c r="E908" s="137"/>
      <c r="F908" s="138" t="s">
        <v>210</v>
      </c>
      <c r="G908" s="139" t="s">
        <v>303</v>
      </c>
      <c r="H908" s="140" t="str">
        <f t="shared" si="343"/>
        <v>Niet van toepassing</v>
      </c>
      <c r="I908" s="138" t="s">
        <v>195</v>
      </c>
      <c r="J908" s="138" t="s">
        <v>1172</v>
      </c>
      <c r="K908" s="141" t="str">
        <f t="shared" si="344"/>
        <v>NVT</v>
      </c>
      <c r="L908" s="141" t="str">
        <f t="shared" si="345"/>
        <v>NVT</v>
      </c>
      <c r="M908" s="141" t="str">
        <f t="shared" si="346"/>
        <v>NVT</v>
      </c>
      <c r="N908" s="141" t="str">
        <f t="shared" si="347"/>
        <v>NVT</v>
      </c>
      <c r="O908" s="141" t="str">
        <f t="shared" si="348"/>
        <v>NVT</v>
      </c>
      <c r="P908" s="141" t="str">
        <f t="shared" si="349"/>
        <v>NVT</v>
      </c>
      <c r="Q908" s="141" t="str">
        <f t="shared" si="350"/>
        <v>NVT</v>
      </c>
      <c r="R908" s="63" t="s">
        <v>1221</v>
      </c>
      <c r="S908" s="142">
        <f t="shared" ref="S908:S971" si="358">VLOOKUP(R908,Kengetal,2,FALSE)</f>
        <v>0</v>
      </c>
      <c r="T908" s="143">
        <v>5</v>
      </c>
      <c r="U908" s="144"/>
      <c r="V908" s="144">
        <v>35</v>
      </c>
      <c r="W908" s="144"/>
      <c r="X908" s="144"/>
      <c r="Y908" s="144"/>
      <c r="Z908" s="145"/>
      <c r="AA908" s="145"/>
      <c r="AB908" s="145">
        <f>T908</f>
        <v>5</v>
      </c>
      <c r="AC908" s="145"/>
      <c r="AD908" s="146"/>
      <c r="AE908" s="171">
        <v>1</v>
      </c>
      <c r="AF908" s="147">
        <f t="shared" si="351"/>
        <v>0</v>
      </c>
      <c r="AG908" s="147">
        <f t="shared" si="352"/>
        <v>0</v>
      </c>
      <c r="AH908" s="147">
        <f t="shared" si="353"/>
        <v>0</v>
      </c>
      <c r="AI908" s="147">
        <f t="shared" si="354"/>
        <v>0</v>
      </c>
      <c r="AJ908" s="148">
        <f t="shared" si="355"/>
        <v>0</v>
      </c>
      <c r="AK908" s="149">
        <f t="shared" si="336"/>
        <v>0</v>
      </c>
      <c r="AL908" s="149">
        <f t="shared" si="337"/>
        <v>0</v>
      </c>
      <c r="AM908" s="149">
        <f t="shared" si="338"/>
        <v>0</v>
      </c>
      <c r="AN908" s="149">
        <f t="shared" si="339"/>
        <v>0</v>
      </c>
      <c r="AO908" s="150">
        <f t="shared" si="356"/>
        <v>0</v>
      </c>
      <c r="AQ908" s="151">
        <f t="shared" si="357"/>
        <v>0</v>
      </c>
    </row>
    <row r="909" spans="1:43" ht="15" customHeight="1">
      <c r="A909" s="82" t="e">
        <f t="shared" si="342"/>
        <v>#REF!</v>
      </c>
      <c r="B909" s="134">
        <v>116</v>
      </c>
      <c r="C909" s="135" t="s">
        <v>358</v>
      </c>
      <c r="D909" s="136" t="s">
        <v>39</v>
      </c>
      <c r="E909" s="137"/>
      <c r="F909" s="138" t="s">
        <v>359</v>
      </c>
      <c r="G909" s="139" t="s">
        <v>265</v>
      </c>
      <c r="H909" s="140" t="str">
        <f t="shared" si="343"/>
        <v>Niet van toepassing</v>
      </c>
      <c r="I909" s="138" t="s">
        <v>18</v>
      </c>
      <c r="J909" s="138" t="s">
        <v>1172</v>
      </c>
      <c r="K909" s="141" t="str">
        <f t="shared" si="344"/>
        <v>NVT</v>
      </c>
      <c r="L909" s="141" t="str">
        <f t="shared" si="345"/>
        <v>NVT</v>
      </c>
      <c r="M909" s="141" t="str">
        <f t="shared" si="346"/>
        <v>NVT</v>
      </c>
      <c r="N909" s="141" t="str">
        <f t="shared" si="347"/>
        <v>NVT</v>
      </c>
      <c r="O909" s="141" t="str">
        <f t="shared" si="348"/>
        <v>NVT</v>
      </c>
      <c r="P909" s="141" t="str">
        <f t="shared" si="349"/>
        <v>NVT</v>
      </c>
      <c r="Q909" s="141" t="str">
        <f t="shared" si="350"/>
        <v>NVT</v>
      </c>
      <c r="R909" s="63" t="s">
        <v>1221</v>
      </c>
      <c r="S909" s="142">
        <f t="shared" si="358"/>
        <v>0</v>
      </c>
      <c r="T909" s="143">
        <v>19</v>
      </c>
      <c r="U909" s="144"/>
      <c r="V909" s="144"/>
      <c r="W909" s="144">
        <v>30</v>
      </c>
      <c r="X909" s="144"/>
      <c r="Y909" s="144"/>
      <c r="Z909" s="145"/>
      <c r="AA909" s="145">
        <f t="shared" ref="AA909:AA914" si="359">T909</f>
        <v>19</v>
      </c>
      <c r="AB909" s="145"/>
      <c r="AC909" s="145"/>
      <c r="AD909" s="146"/>
      <c r="AE909" s="171">
        <v>1</v>
      </c>
      <c r="AF909" s="147">
        <f t="shared" si="351"/>
        <v>0</v>
      </c>
      <c r="AG909" s="147">
        <f t="shared" si="352"/>
        <v>0</v>
      </c>
      <c r="AH909" s="147">
        <f t="shared" si="353"/>
        <v>0</v>
      </c>
      <c r="AI909" s="147">
        <f t="shared" si="354"/>
        <v>0</v>
      </c>
      <c r="AJ909" s="148">
        <f t="shared" si="355"/>
        <v>0</v>
      </c>
      <c r="AK909" s="149">
        <f t="shared" si="336"/>
        <v>0</v>
      </c>
      <c r="AL909" s="149">
        <f t="shared" si="337"/>
        <v>0</v>
      </c>
      <c r="AM909" s="149">
        <f t="shared" si="338"/>
        <v>0</v>
      </c>
      <c r="AN909" s="149">
        <f t="shared" si="339"/>
        <v>0</v>
      </c>
      <c r="AO909" s="150">
        <f t="shared" si="356"/>
        <v>0</v>
      </c>
      <c r="AQ909" s="151">
        <f t="shared" si="357"/>
        <v>0</v>
      </c>
    </row>
    <row r="910" spans="1:43" ht="15" customHeight="1">
      <c r="A910" s="82" t="e">
        <f t="shared" si="342"/>
        <v>#REF!</v>
      </c>
      <c r="B910" s="134">
        <v>116</v>
      </c>
      <c r="C910" s="135" t="s">
        <v>358</v>
      </c>
      <c r="D910" s="136" t="s">
        <v>39</v>
      </c>
      <c r="E910" s="137"/>
      <c r="F910" s="138" t="s">
        <v>330</v>
      </c>
      <c r="G910" s="139" t="s">
        <v>266</v>
      </c>
      <c r="H910" s="140" t="str">
        <f t="shared" si="343"/>
        <v>Niet van toepassing</v>
      </c>
      <c r="I910" s="138" t="s">
        <v>18</v>
      </c>
      <c r="J910" s="138" t="s">
        <v>1172</v>
      </c>
      <c r="K910" s="141" t="str">
        <f t="shared" si="344"/>
        <v>NVT</v>
      </c>
      <c r="L910" s="141" t="str">
        <f t="shared" si="345"/>
        <v>NVT</v>
      </c>
      <c r="M910" s="141" t="str">
        <f t="shared" si="346"/>
        <v>NVT</v>
      </c>
      <c r="N910" s="141" t="str">
        <f t="shared" si="347"/>
        <v>NVT</v>
      </c>
      <c r="O910" s="141" t="str">
        <f t="shared" si="348"/>
        <v>NVT</v>
      </c>
      <c r="P910" s="141" t="str">
        <f t="shared" si="349"/>
        <v>NVT</v>
      </c>
      <c r="Q910" s="141" t="str">
        <f t="shared" si="350"/>
        <v>NVT</v>
      </c>
      <c r="R910" s="63" t="s">
        <v>1221</v>
      </c>
      <c r="S910" s="142">
        <f t="shared" si="358"/>
        <v>0</v>
      </c>
      <c r="T910" s="143">
        <v>15</v>
      </c>
      <c r="U910" s="144"/>
      <c r="V910" s="144"/>
      <c r="W910" s="144">
        <v>22</v>
      </c>
      <c r="X910" s="144"/>
      <c r="Y910" s="144"/>
      <c r="Z910" s="145"/>
      <c r="AA910" s="145">
        <f t="shared" si="359"/>
        <v>15</v>
      </c>
      <c r="AB910" s="145"/>
      <c r="AC910" s="145"/>
      <c r="AD910" s="146"/>
      <c r="AE910" s="171">
        <v>1</v>
      </c>
      <c r="AF910" s="147">
        <f t="shared" si="351"/>
        <v>0</v>
      </c>
      <c r="AG910" s="147">
        <f t="shared" si="352"/>
        <v>0</v>
      </c>
      <c r="AH910" s="147">
        <f t="shared" si="353"/>
        <v>0</v>
      </c>
      <c r="AI910" s="147">
        <f t="shared" si="354"/>
        <v>0</v>
      </c>
      <c r="AJ910" s="148">
        <f t="shared" si="355"/>
        <v>0</v>
      </c>
      <c r="AK910" s="149">
        <f t="shared" si="336"/>
        <v>0</v>
      </c>
      <c r="AL910" s="149">
        <f t="shared" si="337"/>
        <v>0</v>
      </c>
      <c r="AM910" s="149">
        <f t="shared" si="338"/>
        <v>0</v>
      </c>
      <c r="AN910" s="149">
        <f t="shared" si="339"/>
        <v>0</v>
      </c>
      <c r="AO910" s="150">
        <f t="shared" si="356"/>
        <v>0</v>
      </c>
      <c r="AQ910" s="151">
        <f t="shared" si="357"/>
        <v>0</v>
      </c>
    </row>
    <row r="911" spans="1:43" ht="15" customHeight="1">
      <c r="A911" s="82" t="e">
        <f t="shared" si="342"/>
        <v>#REF!</v>
      </c>
      <c r="B911" s="134">
        <v>116</v>
      </c>
      <c r="C911" s="135" t="s">
        <v>358</v>
      </c>
      <c r="D911" s="136" t="s">
        <v>39</v>
      </c>
      <c r="E911" s="137"/>
      <c r="F911" s="138" t="s">
        <v>360</v>
      </c>
      <c r="G911" s="139" t="s">
        <v>267</v>
      </c>
      <c r="H911" s="140" t="str">
        <f t="shared" si="343"/>
        <v>Niet van toepassing</v>
      </c>
      <c r="I911" s="138" t="s">
        <v>18</v>
      </c>
      <c r="J911" s="138" t="s">
        <v>1172</v>
      </c>
      <c r="K911" s="141" t="str">
        <f t="shared" si="344"/>
        <v>NVT</v>
      </c>
      <c r="L911" s="141" t="str">
        <f t="shared" si="345"/>
        <v>NVT</v>
      </c>
      <c r="M911" s="141" t="str">
        <f t="shared" si="346"/>
        <v>NVT</v>
      </c>
      <c r="N911" s="141" t="str">
        <f t="shared" si="347"/>
        <v>NVT</v>
      </c>
      <c r="O911" s="141" t="str">
        <f t="shared" si="348"/>
        <v>NVT</v>
      </c>
      <c r="P911" s="141" t="str">
        <f t="shared" si="349"/>
        <v>NVT</v>
      </c>
      <c r="Q911" s="141" t="str">
        <f t="shared" si="350"/>
        <v>NVT</v>
      </c>
      <c r="R911" s="63" t="s">
        <v>1221</v>
      </c>
      <c r="S911" s="142">
        <f t="shared" si="358"/>
        <v>0</v>
      </c>
      <c r="T911" s="143">
        <v>13</v>
      </c>
      <c r="U911" s="144"/>
      <c r="V911" s="144"/>
      <c r="W911" s="144">
        <v>21</v>
      </c>
      <c r="X911" s="144"/>
      <c r="Y911" s="144"/>
      <c r="Z911" s="145"/>
      <c r="AA911" s="145">
        <f t="shared" si="359"/>
        <v>13</v>
      </c>
      <c r="AB911" s="145"/>
      <c r="AC911" s="145"/>
      <c r="AD911" s="146"/>
      <c r="AE911" s="171">
        <v>1</v>
      </c>
      <c r="AF911" s="147">
        <f t="shared" si="351"/>
        <v>0</v>
      </c>
      <c r="AG911" s="147">
        <f t="shared" si="352"/>
        <v>0</v>
      </c>
      <c r="AH911" s="147">
        <f t="shared" si="353"/>
        <v>0</v>
      </c>
      <c r="AI911" s="147">
        <f t="shared" si="354"/>
        <v>0</v>
      </c>
      <c r="AJ911" s="148">
        <f t="shared" si="355"/>
        <v>0</v>
      </c>
      <c r="AK911" s="149">
        <f t="shared" si="336"/>
        <v>0</v>
      </c>
      <c r="AL911" s="149">
        <f t="shared" si="337"/>
        <v>0</v>
      </c>
      <c r="AM911" s="149">
        <f t="shared" si="338"/>
        <v>0</v>
      </c>
      <c r="AN911" s="149">
        <f t="shared" si="339"/>
        <v>0</v>
      </c>
      <c r="AO911" s="150">
        <f t="shared" si="356"/>
        <v>0</v>
      </c>
      <c r="AQ911" s="151">
        <f t="shared" si="357"/>
        <v>0</v>
      </c>
    </row>
    <row r="912" spans="1:43" ht="15" customHeight="1">
      <c r="A912" s="82" t="e">
        <f t="shared" si="342"/>
        <v>#REF!</v>
      </c>
      <c r="B912" s="134">
        <v>116</v>
      </c>
      <c r="C912" s="135" t="s">
        <v>358</v>
      </c>
      <c r="D912" s="136" t="s">
        <v>39</v>
      </c>
      <c r="E912" s="137"/>
      <c r="F912" s="138" t="s">
        <v>361</v>
      </c>
      <c r="G912" s="139" t="s">
        <v>268</v>
      </c>
      <c r="H912" s="140" t="str">
        <f t="shared" si="343"/>
        <v>Niet van toepassing</v>
      </c>
      <c r="I912" s="138" t="s">
        <v>18</v>
      </c>
      <c r="J912" s="138" t="s">
        <v>1172</v>
      </c>
      <c r="K912" s="141" t="str">
        <f t="shared" si="344"/>
        <v>NVT</v>
      </c>
      <c r="L912" s="141" t="str">
        <f t="shared" si="345"/>
        <v>NVT</v>
      </c>
      <c r="M912" s="141" t="str">
        <f t="shared" si="346"/>
        <v>NVT</v>
      </c>
      <c r="N912" s="141" t="str">
        <f t="shared" si="347"/>
        <v>NVT</v>
      </c>
      <c r="O912" s="141" t="str">
        <f t="shared" si="348"/>
        <v>NVT</v>
      </c>
      <c r="P912" s="141" t="str">
        <f t="shared" si="349"/>
        <v>NVT</v>
      </c>
      <c r="Q912" s="141" t="str">
        <f t="shared" si="350"/>
        <v>NVT</v>
      </c>
      <c r="R912" s="63" t="s">
        <v>1221</v>
      </c>
      <c r="S912" s="142">
        <f t="shared" si="358"/>
        <v>0</v>
      </c>
      <c r="T912" s="143">
        <v>3</v>
      </c>
      <c r="U912" s="144"/>
      <c r="V912" s="144"/>
      <c r="W912" s="144">
        <v>16</v>
      </c>
      <c r="X912" s="144"/>
      <c r="Y912" s="144"/>
      <c r="Z912" s="145"/>
      <c r="AA912" s="145">
        <f t="shared" si="359"/>
        <v>3</v>
      </c>
      <c r="AB912" s="145"/>
      <c r="AC912" s="145"/>
      <c r="AD912" s="146"/>
      <c r="AE912" s="171">
        <v>1</v>
      </c>
      <c r="AF912" s="147">
        <f t="shared" si="351"/>
        <v>0</v>
      </c>
      <c r="AG912" s="147">
        <f t="shared" si="352"/>
        <v>0</v>
      </c>
      <c r="AH912" s="147">
        <f t="shared" si="353"/>
        <v>0</v>
      </c>
      <c r="AI912" s="147">
        <f t="shared" si="354"/>
        <v>0</v>
      </c>
      <c r="AJ912" s="148">
        <f t="shared" si="355"/>
        <v>0</v>
      </c>
      <c r="AK912" s="149">
        <f t="shared" si="336"/>
        <v>0</v>
      </c>
      <c r="AL912" s="149">
        <f t="shared" si="337"/>
        <v>0</v>
      </c>
      <c r="AM912" s="149">
        <f t="shared" si="338"/>
        <v>0</v>
      </c>
      <c r="AN912" s="149">
        <f t="shared" si="339"/>
        <v>0</v>
      </c>
      <c r="AO912" s="150">
        <f t="shared" si="356"/>
        <v>0</v>
      </c>
      <c r="AQ912" s="151">
        <f t="shared" si="357"/>
        <v>0</v>
      </c>
    </row>
    <row r="913" spans="1:43" ht="15" customHeight="1">
      <c r="A913" s="82" t="e">
        <f t="shared" si="342"/>
        <v>#REF!</v>
      </c>
      <c r="B913" s="134">
        <v>116</v>
      </c>
      <c r="C913" s="135" t="s">
        <v>358</v>
      </c>
      <c r="D913" s="136" t="s">
        <v>39</v>
      </c>
      <c r="E913" s="137"/>
      <c r="F913" s="138" t="s">
        <v>362</v>
      </c>
      <c r="G913" s="139" t="s">
        <v>363</v>
      </c>
      <c r="H913" s="140" t="str">
        <f t="shared" si="343"/>
        <v>Niet van toepassing</v>
      </c>
      <c r="I913" s="138" t="s">
        <v>264</v>
      </c>
      <c r="J913" s="138" t="s">
        <v>1172</v>
      </c>
      <c r="K913" s="141" t="str">
        <f t="shared" si="344"/>
        <v>NVT</v>
      </c>
      <c r="L913" s="141" t="str">
        <f t="shared" si="345"/>
        <v>NVT</v>
      </c>
      <c r="M913" s="141" t="str">
        <f t="shared" si="346"/>
        <v>NVT</v>
      </c>
      <c r="N913" s="141" t="str">
        <f t="shared" si="347"/>
        <v>NVT</v>
      </c>
      <c r="O913" s="141" t="str">
        <f t="shared" si="348"/>
        <v>NVT</v>
      </c>
      <c r="P913" s="141" t="str">
        <f t="shared" si="349"/>
        <v>NVT</v>
      </c>
      <c r="Q913" s="141" t="str">
        <f t="shared" si="350"/>
        <v>NVT</v>
      </c>
      <c r="R913" s="63" t="s">
        <v>1221</v>
      </c>
      <c r="S913" s="142">
        <f t="shared" si="358"/>
        <v>0</v>
      </c>
      <c r="T913" s="143">
        <v>158</v>
      </c>
      <c r="U913" s="144"/>
      <c r="V913" s="144"/>
      <c r="W913" s="144">
        <v>75</v>
      </c>
      <c r="X913" s="144"/>
      <c r="Y913" s="144"/>
      <c r="Z913" s="145"/>
      <c r="AA913" s="145">
        <f t="shared" si="359"/>
        <v>158</v>
      </c>
      <c r="AB913" s="145"/>
      <c r="AC913" s="145"/>
      <c r="AD913" s="146"/>
      <c r="AE913" s="171">
        <v>1</v>
      </c>
      <c r="AF913" s="147">
        <f t="shared" si="351"/>
        <v>0</v>
      </c>
      <c r="AG913" s="147">
        <f t="shared" si="352"/>
        <v>0</v>
      </c>
      <c r="AH913" s="147">
        <f t="shared" si="353"/>
        <v>0</v>
      </c>
      <c r="AI913" s="147">
        <f t="shared" si="354"/>
        <v>0</v>
      </c>
      <c r="AJ913" s="148">
        <f t="shared" si="355"/>
        <v>0</v>
      </c>
      <c r="AK913" s="149">
        <f t="shared" si="336"/>
        <v>0</v>
      </c>
      <c r="AL913" s="149">
        <f t="shared" si="337"/>
        <v>0</v>
      </c>
      <c r="AM913" s="149">
        <f t="shared" si="338"/>
        <v>0</v>
      </c>
      <c r="AN913" s="149">
        <f t="shared" si="339"/>
        <v>0</v>
      </c>
      <c r="AO913" s="150">
        <f t="shared" si="356"/>
        <v>0</v>
      </c>
      <c r="AQ913" s="151">
        <f t="shared" si="357"/>
        <v>0</v>
      </c>
    </row>
    <row r="914" spans="1:43" ht="15" customHeight="1">
      <c r="A914" s="82" t="e">
        <f t="shared" si="342"/>
        <v>#REF!</v>
      </c>
      <c r="B914" s="134">
        <v>116</v>
      </c>
      <c r="C914" s="135" t="s">
        <v>358</v>
      </c>
      <c r="D914" s="136" t="s">
        <v>39</v>
      </c>
      <c r="E914" s="137"/>
      <c r="F914" s="138" t="s">
        <v>364</v>
      </c>
      <c r="G914" s="139" t="s">
        <v>365</v>
      </c>
      <c r="H914" s="140" t="str">
        <f t="shared" si="343"/>
        <v>Niet van toepassing</v>
      </c>
      <c r="I914" s="138" t="s">
        <v>18</v>
      </c>
      <c r="J914" s="138" t="s">
        <v>1172</v>
      </c>
      <c r="K914" s="141" t="str">
        <f t="shared" si="344"/>
        <v>NVT</v>
      </c>
      <c r="L914" s="141" t="str">
        <f t="shared" si="345"/>
        <v>NVT</v>
      </c>
      <c r="M914" s="141" t="str">
        <f t="shared" si="346"/>
        <v>NVT</v>
      </c>
      <c r="N914" s="141" t="str">
        <f t="shared" si="347"/>
        <v>NVT</v>
      </c>
      <c r="O914" s="141" t="str">
        <f t="shared" si="348"/>
        <v>NVT</v>
      </c>
      <c r="P914" s="141" t="str">
        <f t="shared" si="349"/>
        <v>NVT</v>
      </c>
      <c r="Q914" s="141" t="str">
        <f t="shared" si="350"/>
        <v>NVT</v>
      </c>
      <c r="R914" s="63" t="s">
        <v>1221</v>
      </c>
      <c r="S914" s="142">
        <f t="shared" si="358"/>
        <v>0</v>
      </c>
      <c r="T914" s="143">
        <v>33</v>
      </c>
      <c r="U914" s="144"/>
      <c r="V914" s="144"/>
      <c r="W914" s="144">
        <v>33</v>
      </c>
      <c r="X914" s="144"/>
      <c r="Y914" s="144"/>
      <c r="Z914" s="145"/>
      <c r="AA914" s="145">
        <f t="shared" si="359"/>
        <v>33</v>
      </c>
      <c r="AB914" s="145"/>
      <c r="AC914" s="145"/>
      <c r="AD914" s="146"/>
      <c r="AE914" s="171">
        <v>1</v>
      </c>
      <c r="AF914" s="147">
        <f t="shared" si="351"/>
        <v>0</v>
      </c>
      <c r="AG914" s="147">
        <f t="shared" si="352"/>
        <v>0</v>
      </c>
      <c r="AH914" s="147">
        <f t="shared" si="353"/>
        <v>0</v>
      </c>
      <c r="AI914" s="147">
        <f t="shared" si="354"/>
        <v>0</v>
      </c>
      <c r="AJ914" s="148">
        <f t="shared" si="355"/>
        <v>0</v>
      </c>
      <c r="AK914" s="149">
        <f t="shared" si="336"/>
        <v>0</v>
      </c>
      <c r="AL914" s="149">
        <f t="shared" si="337"/>
        <v>0</v>
      </c>
      <c r="AM914" s="149">
        <f t="shared" si="338"/>
        <v>0</v>
      </c>
      <c r="AN914" s="149">
        <f t="shared" si="339"/>
        <v>0</v>
      </c>
      <c r="AO914" s="150">
        <f t="shared" si="356"/>
        <v>0</v>
      </c>
      <c r="AQ914" s="151">
        <f t="shared" si="357"/>
        <v>0</v>
      </c>
    </row>
    <row r="915" spans="1:43" ht="15" customHeight="1">
      <c r="A915" s="82" t="e">
        <f t="shared" si="342"/>
        <v>#REF!</v>
      </c>
      <c r="B915" s="134">
        <v>116</v>
      </c>
      <c r="C915" s="135" t="s">
        <v>358</v>
      </c>
      <c r="D915" s="136" t="s">
        <v>39</v>
      </c>
      <c r="E915" s="137"/>
      <c r="F915" s="138" t="s">
        <v>232</v>
      </c>
      <c r="G915" s="139" t="s">
        <v>113</v>
      </c>
      <c r="H915" s="140" t="str">
        <f t="shared" si="343"/>
        <v>Hallen</v>
      </c>
      <c r="I915" s="138" t="s">
        <v>195</v>
      </c>
      <c r="J915" s="138" t="s">
        <v>1170</v>
      </c>
      <c r="K915" s="141" t="str">
        <f t="shared" si="344"/>
        <v>Volledig</v>
      </c>
      <c r="L915" s="141" t="str">
        <f t="shared" si="345"/>
        <v>naloop</v>
      </c>
      <c r="M915" s="141" t="str">
        <f t="shared" si="346"/>
        <v>naloop</v>
      </c>
      <c r="N915" s="141" t="str">
        <f t="shared" si="347"/>
        <v>Volledig</v>
      </c>
      <c r="O915" s="141" t="str">
        <f t="shared" si="348"/>
        <v>naloop</v>
      </c>
      <c r="P915" s="141" t="str">
        <f t="shared" si="349"/>
        <v>naloop</v>
      </c>
      <c r="Q915" s="141" t="str">
        <f t="shared" si="350"/>
        <v>naloop</v>
      </c>
      <c r="R915" s="63" t="s">
        <v>1478</v>
      </c>
      <c r="S915" s="142">
        <f t="shared" si="358"/>
        <v>365</v>
      </c>
      <c r="T915" s="143">
        <v>140</v>
      </c>
      <c r="U915" s="144"/>
      <c r="V915" s="144">
        <v>395</v>
      </c>
      <c r="W915" s="144"/>
      <c r="X915" s="144"/>
      <c r="Y915" s="144"/>
      <c r="Z915" s="145"/>
      <c r="AA915" s="145"/>
      <c r="AB915" s="145">
        <f>T915</f>
        <v>140</v>
      </c>
      <c r="AC915" s="145"/>
      <c r="AD915" s="146"/>
      <c r="AE915" s="171">
        <v>1</v>
      </c>
      <c r="AF915" s="147">
        <f t="shared" si="351"/>
        <v>0</v>
      </c>
      <c r="AG915" s="147">
        <f t="shared" si="352"/>
        <v>0</v>
      </c>
      <c r="AH915" s="147">
        <f t="shared" si="353"/>
        <v>0</v>
      </c>
      <c r="AI915" s="147">
        <f t="shared" si="354"/>
        <v>0</v>
      </c>
      <c r="AJ915" s="148" t="str">
        <f t="shared" si="355"/>
        <v>ja</v>
      </c>
      <c r="AK915" s="149">
        <f t="shared" si="336"/>
        <v>0</v>
      </c>
      <c r="AL915" s="149">
        <f t="shared" si="337"/>
        <v>0</v>
      </c>
      <c r="AM915" s="149">
        <f t="shared" si="338"/>
        <v>0</v>
      </c>
      <c r="AN915" s="149">
        <f t="shared" si="339"/>
        <v>0</v>
      </c>
      <c r="AO915" s="150" t="str">
        <f t="shared" si="356"/>
        <v>V</v>
      </c>
      <c r="AQ915" s="151">
        <f t="shared" si="357"/>
        <v>51100</v>
      </c>
    </row>
    <row r="916" spans="1:43" ht="15" customHeight="1">
      <c r="A916" s="82" t="e">
        <f t="shared" si="342"/>
        <v>#REF!</v>
      </c>
      <c r="B916" s="134">
        <v>116</v>
      </c>
      <c r="C916" s="135" t="s">
        <v>358</v>
      </c>
      <c r="D916" s="136" t="s">
        <v>39</v>
      </c>
      <c r="E916" s="137"/>
      <c r="F916" s="138" t="s">
        <v>114</v>
      </c>
      <c r="G916" s="139" t="s">
        <v>333</v>
      </c>
      <c r="H916" s="140" t="str">
        <f t="shared" si="343"/>
        <v>Trappen</v>
      </c>
      <c r="I916" s="138" t="s">
        <v>118</v>
      </c>
      <c r="J916" s="138" t="s">
        <v>1170</v>
      </c>
      <c r="K916" s="141" t="str">
        <f t="shared" si="344"/>
        <v>Volledig</v>
      </c>
      <c r="L916" s="141" t="str">
        <f t="shared" si="345"/>
        <v>naloop</v>
      </c>
      <c r="M916" s="141" t="str">
        <f t="shared" si="346"/>
        <v>naloop</v>
      </c>
      <c r="N916" s="141" t="str">
        <f t="shared" si="347"/>
        <v>Volledig</v>
      </c>
      <c r="O916" s="141" t="str">
        <f t="shared" si="348"/>
        <v>naloop</v>
      </c>
      <c r="P916" s="141" t="str">
        <f t="shared" si="349"/>
        <v>naloop</v>
      </c>
      <c r="Q916" s="141" t="str">
        <f t="shared" si="350"/>
        <v>naloop</v>
      </c>
      <c r="R916" s="63" t="s">
        <v>1476</v>
      </c>
      <c r="S916" s="142">
        <f t="shared" si="358"/>
        <v>365</v>
      </c>
      <c r="T916" s="143">
        <v>7</v>
      </c>
      <c r="U916" s="144" t="s">
        <v>489</v>
      </c>
      <c r="V916" s="144"/>
      <c r="W916" s="144"/>
      <c r="X916" s="144"/>
      <c r="Y916" s="144"/>
      <c r="Z916" s="145"/>
      <c r="AA916" s="145"/>
      <c r="AB916" s="145">
        <f>T916</f>
        <v>7</v>
      </c>
      <c r="AC916" s="145"/>
      <c r="AD916" s="146"/>
      <c r="AE916" s="171">
        <v>1</v>
      </c>
      <c r="AF916" s="147">
        <f t="shared" si="351"/>
        <v>0</v>
      </c>
      <c r="AG916" s="147">
        <f t="shared" si="352"/>
        <v>0</v>
      </c>
      <c r="AH916" s="147">
        <f t="shared" si="353"/>
        <v>0</v>
      </c>
      <c r="AI916" s="147">
        <f t="shared" si="354"/>
        <v>0</v>
      </c>
      <c r="AJ916" s="148" t="str">
        <f t="shared" si="355"/>
        <v>ja</v>
      </c>
      <c r="AK916" s="149">
        <f t="shared" si="336"/>
        <v>0</v>
      </c>
      <c r="AL916" s="149">
        <f t="shared" si="337"/>
        <v>0</v>
      </c>
      <c r="AM916" s="149">
        <f t="shared" si="338"/>
        <v>0</v>
      </c>
      <c r="AN916" s="149">
        <f t="shared" si="339"/>
        <v>0</v>
      </c>
      <c r="AO916" s="150" t="str">
        <f t="shared" si="356"/>
        <v>V</v>
      </c>
      <c r="AQ916" s="151">
        <f t="shared" si="357"/>
        <v>2555</v>
      </c>
    </row>
    <row r="917" spans="1:43" ht="15" customHeight="1">
      <c r="A917" s="82" t="e">
        <f>1+#REF!</f>
        <v>#REF!</v>
      </c>
      <c r="B917" s="134">
        <v>116</v>
      </c>
      <c r="C917" s="135" t="s">
        <v>358</v>
      </c>
      <c r="D917" s="136" t="s">
        <v>39</v>
      </c>
      <c r="E917" s="137"/>
      <c r="F917" s="138" t="s">
        <v>66</v>
      </c>
      <c r="G917" s="139" t="s">
        <v>29</v>
      </c>
      <c r="H917" s="140" t="str">
        <f t="shared" si="343"/>
        <v>Niet van toepassing</v>
      </c>
      <c r="I917" s="138" t="s">
        <v>254</v>
      </c>
      <c r="J917" s="138" t="s">
        <v>1172</v>
      </c>
      <c r="K917" s="141" t="str">
        <f t="shared" si="344"/>
        <v>NVT</v>
      </c>
      <c r="L917" s="141" t="str">
        <f t="shared" si="345"/>
        <v>NVT</v>
      </c>
      <c r="M917" s="141" t="str">
        <f t="shared" si="346"/>
        <v>NVT</v>
      </c>
      <c r="N917" s="141" t="str">
        <f t="shared" si="347"/>
        <v>NVT</v>
      </c>
      <c r="O917" s="141" t="str">
        <f t="shared" si="348"/>
        <v>NVT</v>
      </c>
      <c r="P917" s="141" t="str">
        <f t="shared" si="349"/>
        <v>NVT</v>
      </c>
      <c r="Q917" s="141" t="str">
        <f t="shared" si="350"/>
        <v>NVT</v>
      </c>
      <c r="R917" s="63" t="s">
        <v>1221</v>
      </c>
      <c r="S917" s="142">
        <f t="shared" si="358"/>
        <v>0</v>
      </c>
      <c r="T917" s="143">
        <v>20</v>
      </c>
      <c r="U917" s="144"/>
      <c r="V917" s="144"/>
      <c r="W917" s="144">
        <v>58</v>
      </c>
      <c r="X917" s="144"/>
      <c r="Y917" s="144"/>
      <c r="Z917" s="145"/>
      <c r="AA917" s="145">
        <f>T917</f>
        <v>20</v>
      </c>
      <c r="AB917" s="145"/>
      <c r="AC917" s="145"/>
      <c r="AD917" s="146"/>
      <c r="AE917" s="171">
        <v>1</v>
      </c>
      <c r="AF917" s="147">
        <f t="shared" si="351"/>
        <v>0</v>
      </c>
      <c r="AG917" s="147">
        <f t="shared" si="352"/>
        <v>0</v>
      </c>
      <c r="AH917" s="147">
        <f t="shared" si="353"/>
        <v>0</v>
      </c>
      <c r="AI917" s="147">
        <f t="shared" si="354"/>
        <v>0</v>
      </c>
      <c r="AJ917" s="148">
        <f t="shared" si="355"/>
        <v>0</v>
      </c>
      <c r="AK917" s="149">
        <f t="shared" si="336"/>
        <v>0</v>
      </c>
      <c r="AL917" s="149">
        <f t="shared" si="337"/>
        <v>0</v>
      </c>
      <c r="AM917" s="149">
        <f t="shared" si="338"/>
        <v>0</v>
      </c>
      <c r="AN917" s="149">
        <f t="shared" si="339"/>
        <v>0</v>
      </c>
      <c r="AO917" s="150">
        <f t="shared" si="356"/>
        <v>0</v>
      </c>
      <c r="AQ917" s="151">
        <f t="shared" si="357"/>
        <v>0</v>
      </c>
    </row>
    <row r="918" spans="1:43" ht="15" customHeight="1">
      <c r="A918" s="82" t="e">
        <f t="shared" si="342"/>
        <v>#REF!</v>
      </c>
      <c r="B918" s="134">
        <v>116</v>
      </c>
      <c r="C918" s="135" t="s">
        <v>358</v>
      </c>
      <c r="D918" s="136" t="s">
        <v>39</v>
      </c>
      <c r="E918" s="137"/>
      <c r="F918" s="138" t="s">
        <v>68</v>
      </c>
      <c r="G918" s="139" t="s">
        <v>30</v>
      </c>
      <c r="H918" s="140" t="str">
        <f t="shared" si="343"/>
        <v>Niet van toepassing</v>
      </c>
      <c r="I918" s="138" t="s">
        <v>254</v>
      </c>
      <c r="J918" s="138" t="s">
        <v>1172</v>
      </c>
      <c r="K918" s="141" t="str">
        <f t="shared" si="344"/>
        <v>NVT</v>
      </c>
      <c r="L918" s="141" t="str">
        <f t="shared" si="345"/>
        <v>NVT</v>
      </c>
      <c r="M918" s="141" t="str">
        <f t="shared" si="346"/>
        <v>NVT</v>
      </c>
      <c r="N918" s="141" t="str">
        <f t="shared" si="347"/>
        <v>NVT</v>
      </c>
      <c r="O918" s="141" t="str">
        <f t="shared" si="348"/>
        <v>NVT</v>
      </c>
      <c r="P918" s="141" t="str">
        <f t="shared" si="349"/>
        <v>NVT</v>
      </c>
      <c r="Q918" s="141" t="str">
        <f t="shared" si="350"/>
        <v>NVT</v>
      </c>
      <c r="R918" s="63" t="s">
        <v>1221</v>
      </c>
      <c r="S918" s="142">
        <f t="shared" si="358"/>
        <v>0</v>
      </c>
      <c r="T918" s="143">
        <v>9</v>
      </c>
      <c r="U918" s="144"/>
      <c r="V918" s="144"/>
      <c r="W918" s="144">
        <v>29</v>
      </c>
      <c r="X918" s="144"/>
      <c r="Y918" s="144"/>
      <c r="Z918" s="145"/>
      <c r="AA918" s="145">
        <f>T918</f>
        <v>9</v>
      </c>
      <c r="AB918" s="145"/>
      <c r="AC918" s="145"/>
      <c r="AD918" s="146"/>
      <c r="AE918" s="171">
        <v>1</v>
      </c>
      <c r="AF918" s="147">
        <f t="shared" si="351"/>
        <v>0</v>
      </c>
      <c r="AG918" s="147">
        <f t="shared" si="352"/>
        <v>0</v>
      </c>
      <c r="AH918" s="147">
        <f t="shared" si="353"/>
        <v>0</v>
      </c>
      <c r="AI918" s="147">
        <f t="shared" si="354"/>
        <v>0</v>
      </c>
      <c r="AJ918" s="148">
        <f t="shared" si="355"/>
        <v>0</v>
      </c>
      <c r="AK918" s="149">
        <f t="shared" si="336"/>
        <v>0</v>
      </c>
      <c r="AL918" s="149">
        <f t="shared" si="337"/>
        <v>0</v>
      </c>
      <c r="AM918" s="149">
        <f t="shared" si="338"/>
        <v>0</v>
      </c>
      <c r="AN918" s="149">
        <f t="shared" si="339"/>
        <v>0</v>
      </c>
      <c r="AO918" s="150">
        <f t="shared" si="356"/>
        <v>0</v>
      </c>
      <c r="AQ918" s="151">
        <f t="shared" si="357"/>
        <v>0</v>
      </c>
    </row>
    <row r="919" spans="1:43" ht="15" customHeight="1">
      <c r="A919" s="82" t="e">
        <f t="shared" si="342"/>
        <v>#REF!</v>
      </c>
      <c r="B919" s="134">
        <v>116</v>
      </c>
      <c r="C919" s="135" t="s">
        <v>358</v>
      </c>
      <c r="D919" s="136" t="s">
        <v>39</v>
      </c>
      <c r="E919" s="137"/>
      <c r="F919" s="138" t="s">
        <v>366</v>
      </c>
      <c r="G919" s="139" t="s">
        <v>32</v>
      </c>
      <c r="H919" s="140" t="str">
        <f t="shared" si="343"/>
        <v>Berging/opslag/magazijn</v>
      </c>
      <c r="I919" s="138" t="s">
        <v>254</v>
      </c>
      <c r="J919" s="138" t="s">
        <v>1207</v>
      </c>
      <c r="K919" s="141" t="str">
        <f t="shared" si="344"/>
        <v>Zie Freq</v>
      </c>
      <c r="L919" s="141" t="str">
        <f t="shared" si="345"/>
        <v>Zie Freq</v>
      </c>
      <c r="M919" s="141" t="str">
        <f t="shared" si="346"/>
        <v>Zie Freq</v>
      </c>
      <c r="N919" s="141" t="str">
        <f t="shared" si="347"/>
        <v>Zie Freq</v>
      </c>
      <c r="O919" s="141" t="str">
        <f t="shared" si="348"/>
        <v>Zie Freq</v>
      </c>
      <c r="P919" s="141" t="str">
        <f t="shared" si="349"/>
        <v>NVT</v>
      </c>
      <c r="Q919" s="141" t="str">
        <f t="shared" si="350"/>
        <v>NVT</v>
      </c>
      <c r="R919" s="63" t="s">
        <v>1264</v>
      </c>
      <c r="S919" s="142">
        <f t="shared" si="358"/>
        <v>2</v>
      </c>
      <c r="T919" s="143">
        <v>6</v>
      </c>
      <c r="U919" s="144"/>
      <c r="V919" s="144">
        <v>39</v>
      </c>
      <c r="W919" s="144"/>
      <c r="X919" s="144"/>
      <c r="Y919" s="144"/>
      <c r="Z919" s="145"/>
      <c r="AA919" s="145"/>
      <c r="AB919" s="145">
        <f>T919</f>
        <v>6</v>
      </c>
      <c r="AC919" s="145"/>
      <c r="AD919" s="146"/>
      <c r="AE919" s="171">
        <v>1</v>
      </c>
      <c r="AF919" s="147">
        <f t="shared" si="351"/>
        <v>0</v>
      </c>
      <c r="AG919" s="147">
        <f t="shared" si="352"/>
        <v>0</v>
      </c>
      <c r="AH919" s="147">
        <f t="shared" si="353"/>
        <v>0</v>
      </c>
      <c r="AI919" s="147">
        <f t="shared" si="354"/>
        <v>0</v>
      </c>
      <c r="AJ919" s="148" t="str">
        <f t="shared" si="355"/>
        <v>nee</v>
      </c>
      <c r="AK919" s="149">
        <f t="shared" si="336"/>
        <v>0</v>
      </c>
      <c r="AL919" s="149">
        <f t="shared" si="337"/>
        <v>0</v>
      </c>
      <c r="AM919" s="149">
        <f t="shared" si="338"/>
        <v>0</v>
      </c>
      <c r="AN919" s="149">
        <f t="shared" si="339"/>
        <v>0</v>
      </c>
      <c r="AO919" s="150" t="str">
        <f t="shared" si="356"/>
        <v>V</v>
      </c>
      <c r="AQ919" s="151">
        <f t="shared" si="357"/>
        <v>12</v>
      </c>
    </row>
    <row r="920" spans="1:43" ht="15" customHeight="1">
      <c r="A920" s="82" t="e">
        <f t="shared" si="342"/>
        <v>#REF!</v>
      </c>
      <c r="B920" s="134">
        <v>116</v>
      </c>
      <c r="C920" s="135" t="s">
        <v>358</v>
      </c>
      <c r="D920" s="136" t="s">
        <v>39</v>
      </c>
      <c r="E920" s="137"/>
      <c r="F920" s="138" t="s">
        <v>76</v>
      </c>
      <c r="G920" s="139" t="s">
        <v>285</v>
      </c>
      <c r="H920" s="140" t="str">
        <f t="shared" si="343"/>
        <v>Niet van toepassing</v>
      </c>
      <c r="I920" s="138" t="s">
        <v>254</v>
      </c>
      <c r="J920" s="138" t="s">
        <v>1172</v>
      </c>
      <c r="K920" s="141" t="str">
        <f t="shared" si="344"/>
        <v>NVT</v>
      </c>
      <c r="L920" s="141" t="str">
        <f t="shared" si="345"/>
        <v>NVT</v>
      </c>
      <c r="M920" s="141" t="str">
        <f t="shared" si="346"/>
        <v>NVT</v>
      </c>
      <c r="N920" s="141" t="str">
        <f t="shared" si="347"/>
        <v>NVT</v>
      </c>
      <c r="O920" s="141" t="str">
        <f t="shared" si="348"/>
        <v>NVT</v>
      </c>
      <c r="P920" s="141" t="str">
        <f t="shared" si="349"/>
        <v>NVT</v>
      </c>
      <c r="Q920" s="141" t="str">
        <f t="shared" si="350"/>
        <v>NVT</v>
      </c>
      <c r="R920" s="63" t="s">
        <v>1221</v>
      </c>
      <c r="S920" s="142">
        <f t="shared" si="358"/>
        <v>0</v>
      </c>
      <c r="T920" s="143">
        <v>7</v>
      </c>
      <c r="U920" s="144"/>
      <c r="V920" s="144">
        <v>33</v>
      </c>
      <c r="W920" s="144"/>
      <c r="X920" s="144"/>
      <c r="Y920" s="144"/>
      <c r="Z920" s="145"/>
      <c r="AA920" s="145"/>
      <c r="AB920" s="145">
        <f>T920</f>
        <v>7</v>
      </c>
      <c r="AC920" s="145"/>
      <c r="AD920" s="146"/>
      <c r="AE920" s="171">
        <v>1</v>
      </c>
      <c r="AF920" s="147">
        <f t="shared" si="351"/>
        <v>0</v>
      </c>
      <c r="AG920" s="147">
        <f t="shared" si="352"/>
        <v>0</v>
      </c>
      <c r="AH920" s="147">
        <f t="shared" si="353"/>
        <v>0</v>
      </c>
      <c r="AI920" s="147">
        <f t="shared" si="354"/>
        <v>0</v>
      </c>
      <c r="AJ920" s="148">
        <f t="shared" si="355"/>
        <v>0</v>
      </c>
      <c r="AK920" s="149">
        <f t="shared" si="336"/>
        <v>0</v>
      </c>
      <c r="AL920" s="149">
        <f t="shared" si="337"/>
        <v>0</v>
      </c>
      <c r="AM920" s="149">
        <f t="shared" si="338"/>
        <v>0</v>
      </c>
      <c r="AN920" s="149">
        <f t="shared" si="339"/>
        <v>0</v>
      </c>
      <c r="AO920" s="150">
        <f t="shared" si="356"/>
        <v>0</v>
      </c>
      <c r="AQ920" s="151">
        <f t="shared" si="357"/>
        <v>0</v>
      </c>
    </row>
    <row r="921" spans="1:43" ht="15" customHeight="1">
      <c r="A921" s="82" t="e">
        <f t="shared" si="342"/>
        <v>#REF!</v>
      </c>
      <c r="B921" s="134">
        <v>116</v>
      </c>
      <c r="C921" s="135" t="s">
        <v>358</v>
      </c>
      <c r="D921" s="136" t="s">
        <v>39</v>
      </c>
      <c r="E921" s="137"/>
      <c r="F921" s="138" t="s">
        <v>367</v>
      </c>
      <c r="G921" s="139" t="s">
        <v>287</v>
      </c>
      <c r="H921" s="140" t="str">
        <f t="shared" si="343"/>
        <v>Sanitair</v>
      </c>
      <c r="I921" s="138" t="s">
        <v>237</v>
      </c>
      <c r="J921" s="138" t="s">
        <v>1170</v>
      </c>
      <c r="K921" s="141" t="str">
        <f t="shared" si="344"/>
        <v>Volledig</v>
      </c>
      <c r="L921" s="141" t="str">
        <f t="shared" si="345"/>
        <v>naloop</v>
      </c>
      <c r="M921" s="141" t="str">
        <f t="shared" si="346"/>
        <v>naloop</v>
      </c>
      <c r="N921" s="141" t="str">
        <f t="shared" si="347"/>
        <v>Volledig</v>
      </c>
      <c r="O921" s="141" t="str">
        <f t="shared" si="348"/>
        <v>naloop</v>
      </c>
      <c r="P921" s="141" t="str">
        <f t="shared" si="349"/>
        <v>naloop</v>
      </c>
      <c r="Q921" s="141" t="str">
        <f t="shared" si="350"/>
        <v>naloop</v>
      </c>
      <c r="R921" s="63" t="s">
        <v>1210</v>
      </c>
      <c r="S921" s="142">
        <f t="shared" si="358"/>
        <v>365</v>
      </c>
      <c r="T921" s="143">
        <v>3</v>
      </c>
      <c r="U921" s="144">
        <v>18</v>
      </c>
      <c r="V921" s="144"/>
      <c r="W921" s="144"/>
      <c r="X921" s="144"/>
      <c r="Y921" s="144"/>
      <c r="Z921" s="145"/>
      <c r="AA921" s="145"/>
      <c r="AB921" s="145"/>
      <c r="AC921" s="145">
        <f>T921</f>
        <v>3</v>
      </c>
      <c r="AD921" s="146"/>
      <c r="AE921" s="171">
        <v>1</v>
      </c>
      <c r="AF921" s="147">
        <f t="shared" si="351"/>
        <v>0</v>
      </c>
      <c r="AG921" s="147">
        <f t="shared" si="352"/>
        <v>0</v>
      </c>
      <c r="AH921" s="147">
        <f t="shared" si="353"/>
        <v>0</v>
      </c>
      <c r="AI921" s="147">
        <f t="shared" si="354"/>
        <v>0</v>
      </c>
      <c r="AJ921" s="148" t="str">
        <f t="shared" si="355"/>
        <v>ja</v>
      </c>
      <c r="AK921" s="149">
        <f t="shared" si="336"/>
        <v>0</v>
      </c>
      <c r="AL921" s="149">
        <f t="shared" si="337"/>
        <v>0</v>
      </c>
      <c r="AM921" s="149">
        <f t="shared" si="338"/>
        <v>0</v>
      </c>
      <c r="AN921" s="149">
        <f t="shared" si="339"/>
        <v>0</v>
      </c>
      <c r="AO921" s="150" t="str">
        <f t="shared" si="356"/>
        <v>S</v>
      </c>
      <c r="AQ921" s="151">
        <f t="shared" si="357"/>
        <v>1095</v>
      </c>
    </row>
    <row r="922" spans="1:43" ht="15" customHeight="1">
      <c r="A922" s="82" t="e">
        <f t="shared" si="342"/>
        <v>#REF!</v>
      </c>
      <c r="B922" s="134">
        <v>116</v>
      </c>
      <c r="C922" s="135" t="s">
        <v>358</v>
      </c>
      <c r="D922" s="136" t="s">
        <v>39</v>
      </c>
      <c r="E922" s="137"/>
      <c r="F922" s="138" t="s">
        <v>368</v>
      </c>
      <c r="G922" s="139" t="s">
        <v>288</v>
      </c>
      <c r="H922" s="140" t="str">
        <f t="shared" si="343"/>
        <v>Sanitair</v>
      </c>
      <c r="I922" s="138" t="s">
        <v>237</v>
      </c>
      <c r="J922" s="138" t="s">
        <v>1170</v>
      </c>
      <c r="K922" s="141" t="str">
        <f t="shared" si="344"/>
        <v>Volledig</v>
      </c>
      <c r="L922" s="141" t="str">
        <f t="shared" si="345"/>
        <v>naloop</v>
      </c>
      <c r="M922" s="141" t="str">
        <f t="shared" si="346"/>
        <v>naloop</v>
      </c>
      <c r="N922" s="141" t="str">
        <f t="shared" si="347"/>
        <v>Volledig</v>
      </c>
      <c r="O922" s="141" t="str">
        <f t="shared" si="348"/>
        <v>naloop</v>
      </c>
      <c r="P922" s="141" t="str">
        <f t="shared" si="349"/>
        <v>naloop</v>
      </c>
      <c r="Q922" s="141" t="str">
        <f t="shared" si="350"/>
        <v>naloop</v>
      </c>
      <c r="R922" s="63" t="s">
        <v>1210</v>
      </c>
      <c r="S922" s="142">
        <f t="shared" si="358"/>
        <v>365</v>
      </c>
      <c r="T922" s="143">
        <v>3</v>
      </c>
      <c r="U922" s="144">
        <v>18</v>
      </c>
      <c r="V922" s="144"/>
      <c r="W922" s="144"/>
      <c r="X922" s="144"/>
      <c r="Y922" s="144"/>
      <c r="Z922" s="145"/>
      <c r="AA922" s="145"/>
      <c r="AB922" s="145"/>
      <c r="AC922" s="145">
        <f>T922</f>
        <v>3</v>
      </c>
      <c r="AD922" s="146"/>
      <c r="AE922" s="171">
        <v>1</v>
      </c>
      <c r="AF922" s="147">
        <f t="shared" si="351"/>
        <v>0</v>
      </c>
      <c r="AG922" s="147">
        <f t="shared" si="352"/>
        <v>0</v>
      </c>
      <c r="AH922" s="147">
        <f t="shared" si="353"/>
        <v>0</v>
      </c>
      <c r="AI922" s="147">
        <f t="shared" si="354"/>
        <v>0</v>
      </c>
      <c r="AJ922" s="148" t="str">
        <f t="shared" si="355"/>
        <v>ja</v>
      </c>
      <c r="AK922" s="149">
        <f t="shared" si="336"/>
        <v>0</v>
      </c>
      <c r="AL922" s="149">
        <f t="shared" si="337"/>
        <v>0</v>
      </c>
      <c r="AM922" s="149">
        <f t="shared" si="338"/>
        <v>0</v>
      </c>
      <c r="AN922" s="149">
        <f t="shared" si="339"/>
        <v>0</v>
      </c>
      <c r="AO922" s="150" t="str">
        <f t="shared" si="356"/>
        <v>S</v>
      </c>
      <c r="AQ922" s="151">
        <f t="shared" si="357"/>
        <v>1095</v>
      </c>
    </row>
    <row r="923" spans="1:43" ht="15" customHeight="1">
      <c r="A923" s="82" t="e">
        <f t="shared" si="342"/>
        <v>#REF!</v>
      </c>
      <c r="B923" s="134">
        <v>116</v>
      </c>
      <c r="C923" s="135" t="s">
        <v>358</v>
      </c>
      <c r="D923" s="136" t="s">
        <v>39</v>
      </c>
      <c r="E923" s="137"/>
      <c r="F923" s="138" t="s">
        <v>263</v>
      </c>
      <c r="G923" s="139" t="s">
        <v>36</v>
      </c>
      <c r="H923" s="140" t="str">
        <f t="shared" si="343"/>
        <v>Niet van toepassing</v>
      </c>
      <c r="I923" s="138" t="s">
        <v>254</v>
      </c>
      <c r="J923" s="138" t="s">
        <v>1172</v>
      </c>
      <c r="K923" s="141" t="str">
        <f t="shared" si="344"/>
        <v>NVT</v>
      </c>
      <c r="L923" s="141" t="str">
        <f t="shared" si="345"/>
        <v>NVT</v>
      </c>
      <c r="M923" s="141" t="str">
        <f t="shared" si="346"/>
        <v>NVT</v>
      </c>
      <c r="N923" s="141" t="str">
        <f t="shared" si="347"/>
        <v>NVT</v>
      </c>
      <c r="O923" s="141" t="str">
        <f t="shared" si="348"/>
        <v>NVT</v>
      </c>
      <c r="P923" s="141" t="str">
        <f t="shared" si="349"/>
        <v>NVT</v>
      </c>
      <c r="Q923" s="141" t="str">
        <f t="shared" si="350"/>
        <v>NVT</v>
      </c>
      <c r="R923" s="63" t="s">
        <v>1221</v>
      </c>
      <c r="S923" s="142">
        <f t="shared" si="358"/>
        <v>0</v>
      </c>
      <c r="T923" s="143">
        <v>20</v>
      </c>
      <c r="U923" s="144" t="s">
        <v>497</v>
      </c>
      <c r="V923" s="144"/>
      <c r="W923" s="144"/>
      <c r="X923" s="144"/>
      <c r="Y923" s="144"/>
      <c r="Z923" s="145"/>
      <c r="AA923" s="145"/>
      <c r="AB923" s="145">
        <f>T923</f>
        <v>20</v>
      </c>
      <c r="AC923" s="145"/>
      <c r="AD923" s="146"/>
      <c r="AE923" s="171">
        <v>1</v>
      </c>
      <c r="AF923" s="147">
        <f t="shared" si="351"/>
        <v>0</v>
      </c>
      <c r="AG923" s="147">
        <f t="shared" si="352"/>
        <v>0</v>
      </c>
      <c r="AH923" s="147">
        <f t="shared" si="353"/>
        <v>0</v>
      </c>
      <c r="AI923" s="147">
        <f t="shared" si="354"/>
        <v>0</v>
      </c>
      <c r="AJ923" s="148">
        <f t="shared" si="355"/>
        <v>0</v>
      </c>
      <c r="AK923" s="149">
        <f t="shared" si="336"/>
        <v>0</v>
      </c>
      <c r="AL923" s="149">
        <f t="shared" si="337"/>
        <v>0</v>
      </c>
      <c r="AM923" s="149">
        <f t="shared" si="338"/>
        <v>0</v>
      </c>
      <c r="AN923" s="149">
        <f t="shared" si="339"/>
        <v>0</v>
      </c>
      <c r="AO923" s="150">
        <f t="shared" si="356"/>
        <v>0</v>
      </c>
      <c r="AQ923" s="151">
        <f t="shared" si="357"/>
        <v>0</v>
      </c>
    </row>
    <row r="924" spans="1:43" ht="15" customHeight="1">
      <c r="A924" s="82" t="e">
        <f t="shared" si="342"/>
        <v>#REF!</v>
      </c>
      <c r="B924" s="134">
        <v>116</v>
      </c>
      <c r="C924" s="135" t="s">
        <v>358</v>
      </c>
      <c r="D924" s="136" t="s">
        <v>39</v>
      </c>
      <c r="E924" s="137"/>
      <c r="F924" s="138" t="s">
        <v>212</v>
      </c>
      <c r="G924" s="139" t="s">
        <v>291</v>
      </c>
      <c r="H924" s="140" t="str">
        <f t="shared" si="343"/>
        <v>Liften</v>
      </c>
      <c r="I924" s="138" t="s">
        <v>457</v>
      </c>
      <c r="J924" s="138" t="s">
        <v>1170</v>
      </c>
      <c r="K924" s="141" t="str">
        <f t="shared" si="344"/>
        <v>Volledig</v>
      </c>
      <c r="L924" s="141" t="str">
        <f t="shared" si="345"/>
        <v>naloop</v>
      </c>
      <c r="M924" s="141" t="str">
        <f t="shared" si="346"/>
        <v>naloop</v>
      </c>
      <c r="N924" s="141" t="str">
        <f t="shared" si="347"/>
        <v>Volledig</v>
      </c>
      <c r="O924" s="141" t="str">
        <f t="shared" si="348"/>
        <v>naloop</v>
      </c>
      <c r="P924" s="141" t="str">
        <f t="shared" si="349"/>
        <v>naloop</v>
      </c>
      <c r="Q924" s="141" t="str">
        <f t="shared" si="350"/>
        <v>naloop</v>
      </c>
      <c r="R924" s="63" t="s">
        <v>1474</v>
      </c>
      <c r="S924" s="142">
        <f t="shared" si="358"/>
        <v>365</v>
      </c>
      <c r="T924" s="143">
        <v>4</v>
      </c>
      <c r="U924" s="144"/>
      <c r="V924" s="144"/>
      <c r="W924" s="144"/>
      <c r="X924" s="144">
        <v>15</v>
      </c>
      <c r="Y924" s="144"/>
      <c r="Z924" s="145"/>
      <c r="AA924" s="145"/>
      <c r="AB924" s="145"/>
      <c r="AC924" s="145">
        <f>T924</f>
        <v>4</v>
      </c>
      <c r="AD924" s="146"/>
      <c r="AE924" s="171">
        <v>1</v>
      </c>
      <c r="AF924" s="147">
        <f t="shared" si="351"/>
        <v>0</v>
      </c>
      <c r="AG924" s="147">
        <f t="shared" si="352"/>
        <v>0</v>
      </c>
      <c r="AH924" s="147">
        <f t="shared" si="353"/>
        <v>0</v>
      </c>
      <c r="AI924" s="147">
        <f t="shared" si="354"/>
        <v>0</v>
      </c>
      <c r="AJ924" s="148" t="str">
        <f t="shared" si="355"/>
        <v>ja</v>
      </c>
      <c r="AK924" s="149">
        <f t="shared" si="336"/>
        <v>0</v>
      </c>
      <c r="AL924" s="149">
        <f t="shared" si="337"/>
        <v>0</v>
      </c>
      <c r="AM924" s="149">
        <f t="shared" si="338"/>
        <v>0</v>
      </c>
      <c r="AN924" s="149">
        <f t="shared" si="339"/>
        <v>0</v>
      </c>
      <c r="AO924" s="150" t="str">
        <f t="shared" si="356"/>
        <v>V</v>
      </c>
      <c r="AQ924" s="151">
        <f t="shared" si="357"/>
        <v>1460</v>
      </c>
    </row>
    <row r="925" spans="1:43" ht="15" customHeight="1">
      <c r="A925" s="82" t="e">
        <f t="shared" si="342"/>
        <v>#REF!</v>
      </c>
      <c r="B925" s="134">
        <v>116</v>
      </c>
      <c r="C925" s="135" t="s">
        <v>358</v>
      </c>
      <c r="D925" s="136" t="s">
        <v>39</v>
      </c>
      <c r="E925" s="137"/>
      <c r="F925" s="138" t="s">
        <v>369</v>
      </c>
      <c r="G925" s="139" t="s">
        <v>309</v>
      </c>
      <c r="H925" s="140" t="str">
        <f t="shared" si="343"/>
        <v>Niet van toepassing</v>
      </c>
      <c r="I925" s="138" t="s">
        <v>18</v>
      </c>
      <c r="J925" s="138" t="s">
        <v>1172</v>
      </c>
      <c r="K925" s="141" t="str">
        <f t="shared" si="344"/>
        <v>NVT</v>
      </c>
      <c r="L925" s="141" t="str">
        <f t="shared" si="345"/>
        <v>NVT</v>
      </c>
      <c r="M925" s="141" t="str">
        <f t="shared" si="346"/>
        <v>NVT</v>
      </c>
      <c r="N925" s="141" t="str">
        <f t="shared" si="347"/>
        <v>NVT</v>
      </c>
      <c r="O925" s="141" t="str">
        <f t="shared" si="348"/>
        <v>NVT</v>
      </c>
      <c r="P925" s="141" t="str">
        <f t="shared" si="349"/>
        <v>NVT</v>
      </c>
      <c r="Q925" s="141" t="str">
        <f t="shared" si="350"/>
        <v>NVT</v>
      </c>
      <c r="R925" s="63" t="s">
        <v>1221</v>
      </c>
      <c r="S925" s="142">
        <f t="shared" si="358"/>
        <v>0</v>
      </c>
      <c r="T925" s="143">
        <v>9</v>
      </c>
      <c r="U925" s="144"/>
      <c r="V925" s="144"/>
      <c r="W925" s="144">
        <v>18</v>
      </c>
      <c r="X925" s="144"/>
      <c r="Y925" s="144"/>
      <c r="Z925" s="145"/>
      <c r="AA925" s="145">
        <f>T925</f>
        <v>9</v>
      </c>
      <c r="AB925" s="145"/>
      <c r="AC925" s="145"/>
      <c r="AD925" s="146"/>
      <c r="AE925" s="171">
        <v>1</v>
      </c>
      <c r="AF925" s="147">
        <f t="shared" si="351"/>
        <v>0</v>
      </c>
      <c r="AG925" s="147">
        <f t="shared" si="352"/>
        <v>0</v>
      </c>
      <c r="AH925" s="147">
        <f t="shared" si="353"/>
        <v>0</v>
      </c>
      <c r="AI925" s="147">
        <f t="shared" si="354"/>
        <v>0</v>
      </c>
      <c r="AJ925" s="148">
        <f t="shared" si="355"/>
        <v>0</v>
      </c>
      <c r="AK925" s="149">
        <f t="shared" si="336"/>
        <v>0</v>
      </c>
      <c r="AL925" s="149">
        <f t="shared" si="337"/>
        <v>0</v>
      </c>
      <c r="AM925" s="149">
        <f t="shared" si="338"/>
        <v>0</v>
      </c>
      <c r="AN925" s="149">
        <f t="shared" si="339"/>
        <v>0</v>
      </c>
      <c r="AO925" s="150">
        <f t="shared" si="356"/>
        <v>0</v>
      </c>
      <c r="AQ925" s="151">
        <f t="shared" si="357"/>
        <v>0</v>
      </c>
    </row>
    <row r="926" spans="1:43" ht="15" customHeight="1">
      <c r="A926" s="82" t="e">
        <f t="shared" si="342"/>
        <v>#REF!</v>
      </c>
      <c r="B926" s="134">
        <v>116</v>
      </c>
      <c r="C926" s="135" t="s">
        <v>358</v>
      </c>
      <c r="D926" s="136" t="s">
        <v>39</v>
      </c>
      <c r="E926" s="137"/>
      <c r="F926" s="138" t="s">
        <v>241</v>
      </c>
      <c r="G926" s="139" t="s">
        <v>311</v>
      </c>
      <c r="H926" s="140" t="str">
        <f t="shared" si="343"/>
        <v>Kantoren/spreekkamers</v>
      </c>
      <c r="I926" s="138" t="s">
        <v>270</v>
      </c>
      <c r="J926" s="138" t="s">
        <v>1170</v>
      </c>
      <c r="K926" s="141" t="str">
        <f t="shared" si="344"/>
        <v>Volledig</v>
      </c>
      <c r="L926" s="141" t="str">
        <f t="shared" si="345"/>
        <v>naloop</v>
      </c>
      <c r="M926" s="141" t="str">
        <f t="shared" si="346"/>
        <v>naloop</v>
      </c>
      <c r="N926" s="141" t="str">
        <f t="shared" si="347"/>
        <v>Volledig</v>
      </c>
      <c r="O926" s="141" t="str">
        <f t="shared" si="348"/>
        <v>naloop</v>
      </c>
      <c r="P926" s="141" t="str">
        <f t="shared" si="349"/>
        <v>naloop</v>
      </c>
      <c r="Q926" s="141" t="str">
        <f t="shared" si="350"/>
        <v>naloop</v>
      </c>
      <c r="R926" s="63" t="s">
        <v>1219</v>
      </c>
      <c r="S926" s="142">
        <f t="shared" si="358"/>
        <v>365</v>
      </c>
      <c r="T926" s="143">
        <v>18</v>
      </c>
      <c r="U926" s="144"/>
      <c r="V926" s="144">
        <v>58</v>
      </c>
      <c r="W926" s="144"/>
      <c r="X926" s="144"/>
      <c r="Y926" s="144"/>
      <c r="Z926" s="145"/>
      <c r="AA926" s="145"/>
      <c r="AB926" s="145">
        <f>T926</f>
        <v>18</v>
      </c>
      <c r="AC926" s="145"/>
      <c r="AD926" s="146"/>
      <c r="AE926" s="171">
        <v>1</v>
      </c>
      <c r="AF926" s="147">
        <f t="shared" si="351"/>
        <v>0</v>
      </c>
      <c r="AG926" s="147">
        <f t="shared" si="352"/>
        <v>0</v>
      </c>
      <c r="AH926" s="147">
        <f t="shared" si="353"/>
        <v>0</v>
      </c>
      <c r="AI926" s="147">
        <f t="shared" si="354"/>
        <v>0</v>
      </c>
      <c r="AJ926" s="148" t="str">
        <f t="shared" si="355"/>
        <v>nee</v>
      </c>
      <c r="AK926" s="149">
        <f t="shared" si="336"/>
        <v>0</v>
      </c>
      <c r="AL926" s="149">
        <f t="shared" si="337"/>
        <v>0</v>
      </c>
      <c r="AM926" s="149">
        <f t="shared" si="338"/>
        <v>0</v>
      </c>
      <c r="AN926" s="149">
        <f t="shared" si="339"/>
        <v>0</v>
      </c>
      <c r="AO926" s="150" t="str">
        <f t="shared" si="356"/>
        <v>B</v>
      </c>
      <c r="AQ926" s="151">
        <f t="shared" si="357"/>
        <v>6570</v>
      </c>
    </row>
    <row r="927" spans="1:43" ht="15" customHeight="1">
      <c r="A927" s="82" t="e">
        <f t="shared" si="342"/>
        <v>#REF!</v>
      </c>
      <c r="B927" s="134">
        <v>116</v>
      </c>
      <c r="C927" s="135" t="s">
        <v>358</v>
      </c>
      <c r="D927" s="136" t="s">
        <v>39</v>
      </c>
      <c r="E927" s="137"/>
      <c r="F927" s="138" t="s">
        <v>370</v>
      </c>
      <c r="G927" s="139" t="s">
        <v>298</v>
      </c>
      <c r="H927" s="140" t="str">
        <f t="shared" si="343"/>
        <v>Trappen</v>
      </c>
      <c r="I927" s="138" t="s">
        <v>195</v>
      </c>
      <c r="J927" s="138" t="s">
        <v>1170</v>
      </c>
      <c r="K927" s="141" t="str">
        <f t="shared" si="344"/>
        <v>Volledig</v>
      </c>
      <c r="L927" s="141" t="str">
        <f t="shared" si="345"/>
        <v>naloop</v>
      </c>
      <c r="M927" s="141" t="str">
        <f t="shared" si="346"/>
        <v>naloop</v>
      </c>
      <c r="N927" s="141" t="str">
        <f t="shared" si="347"/>
        <v>Volledig</v>
      </c>
      <c r="O927" s="141" t="str">
        <f t="shared" si="348"/>
        <v>naloop</v>
      </c>
      <c r="P927" s="141" t="str">
        <f t="shared" si="349"/>
        <v>naloop</v>
      </c>
      <c r="Q927" s="141" t="str">
        <f t="shared" si="350"/>
        <v>naloop</v>
      </c>
      <c r="R927" s="63" t="s">
        <v>1476</v>
      </c>
      <c r="S927" s="142">
        <f t="shared" si="358"/>
        <v>365</v>
      </c>
      <c r="T927" s="143">
        <v>26</v>
      </c>
      <c r="U927" s="144" t="s">
        <v>489</v>
      </c>
      <c r="V927" s="144"/>
      <c r="W927" s="144"/>
      <c r="X927" s="144"/>
      <c r="Y927" s="144"/>
      <c r="Z927" s="145"/>
      <c r="AA927" s="145"/>
      <c r="AB927" s="145">
        <f>T927</f>
        <v>26</v>
      </c>
      <c r="AC927" s="145"/>
      <c r="AD927" s="146"/>
      <c r="AE927" s="171">
        <v>1</v>
      </c>
      <c r="AF927" s="147">
        <f t="shared" si="351"/>
        <v>0</v>
      </c>
      <c r="AG927" s="147">
        <f t="shared" si="352"/>
        <v>0</v>
      </c>
      <c r="AH927" s="147">
        <f t="shared" si="353"/>
        <v>0</v>
      </c>
      <c r="AI927" s="147">
        <f t="shared" si="354"/>
        <v>0</v>
      </c>
      <c r="AJ927" s="148" t="str">
        <f t="shared" si="355"/>
        <v>ja</v>
      </c>
      <c r="AK927" s="149">
        <f t="shared" si="336"/>
        <v>0</v>
      </c>
      <c r="AL927" s="149">
        <f t="shared" si="337"/>
        <v>0</v>
      </c>
      <c r="AM927" s="149">
        <f t="shared" si="338"/>
        <v>0</v>
      </c>
      <c r="AN927" s="149">
        <f t="shared" si="339"/>
        <v>0</v>
      </c>
      <c r="AO927" s="150" t="str">
        <f t="shared" si="356"/>
        <v>V</v>
      </c>
      <c r="AQ927" s="151">
        <f t="shared" si="357"/>
        <v>9490</v>
      </c>
    </row>
    <row r="928" spans="1:43" ht="15" customHeight="1">
      <c r="A928" s="82" t="e">
        <f>1+#REF!</f>
        <v>#REF!</v>
      </c>
      <c r="B928" s="134">
        <v>116</v>
      </c>
      <c r="C928" s="135" t="s">
        <v>358</v>
      </c>
      <c r="D928" s="136" t="s">
        <v>39</v>
      </c>
      <c r="E928" s="137"/>
      <c r="F928" s="138" t="s">
        <v>317</v>
      </c>
      <c r="G928" s="139" t="s">
        <v>372</v>
      </c>
      <c r="H928" s="140" t="str">
        <f t="shared" si="343"/>
        <v>Niet van toepassing</v>
      </c>
      <c r="I928" s="138" t="s">
        <v>270</v>
      </c>
      <c r="J928" s="138" t="s">
        <v>1172</v>
      </c>
      <c r="K928" s="141" t="str">
        <f t="shared" si="344"/>
        <v>NVT</v>
      </c>
      <c r="L928" s="141" t="str">
        <f t="shared" si="345"/>
        <v>NVT</v>
      </c>
      <c r="M928" s="141" t="str">
        <f t="shared" si="346"/>
        <v>NVT</v>
      </c>
      <c r="N928" s="141" t="str">
        <f t="shared" si="347"/>
        <v>NVT</v>
      </c>
      <c r="O928" s="141" t="str">
        <f t="shared" si="348"/>
        <v>NVT</v>
      </c>
      <c r="P928" s="141" t="str">
        <f t="shared" si="349"/>
        <v>NVT</v>
      </c>
      <c r="Q928" s="141" t="str">
        <f t="shared" si="350"/>
        <v>NVT</v>
      </c>
      <c r="R928" s="63" t="s">
        <v>1221</v>
      </c>
      <c r="S928" s="142">
        <f t="shared" si="358"/>
        <v>0</v>
      </c>
      <c r="T928" s="143">
        <v>16</v>
      </c>
      <c r="U928" s="144"/>
      <c r="V928" s="144">
        <v>75</v>
      </c>
      <c r="W928" s="144"/>
      <c r="X928" s="144"/>
      <c r="Y928" s="144"/>
      <c r="Z928" s="145"/>
      <c r="AA928" s="145"/>
      <c r="AB928" s="145">
        <f>T928</f>
        <v>16</v>
      </c>
      <c r="AC928" s="145"/>
      <c r="AD928" s="146"/>
      <c r="AE928" s="171">
        <v>1</v>
      </c>
      <c r="AF928" s="147">
        <f t="shared" si="351"/>
        <v>0</v>
      </c>
      <c r="AG928" s="147">
        <f t="shared" si="352"/>
        <v>0</v>
      </c>
      <c r="AH928" s="147">
        <f t="shared" si="353"/>
        <v>0</v>
      </c>
      <c r="AI928" s="147">
        <f t="shared" si="354"/>
        <v>0</v>
      </c>
      <c r="AJ928" s="148">
        <f t="shared" si="355"/>
        <v>0</v>
      </c>
      <c r="AK928" s="149">
        <f t="shared" si="336"/>
        <v>0</v>
      </c>
      <c r="AL928" s="149">
        <f t="shared" si="337"/>
        <v>0</v>
      </c>
      <c r="AM928" s="149">
        <f t="shared" si="338"/>
        <v>0</v>
      </c>
      <c r="AN928" s="149">
        <f t="shared" si="339"/>
        <v>0</v>
      </c>
      <c r="AO928" s="150">
        <f t="shared" si="356"/>
        <v>0</v>
      </c>
      <c r="AQ928" s="151">
        <f t="shared" si="357"/>
        <v>0</v>
      </c>
    </row>
    <row r="929" spans="1:43" ht="15" customHeight="1">
      <c r="A929" s="82" t="e">
        <f t="shared" si="342"/>
        <v>#REF!</v>
      </c>
      <c r="B929" s="134">
        <v>116</v>
      </c>
      <c r="C929" s="135" t="s">
        <v>358</v>
      </c>
      <c r="D929" s="136" t="s">
        <v>39</v>
      </c>
      <c r="E929" s="137"/>
      <c r="F929" s="138" t="s">
        <v>218</v>
      </c>
      <c r="G929" s="139" t="s">
        <v>315</v>
      </c>
      <c r="H929" s="140" t="str">
        <f t="shared" si="343"/>
        <v>Niet van toepassing</v>
      </c>
      <c r="I929" s="138" t="s">
        <v>254</v>
      </c>
      <c r="J929" s="138" t="s">
        <v>1172</v>
      </c>
      <c r="K929" s="141" t="str">
        <f t="shared" si="344"/>
        <v>NVT</v>
      </c>
      <c r="L929" s="141" t="str">
        <f t="shared" si="345"/>
        <v>NVT</v>
      </c>
      <c r="M929" s="141" t="str">
        <f t="shared" si="346"/>
        <v>NVT</v>
      </c>
      <c r="N929" s="141" t="str">
        <f t="shared" si="347"/>
        <v>NVT</v>
      </c>
      <c r="O929" s="141" t="str">
        <f t="shared" si="348"/>
        <v>NVT</v>
      </c>
      <c r="P929" s="141" t="str">
        <f t="shared" si="349"/>
        <v>NVT</v>
      </c>
      <c r="Q929" s="141" t="str">
        <f t="shared" si="350"/>
        <v>NVT</v>
      </c>
      <c r="R929" s="63" t="s">
        <v>1221</v>
      </c>
      <c r="S929" s="142">
        <f t="shared" si="358"/>
        <v>0</v>
      </c>
      <c r="T929" s="143">
        <v>76</v>
      </c>
      <c r="U929" s="144"/>
      <c r="V929" s="144">
        <v>180</v>
      </c>
      <c r="W929" s="144"/>
      <c r="X929" s="144"/>
      <c r="Y929" s="144"/>
      <c r="Z929" s="145"/>
      <c r="AA929" s="145"/>
      <c r="AB929" s="145">
        <f>T929</f>
        <v>76</v>
      </c>
      <c r="AC929" s="145"/>
      <c r="AD929" s="146"/>
      <c r="AE929" s="171">
        <v>1</v>
      </c>
      <c r="AF929" s="147">
        <f t="shared" si="351"/>
        <v>0</v>
      </c>
      <c r="AG929" s="147">
        <f t="shared" si="352"/>
        <v>0</v>
      </c>
      <c r="AH929" s="147">
        <f t="shared" si="353"/>
        <v>0</v>
      </c>
      <c r="AI929" s="147">
        <f t="shared" si="354"/>
        <v>0</v>
      </c>
      <c r="AJ929" s="148">
        <f t="shared" si="355"/>
        <v>0</v>
      </c>
      <c r="AK929" s="149">
        <f t="shared" si="336"/>
        <v>0</v>
      </c>
      <c r="AL929" s="149">
        <f t="shared" si="337"/>
        <v>0</v>
      </c>
      <c r="AM929" s="149">
        <f t="shared" si="338"/>
        <v>0</v>
      </c>
      <c r="AN929" s="149">
        <f t="shared" si="339"/>
        <v>0</v>
      </c>
      <c r="AO929" s="150">
        <f t="shared" si="356"/>
        <v>0</v>
      </c>
      <c r="AQ929" s="151">
        <f t="shared" si="357"/>
        <v>0</v>
      </c>
    </row>
    <row r="930" spans="1:43" ht="15" customHeight="1">
      <c r="A930" s="82" t="e">
        <f t="shared" si="342"/>
        <v>#REF!</v>
      </c>
      <c r="B930" s="134">
        <v>116</v>
      </c>
      <c r="C930" s="135" t="s">
        <v>358</v>
      </c>
      <c r="D930" s="136" t="s">
        <v>39</v>
      </c>
      <c r="E930" s="137"/>
      <c r="F930" s="138" t="s">
        <v>458</v>
      </c>
      <c r="G930" s="139" t="s">
        <v>373</v>
      </c>
      <c r="H930" s="140" t="str">
        <f t="shared" si="343"/>
        <v>Niet van toepassing</v>
      </c>
      <c r="I930" s="138" t="s">
        <v>254</v>
      </c>
      <c r="J930" s="138" t="s">
        <v>1172</v>
      </c>
      <c r="K930" s="141" t="str">
        <f t="shared" si="344"/>
        <v>NVT</v>
      </c>
      <c r="L930" s="141" t="str">
        <f t="shared" si="345"/>
        <v>NVT</v>
      </c>
      <c r="M930" s="141" t="str">
        <f t="shared" si="346"/>
        <v>NVT</v>
      </c>
      <c r="N930" s="141" t="str">
        <f t="shared" si="347"/>
        <v>NVT</v>
      </c>
      <c r="O930" s="141" t="str">
        <f t="shared" si="348"/>
        <v>NVT</v>
      </c>
      <c r="P930" s="141" t="str">
        <f t="shared" si="349"/>
        <v>NVT</v>
      </c>
      <c r="Q930" s="141" t="str">
        <f t="shared" si="350"/>
        <v>NVT</v>
      </c>
      <c r="R930" s="63" t="s">
        <v>1221</v>
      </c>
      <c r="S930" s="142">
        <f t="shared" si="358"/>
        <v>0</v>
      </c>
      <c r="T930" s="143">
        <v>13</v>
      </c>
      <c r="U930" s="144" t="s">
        <v>497</v>
      </c>
      <c r="V930" s="144"/>
      <c r="W930" s="144"/>
      <c r="X930" s="144"/>
      <c r="Y930" s="144"/>
      <c r="Z930" s="145"/>
      <c r="AA930" s="145"/>
      <c r="AB930" s="145">
        <f>T930</f>
        <v>13</v>
      </c>
      <c r="AC930" s="145"/>
      <c r="AD930" s="146"/>
      <c r="AE930" s="171">
        <v>1</v>
      </c>
      <c r="AF930" s="147">
        <f t="shared" si="351"/>
        <v>0</v>
      </c>
      <c r="AG930" s="147">
        <f t="shared" si="352"/>
        <v>0</v>
      </c>
      <c r="AH930" s="147">
        <f t="shared" si="353"/>
        <v>0</v>
      </c>
      <c r="AI930" s="147">
        <f t="shared" si="354"/>
        <v>0</v>
      </c>
      <c r="AJ930" s="148">
        <f t="shared" si="355"/>
        <v>0</v>
      </c>
      <c r="AK930" s="149">
        <f t="shared" si="336"/>
        <v>0</v>
      </c>
      <c r="AL930" s="149">
        <f t="shared" si="337"/>
        <v>0</v>
      </c>
      <c r="AM930" s="149">
        <f t="shared" si="338"/>
        <v>0</v>
      </c>
      <c r="AN930" s="149">
        <f t="shared" si="339"/>
        <v>0</v>
      </c>
      <c r="AO930" s="150">
        <f t="shared" si="356"/>
        <v>0</v>
      </c>
      <c r="AQ930" s="151">
        <f t="shared" si="357"/>
        <v>0</v>
      </c>
    </row>
    <row r="931" spans="1:43" ht="15" customHeight="1">
      <c r="A931" s="82" t="e">
        <f t="shared" si="342"/>
        <v>#REF!</v>
      </c>
      <c r="B931" s="134">
        <v>116</v>
      </c>
      <c r="C931" s="135" t="s">
        <v>358</v>
      </c>
      <c r="D931" s="136" t="s">
        <v>39</v>
      </c>
      <c r="E931" s="137"/>
      <c r="F931" s="138" t="s">
        <v>374</v>
      </c>
      <c r="G931" s="139" t="s">
        <v>353</v>
      </c>
      <c r="H931" s="140" t="str">
        <f t="shared" si="343"/>
        <v>Niet van toepassing</v>
      </c>
      <c r="I931" s="138" t="s">
        <v>254</v>
      </c>
      <c r="J931" s="138" t="s">
        <v>1172</v>
      </c>
      <c r="K931" s="141" t="str">
        <f t="shared" si="344"/>
        <v>NVT</v>
      </c>
      <c r="L931" s="141" t="str">
        <f t="shared" si="345"/>
        <v>NVT</v>
      </c>
      <c r="M931" s="141" t="str">
        <f t="shared" si="346"/>
        <v>NVT</v>
      </c>
      <c r="N931" s="141" t="str">
        <f t="shared" si="347"/>
        <v>NVT</v>
      </c>
      <c r="O931" s="141" t="str">
        <f t="shared" si="348"/>
        <v>NVT</v>
      </c>
      <c r="P931" s="141" t="str">
        <f t="shared" si="349"/>
        <v>NVT</v>
      </c>
      <c r="Q931" s="141" t="str">
        <f t="shared" si="350"/>
        <v>NVT</v>
      </c>
      <c r="R931" s="63" t="s">
        <v>1221</v>
      </c>
      <c r="S931" s="142">
        <f t="shared" si="358"/>
        <v>0</v>
      </c>
      <c r="T931" s="143">
        <v>1</v>
      </c>
      <c r="U931" s="144"/>
      <c r="V931" s="144"/>
      <c r="W931" s="144">
        <v>8</v>
      </c>
      <c r="X931" s="144"/>
      <c r="Y931" s="144"/>
      <c r="Z931" s="145"/>
      <c r="AA931" s="145">
        <f>T931</f>
        <v>1</v>
      </c>
      <c r="AB931" s="145"/>
      <c r="AC931" s="145"/>
      <c r="AD931" s="146"/>
      <c r="AE931" s="171">
        <v>1</v>
      </c>
      <c r="AF931" s="147">
        <f t="shared" si="351"/>
        <v>0</v>
      </c>
      <c r="AG931" s="147">
        <f t="shared" si="352"/>
        <v>0</v>
      </c>
      <c r="AH931" s="147">
        <f t="shared" si="353"/>
        <v>0</v>
      </c>
      <c r="AI931" s="147">
        <f t="shared" si="354"/>
        <v>0</v>
      </c>
      <c r="AJ931" s="148">
        <f t="shared" si="355"/>
        <v>0</v>
      </c>
      <c r="AK931" s="149">
        <f t="shared" si="336"/>
        <v>0</v>
      </c>
      <c r="AL931" s="149">
        <f t="shared" si="337"/>
        <v>0</v>
      </c>
      <c r="AM931" s="149">
        <f t="shared" si="338"/>
        <v>0</v>
      </c>
      <c r="AN931" s="149">
        <f t="shared" si="339"/>
        <v>0</v>
      </c>
      <c r="AO931" s="150">
        <f t="shared" si="356"/>
        <v>0</v>
      </c>
      <c r="AQ931" s="151">
        <f t="shared" si="357"/>
        <v>0</v>
      </c>
    </row>
    <row r="932" spans="1:43" ht="15" customHeight="1">
      <c r="A932" s="82" t="e">
        <f t="shared" si="342"/>
        <v>#REF!</v>
      </c>
      <c r="B932" s="134">
        <v>116</v>
      </c>
      <c r="C932" s="135" t="s">
        <v>358</v>
      </c>
      <c r="D932" s="136" t="s">
        <v>39</v>
      </c>
      <c r="E932" s="137"/>
      <c r="F932" s="138" t="s">
        <v>374</v>
      </c>
      <c r="G932" s="139" t="s">
        <v>355</v>
      </c>
      <c r="H932" s="140" t="str">
        <f t="shared" si="343"/>
        <v>Niet van toepassing</v>
      </c>
      <c r="I932" s="138" t="s">
        <v>254</v>
      </c>
      <c r="J932" s="138" t="s">
        <v>1172</v>
      </c>
      <c r="K932" s="141" t="str">
        <f t="shared" si="344"/>
        <v>NVT</v>
      </c>
      <c r="L932" s="141" t="str">
        <f t="shared" si="345"/>
        <v>NVT</v>
      </c>
      <c r="M932" s="141" t="str">
        <f t="shared" si="346"/>
        <v>NVT</v>
      </c>
      <c r="N932" s="141" t="str">
        <f t="shared" si="347"/>
        <v>NVT</v>
      </c>
      <c r="O932" s="141" t="str">
        <f t="shared" si="348"/>
        <v>NVT</v>
      </c>
      <c r="P932" s="141" t="str">
        <f t="shared" si="349"/>
        <v>NVT</v>
      </c>
      <c r="Q932" s="141" t="str">
        <f t="shared" si="350"/>
        <v>NVT</v>
      </c>
      <c r="R932" s="63" t="s">
        <v>1221</v>
      </c>
      <c r="S932" s="142">
        <f t="shared" si="358"/>
        <v>0</v>
      </c>
      <c r="T932" s="143">
        <v>1</v>
      </c>
      <c r="U932" s="144"/>
      <c r="V932" s="144"/>
      <c r="W932" s="144">
        <v>8</v>
      </c>
      <c r="X932" s="144"/>
      <c r="Y932" s="144"/>
      <c r="Z932" s="145"/>
      <c r="AA932" s="145">
        <f>T932</f>
        <v>1</v>
      </c>
      <c r="AB932" s="145"/>
      <c r="AC932" s="145"/>
      <c r="AD932" s="146"/>
      <c r="AE932" s="171">
        <v>1</v>
      </c>
      <c r="AF932" s="147">
        <f t="shared" si="351"/>
        <v>0</v>
      </c>
      <c r="AG932" s="147">
        <f t="shared" si="352"/>
        <v>0</v>
      </c>
      <c r="AH932" s="147">
        <f t="shared" si="353"/>
        <v>0</v>
      </c>
      <c r="AI932" s="147">
        <f t="shared" si="354"/>
        <v>0</v>
      </c>
      <c r="AJ932" s="148">
        <f t="shared" si="355"/>
        <v>0</v>
      </c>
      <c r="AK932" s="149">
        <f t="shared" si="336"/>
        <v>0</v>
      </c>
      <c r="AL932" s="149">
        <f t="shared" si="337"/>
        <v>0</v>
      </c>
      <c r="AM932" s="149">
        <f t="shared" si="338"/>
        <v>0</v>
      </c>
      <c r="AN932" s="149">
        <f t="shared" si="339"/>
        <v>0</v>
      </c>
      <c r="AO932" s="150">
        <f t="shared" si="356"/>
        <v>0</v>
      </c>
      <c r="AQ932" s="151">
        <f t="shared" si="357"/>
        <v>0</v>
      </c>
    </row>
    <row r="933" spans="1:43" ht="15" customHeight="1">
      <c r="A933" s="82" t="e">
        <f t="shared" si="342"/>
        <v>#REF!</v>
      </c>
      <c r="B933" s="134">
        <v>116</v>
      </c>
      <c r="C933" s="135" t="s">
        <v>358</v>
      </c>
      <c r="D933" s="136" t="s">
        <v>39</v>
      </c>
      <c r="E933" s="137"/>
      <c r="F933" s="138" t="s">
        <v>375</v>
      </c>
      <c r="G933" s="139" t="s">
        <v>356</v>
      </c>
      <c r="H933" s="140" t="str">
        <f t="shared" si="343"/>
        <v>Niet van toepassing</v>
      </c>
      <c r="I933" s="138" t="s">
        <v>261</v>
      </c>
      <c r="J933" s="138" t="s">
        <v>1172</v>
      </c>
      <c r="K933" s="141" t="str">
        <f t="shared" si="344"/>
        <v>NVT</v>
      </c>
      <c r="L933" s="141" t="str">
        <f t="shared" si="345"/>
        <v>NVT</v>
      </c>
      <c r="M933" s="141" t="str">
        <f t="shared" si="346"/>
        <v>NVT</v>
      </c>
      <c r="N933" s="141" t="str">
        <f t="shared" si="347"/>
        <v>NVT</v>
      </c>
      <c r="O933" s="141" t="str">
        <f t="shared" si="348"/>
        <v>NVT</v>
      </c>
      <c r="P933" s="141" t="str">
        <f t="shared" si="349"/>
        <v>NVT</v>
      </c>
      <c r="Q933" s="141" t="str">
        <f t="shared" si="350"/>
        <v>NVT</v>
      </c>
      <c r="R933" s="63" t="s">
        <v>1221</v>
      </c>
      <c r="S933" s="142">
        <f t="shared" si="358"/>
        <v>0</v>
      </c>
      <c r="T933" s="143">
        <v>1</v>
      </c>
      <c r="U933" s="144"/>
      <c r="V933" s="144"/>
      <c r="W933" s="144">
        <v>73</v>
      </c>
      <c r="X933" s="144"/>
      <c r="Y933" s="144"/>
      <c r="Z933" s="145"/>
      <c r="AA933" s="145">
        <f>T933</f>
        <v>1</v>
      </c>
      <c r="AB933" s="145"/>
      <c r="AC933" s="145"/>
      <c r="AD933" s="146"/>
      <c r="AE933" s="171">
        <v>1</v>
      </c>
      <c r="AF933" s="147">
        <f t="shared" si="351"/>
        <v>0</v>
      </c>
      <c r="AG933" s="147">
        <f t="shared" si="352"/>
        <v>0</v>
      </c>
      <c r="AH933" s="147">
        <f t="shared" si="353"/>
        <v>0</v>
      </c>
      <c r="AI933" s="147">
        <f t="shared" si="354"/>
        <v>0</v>
      </c>
      <c r="AJ933" s="148">
        <f t="shared" si="355"/>
        <v>0</v>
      </c>
      <c r="AK933" s="149">
        <f t="shared" si="336"/>
        <v>0</v>
      </c>
      <c r="AL933" s="149">
        <f t="shared" si="337"/>
        <v>0</v>
      </c>
      <c r="AM933" s="149">
        <f t="shared" si="338"/>
        <v>0</v>
      </c>
      <c r="AN933" s="149">
        <f t="shared" si="339"/>
        <v>0</v>
      </c>
      <c r="AO933" s="150">
        <f t="shared" si="356"/>
        <v>0</v>
      </c>
      <c r="AQ933" s="151">
        <f t="shared" si="357"/>
        <v>0</v>
      </c>
    </row>
    <row r="934" spans="1:43" ht="15" customHeight="1">
      <c r="A934" s="82" t="e">
        <f t="shared" si="342"/>
        <v>#REF!</v>
      </c>
      <c r="B934" s="134">
        <v>116</v>
      </c>
      <c r="C934" s="135" t="s">
        <v>358</v>
      </c>
      <c r="D934" s="136" t="s">
        <v>39</v>
      </c>
      <c r="E934" s="137"/>
      <c r="F934" s="138" t="s">
        <v>101</v>
      </c>
      <c r="G934" s="139" t="s">
        <v>376</v>
      </c>
      <c r="H934" s="140" t="str">
        <f t="shared" si="343"/>
        <v>Perrons</v>
      </c>
      <c r="I934" s="138" t="s">
        <v>199</v>
      </c>
      <c r="J934" s="138" t="s">
        <v>1170</v>
      </c>
      <c r="K934" s="141" t="str">
        <f t="shared" si="344"/>
        <v>Volledig</v>
      </c>
      <c r="L934" s="141" t="str">
        <f t="shared" si="345"/>
        <v>naloop</v>
      </c>
      <c r="M934" s="141" t="str">
        <f t="shared" si="346"/>
        <v>naloop</v>
      </c>
      <c r="N934" s="141" t="str">
        <f t="shared" si="347"/>
        <v>Volledig</v>
      </c>
      <c r="O934" s="141" t="str">
        <f t="shared" si="348"/>
        <v>naloop</v>
      </c>
      <c r="P934" s="141" t="str">
        <f t="shared" si="349"/>
        <v>naloop</v>
      </c>
      <c r="Q934" s="141" t="str">
        <f t="shared" si="350"/>
        <v>naloop</v>
      </c>
      <c r="R934" s="63" t="s">
        <v>1472</v>
      </c>
      <c r="S934" s="142">
        <f t="shared" si="358"/>
        <v>365</v>
      </c>
      <c r="T934" s="143">
        <v>1648</v>
      </c>
      <c r="U934" s="144"/>
      <c r="V934" s="144">
        <v>76</v>
      </c>
      <c r="W934" s="144"/>
      <c r="X934" s="144"/>
      <c r="Y934" s="144"/>
      <c r="Z934" s="145">
        <v>1184</v>
      </c>
      <c r="AA934" s="145"/>
      <c r="AB934" s="145"/>
      <c r="AC934" s="145"/>
      <c r="AD934" s="146"/>
      <c r="AE934" s="171">
        <v>1</v>
      </c>
      <c r="AF934" s="147">
        <f t="shared" si="351"/>
        <v>0</v>
      </c>
      <c r="AG934" s="147">
        <f t="shared" si="352"/>
        <v>0</v>
      </c>
      <c r="AH934" s="147">
        <f t="shared" si="353"/>
        <v>0</v>
      </c>
      <c r="AI934" s="147">
        <f t="shared" si="354"/>
        <v>0</v>
      </c>
      <c r="AJ934" s="148" t="str">
        <f t="shared" si="355"/>
        <v>ja</v>
      </c>
      <c r="AK934" s="149">
        <f t="shared" ref="AK934:AK989" si="360">IF($R934="",0,VLOOKUP($R934,Kengetal,5,FALSE))</f>
        <v>0</v>
      </c>
      <c r="AL934" s="149">
        <f t="shared" ref="AL934:AL989" si="361">IF($R934="",0,VLOOKUP($R934,Kengetal,6,FALSE))</f>
        <v>0</v>
      </c>
      <c r="AM934" s="149">
        <f t="shared" ref="AM934:AM989" si="362">IF($R934="",0,VLOOKUP($R934,Kengetal,7,FALSE))</f>
        <v>0</v>
      </c>
      <c r="AN934" s="149">
        <f t="shared" ref="AN934:AN989" si="363">IF($R934="",0,VLOOKUP($R934,Kengetal,8,FALSE))</f>
        <v>0</v>
      </c>
      <c r="AO934" s="150" t="str">
        <f t="shared" si="356"/>
        <v>V</v>
      </c>
      <c r="AQ934" s="151">
        <f t="shared" si="357"/>
        <v>601520</v>
      </c>
    </row>
    <row r="935" spans="1:43" ht="15" customHeight="1">
      <c r="A935" s="82" t="e">
        <f t="shared" si="342"/>
        <v>#REF!</v>
      </c>
      <c r="B935" s="134">
        <v>116</v>
      </c>
      <c r="C935" s="135" t="s">
        <v>358</v>
      </c>
      <c r="D935" s="136" t="s">
        <v>39</v>
      </c>
      <c r="E935" s="137"/>
      <c r="F935" s="138" t="s">
        <v>258</v>
      </c>
      <c r="G935" s="139" t="s">
        <v>452</v>
      </c>
      <c r="H935" s="140" t="str">
        <f t="shared" si="343"/>
        <v>Roltrappen(inclusief aangrenzende bouwdelen)</v>
      </c>
      <c r="I935" s="138" t="s">
        <v>920</v>
      </c>
      <c r="J935" s="138" t="s">
        <v>1170</v>
      </c>
      <c r="K935" s="141" t="str">
        <f t="shared" si="344"/>
        <v>Volledig</v>
      </c>
      <c r="L935" s="141" t="str">
        <f t="shared" si="345"/>
        <v>naloop</v>
      </c>
      <c r="M935" s="141" t="str">
        <f t="shared" si="346"/>
        <v>naloop</v>
      </c>
      <c r="N935" s="141" t="str">
        <f t="shared" si="347"/>
        <v>Volledig</v>
      </c>
      <c r="O935" s="141" t="str">
        <f t="shared" si="348"/>
        <v>naloop</v>
      </c>
      <c r="P935" s="141" t="str">
        <f t="shared" si="349"/>
        <v>naloop</v>
      </c>
      <c r="Q935" s="141" t="str">
        <f t="shared" si="350"/>
        <v>naloop</v>
      </c>
      <c r="R935" s="63" t="s">
        <v>1480</v>
      </c>
      <c r="S935" s="142">
        <f t="shared" si="358"/>
        <v>365</v>
      </c>
      <c r="T935" s="143">
        <v>27</v>
      </c>
      <c r="U935" s="144" t="s">
        <v>489</v>
      </c>
      <c r="V935" s="144"/>
      <c r="W935" s="144"/>
      <c r="X935" s="144"/>
      <c r="Y935" s="144"/>
      <c r="Z935" s="145"/>
      <c r="AA935" s="145"/>
      <c r="AB935" s="145">
        <f>T935</f>
        <v>27</v>
      </c>
      <c r="AC935" s="145"/>
      <c r="AD935" s="146"/>
      <c r="AE935" s="171">
        <v>1</v>
      </c>
      <c r="AF935" s="147">
        <f t="shared" si="351"/>
        <v>0</v>
      </c>
      <c r="AG935" s="147">
        <f t="shared" si="352"/>
        <v>0</v>
      </c>
      <c r="AH935" s="147">
        <f t="shared" si="353"/>
        <v>0</v>
      </c>
      <c r="AI935" s="147">
        <f t="shared" si="354"/>
        <v>0</v>
      </c>
      <c r="AJ935" s="148" t="str">
        <f t="shared" si="355"/>
        <v>ja</v>
      </c>
      <c r="AK935" s="149">
        <f t="shared" si="360"/>
        <v>0</v>
      </c>
      <c r="AL935" s="149">
        <f t="shared" si="361"/>
        <v>0</v>
      </c>
      <c r="AM935" s="149">
        <f t="shared" si="362"/>
        <v>0</v>
      </c>
      <c r="AN935" s="149">
        <f t="shared" si="363"/>
        <v>0</v>
      </c>
      <c r="AO935" s="150" t="str">
        <f t="shared" si="356"/>
        <v>V</v>
      </c>
      <c r="AQ935" s="151">
        <f t="shared" si="357"/>
        <v>9855</v>
      </c>
    </row>
    <row r="936" spans="1:43" ht="15" customHeight="1">
      <c r="A936" s="82" t="e">
        <f>1+#REF!</f>
        <v>#REF!</v>
      </c>
      <c r="B936" s="134">
        <v>117</v>
      </c>
      <c r="C936" s="135" t="s">
        <v>453</v>
      </c>
      <c r="D936" s="136" t="s">
        <v>39</v>
      </c>
      <c r="E936" s="137"/>
      <c r="F936" s="138" t="s">
        <v>317</v>
      </c>
      <c r="G936" s="139" t="s">
        <v>318</v>
      </c>
      <c r="H936" s="140" t="str">
        <f t="shared" si="343"/>
        <v>Niet van toepassing</v>
      </c>
      <c r="I936" s="138" t="s">
        <v>270</v>
      </c>
      <c r="J936" s="138" t="s">
        <v>1172</v>
      </c>
      <c r="K936" s="141" t="str">
        <f t="shared" si="344"/>
        <v>NVT</v>
      </c>
      <c r="L936" s="141" t="str">
        <f t="shared" si="345"/>
        <v>NVT</v>
      </c>
      <c r="M936" s="141" t="str">
        <f t="shared" si="346"/>
        <v>NVT</v>
      </c>
      <c r="N936" s="141" t="str">
        <f t="shared" si="347"/>
        <v>NVT</v>
      </c>
      <c r="O936" s="141" t="str">
        <f t="shared" si="348"/>
        <v>NVT</v>
      </c>
      <c r="P936" s="141" t="str">
        <f t="shared" si="349"/>
        <v>NVT</v>
      </c>
      <c r="Q936" s="141" t="str">
        <f t="shared" si="350"/>
        <v>NVT</v>
      </c>
      <c r="R936" s="63" t="s">
        <v>1221</v>
      </c>
      <c r="S936" s="142">
        <f t="shared" si="358"/>
        <v>0</v>
      </c>
      <c r="T936" s="143">
        <v>26</v>
      </c>
      <c r="U936" s="144"/>
      <c r="V936" s="144">
        <v>65</v>
      </c>
      <c r="W936" s="144"/>
      <c r="X936" s="144"/>
      <c r="Y936" s="144"/>
      <c r="Z936" s="145"/>
      <c r="AA936" s="145"/>
      <c r="AB936" s="145">
        <f>T936</f>
        <v>26</v>
      </c>
      <c r="AC936" s="145"/>
      <c r="AD936" s="146"/>
      <c r="AE936" s="171">
        <v>1</v>
      </c>
      <c r="AF936" s="147">
        <f t="shared" si="351"/>
        <v>0</v>
      </c>
      <c r="AG936" s="147">
        <f t="shared" si="352"/>
        <v>0</v>
      </c>
      <c r="AH936" s="147">
        <f t="shared" si="353"/>
        <v>0</v>
      </c>
      <c r="AI936" s="147">
        <f t="shared" si="354"/>
        <v>0</v>
      </c>
      <c r="AJ936" s="148">
        <f t="shared" si="355"/>
        <v>0</v>
      </c>
      <c r="AK936" s="149">
        <f t="shared" si="360"/>
        <v>0</v>
      </c>
      <c r="AL936" s="149">
        <f t="shared" si="361"/>
        <v>0</v>
      </c>
      <c r="AM936" s="149">
        <f t="shared" si="362"/>
        <v>0</v>
      </c>
      <c r="AN936" s="149">
        <f t="shared" si="363"/>
        <v>0</v>
      </c>
      <c r="AO936" s="150">
        <f t="shared" si="356"/>
        <v>0</v>
      </c>
      <c r="AQ936" s="151">
        <f t="shared" si="357"/>
        <v>0</v>
      </c>
    </row>
    <row r="937" spans="1:43" ht="15" customHeight="1">
      <c r="A937" s="82" t="e">
        <f t="shared" si="342"/>
        <v>#REF!</v>
      </c>
      <c r="B937" s="134">
        <v>117</v>
      </c>
      <c r="C937" s="135" t="s">
        <v>453</v>
      </c>
      <c r="D937" s="136" t="s">
        <v>39</v>
      </c>
      <c r="E937" s="137"/>
      <c r="F937" s="138" t="s">
        <v>319</v>
      </c>
      <c r="G937" s="139" t="s">
        <v>320</v>
      </c>
      <c r="H937" s="140" t="str">
        <f t="shared" si="343"/>
        <v>Niet van toepassing</v>
      </c>
      <c r="I937" s="138" t="s">
        <v>270</v>
      </c>
      <c r="J937" s="138" t="s">
        <v>1172</v>
      </c>
      <c r="K937" s="141" t="str">
        <f t="shared" si="344"/>
        <v>NVT</v>
      </c>
      <c r="L937" s="141" t="str">
        <f t="shared" si="345"/>
        <v>NVT</v>
      </c>
      <c r="M937" s="141" t="str">
        <f t="shared" si="346"/>
        <v>NVT</v>
      </c>
      <c r="N937" s="141" t="str">
        <f t="shared" si="347"/>
        <v>NVT</v>
      </c>
      <c r="O937" s="141" t="str">
        <f t="shared" si="348"/>
        <v>NVT</v>
      </c>
      <c r="P937" s="141" t="str">
        <f t="shared" si="349"/>
        <v>NVT</v>
      </c>
      <c r="Q937" s="141" t="str">
        <f t="shared" si="350"/>
        <v>NVT</v>
      </c>
      <c r="R937" s="63" t="s">
        <v>1221</v>
      </c>
      <c r="S937" s="142">
        <f t="shared" si="358"/>
        <v>0</v>
      </c>
      <c r="T937" s="143">
        <v>7</v>
      </c>
      <c r="U937" s="144"/>
      <c r="V937" s="144">
        <v>26</v>
      </c>
      <c r="W937" s="144"/>
      <c r="X937" s="144"/>
      <c r="Y937" s="144"/>
      <c r="Z937" s="145"/>
      <c r="AA937" s="145"/>
      <c r="AB937" s="145">
        <f>T937</f>
        <v>7</v>
      </c>
      <c r="AC937" s="145"/>
      <c r="AD937" s="146"/>
      <c r="AE937" s="171">
        <v>1</v>
      </c>
      <c r="AF937" s="147">
        <f t="shared" si="351"/>
        <v>0</v>
      </c>
      <c r="AG937" s="147">
        <f t="shared" si="352"/>
        <v>0</v>
      </c>
      <c r="AH937" s="147">
        <f t="shared" si="353"/>
        <v>0</v>
      </c>
      <c r="AI937" s="147">
        <f t="shared" si="354"/>
        <v>0</v>
      </c>
      <c r="AJ937" s="148">
        <f t="shared" si="355"/>
        <v>0</v>
      </c>
      <c r="AK937" s="149">
        <f t="shared" si="360"/>
        <v>0</v>
      </c>
      <c r="AL937" s="149">
        <f t="shared" si="361"/>
        <v>0</v>
      </c>
      <c r="AM937" s="149">
        <f t="shared" si="362"/>
        <v>0</v>
      </c>
      <c r="AN937" s="149">
        <f t="shared" si="363"/>
        <v>0</v>
      </c>
      <c r="AO937" s="150">
        <f t="shared" si="356"/>
        <v>0</v>
      </c>
      <c r="AQ937" s="151">
        <f t="shared" si="357"/>
        <v>0</v>
      </c>
    </row>
    <row r="938" spans="1:43" ht="15" customHeight="1">
      <c r="A938" s="82" t="e">
        <f t="shared" si="342"/>
        <v>#REF!</v>
      </c>
      <c r="B938" s="134">
        <v>117</v>
      </c>
      <c r="C938" s="135" t="s">
        <v>453</v>
      </c>
      <c r="D938" s="136" t="s">
        <v>39</v>
      </c>
      <c r="E938" s="137"/>
      <c r="F938" s="138" t="s">
        <v>271</v>
      </c>
      <c r="G938" s="139" t="s">
        <v>321</v>
      </c>
      <c r="H938" s="140" t="str">
        <f t="shared" si="343"/>
        <v>Niet van toepassing</v>
      </c>
      <c r="I938" s="138" t="s">
        <v>254</v>
      </c>
      <c r="J938" s="138" t="s">
        <v>1172</v>
      </c>
      <c r="K938" s="141" t="str">
        <f t="shared" si="344"/>
        <v>NVT</v>
      </c>
      <c r="L938" s="141" t="str">
        <f t="shared" si="345"/>
        <v>NVT</v>
      </c>
      <c r="M938" s="141" t="str">
        <f t="shared" si="346"/>
        <v>NVT</v>
      </c>
      <c r="N938" s="141" t="str">
        <f t="shared" si="347"/>
        <v>NVT</v>
      </c>
      <c r="O938" s="141" t="str">
        <f t="shared" si="348"/>
        <v>NVT</v>
      </c>
      <c r="P938" s="141" t="str">
        <f t="shared" si="349"/>
        <v>NVT</v>
      </c>
      <c r="Q938" s="141" t="str">
        <f t="shared" si="350"/>
        <v>NVT</v>
      </c>
      <c r="R938" s="63" t="s">
        <v>1221</v>
      </c>
      <c r="S938" s="142">
        <f t="shared" si="358"/>
        <v>0</v>
      </c>
      <c r="T938" s="143">
        <v>13</v>
      </c>
      <c r="U938" s="144"/>
      <c r="V938" s="144"/>
      <c r="W938" s="144">
        <v>37</v>
      </c>
      <c r="X938" s="144"/>
      <c r="Y938" s="144"/>
      <c r="Z938" s="145"/>
      <c r="AA938" s="145">
        <f>T938</f>
        <v>13</v>
      </c>
      <c r="AB938" s="145"/>
      <c r="AC938" s="145"/>
      <c r="AD938" s="146"/>
      <c r="AE938" s="171">
        <v>1</v>
      </c>
      <c r="AF938" s="147">
        <f t="shared" si="351"/>
        <v>0</v>
      </c>
      <c r="AG938" s="147">
        <f t="shared" si="352"/>
        <v>0</v>
      </c>
      <c r="AH938" s="147">
        <f t="shared" si="353"/>
        <v>0</v>
      </c>
      <c r="AI938" s="147">
        <f t="shared" si="354"/>
        <v>0</v>
      </c>
      <c r="AJ938" s="148">
        <f t="shared" si="355"/>
        <v>0</v>
      </c>
      <c r="AK938" s="149">
        <f t="shared" si="360"/>
        <v>0</v>
      </c>
      <c r="AL938" s="149">
        <f t="shared" si="361"/>
        <v>0</v>
      </c>
      <c r="AM938" s="149">
        <f t="shared" si="362"/>
        <v>0</v>
      </c>
      <c r="AN938" s="149">
        <f t="shared" si="363"/>
        <v>0</v>
      </c>
      <c r="AO938" s="150">
        <f t="shared" si="356"/>
        <v>0</v>
      </c>
      <c r="AQ938" s="151">
        <f t="shared" si="357"/>
        <v>0</v>
      </c>
    </row>
    <row r="939" spans="1:43" ht="15" customHeight="1">
      <c r="A939" s="82" t="e">
        <f t="shared" si="342"/>
        <v>#REF!</v>
      </c>
      <c r="B939" s="134">
        <v>117</v>
      </c>
      <c r="C939" s="135" t="s">
        <v>453</v>
      </c>
      <c r="D939" s="136" t="s">
        <v>39</v>
      </c>
      <c r="E939" s="137"/>
      <c r="F939" s="138" t="s">
        <v>271</v>
      </c>
      <c r="G939" s="139" t="s">
        <v>322</v>
      </c>
      <c r="H939" s="140" t="str">
        <f t="shared" si="343"/>
        <v>Niet van toepassing</v>
      </c>
      <c r="I939" s="138" t="s">
        <v>254</v>
      </c>
      <c r="J939" s="138" t="s">
        <v>1172</v>
      </c>
      <c r="K939" s="141" t="str">
        <f t="shared" si="344"/>
        <v>NVT</v>
      </c>
      <c r="L939" s="141" t="str">
        <f t="shared" si="345"/>
        <v>NVT</v>
      </c>
      <c r="M939" s="141" t="str">
        <f t="shared" si="346"/>
        <v>NVT</v>
      </c>
      <c r="N939" s="141" t="str">
        <f t="shared" si="347"/>
        <v>NVT</v>
      </c>
      <c r="O939" s="141" t="str">
        <f t="shared" si="348"/>
        <v>NVT</v>
      </c>
      <c r="P939" s="141" t="str">
        <f t="shared" si="349"/>
        <v>NVT</v>
      </c>
      <c r="Q939" s="141" t="str">
        <f t="shared" si="350"/>
        <v>NVT</v>
      </c>
      <c r="R939" s="63" t="s">
        <v>1221</v>
      </c>
      <c r="S939" s="142">
        <f t="shared" si="358"/>
        <v>0</v>
      </c>
      <c r="T939" s="143">
        <v>19</v>
      </c>
      <c r="U939" s="144"/>
      <c r="V939" s="144"/>
      <c r="W939" s="144">
        <v>44</v>
      </c>
      <c r="X939" s="144"/>
      <c r="Y939" s="144"/>
      <c r="Z939" s="145"/>
      <c r="AA939" s="145">
        <f>T939</f>
        <v>19</v>
      </c>
      <c r="AB939" s="145"/>
      <c r="AC939" s="145"/>
      <c r="AD939" s="146"/>
      <c r="AE939" s="171">
        <v>1</v>
      </c>
      <c r="AF939" s="147">
        <f t="shared" si="351"/>
        <v>0</v>
      </c>
      <c r="AG939" s="147">
        <f t="shared" si="352"/>
        <v>0</v>
      </c>
      <c r="AH939" s="147">
        <f t="shared" si="353"/>
        <v>0</v>
      </c>
      <c r="AI939" s="147">
        <f t="shared" si="354"/>
        <v>0</v>
      </c>
      <c r="AJ939" s="148">
        <f t="shared" si="355"/>
        <v>0</v>
      </c>
      <c r="AK939" s="149">
        <f t="shared" si="360"/>
        <v>0</v>
      </c>
      <c r="AL939" s="149">
        <f t="shared" si="361"/>
        <v>0</v>
      </c>
      <c r="AM939" s="149">
        <f t="shared" si="362"/>
        <v>0</v>
      </c>
      <c r="AN939" s="149">
        <f t="shared" si="363"/>
        <v>0</v>
      </c>
      <c r="AO939" s="150">
        <f t="shared" si="356"/>
        <v>0</v>
      </c>
      <c r="AQ939" s="151">
        <f t="shared" si="357"/>
        <v>0</v>
      </c>
    </row>
    <row r="940" spans="1:43" ht="15" customHeight="1">
      <c r="A940" s="82" t="e">
        <f t="shared" si="342"/>
        <v>#REF!</v>
      </c>
      <c r="B940" s="134">
        <v>117</v>
      </c>
      <c r="C940" s="135" t="s">
        <v>453</v>
      </c>
      <c r="D940" s="136" t="s">
        <v>39</v>
      </c>
      <c r="E940" s="137"/>
      <c r="F940" s="138" t="s">
        <v>68</v>
      </c>
      <c r="G940" s="139" t="s">
        <v>323</v>
      </c>
      <c r="H940" s="140" t="str">
        <f t="shared" si="343"/>
        <v>Niet van toepassing</v>
      </c>
      <c r="I940" s="138" t="s">
        <v>254</v>
      </c>
      <c r="J940" s="138" t="s">
        <v>1172</v>
      </c>
      <c r="K940" s="141" t="str">
        <f t="shared" si="344"/>
        <v>NVT</v>
      </c>
      <c r="L940" s="141" t="str">
        <f t="shared" si="345"/>
        <v>NVT</v>
      </c>
      <c r="M940" s="141" t="str">
        <f t="shared" si="346"/>
        <v>NVT</v>
      </c>
      <c r="N940" s="141" t="str">
        <f t="shared" si="347"/>
        <v>NVT</v>
      </c>
      <c r="O940" s="141" t="str">
        <f t="shared" si="348"/>
        <v>NVT</v>
      </c>
      <c r="P940" s="141" t="str">
        <f t="shared" si="349"/>
        <v>NVT</v>
      </c>
      <c r="Q940" s="141" t="str">
        <f t="shared" si="350"/>
        <v>NVT</v>
      </c>
      <c r="R940" s="63" t="s">
        <v>1221</v>
      </c>
      <c r="S940" s="142">
        <f t="shared" si="358"/>
        <v>0</v>
      </c>
      <c r="T940" s="143">
        <v>16</v>
      </c>
      <c r="U940" s="144"/>
      <c r="V940" s="144"/>
      <c r="W940" s="144">
        <v>39</v>
      </c>
      <c r="X940" s="144"/>
      <c r="Y940" s="144"/>
      <c r="Z940" s="145"/>
      <c r="AA940" s="145">
        <f>T940</f>
        <v>16</v>
      </c>
      <c r="AB940" s="145"/>
      <c r="AC940" s="145"/>
      <c r="AD940" s="146"/>
      <c r="AE940" s="171">
        <v>1</v>
      </c>
      <c r="AF940" s="147">
        <f t="shared" si="351"/>
        <v>0</v>
      </c>
      <c r="AG940" s="147">
        <f t="shared" si="352"/>
        <v>0</v>
      </c>
      <c r="AH940" s="147">
        <f t="shared" si="353"/>
        <v>0</v>
      </c>
      <c r="AI940" s="147">
        <f t="shared" si="354"/>
        <v>0</v>
      </c>
      <c r="AJ940" s="148">
        <f t="shared" si="355"/>
        <v>0</v>
      </c>
      <c r="AK940" s="149">
        <f t="shared" si="360"/>
        <v>0</v>
      </c>
      <c r="AL940" s="149">
        <f t="shared" si="361"/>
        <v>0</v>
      </c>
      <c r="AM940" s="149">
        <f t="shared" si="362"/>
        <v>0</v>
      </c>
      <c r="AN940" s="149">
        <f t="shared" si="363"/>
        <v>0</v>
      </c>
      <c r="AO940" s="150">
        <f t="shared" si="356"/>
        <v>0</v>
      </c>
      <c r="AQ940" s="151">
        <f t="shared" si="357"/>
        <v>0</v>
      </c>
    </row>
    <row r="941" spans="1:43" ht="15" customHeight="1">
      <c r="A941" s="82" t="e">
        <f t="shared" si="342"/>
        <v>#REF!</v>
      </c>
      <c r="B941" s="134">
        <v>117</v>
      </c>
      <c r="C941" s="135" t="s">
        <v>453</v>
      </c>
      <c r="D941" s="136" t="s">
        <v>39</v>
      </c>
      <c r="E941" s="137"/>
      <c r="F941" s="138" t="s">
        <v>302</v>
      </c>
      <c r="G941" s="139" t="s">
        <v>301</v>
      </c>
      <c r="H941" s="140" t="str">
        <f t="shared" si="343"/>
        <v>Niet van toepassing</v>
      </c>
      <c r="I941" s="138" t="s">
        <v>254</v>
      </c>
      <c r="J941" s="138" t="s">
        <v>1172</v>
      </c>
      <c r="K941" s="141" t="str">
        <f t="shared" si="344"/>
        <v>NVT</v>
      </c>
      <c r="L941" s="141" t="str">
        <f t="shared" si="345"/>
        <v>NVT</v>
      </c>
      <c r="M941" s="141" t="str">
        <f t="shared" si="346"/>
        <v>NVT</v>
      </c>
      <c r="N941" s="141" t="str">
        <f t="shared" si="347"/>
        <v>NVT</v>
      </c>
      <c r="O941" s="141" t="str">
        <f t="shared" si="348"/>
        <v>NVT</v>
      </c>
      <c r="P941" s="141" t="str">
        <f t="shared" si="349"/>
        <v>NVT</v>
      </c>
      <c r="Q941" s="141" t="str">
        <f t="shared" si="350"/>
        <v>NVT</v>
      </c>
      <c r="R941" s="63" t="s">
        <v>1221</v>
      </c>
      <c r="S941" s="142">
        <f t="shared" si="358"/>
        <v>0</v>
      </c>
      <c r="T941" s="143">
        <v>28</v>
      </c>
      <c r="U941" s="144"/>
      <c r="V941" s="144">
        <v>51</v>
      </c>
      <c r="W941" s="144"/>
      <c r="X941" s="144"/>
      <c r="Y941" s="144"/>
      <c r="Z941" s="145"/>
      <c r="AA941" s="145"/>
      <c r="AB941" s="145">
        <f>T941</f>
        <v>28</v>
      </c>
      <c r="AC941" s="145"/>
      <c r="AD941" s="146"/>
      <c r="AE941" s="171">
        <v>1</v>
      </c>
      <c r="AF941" s="147">
        <f t="shared" si="351"/>
        <v>0</v>
      </c>
      <c r="AG941" s="147">
        <f t="shared" si="352"/>
        <v>0</v>
      </c>
      <c r="AH941" s="147">
        <f t="shared" si="353"/>
        <v>0</v>
      </c>
      <c r="AI941" s="147">
        <f t="shared" si="354"/>
        <v>0</v>
      </c>
      <c r="AJ941" s="148">
        <f t="shared" si="355"/>
        <v>0</v>
      </c>
      <c r="AK941" s="149">
        <f t="shared" si="360"/>
        <v>0</v>
      </c>
      <c r="AL941" s="149">
        <f t="shared" si="361"/>
        <v>0</v>
      </c>
      <c r="AM941" s="149">
        <f t="shared" si="362"/>
        <v>0</v>
      </c>
      <c r="AN941" s="149">
        <f t="shared" si="363"/>
        <v>0</v>
      </c>
      <c r="AO941" s="150">
        <f t="shared" si="356"/>
        <v>0</v>
      </c>
      <c r="AQ941" s="151">
        <f t="shared" si="357"/>
        <v>0</v>
      </c>
    </row>
    <row r="942" spans="1:43" ht="15" customHeight="1">
      <c r="A942" s="82" t="e">
        <f t="shared" si="342"/>
        <v>#REF!</v>
      </c>
      <c r="B942" s="134">
        <v>117</v>
      </c>
      <c r="C942" s="135" t="s">
        <v>453</v>
      </c>
      <c r="D942" s="136" t="s">
        <v>39</v>
      </c>
      <c r="E942" s="137"/>
      <c r="F942" s="138" t="s">
        <v>300</v>
      </c>
      <c r="G942" s="139" t="s">
        <v>303</v>
      </c>
      <c r="H942" s="140" t="str">
        <f t="shared" si="343"/>
        <v>Niet van toepassing</v>
      </c>
      <c r="I942" s="138" t="s">
        <v>195</v>
      </c>
      <c r="J942" s="138" t="s">
        <v>1172</v>
      </c>
      <c r="K942" s="141" t="str">
        <f t="shared" si="344"/>
        <v>NVT</v>
      </c>
      <c r="L942" s="141" t="str">
        <f t="shared" si="345"/>
        <v>NVT</v>
      </c>
      <c r="M942" s="141" t="str">
        <f t="shared" si="346"/>
        <v>NVT</v>
      </c>
      <c r="N942" s="141" t="str">
        <f t="shared" si="347"/>
        <v>NVT</v>
      </c>
      <c r="O942" s="141" t="str">
        <f t="shared" si="348"/>
        <v>NVT</v>
      </c>
      <c r="P942" s="141" t="str">
        <f t="shared" si="349"/>
        <v>NVT</v>
      </c>
      <c r="Q942" s="141" t="str">
        <f t="shared" si="350"/>
        <v>NVT</v>
      </c>
      <c r="R942" s="63" t="s">
        <v>1221</v>
      </c>
      <c r="S942" s="142">
        <f t="shared" si="358"/>
        <v>0</v>
      </c>
      <c r="T942" s="143">
        <v>10</v>
      </c>
      <c r="U942" s="144"/>
      <c r="V942" s="144">
        <v>29</v>
      </c>
      <c r="W942" s="144"/>
      <c r="X942" s="144"/>
      <c r="Y942" s="144"/>
      <c r="Z942" s="145"/>
      <c r="AA942" s="145"/>
      <c r="AB942" s="145">
        <f>T942</f>
        <v>10</v>
      </c>
      <c r="AC942" s="145"/>
      <c r="AD942" s="146"/>
      <c r="AE942" s="171">
        <v>1</v>
      </c>
      <c r="AF942" s="147">
        <f t="shared" si="351"/>
        <v>0</v>
      </c>
      <c r="AG942" s="147">
        <f t="shared" si="352"/>
        <v>0</v>
      </c>
      <c r="AH942" s="147">
        <f t="shared" si="353"/>
        <v>0</v>
      </c>
      <c r="AI942" s="147">
        <f t="shared" si="354"/>
        <v>0</v>
      </c>
      <c r="AJ942" s="148">
        <f t="shared" si="355"/>
        <v>0</v>
      </c>
      <c r="AK942" s="149">
        <f t="shared" si="360"/>
        <v>0</v>
      </c>
      <c r="AL942" s="149">
        <f t="shared" si="361"/>
        <v>0</v>
      </c>
      <c r="AM942" s="149">
        <f t="shared" si="362"/>
        <v>0</v>
      </c>
      <c r="AN942" s="149">
        <f t="shared" si="363"/>
        <v>0</v>
      </c>
      <c r="AO942" s="150">
        <f t="shared" si="356"/>
        <v>0</v>
      </c>
      <c r="AQ942" s="151">
        <f t="shared" si="357"/>
        <v>0</v>
      </c>
    </row>
    <row r="943" spans="1:43" ht="15" customHeight="1">
      <c r="A943" s="82" t="e">
        <f t="shared" si="342"/>
        <v>#REF!</v>
      </c>
      <c r="B943" s="134">
        <v>117</v>
      </c>
      <c r="C943" s="135" t="s">
        <v>453</v>
      </c>
      <c r="D943" s="136" t="s">
        <v>39</v>
      </c>
      <c r="E943" s="137"/>
      <c r="F943" s="138" t="s">
        <v>302</v>
      </c>
      <c r="G943" s="139" t="s">
        <v>324</v>
      </c>
      <c r="H943" s="140" t="str">
        <f t="shared" si="343"/>
        <v>Niet van toepassing</v>
      </c>
      <c r="I943" s="138" t="s">
        <v>254</v>
      </c>
      <c r="J943" s="138" t="s">
        <v>1172</v>
      </c>
      <c r="K943" s="141" t="str">
        <f t="shared" si="344"/>
        <v>NVT</v>
      </c>
      <c r="L943" s="141" t="str">
        <f t="shared" si="345"/>
        <v>NVT</v>
      </c>
      <c r="M943" s="141" t="str">
        <f t="shared" si="346"/>
        <v>NVT</v>
      </c>
      <c r="N943" s="141" t="str">
        <f t="shared" si="347"/>
        <v>NVT</v>
      </c>
      <c r="O943" s="141" t="str">
        <f t="shared" si="348"/>
        <v>NVT</v>
      </c>
      <c r="P943" s="141" t="str">
        <f t="shared" si="349"/>
        <v>NVT</v>
      </c>
      <c r="Q943" s="141" t="str">
        <f t="shared" si="350"/>
        <v>NVT</v>
      </c>
      <c r="R943" s="63" t="s">
        <v>1221</v>
      </c>
      <c r="S943" s="142">
        <f t="shared" si="358"/>
        <v>0</v>
      </c>
      <c r="T943" s="143">
        <v>18</v>
      </c>
      <c r="U943" s="144"/>
      <c r="V943" s="144">
        <v>55</v>
      </c>
      <c r="W943" s="144"/>
      <c r="X943" s="144"/>
      <c r="Y943" s="144"/>
      <c r="Z943" s="145"/>
      <c r="AA943" s="145"/>
      <c r="AB943" s="145">
        <f>T943</f>
        <v>18</v>
      </c>
      <c r="AC943" s="145"/>
      <c r="AD943" s="146"/>
      <c r="AE943" s="171">
        <v>1</v>
      </c>
      <c r="AF943" s="147">
        <f t="shared" si="351"/>
        <v>0</v>
      </c>
      <c r="AG943" s="147">
        <f t="shared" si="352"/>
        <v>0</v>
      </c>
      <c r="AH943" s="147">
        <f t="shared" si="353"/>
        <v>0</v>
      </c>
      <c r="AI943" s="147">
        <f t="shared" si="354"/>
        <v>0</v>
      </c>
      <c r="AJ943" s="148">
        <f t="shared" si="355"/>
        <v>0</v>
      </c>
      <c r="AK943" s="149">
        <f t="shared" si="360"/>
        <v>0</v>
      </c>
      <c r="AL943" s="149">
        <f t="shared" si="361"/>
        <v>0</v>
      </c>
      <c r="AM943" s="149">
        <f t="shared" si="362"/>
        <v>0</v>
      </c>
      <c r="AN943" s="149">
        <f t="shared" si="363"/>
        <v>0</v>
      </c>
      <c r="AO943" s="150">
        <f t="shared" si="356"/>
        <v>0</v>
      </c>
      <c r="AQ943" s="151">
        <f t="shared" si="357"/>
        <v>0</v>
      </c>
    </row>
    <row r="944" spans="1:43" ht="15" customHeight="1">
      <c r="A944" s="82" t="e">
        <f t="shared" si="342"/>
        <v>#REF!</v>
      </c>
      <c r="B944" s="134">
        <v>117</v>
      </c>
      <c r="C944" s="135" t="s">
        <v>453</v>
      </c>
      <c r="D944" s="136" t="s">
        <v>39</v>
      </c>
      <c r="E944" s="137"/>
      <c r="F944" s="138" t="s">
        <v>325</v>
      </c>
      <c r="G944" s="139" t="s">
        <v>326</v>
      </c>
      <c r="H944" s="140" t="str">
        <f t="shared" si="343"/>
        <v>Berging/opslag/magazijn</v>
      </c>
      <c r="I944" s="138" t="s">
        <v>254</v>
      </c>
      <c r="J944" s="138" t="s">
        <v>1207</v>
      </c>
      <c r="K944" s="141" t="str">
        <f t="shared" si="344"/>
        <v>Zie Freq</v>
      </c>
      <c r="L944" s="141" t="str">
        <f t="shared" si="345"/>
        <v>Zie Freq</v>
      </c>
      <c r="M944" s="141" t="str">
        <f t="shared" si="346"/>
        <v>Zie Freq</v>
      </c>
      <c r="N944" s="141" t="str">
        <f t="shared" si="347"/>
        <v>Zie Freq</v>
      </c>
      <c r="O944" s="141" t="str">
        <f t="shared" si="348"/>
        <v>Zie Freq</v>
      </c>
      <c r="P944" s="141" t="str">
        <f t="shared" si="349"/>
        <v>NVT</v>
      </c>
      <c r="Q944" s="141" t="str">
        <f t="shared" si="350"/>
        <v>NVT</v>
      </c>
      <c r="R944" s="63" t="s">
        <v>1264</v>
      </c>
      <c r="S944" s="142">
        <f t="shared" si="358"/>
        <v>2</v>
      </c>
      <c r="T944" s="143">
        <v>4</v>
      </c>
      <c r="U944" s="144"/>
      <c r="V944" s="144">
        <v>19</v>
      </c>
      <c r="W944" s="144"/>
      <c r="X944" s="144"/>
      <c r="Y944" s="144"/>
      <c r="Z944" s="145"/>
      <c r="AA944" s="145"/>
      <c r="AB944" s="145">
        <f>T944</f>
        <v>4</v>
      </c>
      <c r="AC944" s="145"/>
      <c r="AD944" s="146"/>
      <c r="AE944" s="171">
        <v>1</v>
      </c>
      <c r="AF944" s="147">
        <f t="shared" si="351"/>
        <v>0</v>
      </c>
      <c r="AG944" s="147">
        <f t="shared" si="352"/>
        <v>0</v>
      </c>
      <c r="AH944" s="147">
        <f t="shared" si="353"/>
        <v>0</v>
      </c>
      <c r="AI944" s="147">
        <f t="shared" si="354"/>
        <v>0</v>
      </c>
      <c r="AJ944" s="148" t="str">
        <f t="shared" si="355"/>
        <v>nee</v>
      </c>
      <c r="AK944" s="149">
        <f t="shared" si="360"/>
        <v>0</v>
      </c>
      <c r="AL944" s="149">
        <f t="shared" si="361"/>
        <v>0</v>
      </c>
      <c r="AM944" s="149">
        <f t="shared" si="362"/>
        <v>0</v>
      </c>
      <c r="AN944" s="149">
        <f t="shared" si="363"/>
        <v>0</v>
      </c>
      <c r="AO944" s="150" t="str">
        <f t="shared" si="356"/>
        <v>V</v>
      </c>
      <c r="AQ944" s="151">
        <f t="shared" si="357"/>
        <v>8</v>
      </c>
    </row>
    <row r="945" spans="1:43" ht="15" customHeight="1">
      <c r="A945" s="82" t="e">
        <f t="shared" si="342"/>
        <v>#REF!</v>
      </c>
      <c r="B945" s="134">
        <v>117</v>
      </c>
      <c r="C945" s="135" t="s">
        <v>453</v>
      </c>
      <c r="D945" s="136" t="s">
        <v>39</v>
      </c>
      <c r="E945" s="137"/>
      <c r="F945" s="138" t="s">
        <v>327</v>
      </c>
      <c r="G945" s="139" t="s">
        <v>328</v>
      </c>
      <c r="H945" s="140" t="str">
        <f t="shared" si="343"/>
        <v>Niet van toepassing</v>
      </c>
      <c r="I945" s="138" t="s">
        <v>18</v>
      </c>
      <c r="J945" s="138" t="s">
        <v>1172</v>
      </c>
      <c r="K945" s="141" t="str">
        <f t="shared" si="344"/>
        <v>NVT</v>
      </c>
      <c r="L945" s="141" t="str">
        <f t="shared" si="345"/>
        <v>NVT</v>
      </c>
      <c r="M945" s="141" t="str">
        <f t="shared" si="346"/>
        <v>NVT</v>
      </c>
      <c r="N945" s="141" t="str">
        <f t="shared" si="347"/>
        <v>NVT</v>
      </c>
      <c r="O945" s="141" t="str">
        <f t="shared" si="348"/>
        <v>NVT</v>
      </c>
      <c r="P945" s="141" t="str">
        <f t="shared" si="349"/>
        <v>NVT</v>
      </c>
      <c r="Q945" s="141" t="str">
        <f t="shared" si="350"/>
        <v>NVT</v>
      </c>
      <c r="R945" s="63" t="s">
        <v>1221</v>
      </c>
      <c r="S945" s="142">
        <f t="shared" si="358"/>
        <v>0</v>
      </c>
      <c r="T945" s="143">
        <v>4</v>
      </c>
      <c r="U945" s="144"/>
      <c r="V945" s="144"/>
      <c r="W945" s="144">
        <v>4</v>
      </c>
      <c r="X945" s="144"/>
      <c r="Y945" s="144"/>
      <c r="Z945" s="145"/>
      <c r="AA945" s="145">
        <f>T945</f>
        <v>4</v>
      </c>
      <c r="AB945" s="145"/>
      <c r="AC945" s="145"/>
      <c r="AD945" s="146"/>
      <c r="AE945" s="171">
        <v>1</v>
      </c>
      <c r="AF945" s="147">
        <f t="shared" si="351"/>
        <v>0</v>
      </c>
      <c r="AG945" s="147">
        <f t="shared" si="352"/>
        <v>0</v>
      </c>
      <c r="AH945" s="147">
        <f t="shared" si="353"/>
        <v>0</v>
      </c>
      <c r="AI945" s="147">
        <f t="shared" si="354"/>
        <v>0</v>
      </c>
      <c r="AJ945" s="148">
        <f t="shared" si="355"/>
        <v>0</v>
      </c>
      <c r="AK945" s="149">
        <f t="shared" si="360"/>
        <v>0</v>
      </c>
      <c r="AL945" s="149">
        <f t="shared" si="361"/>
        <v>0</v>
      </c>
      <c r="AM945" s="149">
        <f t="shared" si="362"/>
        <v>0</v>
      </c>
      <c r="AN945" s="149">
        <f t="shared" si="363"/>
        <v>0</v>
      </c>
      <c r="AO945" s="150">
        <f t="shared" si="356"/>
        <v>0</v>
      </c>
      <c r="AQ945" s="151">
        <f t="shared" si="357"/>
        <v>0</v>
      </c>
    </row>
    <row r="946" spans="1:43" ht="15" customHeight="1">
      <c r="A946" s="82" t="e">
        <f t="shared" si="342"/>
        <v>#REF!</v>
      </c>
      <c r="B946" s="134">
        <v>117</v>
      </c>
      <c r="C946" s="135" t="s">
        <v>453</v>
      </c>
      <c r="D946" s="136" t="s">
        <v>39</v>
      </c>
      <c r="E946" s="137"/>
      <c r="F946" s="138" t="s">
        <v>329</v>
      </c>
      <c r="G946" s="139" t="s">
        <v>265</v>
      </c>
      <c r="H946" s="140" t="str">
        <f t="shared" si="343"/>
        <v>Niet van toepassing</v>
      </c>
      <c r="I946" s="138" t="s">
        <v>269</v>
      </c>
      <c r="J946" s="138" t="s">
        <v>1172</v>
      </c>
      <c r="K946" s="141" t="str">
        <f t="shared" si="344"/>
        <v>NVT</v>
      </c>
      <c r="L946" s="141" t="str">
        <f t="shared" si="345"/>
        <v>NVT</v>
      </c>
      <c r="M946" s="141" t="str">
        <f t="shared" si="346"/>
        <v>NVT</v>
      </c>
      <c r="N946" s="141" t="str">
        <f t="shared" si="347"/>
        <v>NVT</v>
      </c>
      <c r="O946" s="141" t="str">
        <f t="shared" si="348"/>
        <v>NVT</v>
      </c>
      <c r="P946" s="141" t="str">
        <f t="shared" si="349"/>
        <v>NVT</v>
      </c>
      <c r="Q946" s="141" t="str">
        <f t="shared" si="350"/>
        <v>NVT</v>
      </c>
      <c r="R946" s="63" t="s">
        <v>1221</v>
      </c>
      <c r="S946" s="142">
        <f t="shared" si="358"/>
        <v>0</v>
      </c>
      <c r="T946" s="143">
        <v>144</v>
      </c>
      <c r="U946" s="144"/>
      <c r="V946" s="144"/>
      <c r="W946" s="144">
        <v>68</v>
      </c>
      <c r="X946" s="144"/>
      <c r="Y946" s="144"/>
      <c r="Z946" s="145"/>
      <c r="AA946" s="145">
        <f>T946</f>
        <v>144</v>
      </c>
      <c r="AB946" s="145"/>
      <c r="AC946" s="145"/>
      <c r="AD946" s="146"/>
      <c r="AE946" s="171">
        <v>1</v>
      </c>
      <c r="AF946" s="147">
        <f t="shared" si="351"/>
        <v>0</v>
      </c>
      <c r="AG946" s="147">
        <f t="shared" si="352"/>
        <v>0</v>
      </c>
      <c r="AH946" s="147">
        <f t="shared" si="353"/>
        <v>0</v>
      </c>
      <c r="AI946" s="147">
        <f t="shared" si="354"/>
        <v>0</v>
      </c>
      <c r="AJ946" s="148">
        <f t="shared" si="355"/>
        <v>0</v>
      </c>
      <c r="AK946" s="149">
        <f t="shared" si="360"/>
        <v>0</v>
      </c>
      <c r="AL946" s="149">
        <f t="shared" si="361"/>
        <v>0</v>
      </c>
      <c r="AM946" s="149">
        <f t="shared" si="362"/>
        <v>0</v>
      </c>
      <c r="AN946" s="149">
        <f t="shared" si="363"/>
        <v>0</v>
      </c>
      <c r="AO946" s="150">
        <f t="shared" si="356"/>
        <v>0</v>
      </c>
      <c r="AQ946" s="151">
        <f t="shared" si="357"/>
        <v>0</v>
      </c>
    </row>
    <row r="947" spans="1:43" ht="15" customHeight="1">
      <c r="A947" s="82" t="e">
        <f t="shared" si="342"/>
        <v>#REF!</v>
      </c>
      <c r="B947" s="134">
        <v>117</v>
      </c>
      <c r="C947" s="135" t="s">
        <v>453</v>
      </c>
      <c r="D947" s="136" t="s">
        <v>39</v>
      </c>
      <c r="E947" s="137"/>
      <c r="F947" s="138" t="s">
        <v>330</v>
      </c>
      <c r="G947" s="139" t="s">
        <v>266</v>
      </c>
      <c r="H947" s="140" t="str">
        <f t="shared" si="343"/>
        <v>Niet van toepassing</v>
      </c>
      <c r="I947" s="138" t="s">
        <v>18</v>
      </c>
      <c r="J947" s="138" t="s">
        <v>1172</v>
      </c>
      <c r="K947" s="141" t="str">
        <f t="shared" si="344"/>
        <v>NVT</v>
      </c>
      <c r="L947" s="141" t="str">
        <f t="shared" si="345"/>
        <v>NVT</v>
      </c>
      <c r="M947" s="141" t="str">
        <f t="shared" si="346"/>
        <v>NVT</v>
      </c>
      <c r="N947" s="141" t="str">
        <f t="shared" si="347"/>
        <v>NVT</v>
      </c>
      <c r="O947" s="141" t="str">
        <f t="shared" si="348"/>
        <v>NVT</v>
      </c>
      <c r="P947" s="141" t="str">
        <f t="shared" si="349"/>
        <v>NVT</v>
      </c>
      <c r="Q947" s="141" t="str">
        <f t="shared" si="350"/>
        <v>NVT</v>
      </c>
      <c r="R947" s="63" t="s">
        <v>1221</v>
      </c>
      <c r="S947" s="142">
        <f t="shared" si="358"/>
        <v>0</v>
      </c>
      <c r="T947" s="143">
        <v>11</v>
      </c>
      <c r="U947" s="144"/>
      <c r="V947" s="144"/>
      <c r="W947" s="144">
        <v>24</v>
      </c>
      <c r="X947" s="144"/>
      <c r="Y947" s="144"/>
      <c r="Z947" s="145"/>
      <c r="AA947" s="145">
        <f>T947</f>
        <v>11</v>
      </c>
      <c r="AB947" s="145"/>
      <c r="AC947" s="145"/>
      <c r="AD947" s="146"/>
      <c r="AE947" s="171">
        <v>1</v>
      </c>
      <c r="AF947" s="147">
        <f t="shared" si="351"/>
        <v>0</v>
      </c>
      <c r="AG947" s="147">
        <f t="shared" si="352"/>
        <v>0</v>
      </c>
      <c r="AH947" s="147">
        <f t="shared" si="353"/>
        <v>0</v>
      </c>
      <c r="AI947" s="147">
        <f t="shared" si="354"/>
        <v>0</v>
      </c>
      <c r="AJ947" s="148">
        <f t="shared" si="355"/>
        <v>0</v>
      </c>
      <c r="AK947" s="149">
        <f t="shared" si="360"/>
        <v>0</v>
      </c>
      <c r="AL947" s="149">
        <f t="shared" si="361"/>
        <v>0</v>
      </c>
      <c r="AM947" s="149">
        <f t="shared" si="362"/>
        <v>0</v>
      </c>
      <c r="AN947" s="149">
        <f t="shared" si="363"/>
        <v>0</v>
      </c>
      <c r="AO947" s="150">
        <f t="shared" si="356"/>
        <v>0</v>
      </c>
      <c r="AQ947" s="151">
        <f t="shared" si="357"/>
        <v>0</v>
      </c>
    </row>
    <row r="948" spans="1:43" ht="15" customHeight="1">
      <c r="A948" s="82" t="e">
        <f t="shared" si="342"/>
        <v>#REF!</v>
      </c>
      <c r="B948" s="134">
        <v>117</v>
      </c>
      <c r="C948" s="135" t="s">
        <v>453</v>
      </c>
      <c r="D948" s="136" t="s">
        <v>39</v>
      </c>
      <c r="E948" s="137"/>
      <c r="F948" s="138" t="s">
        <v>331</v>
      </c>
      <c r="G948" s="139" t="s">
        <v>267</v>
      </c>
      <c r="H948" s="140" t="str">
        <f t="shared" si="343"/>
        <v>Niet van toepassing</v>
      </c>
      <c r="I948" s="138" t="s">
        <v>18</v>
      </c>
      <c r="J948" s="138" t="s">
        <v>1172</v>
      </c>
      <c r="K948" s="141" t="str">
        <f t="shared" si="344"/>
        <v>NVT</v>
      </c>
      <c r="L948" s="141" t="str">
        <f t="shared" si="345"/>
        <v>NVT</v>
      </c>
      <c r="M948" s="141" t="str">
        <f t="shared" si="346"/>
        <v>NVT</v>
      </c>
      <c r="N948" s="141" t="str">
        <f t="shared" si="347"/>
        <v>NVT</v>
      </c>
      <c r="O948" s="141" t="str">
        <f t="shared" si="348"/>
        <v>NVT</v>
      </c>
      <c r="P948" s="141" t="str">
        <f t="shared" si="349"/>
        <v>NVT</v>
      </c>
      <c r="Q948" s="141" t="str">
        <f t="shared" si="350"/>
        <v>NVT</v>
      </c>
      <c r="R948" s="63" t="s">
        <v>1221</v>
      </c>
      <c r="S948" s="142">
        <f t="shared" si="358"/>
        <v>0</v>
      </c>
      <c r="T948" s="143">
        <v>19</v>
      </c>
      <c r="U948" s="144"/>
      <c r="V948" s="144"/>
      <c r="W948" s="144">
        <v>23</v>
      </c>
      <c r="X948" s="144"/>
      <c r="Y948" s="144"/>
      <c r="Z948" s="145"/>
      <c r="AA948" s="145">
        <f>T948</f>
        <v>19</v>
      </c>
      <c r="AB948" s="145"/>
      <c r="AC948" s="145"/>
      <c r="AD948" s="146"/>
      <c r="AE948" s="171">
        <v>1</v>
      </c>
      <c r="AF948" s="147">
        <f t="shared" si="351"/>
        <v>0</v>
      </c>
      <c r="AG948" s="147">
        <f t="shared" si="352"/>
        <v>0</v>
      </c>
      <c r="AH948" s="147">
        <f t="shared" si="353"/>
        <v>0</v>
      </c>
      <c r="AI948" s="147">
        <f t="shared" si="354"/>
        <v>0</v>
      </c>
      <c r="AJ948" s="148">
        <f t="shared" si="355"/>
        <v>0</v>
      </c>
      <c r="AK948" s="149">
        <f t="shared" si="360"/>
        <v>0</v>
      </c>
      <c r="AL948" s="149">
        <f t="shared" si="361"/>
        <v>0</v>
      </c>
      <c r="AM948" s="149">
        <f t="shared" si="362"/>
        <v>0</v>
      </c>
      <c r="AN948" s="149">
        <f t="shared" si="363"/>
        <v>0</v>
      </c>
      <c r="AO948" s="150">
        <f t="shared" si="356"/>
        <v>0</v>
      </c>
      <c r="AQ948" s="151">
        <f t="shared" si="357"/>
        <v>0</v>
      </c>
    </row>
    <row r="949" spans="1:43" ht="15" customHeight="1">
      <c r="A949" s="82" t="e">
        <f t="shared" si="342"/>
        <v>#REF!</v>
      </c>
      <c r="B949" s="134">
        <v>117</v>
      </c>
      <c r="C949" s="135" t="s">
        <v>453</v>
      </c>
      <c r="D949" s="136" t="s">
        <v>39</v>
      </c>
      <c r="E949" s="137"/>
      <c r="F949" s="138" t="s">
        <v>332</v>
      </c>
      <c r="G949" s="139" t="s">
        <v>268</v>
      </c>
      <c r="H949" s="140" t="str">
        <f t="shared" si="343"/>
        <v>Niet van toepassing</v>
      </c>
      <c r="I949" s="138" t="s">
        <v>1256</v>
      </c>
      <c r="J949" s="138" t="s">
        <v>1172</v>
      </c>
      <c r="K949" s="141" t="str">
        <f t="shared" si="344"/>
        <v>NVT</v>
      </c>
      <c r="L949" s="141" t="str">
        <f t="shared" si="345"/>
        <v>NVT</v>
      </c>
      <c r="M949" s="141" t="str">
        <f t="shared" si="346"/>
        <v>NVT</v>
      </c>
      <c r="N949" s="141" t="str">
        <f t="shared" si="347"/>
        <v>NVT</v>
      </c>
      <c r="O949" s="141" t="str">
        <f t="shared" si="348"/>
        <v>NVT</v>
      </c>
      <c r="P949" s="141" t="str">
        <f t="shared" si="349"/>
        <v>NVT</v>
      </c>
      <c r="Q949" s="141" t="str">
        <f t="shared" si="350"/>
        <v>NVT</v>
      </c>
      <c r="R949" s="63" t="s">
        <v>1221</v>
      </c>
      <c r="S949" s="142">
        <f t="shared" si="358"/>
        <v>0</v>
      </c>
      <c r="T949" s="143">
        <v>50</v>
      </c>
      <c r="U949" s="144"/>
      <c r="V949" s="144"/>
      <c r="W949" s="144">
        <v>110</v>
      </c>
      <c r="X949" s="144"/>
      <c r="Y949" s="144"/>
      <c r="Z949" s="145"/>
      <c r="AA949" s="145"/>
      <c r="AB949" s="145">
        <f>T949</f>
        <v>50</v>
      </c>
      <c r="AC949" s="145"/>
      <c r="AD949" s="146"/>
      <c r="AE949" s="171">
        <v>1</v>
      </c>
      <c r="AF949" s="147">
        <f t="shared" si="351"/>
        <v>0</v>
      </c>
      <c r="AG949" s="147">
        <f t="shared" si="352"/>
        <v>0</v>
      </c>
      <c r="AH949" s="147">
        <f t="shared" si="353"/>
        <v>0</v>
      </c>
      <c r="AI949" s="147">
        <f t="shared" si="354"/>
        <v>0</v>
      </c>
      <c r="AJ949" s="148">
        <f t="shared" si="355"/>
        <v>0</v>
      </c>
      <c r="AK949" s="149">
        <f t="shared" si="360"/>
        <v>0</v>
      </c>
      <c r="AL949" s="149">
        <f t="shared" si="361"/>
        <v>0</v>
      </c>
      <c r="AM949" s="149">
        <f t="shared" si="362"/>
        <v>0</v>
      </c>
      <c r="AN949" s="149">
        <f t="shared" si="363"/>
        <v>0</v>
      </c>
      <c r="AO949" s="150">
        <f t="shared" si="356"/>
        <v>0</v>
      </c>
      <c r="AQ949" s="151">
        <f t="shared" si="357"/>
        <v>0</v>
      </c>
    </row>
    <row r="950" spans="1:43" ht="15" customHeight="1">
      <c r="A950" s="82" t="e">
        <f t="shared" si="342"/>
        <v>#REF!</v>
      </c>
      <c r="B950" s="134">
        <v>117</v>
      </c>
      <c r="C950" s="135" t="s">
        <v>453</v>
      </c>
      <c r="D950" s="136" t="s">
        <v>39</v>
      </c>
      <c r="E950" s="137"/>
      <c r="F950" s="138" t="s">
        <v>196</v>
      </c>
      <c r="G950" s="139" t="s">
        <v>113</v>
      </c>
      <c r="H950" s="140" t="str">
        <f t="shared" si="343"/>
        <v>Hallen</v>
      </c>
      <c r="I950" s="138" t="s">
        <v>195</v>
      </c>
      <c r="J950" s="138" t="s">
        <v>1170</v>
      </c>
      <c r="K950" s="141" t="str">
        <f t="shared" si="344"/>
        <v>Volledig</v>
      </c>
      <c r="L950" s="141" t="str">
        <f t="shared" si="345"/>
        <v>naloop</v>
      </c>
      <c r="M950" s="141" t="str">
        <f t="shared" si="346"/>
        <v>naloop</v>
      </c>
      <c r="N950" s="141" t="str">
        <f t="shared" si="347"/>
        <v>Volledig</v>
      </c>
      <c r="O950" s="141" t="str">
        <f t="shared" si="348"/>
        <v>naloop</v>
      </c>
      <c r="P950" s="141" t="str">
        <f t="shared" si="349"/>
        <v>naloop</v>
      </c>
      <c r="Q950" s="141" t="str">
        <f t="shared" si="350"/>
        <v>naloop</v>
      </c>
      <c r="R950" s="63" t="s">
        <v>1478</v>
      </c>
      <c r="S950" s="142">
        <f t="shared" si="358"/>
        <v>365</v>
      </c>
      <c r="T950" s="143">
        <v>115</v>
      </c>
      <c r="U950" s="144"/>
      <c r="V950" s="144">
        <v>700</v>
      </c>
      <c r="W950" s="144"/>
      <c r="X950" s="144"/>
      <c r="Y950" s="144"/>
      <c r="Z950" s="145"/>
      <c r="AA950" s="145"/>
      <c r="AB950" s="145">
        <f>T950</f>
        <v>115</v>
      </c>
      <c r="AC950" s="145"/>
      <c r="AD950" s="146"/>
      <c r="AE950" s="171">
        <v>1</v>
      </c>
      <c r="AF950" s="147">
        <f t="shared" si="351"/>
        <v>0</v>
      </c>
      <c r="AG950" s="147">
        <f t="shared" si="352"/>
        <v>0</v>
      </c>
      <c r="AH950" s="147">
        <f t="shared" si="353"/>
        <v>0</v>
      </c>
      <c r="AI950" s="147">
        <f t="shared" si="354"/>
        <v>0</v>
      </c>
      <c r="AJ950" s="148" t="str">
        <f t="shared" si="355"/>
        <v>ja</v>
      </c>
      <c r="AK950" s="149">
        <f t="shared" si="360"/>
        <v>0</v>
      </c>
      <c r="AL950" s="149">
        <f t="shared" si="361"/>
        <v>0</v>
      </c>
      <c r="AM950" s="149">
        <f t="shared" si="362"/>
        <v>0</v>
      </c>
      <c r="AN950" s="149">
        <f t="shared" si="363"/>
        <v>0</v>
      </c>
      <c r="AO950" s="150" t="str">
        <f t="shared" si="356"/>
        <v>V</v>
      </c>
      <c r="AQ950" s="151">
        <f t="shared" si="357"/>
        <v>41975</v>
      </c>
    </row>
    <row r="951" spans="1:43" ht="15" customHeight="1">
      <c r="A951" s="82" t="e">
        <f t="shared" ref="A951:A1007" si="364">1+A950</f>
        <v>#REF!</v>
      </c>
      <c r="B951" s="134">
        <v>117</v>
      </c>
      <c r="C951" s="135" t="s">
        <v>453</v>
      </c>
      <c r="D951" s="136" t="s">
        <v>39</v>
      </c>
      <c r="E951" s="137"/>
      <c r="F951" s="138" t="s">
        <v>194</v>
      </c>
      <c r="G951" s="139" t="s">
        <v>333</v>
      </c>
      <c r="H951" s="140" t="str">
        <f t="shared" si="343"/>
        <v>Hallen</v>
      </c>
      <c r="I951" s="138" t="s">
        <v>195</v>
      </c>
      <c r="J951" s="138" t="s">
        <v>1170</v>
      </c>
      <c r="K951" s="141" t="str">
        <f t="shared" si="344"/>
        <v>Volledig</v>
      </c>
      <c r="L951" s="141" t="str">
        <f t="shared" si="345"/>
        <v>naloop</v>
      </c>
      <c r="M951" s="141" t="str">
        <f t="shared" si="346"/>
        <v>naloop</v>
      </c>
      <c r="N951" s="141" t="str">
        <f t="shared" si="347"/>
        <v>Volledig</v>
      </c>
      <c r="O951" s="141" t="str">
        <f t="shared" si="348"/>
        <v>naloop</v>
      </c>
      <c r="P951" s="141" t="str">
        <f t="shared" si="349"/>
        <v>naloop</v>
      </c>
      <c r="Q951" s="141" t="str">
        <f t="shared" si="350"/>
        <v>naloop</v>
      </c>
      <c r="R951" s="63" t="s">
        <v>1478</v>
      </c>
      <c r="S951" s="142">
        <f t="shared" si="358"/>
        <v>365</v>
      </c>
      <c r="T951" s="143">
        <v>67</v>
      </c>
      <c r="U951" s="144"/>
      <c r="V951" s="144">
        <v>365</v>
      </c>
      <c r="W951" s="144"/>
      <c r="X951" s="144"/>
      <c r="Y951" s="144"/>
      <c r="Z951" s="145"/>
      <c r="AA951" s="145"/>
      <c r="AB951" s="145">
        <f>T951</f>
        <v>67</v>
      </c>
      <c r="AC951" s="145"/>
      <c r="AD951" s="146"/>
      <c r="AE951" s="171">
        <v>1</v>
      </c>
      <c r="AF951" s="147">
        <f t="shared" si="351"/>
        <v>0</v>
      </c>
      <c r="AG951" s="147">
        <f t="shared" si="352"/>
        <v>0</v>
      </c>
      <c r="AH951" s="147">
        <f t="shared" si="353"/>
        <v>0</v>
      </c>
      <c r="AI951" s="147">
        <f t="shared" si="354"/>
        <v>0</v>
      </c>
      <c r="AJ951" s="148" t="str">
        <f t="shared" si="355"/>
        <v>ja</v>
      </c>
      <c r="AK951" s="149">
        <f t="shared" si="360"/>
        <v>0</v>
      </c>
      <c r="AL951" s="149">
        <f t="shared" si="361"/>
        <v>0</v>
      </c>
      <c r="AM951" s="149">
        <f t="shared" si="362"/>
        <v>0</v>
      </c>
      <c r="AN951" s="149">
        <f t="shared" si="363"/>
        <v>0</v>
      </c>
      <c r="AO951" s="150" t="str">
        <f t="shared" si="356"/>
        <v>V</v>
      </c>
      <c r="AQ951" s="151">
        <f t="shared" si="357"/>
        <v>24455</v>
      </c>
    </row>
    <row r="952" spans="1:43" ht="15" customHeight="1">
      <c r="A952" s="82" t="e">
        <f>1+#REF!</f>
        <v>#REF!</v>
      </c>
      <c r="B952" s="134">
        <v>117</v>
      </c>
      <c r="C952" s="135" t="s">
        <v>453</v>
      </c>
      <c r="D952" s="136" t="s">
        <v>39</v>
      </c>
      <c r="E952" s="137"/>
      <c r="F952" s="138" t="s">
        <v>334</v>
      </c>
      <c r="G952" s="139" t="s">
        <v>27</v>
      </c>
      <c r="H952" s="140" t="str">
        <f t="shared" si="343"/>
        <v>Niet van toepassing</v>
      </c>
      <c r="I952" s="138" t="s">
        <v>1252</v>
      </c>
      <c r="J952" s="138" t="s">
        <v>1172</v>
      </c>
      <c r="K952" s="141" t="str">
        <f t="shared" si="344"/>
        <v>NVT</v>
      </c>
      <c r="L952" s="141" t="str">
        <f t="shared" si="345"/>
        <v>NVT</v>
      </c>
      <c r="M952" s="141" t="str">
        <f t="shared" si="346"/>
        <v>NVT</v>
      </c>
      <c r="N952" s="141" t="str">
        <f t="shared" si="347"/>
        <v>NVT</v>
      </c>
      <c r="O952" s="141" t="str">
        <f t="shared" si="348"/>
        <v>NVT</v>
      </c>
      <c r="P952" s="141" t="str">
        <f t="shared" si="349"/>
        <v>NVT</v>
      </c>
      <c r="Q952" s="141" t="str">
        <f t="shared" si="350"/>
        <v>NVT</v>
      </c>
      <c r="R952" s="63" t="s">
        <v>1221</v>
      </c>
      <c r="S952" s="142">
        <f t="shared" si="358"/>
        <v>0</v>
      </c>
      <c r="T952" s="143">
        <v>15</v>
      </c>
      <c r="U952" s="144"/>
      <c r="V952" s="144">
        <v>51</v>
      </c>
      <c r="W952" s="144"/>
      <c r="X952" s="144"/>
      <c r="Y952" s="144"/>
      <c r="Z952" s="145"/>
      <c r="AA952" s="145"/>
      <c r="AB952" s="145">
        <f>T952</f>
        <v>15</v>
      </c>
      <c r="AC952" s="145"/>
      <c r="AD952" s="146"/>
      <c r="AE952" s="171">
        <v>1</v>
      </c>
      <c r="AF952" s="147">
        <f t="shared" si="351"/>
        <v>0</v>
      </c>
      <c r="AG952" s="147">
        <f t="shared" si="352"/>
        <v>0</v>
      </c>
      <c r="AH952" s="147">
        <f t="shared" si="353"/>
        <v>0</v>
      </c>
      <c r="AI952" s="147">
        <f t="shared" si="354"/>
        <v>0</v>
      </c>
      <c r="AJ952" s="148">
        <f t="shared" si="355"/>
        <v>0</v>
      </c>
      <c r="AK952" s="149">
        <f t="shared" si="360"/>
        <v>0</v>
      </c>
      <c r="AL952" s="149">
        <f t="shared" si="361"/>
        <v>0</v>
      </c>
      <c r="AM952" s="149">
        <f t="shared" si="362"/>
        <v>0</v>
      </c>
      <c r="AN952" s="149">
        <f t="shared" si="363"/>
        <v>0</v>
      </c>
      <c r="AO952" s="150">
        <f t="shared" si="356"/>
        <v>0</v>
      </c>
      <c r="AQ952" s="151">
        <f t="shared" si="357"/>
        <v>0</v>
      </c>
    </row>
    <row r="953" spans="1:43" ht="15" customHeight="1">
      <c r="A953" s="82" t="e">
        <f t="shared" si="364"/>
        <v>#REF!</v>
      </c>
      <c r="B953" s="134">
        <v>117</v>
      </c>
      <c r="C953" s="135" t="s">
        <v>453</v>
      </c>
      <c r="D953" s="136" t="s">
        <v>39</v>
      </c>
      <c r="E953" s="137"/>
      <c r="F953" s="138" t="s">
        <v>76</v>
      </c>
      <c r="G953" s="139" t="s">
        <v>32</v>
      </c>
      <c r="H953" s="140" t="str">
        <f t="shared" si="343"/>
        <v>Niet van toepassing</v>
      </c>
      <c r="I953" s="138" t="s">
        <v>254</v>
      </c>
      <c r="J953" s="138" t="s">
        <v>1172</v>
      </c>
      <c r="K953" s="141" t="str">
        <f t="shared" si="344"/>
        <v>NVT</v>
      </c>
      <c r="L953" s="141" t="str">
        <f t="shared" si="345"/>
        <v>NVT</v>
      </c>
      <c r="M953" s="141" t="str">
        <f t="shared" si="346"/>
        <v>NVT</v>
      </c>
      <c r="N953" s="141" t="str">
        <f t="shared" si="347"/>
        <v>NVT</v>
      </c>
      <c r="O953" s="141" t="str">
        <f t="shared" si="348"/>
        <v>NVT</v>
      </c>
      <c r="P953" s="141" t="str">
        <f t="shared" si="349"/>
        <v>NVT</v>
      </c>
      <c r="Q953" s="141" t="str">
        <f t="shared" si="350"/>
        <v>NVT</v>
      </c>
      <c r="R953" s="63" t="s">
        <v>1221</v>
      </c>
      <c r="S953" s="142">
        <f t="shared" si="358"/>
        <v>0</v>
      </c>
      <c r="T953" s="143">
        <v>3</v>
      </c>
      <c r="U953" s="144"/>
      <c r="V953" s="144">
        <v>19</v>
      </c>
      <c r="W953" s="144"/>
      <c r="X953" s="144"/>
      <c r="Y953" s="144"/>
      <c r="Z953" s="145"/>
      <c r="AA953" s="145"/>
      <c r="AB953" s="145">
        <f>T953</f>
        <v>3</v>
      </c>
      <c r="AC953" s="145"/>
      <c r="AD953" s="146"/>
      <c r="AE953" s="171">
        <v>1</v>
      </c>
      <c r="AF953" s="147">
        <f t="shared" si="351"/>
        <v>0</v>
      </c>
      <c r="AG953" s="147">
        <f t="shared" si="352"/>
        <v>0</v>
      </c>
      <c r="AH953" s="147">
        <f t="shared" si="353"/>
        <v>0</v>
      </c>
      <c r="AI953" s="147">
        <f t="shared" si="354"/>
        <v>0</v>
      </c>
      <c r="AJ953" s="148">
        <f t="shared" si="355"/>
        <v>0</v>
      </c>
      <c r="AK953" s="149">
        <f t="shared" si="360"/>
        <v>0</v>
      </c>
      <c r="AL953" s="149">
        <f t="shared" si="361"/>
        <v>0</v>
      </c>
      <c r="AM953" s="149">
        <f t="shared" si="362"/>
        <v>0</v>
      </c>
      <c r="AN953" s="149">
        <f t="shared" si="363"/>
        <v>0</v>
      </c>
      <c r="AO953" s="150">
        <f t="shared" si="356"/>
        <v>0</v>
      </c>
      <c r="AQ953" s="151">
        <f t="shared" si="357"/>
        <v>0</v>
      </c>
    </row>
    <row r="954" spans="1:43" ht="15" customHeight="1">
      <c r="A954" s="82" t="e">
        <f t="shared" si="364"/>
        <v>#REF!</v>
      </c>
      <c r="B954" s="134">
        <v>117</v>
      </c>
      <c r="C954" s="135" t="s">
        <v>453</v>
      </c>
      <c r="D954" s="136" t="s">
        <v>39</v>
      </c>
      <c r="E954" s="137"/>
      <c r="F954" s="138" t="s">
        <v>208</v>
      </c>
      <c r="G954" s="139" t="s">
        <v>287</v>
      </c>
      <c r="H954" s="140" t="str">
        <f t="shared" si="343"/>
        <v>Sanitair</v>
      </c>
      <c r="I954" s="138" t="s">
        <v>237</v>
      </c>
      <c r="J954" s="138" t="s">
        <v>1170</v>
      </c>
      <c r="K954" s="141" t="str">
        <f t="shared" si="344"/>
        <v>Volledig</v>
      </c>
      <c r="L954" s="141" t="str">
        <f t="shared" si="345"/>
        <v>naloop</v>
      </c>
      <c r="M954" s="141" t="str">
        <f t="shared" si="346"/>
        <v>naloop</v>
      </c>
      <c r="N954" s="141" t="str">
        <f t="shared" si="347"/>
        <v>Volledig</v>
      </c>
      <c r="O954" s="141" t="str">
        <f t="shared" si="348"/>
        <v>naloop</v>
      </c>
      <c r="P954" s="141" t="str">
        <f t="shared" si="349"/>
        <v>naloop</v>
      </c>
      <c r="Q954" s="141" t="str">
        <f t="shared" si="350"/>
        <v>naloop</v>
      </c>
      <c r="R954" s="63" t="s">
        <v>1210</v>
      </c>
      <c r="S954" s="142">
        <f t="shared" si="358"/>
        <v>365</v>
      </c>
      <c r="T954" s="143">
        <v>2</v>
      </c>
      <c r="U954" s="144">
        <v>10</v>
      </c>
      <c r="V954" s="144"/>
      <c r="W954" s="144"/>
      <c r="X954" s="144"/>
      <c r="Y954" s="144"/>
      <c r="Z954" s="145"/>
      <c r="AA954" s="145"/>
      <c r="AB954" s="145"/>
      <c r="AC954" s="145">
        <f>T954</f>
        <v>2</v>
      </c>
      <c r="AD954" s="146"/>
      <c r="AE954" s="171">
        <v>1</v>
      </c>
      <c r="AF954" s="147">
        <f t="shared" si="351"/>
        <v>0</v>
      </c>
      <c r="AG954" s="147">
        <f t="shared" si="352"/>
        <v>0</v>
      </c>
      <c r="AH954" s="147">
        <f t="shared" si="353"/>
        <v>0</v>
      </c>
      <c r="AI954" s="147">
        <f t="shared" si="354"/>
        <v>0</v>
      </c>
      <c r="AJ954" s="148" t="str">
        <f t="shared" si="355"/>
        <v>ja</v>
      </c>
      <c r="AK954" s="149">
        <f t="shared" si="360"/>
        <v>0</v>
      </c>
      <c r="AL954" s="149">
        <f t="shared" si="361"/>
        <v>0</v>
      </c>
      <c r="AM954" s="149">
        <f t="shared" si="362"/>
        <v>0</v>
      </c>
      <c r="AN954" s="149">
        <f t="shared" si="363"/>
        <v>0</v>
      </c>
      <c r="AO954" s="150" t="str">
        <f t="shared" si="356"/>
        <v>S</v>
      </c>
      <c r="AQ954" s="151">
        <f t="shared" si="357"/>
        <v>730</v>
      </c>
    </row>
    <row r="955" spans="1:43" ht="15" customHeight="1">
      <c r="A955" s="82" t="e">
        <f t="shared" si="364"/>
        <v>#REF!</v>
      </c>
      <c r="B955" s="134">
        <v>117</v>
      </c>
      <c r="C955" s="135" t="s">
        <v>453</v>
      </c>
      <c r="D955" s="136" t="s">
        <v>39</v>
      </c>
      <c r="E955" s="137"/>
      <c r="F955" s="138" t="s">
        <v>207</v>
      </c>
      <c r="G955" s="139" t="s">
        <v>288</v>
      </c>
      <c r="H955" s="140" t="str">
        <f t="shared" si="343"/>
        <v>Sanitair</v>
      </c>
      <c r="I955" s="138" t="s">
        <v>237</v>
      </c>
      <c r="J955" s="138" t="s">
        <v>1170</v>
      </c>
      <c r="K955" s="141" t="str">
        <f t="shared" si="344"/>
        <v>Volledig</v>
      </c>
      <c r="L955" s="141" t="str">
        <f t="shared" si="345"/>
        <v>naloop</v>
      </c>
      <c r="M955" s="141" t="str">
        <f t="shared" si="346"/>
        <v>naloop</v>
      </c>
      <c r="N955" s="141" t="str">
        <f t="shared" si="347"/>
        <v>Volledig</v>
      </c>
      <c r="O955" s="141" t="str">
        <f t="shared" si="348"/>
        <v>naloop</v>
      </c>
      <c r="P955" s="141" t="str">
        <f t="shared" si="349"/>
        <v>naloop</v>
      </c>
      <c r="Q955" s="141" t="str">
        <f t="shared" si="350"/>
        <v>naloop</v>
      </c>
      <c r="R955" s="63" t="s">
        <v>1210</v>
      </c>
      <c r="S955" s="142">
        <f t="shared" si="358"/>
        <v>365</v>
      </c>
      <c r="T955" s="143">
        <v>2</v>
      </c>
      <c r="U955" s="144">
        <v>10</v>
      </c>
      <c r="V955" s="144"/>
      <c r="W955" s="144"/>
      <c r="X955" s="144"/>
      <c r="Y955" s="144"/>
      <c r="Z955" s="145"/>
      <c r="AA955" s="145"/>
      <c r="AB955" s="145"/>
      <c r="AC955" s="145">
        <f>T955</f>
        <v>2</v>
      </c>
      <c r="AD955" s="146"/>
      <c r="AE955" s="171">
        <v>1</v>
      </c>
      <c r="AF955" s="147">
        <f t="shared" si="351"/>
        <v>0</v>
      </c>
      <c r="AG955" s="147">
        <f t="shared" si="352"/>
        <v>0</v>
      </c>
      <c r="AH955" s="147">
        <f t="shared" si="353"/>
        <v>0</v>
      </c>
      <c r="AI955" s="147">
        <f t="shared" si="354"/>
        <v>0</v>
      </c>
      <c r="AJ955" s="148" t="str">
        <f t="shared" si="355"/>
        <v>ja</v>
      </c>
      <c r="AK955" s="149">
        <f t="shared" si="360"/>
        <v>0</v>
      </c>
      <c r="AL955" s="149">
        <f t="shared" si="361"/>
        <v>0</v>
      </c>
      <c r="AM955" s="149">
        <f t="shared" si="362"/>
        <v>0</v>
      </c>
      <c r="AN955" s="149">
        <f t="shared" si="363"/>
        <v>0</v>
      </c>
      <c r="AO955" s="150" t="str">
        <f t="shared" si="356"/>
        <v>S</v>
      </c>
      <c r="AQ955" s="151">
        <f t="shared" si="357"/>
        <v>730</v>
      </c>
    </row>
    <row r="956" spans="1:43" ht="15" customHeight="1">
      <c r="A956" s="82" t="e">
        <f t="shared" si="364"/>
        <v>#REF!</v>
      </c>
      <c r="B956" s="134">
        <v>117</v>
      </c>
      <c r="C956" s="135" t="s">
        <v>453</v>
      </c>
      <c r="D956" s="136" t="s">
        <v>39</v>
      </c>
      <c r="E956" s="137"/>
      <c r="F956" s="138" t="s">
        <v>335</v>
      </c>
      <c r="G956" s="139" t="s">
        <v>336</v>
      </c>
      <c r="H956" s="140" t="str">
        <f t="shared" si="343"/>
        <v>Niet van toepassing</v>
      </c>
      <c r="I956" s="138" t="s">
        <v>195</v>
      </c>
      <c r="J956" s="138" t="s">
        <v>1172</v>
      </c>
      <c r="K956" s="141" t="str">
        <f t="shared" si="344"/>
        <v>NVT</v>
      </c>
      <c r="L956" s="141" t="str">
        <f t="shared" si="345"/>
        <v>NVT</v>
      </c>
      <c r="M956" s="141" t="str">
        <f t="shared" si="346"/>
        <v>NVT</v>
      </c>
      <c r="N956" s="141" t="str">
        <f t="shared" si="347"/>
        <v>NVT</v>
      </c>
      <c r="O956" s="141" t="str">
        <f t="shared" si="348"/>
        <v>NVT</v>
      </c>
      <c r="P956" s="141" t="str">
        <f t="shared" si="349"/>
        <v>NVT</v>
      </c>
      <c r="Q956" s="141" t="str">
        <f t="shared" si="350"/>
        <v>NVT</v>
      </c>
      <c r="R956" s="63" t="s">
        <v>1221</v>
      </c>
      <c r="S956" s="142">
        <f t="shared" si="358"/>
        <v>0</v>
      </c>
      <c r="T956" s="143">
        <v>5</v>
      </c>
      <c r="U956" s="144"/>
      <c r="V956" s="144">
        <v>21</v>
      </c>
      <c r="W956" s="144"/>
      <c r="X956" s="144"/>
      <c r="Y956" s="144"/>
      <c r="Z956" s="145"/>
      <c r="AA956" s="145"/>
      <c r="AB956" s="145">
        <f>T956</f>
        <v>5</v>
      </c>
      <c r="AC956" s="145"/>
      <c r="AD956" s="146"/>
      <c r="AE956" s="171">
        <v>1</v>
      </c>
      <c r="AF956" s="147">
        <f t="shared" si="351"/>
        <v>0</v>
      </c>
      <c r="AG956" s="147">
        <f t="shared" si="352"/>
        <v>0</v>
      </c>
      <c r="AH956" s="147">
        <f t="shared" si="353"/>
        <v>0</v>
      </c>
      <c r="AI956" s="147">
        <f t="shared" si="354"/>
        <v>0</v>
      </c>
      <c r="AJ956" s="148">
        <f t="shared" si="355"/>
        <v>0</v>
      </c>
      <c r="AK956" s="149">
        <f t="shared" si="360"/>
        <v>0</v>
      </c>
      <c r="AL956" s="149">
        <f t="shared" si="361"/>
        <v>0</v>
      </c>
      <c r="AM956" s="149">
        <f t="shared" si="362"/>
        <v>0</v>
      </c>
      <c r="AN956" s="149">
        <f t="shared" si="363"/>
        <v>0</v>
      </c>
      <c r="AO956" s="150">
        <f t="shared" si="356"/>
        <v>0</v>
      </c>
      <c r="AQ956" s="151">
        <f t="shared" si="357"/>
        <v>0</v>
      </c>
    </row>
    <row r="957" spans="1:43" ht="15" customHeight="1">
      <c r="A957" s="82" t="e">
        <f t="shared" si="364"/>
        <v>#REF!</v>
      </c>
      <c r="B957" s="134">
        <v>117</v>
      </c>
      <c r="C957" s="135" t="s">
        <v>453</v>
      </c>
      <c r="D957" s="136" t="s">
        <v>39</v>
      </c>
      <c r="E957" s="137"/>
      <c r="F957" s="138" t="s">
        <v>337</v>
      </c>
      <c r="G957" s="139" t="s">
        <v>338</v>
      </c>
      <c r="H957" s="140" t="str">
        <f t="shared" ref="H957:H1016" si="365">VLOOKUP(R957,Kengetal,3,FALSE)</f>
        <v>Niet van toepassing</v>
      </c>
      <c r="I957" s="138" t="s">
        <v>195</v>
      </c>
      <c r="J957" s="138" t="s">
        <v>1172</v>
      </c>
      <c r="K957" s="141" t="str">
        <f t="shared" ref="K957:K1016" si="366">IF($R957="",0,VLOOKUP($R957,Kengetal,14,FALSE))</f>
        <v>NVT</v>
      </c>
      <c r="L957" s="141" t="str">
        <f t="shared" ref="L957:L1016" si="367">IF($R957="",0,VLOOKUP($R957,Kengetal,15,FALSE))</f>
        <v>NVT</v>
      </c>
      <c r="M957" s="141" t="str">
        <f t="shared" ref="M957:M1016" si="368">IF($R957="",0,VLOOKUP($R957,Kengetal,16,FALSE))</f>
        <v>NVT</v>
      </c>
      <c r="N957" s="141" t="str">
        <f t="shared" ref="N957:N1016" si="369">IF($R957="",0,VLOOKUP($R957,Kengetal,17,FALSE))</f>
        <v>NVT</v>
      </c>
      <c r="O957" s="141" t="str">
        <f t="shared" ref="O957:O1016" si="370">IF($R957="",0,VLOOKUP($R957,Kengetal,18,FALSE))</f>
        <v>NVT</v>
      </c>
      <c r="P957" s="141" t="str">
        <f t="shared" ref="P957:P1016" si="371">IF($R957="",0,VLOOKUP($R957,Kengetal,19,FALSE))</f>
        <v>NVT</v>
      </c>
      <c r="Q957" s="141" t="str">
        <f t="shared" ref="Q957:Q1016" si="372">IF($R957="",0,VLOOKUP($R957,Kengetal,20,FALSE))</f>
        <v>NVT</v>
      </c>
      <c r="R957" s="63" t="s">
        <v>1221</v>
      </c>
      <c r="S957" s="142">
        <f t="shared" si="358"/>
        <v>0</v>
      </c>
      <c r="T957" s="143">
        <v>3</v>
      </c>
      <c r="U957" s="144"/>
      <c r="V957" s="144">
        <v>10</v>
      </c>
      <c r="W957" s="144"/>
      <c r="X957" s="144"/>
      <c r="Y957" s="144"/>
      <c r="Z957" s="145"/>
      <c r="AA957" s="145"/>
      <c r="AB957" s="145">
        <f>T957</f>
        <v>3</v>
      </c>
      <c r="AC957" s="145"/>
      <c r="AD957" s="146"/>
      <c r="AE957" s="171">
        <v>1</v>
      </c>
      <c r="AF957" s="147">
        <f t="shared" ref="AF957:AF1016" si="373">T957*AK957*AE957</f>
        <v>0</v>
      </c>
      <c r="AG957" s="147">
        <f t="shared" ref="AG957:AG1016" si="374">T957*AL957*AE957</f>
        <v>0</v>
      </c>
      <c r="AH957" s="147">
        <f t="shared" ref="AH957:AH1016" si="375">T957*AM957*AE957</f>
        <v>0</v>
      </c>
      <c r="AI957" s="147">
        <f t="shared" ref="AI957:AI1016" si="376">T957*AN957*AE957</f>
        <v>0</v>
      </c>
      <c r="AJ957" s="148">
        <f t="shared" ref="AJ957:AJ1016" si="377">IF($R957="",0,VLOOKUP($R957,Kengetal,12,FALSE))</f>
        <v>0</v>
      </c>
      <c r="AK957" s="149">
        <f t="shared" si="360"/>
        <v>0</v>
      </c>
      <c r="AL957" s="149">
        <f t="shared" si="361"/>
        <v>0</v>
      </c>
      <c r="AM957" s="149">
        <f t="shared" si="362"/>
        <v>0</v>
      </c>
      <c r="AN957" s="149">
        <f t="shared" si="363"/>
        <v>0</v>
      </c>
      <c r="AO957" s="150">
        <f t="shared" ref="AO957:AO1016" si="378">IF($R957="",0,VLOOKUP($R957,Kengetal,13,FALSE))</f>
        <v>0</v>
      </c>
      <c r="AQ957" s="151">
        <f t="shared" ref="AQ957:AQ1016" si="379">T957*S957</f>
        <v>0</v>
      </c>
    </row>
    <row r="958" spans="1:43" ht="15" customHeight="1">
      <c r="A958" s="82" t="e">
        <f t="shared" si="364"/>
        <v>#REF!</v>
      </c>
      <c r="B958" s="134">
        <v>117</v>
      </c>
      <c r="C958" s="135" t="s">
        <v>453</v>
      </c>
      <c r="D958" s="136" t="s">
        <v>39</v>
      </c>
      <c r="E958" s="137"/>
      <c r="F958" s="138" t="s">
        <v>339</v>
      </c>
      <c r="G958" s="139" t="s">
        <v>340</v>
      </c>
      <c r="H958" s="140" t="str">
        <f t="shared" si="365"/>
        <v>Niet van toepassing</v>
      </c>
      <c r="I958" s="138" t="s">
        <v>254</v>
      </c>
      <c r="J958" s="138" t="s">
        <v>1172</v>
      </c>
      <c r="K958" s="141" t="str">
        <f t="shared" si="366"/>
        <v>NVT</v>
      </c>
      <c r="L958" s="141" t="str">
        <f t="shared" si="367"/>
        <v>NVT</v>
      </c>
      <c r="M958" s="141" t="str">
        <f t="shared" si="368"/>
        <v>NVT</v>
      </c>
      <c r="N958" s="141" t="str">
        <f t="shared" si="369"/>
        <v>NVT</v>
      </c>
      <c r="O958" s="141" t="str">
        <f t="shared" si="370"/>
        <v>NVT</v>
      </c>
      <c r="P958" s="141" t="str">
        <f t="shared" si="371"/>
        <v>NVT</v>
      </c>
      <c r="Q958" s="141" t="str">
        <f t="shared" si="372"/>
        <v>NVT</v>
      </c>
      <c r="R958" s="63" t="s">
        <v>1221</v>
      </c>
      <c r="S958" s="142">
        <f t="shared" si="358"/>
        <v>0</v>
      </c>
      <c r="T958" s="143">
        <v>2</v>
      </c>
      <c r="U958" s="144"/>
      <c r="V958" s="144">
        <v>21</v>
      </c>
      <c r="W958" s="144"/>
      <c r="X958" s="144"/>
      <c r="Y958" s="144"/>
      <c r="Z958" s="145"/>
      <c r="AA958" s="145">
        <f>T958</f>
        <v>2</v>
      </c>
      <c r="AB958" s="145"/>
      <c r="AC958" s="145"/>
      <c r="AD958" s="146"/>
      <c r="AE958" s="171">
        <v>1</v>
      </c>
      <c r="AF958" s="147">
        <f t="shared" si="373"/>
        <v>0</v>
      </c>
      <c r="AG958" s="147">
        <f t="shared" si="374"/>
        <v>0</v>
      </c>
      <c r="AH958" s="147">
        <f t="shared" si="375"/>
        <v>0</v>
      </c>
      <c r="AI958" s="147">
        <f t="shared" si="376"/>
        <v>0</v>
      </c>
      <c r="AJ958" s="148">
        <f t="shared" si="377"/>
        <v>0</v>
      </c>
      <c r="AK958" s="149">
        <f t="shared" si="360"/>
        <v>0</v>
      </c>
      <c r="AL958" s="149">
        <f t="shared" si="361"/>
        <v>0</v>
      </c>
      <c r="AM958" s="149">
        <f t="shared" si="362"/>
        <v>0</v>
      </c>
      <c r="AN958" s="149">
        <f t="shared" si="363"/>
        <v>0</v>
      </c>
      <c r="AO958" s="150">
        <f t="shared" si="378"/>
        <v>0</v>
      </c>
      <c r="AQ958" s="151">
        <f t="shared" si="379"/>
        <v>0</v>
      </c>
    </row>
    <row r="959" spans="1:43" ht="15" customHeight="1">
      <c r="A959" s="82" t="e">
        <f t="shared" si="364"/>
        <v>#REF!</v>
      </c>
      <c r="B959" s="134">
        <v>117</v>
      </c>
      <c r="C959" s="135" t="s">
        <v>453</v>
      </c>
      <c r="D959" s="136" t="s">
        <v>39</v>
      </c>
      <c r="E959" s="137"/>
      <c r="F959" s="138" t="s">
        <v>341</v>
      </c>
      <c r="G959" s="139" t="s">
        <v>297</v>
      </c>
      <c r="H959" s="140" t="str">
        <f t="shared" si="365"/>
        <v>Kantoren/spreekkamers</v>
      </c>
      <c r="I959" s="138" t="s">
        <v>270</v>
      </c>
      <c r="J959" s="138" t="s">
        <v>1170</v>
      </c>
      <c r="K959" s="141" t="str">
        <f t="shared" si="366"/>
        <v>Volledig</v>
      </c>
      <c r="L959" s="141" t="str">
        <f t="shared" si="367"/>
        <v>naloop</v>
      </c>
      <c r="M959" s="141" t="str">
        <f t="shared" si="368"/>
        <v>naloop</v>
      </c>
      <c r="N959" s="141" t="str">
        <f t="shared" si="369"/>
        <v>Volledig</v>
      </c>
      <c r="O959" s="141" t="str">
        <f t="shared" si="370"/>
        <v>naloop</v>
      </c>
      <c r="P959" s="141" t="str">
        <f t="shared" si="371"/>
        <v>naloop</v>
      </c>
      <c r="Q959" s="141" t="str">
        <f t="shared" si="372"/>
        <v>naloop</v>
      </c>
      <c r="R959" s="63" t="s">
        <v>1219</v>
      </c>
      <c r="S959" s="142">
        <f t="shared" si="358"/>
        <v>365</v>
      </c>
      <c r="T959" s="143">
        <v>23</v>
      </c>
      <c r="U959" s="144"/>
      <c r="V959" s="144">
        <v>32</v>
      </c>
      <c r="W959" s="144"/>
      <c r="X959" s="144"/>
      <c r="Y959" s="144"/>
      <c r="Z959" s="145"/>
      <c r="AA959" s="145"/>
      <c r="AB959" s="145">
        <f>T959</f>
        <v>23</v>
      </c>
      <c r="AC959" s="145"/>
      <c r="AD959" s="146"/>
      <c r="AE959" s="171">
        <v>1</v>
      </c>
      <c r="AF959" s="147">
        <f t="shared" si="373"/>
        <v>0</v>
      </c>
      <c r="AG959" s="147">
        <f t="shared" si="374"/>
        <v>0</v>
      </c>
      <c r="AH959" s="147">
        <f t="shared" si="375"/>
        <v>0</v>
      </c>
      <c r="AI959" s="147">
        <f t="shared" si="376"/>
        <v>0</v>
      </c>
      <c r="AJ959" s="148" t="str">
        <f t="shared" si="377"/>
        <v>nee</v>
      </c>
      <c r="AK959" s="149">
        <f t="shared" si="360"/>
        <v>0</v>
      </c>
      <c r="AL959" s="149">
        <f t="shared" si="361"/>
        <v>0</v>
      </c>
      <c r="AM959" s="149">
        <f t="shared" si="362"/>
        <v>0</v>
      </c>
      <c r="AN959" s="149">
        <f t="shared" si="363"/>
        <v>0</v>
      </c>
      <c r="AO959" s="150" t="str">
        <f t="shared" si="378"/>
        <v>B</v>
      </c>
      <c r="AQ959" s="151">
        <f t="shared" si="379"/>
        <v>8395</v>
      </c>
    </row>
    <row r="960" spans="1:43" ht="15" customHeight="1">
      <c r="A960" s="82" t="e">
        <f t="shared" si="364"/>
        <v>#REF!</v>
      </c>
      <c r="B960" s="134">
        <v>117</v>
      </c>
      <c r="C960" s="135" t="s">
        <v>453</v>
      </c>
      <c r="D960" s="136" t="s">
        <v>39</v>
      </c>
      <c r="E960" s="137"/>
      <c r="F960" s="138" t="s">
        <v>342</v>
      </c>
      <c r="G960" s="139" t="s">
        <v>343</v>
      </c>
      <c r="H960" s="140" t="str">
        <f t="shared" si="365"/>
        <v>Niet van toepassing</v>
      </c>
      <c r="I960" s="138" t="s">
        <v>195</v>
      </c>
      <c r="J960" s="138" t="s">
        <v>1172</v>
      </c>
      <c r="K960" s="141" t="str">
        <f t="shared" si="366"/>
        <v>NVT</v>
      </c>
      <c r="L960" s="141" t="str">
        <f t="shared" si="367"/>
        <v>NVT</v>
      </c>
      <c r="M960" s="141" t="str">
        <f t="shared" si="368"/>
        <v>NVT</v>
      </c>
      <c r="N960" s="141" t="str">
        <f t="shared" si="369"/>
        <v>NVT</v>
      </c>
      <c r="O960" s="141" t="str">
        <f t="shared" si="370"/>
        <v>NVT</v>
      </c>
      <c r="P960" s="141" t="str">
        <f t="shared" si="371"/>
        <v>NVT</v>
      </c>
      <c r="Q960" s="141" t="str">
        <f t="shared" si="372"/>
        <v>NVT</v>
      </c>
      <c r="R960" s="63" t="s">
        <v>1221</v>
      </c>
      <c r="S960" s="142">
        <f t="shared" si="358"/>
        <v>0</v>
      </c>
      <c r="T960" s="143">
        <v>6</v>
      </c>
      <c r="U960" s="144"/>
      <c r="V960" s="144">
        <v>35</v>
      </c>
      <c r="W960" s="144"/>
      <c r="X960" s="144"/>
      <c r="Y960" s="144"/>
      <c r="Z960" s="145"/>
      <c r="AA960" s="145">
        <f>T960</f>
        <v>6</v>
      </c>
      <c r="AB960" s="145"/>
      <c r="AC960" s="145"/>
      <c r="AD960" s="146"/>
      <c r="AE960" s="171">
        <v>1</v>
      </c>
      <c r="AF960" s="147">
        <f t="shared" si="373"/>
        <v>0</v>
      </c>
      <c r="AG960" s="147">
        <f t="shared" si="374"/>
        <v>0</v>
      </c>
      <c r="AH960" s="147">
        <f t="shared" si="375"/>
        <v>0</v>
      </c>
      <c r="AI960" s="147">
        <f t="shared" si="376"/>
        <v>0</v>
      </c>
      <c r="AJ960" s="148">
        <f t="shared" si="377"/>
        <v>0</v>
      </c>
      <c r="AK960" s="149">
        <f t="shared" si="360"/>
        <v>0</v>
      </c>
      <c r="AL960" s="149">
        <f t="shared" si="361"/>
        <v>0</v>
      </c>
      <c r="AM960" s="149">
        <f t="shared" si="362"/>
        <v>0</v>
      </c>
      <c r="AN960" s="149">
        <f t="shared" si="363"/>
        <v>0</v>
      </c>
      <c r="AO960" s="150">
        <f t="shared" si="378"/>
        <v>0</v>
      </c>
      <c r="AQ960" s="151">
        <f t="shared" si="379"/>
        <v>0</v>
      </c>
    </row>
    <row r="961" spans="1:43" ht="15" customHeight="1">
      <c r="A961" s="82" t="e">
        <f t="shared" si="364"/>
        <v>#REF!</v>
      </c>
      <c r="B961" s="134">
        <v>117</v>
      </c>
      <c r="C961" s="135" t="s">
        <v>453</v>
      </c>
      <c r="D961" s="136" t="s">
        <v>39</v>
      </c>
      <c r="E961" s="137"/>
      <c r="F961" s="138" t="s">
        <v>344</v>
      </c>
      <c r="G961" s="139" t="s">
        <v>309</v>
      </c>
      <c r="H961" s="140" t="str">
        <f t="shared" si="365"/>
        <v>Niet van toepassing</v>
      </c>
      <c r="I961" s="138" t="s">
        <v>195</v>
      </c>
      <c r="J961" s="138" t="s">
        <v>1172</v>
      </c>
      <c r="K961" s="141" t="str">
        <f t="shared" si="366"/>
        <v>NVT</v>
      </c>
      <c r="L961" s="141" t="str">
        <f t="shared" si="367"/>
        <v>NVT</v>
      </c>
      <c r="M961" s="141" t="str">
        <f t="shared" si="368"/>
        <v>NVT</v>
      </c>
      <c r="N961" s="141" t="str">
        <f t="shared" si="369"/>
        <v>NVT</v>
      </c>
      <c r="O961" s="141" t="str">
        <f t="shared" si="370"/>
        <v>NVT</v>
      </c>
      <c r="P961" s="141" t="str">
        <f t="shared" si="371"/>
        <v>NVT</v>
      </c>
      <c r="Q961" s="141" t="str">
        <f t="shared" si="372"/>
        <v>NVT</v>
      </c>
      <c r="R961" s="63" t="s">
        <v>1221</v>
      </c>
      <c r="S961" s="142">
        <f t="shared" si="358"/>
        <v>0</v>
      </c>
      <c r="T961" s="143">
        <v>2</v>
      </c>
      <c r="U961" s="144"/>
      <c r="V961" s="144"/>
      <c r="W961" s="144">
        <v>15</v>
      </c>
      <c r="X961" s="144"/>
      <c r="Y961" s="144"/>
      <c r="Z961" s="145"/>
      <c r="AA961" s="145">
        <f>T961</f>
        <v>2</v>
      </c>
      <c r="AB961" s="145"/>
      <c r="AC961" s="145"/>
      <c r="AD961" s="146"/>
      <c r="AE961" s="171">
        <v>1</v>
      </c>
      <c r="AF961" s="147">
        <f t="shared" si="373"/>
        <v>0</v>
      </c>
      <c r="AG961" s="147">
        <f t="shared" si="374"/>
        <v>0</v>
      </c>
      <c r="AH961" s="147">
        <f t="shared" si="375"/>
        <v>0</v>
      </c>
      <c r="AI961" s="147">
        <f t="shared" si="376"/>
        <v>0</v>
      </c>
      <c r="AJ961" s="148">
        <f t="shared" si="377"/>
        <v>0</v>
      </c>
      <c r="AK961" s="149">
        <f t="shared" si="360"/>
        <v>0</v>
      </c>
      <c r="AL961" s="149">
        <f t="shared" si="361"/>
        <v>0</v>
      </c>
      <c r="AM961" s="149">
        <f t="shared" si="362"/>
        <v>0</v>
      </c>
      <c r="AN961" s="149">
        <f t="shared" si="363"/>
        <v>0</v>
      </c>
      <c r="AO961" s="150">
        <f t="shared" si="378"/>
        <v>0</v>
      </c>
      <c r="AQ961" s="151">
        <f t="shared" si="379"/>
        <v>0</v>
      </c>
    </row>
    <row r="962" spans="1:43" ht="15" customHeight="1">
      <c r="A962" s="82" t="e">
        <f t="shared" si="364"/>
        <v>#REF!</v>
      </c>
      <c r="B962" s="134">
        <v>117</v>
      </c>
      <c r="C962" s="135" t="s">
        <v>453</v>
      </c>
      <c r="D962" s="136" t="s">
        <v>39</v>
      </c>
      <c r="E962" s="137"/>
      <c r="F962" s="138" t="s">
        <v>345</v>
      </c>
      <c r="G962" s="139" t="s">
        <v>311</v>
      </c>
      <c r="H962" s="140" t="str">
        <f t="shared" si="365"/>
        <v>Niet van toepassing</v>
      </c>
      <c r="I962" s="138" t="s">
        <v>18</v>
      </c>
      <c r="J962" s="138" t="s">
        <v>1172</v>
      </c>
      <c r="K962" s="141" t="str">
        <f t="shared" si="366"/>
        <v>NVT</v>
      </c>
      <c r="L962" s="141" t="str">
        <f t="shared" si="367"/>
        <v>NVT</v>
      </c>
      <c r="M962" s="141" t="str">
        <f t="shared" si="368"/>
        <v>NVT</v>
      </c>
      <c r="N962" s="141" t="str">
        <f t="shared" si="369"/>
        <v>NVT</v>
      </c>
      <c r="O962" s="141" t="str">
        <f t="shared" si="370"/>
        <v>NVT</v>
      </c>
      <c r="P962" s="141" t="str">
        <f t="shared" si="371"/>
        <v>NVT</v>
      </c>
      <c r="Q962" s="141" t="str">
        <f t="shared" si="372"/>
        <v>NVT</v>
      </c>
      <c r="R962" s="63" t="s">
        <v>1221</v>
      </c>
      <c r="S962" s="142">
        <f t="shared" si="358"/>
        <v>0</v>
      </c>
      <c r="T962" s="143">
        <v>6</v>
      </c>
      <c r="U962" s="144"/>
      <c r="V962" s="144"/>
      <c r="W962" s="144">
        <v>29</v>
      </c>
      <c r="X962" s="144"/>
      <c r="Y962" s="144"/>
      <c r="Z962" s="145"/>
      <c r="AA962" s="145">
        <f>T962</f>
        <v>6</v>
      </c>
      <c r="AB962" s="145"/>
      <c r="AC962" s="145"/>
      <c r="AD962" s="146"/>
      <c r="AE962" s="171">
        <v>1</v>
      </c>
      <c r="AF962" s="147">
        <f t="shared" si="373"/>
        <v>0</v>
      </c>
      <c r="AG962" s="147">
        <f t="shared" si="374"/>
        <v>0</v>
      </c>
      <c r="AH962" s="147">
        <f t="shared" si="375"/>
        <v>0</v>
      </c>
      <c r="AI962" s="147">
        <f t="shared" si="376"/>
        <v>0</v>
      </c>
      <c r="AJ962" s="148">
        <f t="shared" si="377"/>
        <v>0</v>
      </c>
      <c r="AK962" s="149">
        <f t="shared" si="360"/>
        <v>0</v>
      </c>
      <c r="AL962" s="149">
        <f t="shared" si="361"/>
        <v>0</v>
      </c>
      <c r="AM962" s="149">
        <f t="shared" si="362"/>
        <v>0</v>
      </c>
      <c r="AN962" s="149">
        <f t="shared" si="363"/>
        <v>0</v>
      </c>
      <c r="AO962" s="150">
        <f t="shared" si="378"/>
        <v>0</v>
      </c>
      <c r="AQ962" s="151">
        <f t="shared" si="379"/>
        <v>0</v>
      </c>
    </row>
    <row r="963" spans="1:43" ht="15" customHeight="1">
      <c r="A963" s="82" t="e">
        <f>1+#REF!</f>
        <v>#REF!</v>
      </c>
      <c r="B963" s="134">
        <v>117</v>
      </c>
      <c r="C963" s="135" t="s">
        <v>453</v>
      </c>
      <c r="D963" s="136" t="s">
        <v>39</v>
      </c>
      <c r="E963" s="137"/>
      <c r="F963" s="138" t="s">
        <v>279</v>
      </c>
      <c r="G963" s="139" t="s">
        <v>347</v>
      </c>
      <c r="H963" s="140" t="str">
        <f t="shared" si="365"/>
        <v>Niet van toepassing</v>
      </c>
      <c r="I963" s="138" t="s">
        <v>254</v>
      </c>
      <c r="J963" s="138" t="s">
        <v>1172</v>
      </c>
      <c r="K963" s="141" t="str">
        <f t="shared" si="366"/>
        <v>NVT</v>
      </c>
      <c r="L963" s="141" t="str">
        <f t="shared" si="367"/>
        <v>NVT</v>
      </c>
      <c r="M963" s="141" t="str">
        <f t="shared" si="368"/>
        <v>NVT</v>
      </c>
      <c r="N963" s="141" t="str">
        <f t="shared" si="369"/>
        <v>NVT</v>
      </c>
      <c r="O963" s="141" t="str">
        <f t="shared" si="370"/>
        <v>NVT</v>
      </c>
      <c r="P963" s="141" t="str">
        <f t="shared" si="371"/>
        <v>NVT</v>
      </c>
      <c r="Q963" s="141" t="str">
        <f t="shared" si="372"/>
        <v>NVT</v>
      </c>
      <c r="R963" s="63" t="s">
        <v>1221</v>
      </c>
      <c r="S963" s="142">
        <f t="shared" si="358"/>
        <v>0</v>
      </c>
      <c r="T963" s="143">
        <v>12</v>
      </c>
      <c r="U963" s="144"/>
      <c r="V963" s="144">
        <v>37</v>
      </c>
      <c r="W963" s="144"/>
      <c r="X963" s="144"/>
      <c r="Y963" s="144"/>
      <c r="Z963" s="145"/>
      <c r="AA963" s="145"/>
      <c r="AB963" s="145">
        <f>T963</f>
        <v>12</v>
      </c>
      <c r="AC963" s="145"/>
      <c r="AD963" s="146"/>
      <c r="AE963" s="171">
        <v>1</v>
      </c>
      <c r="AF963" s="147">
        <f t="shared" si="373"/>
        <v>0</v>
      </c>
      <c r="AG963" s="147">
        <f t="shared" si="374"/>
        <v>0</v>
      </c>
      <c r="AH963" s="147">
        <f t="shared" si="375"/>
        <v>0</v>
      </c>
      <c r="AI963" s="147">
        <f t="shared" si="376"/>
        <v>0</v>
      </c>
      <c r="AJ963" s="148">
        <f t="shared" si="377"/>
        <v>0</v>
      </c>
      <c r="AK963" s="149">
        <f t="shared" si="360"/>
        <v>0</v>
      </c>
      <c r="AL963" s="149">
        <f t="shared" si="361"/>
        <v>0</v>
      </c>
      <c r="AM963" s="149">
        <f t="shared" si="362"/>
        <v>0</v>
      </c>
      <c r="AN963" s="149">
        <f t="shared" si="363"/>
        <v>0</v>
      </c>
      <c r="AO963" s="150">
        <f t="shared" si="378"/>
        <v>0</v>
      </c>
      <c r="AQ963" s="151">
        <f t="shared" si="379"/>
        <v>0</v>
      </c>
    </row>
    <row r="964" spans="1:43" ht="15" customHeight="1">
      <c r="A964" s="82" t="e">
        <f t="shared" si="364"/>
        <v>#REF!</v>
      </c>
      <c r="B964" s="134">
        <v>117</v>
      </c>
      <c r="C964" s="135" t="s">
        <v>453</v>
      </c>
      <c r="D964" s="136" t="s">
        <v>39</v>
      </c>
      <c r="E964" s="137"/>
      <c r="F964" s="138" t="s">
        <v>344</v>
      </c>
      <c r="G964" s="139" t="s">
        <v>348</v>
      </c>
      <c r="H964" s="140" t="str">
        <f t="shared" si="365"/>
        <v>Niet van toepassing</v>
      </c>
      <c r="I964" s="138" t="s">
        <v>18</v>
      </c>
      <c r="J964" s="138" t="s">
        <v>1172</v>
      </c>
      <c r="K964" s="141" t="str">
        <f t="shared" si="366"/>
        <v>NVT</v>
      </c>
      <c r="L964" s="141" t="str">
        <f t="shared" si="367"/>
        <v>NVT</v>
      </c>
      <c r="M964" s="141" t="str">
        <f t="shared" si="368"/>
        <v>NVT</v>
      </c>
      <c r="N964" s="141" t="str">
        <f t="shared" si="369"/>
        <v>NVT</v>
      </c>
      <c r="O964" s="141" t="str">
        <f t="shared" si="370"/>
        <v>NVT</v>
      </c>
      <c r="P964" s="141" t="str">
        <f t="shared" si="371"/>
        <v>NVT</v>
      </c>
      <c r="Q964" s="141" t="str">
        <f t="shared" si="372"/>
        <v>NVT</v>
      </c>
      <c r="R964" s="63" t="s">
        <v>1221</v>
      </c>
      <c r="S964" s="142">
        <f t="shared" si="358"/>
        <v>0</v>
      </c>
      <c r="T964" s="143">
        <v>9</v>
      </c>
      <c r="U964" s="144"/>
      <c r="V964" s="144">
        <v>39</v>
      </c>
      <c r="W964" s="144"/>
      <c r="X964" s="144"/>
      <c r="Y964" s="144"/>
      <c r="Z964" s="145"/>
      <c r="AA964" s="145"/>
      <c r="AB964" s="145"/>
      <c r="AC964" s="145">
        <f>T964</f>
        <v>9</v>
      </c>
      <c r="AD964" s="146"/>
      <c r="AE964" s="171">
        <v>1</v>
      </c>
      <c r="AF964" s="147">
        <f t="shared" si="373"/>
        <v>0</v>
      </c>
      <c r="AG964" s="147">
        <f t="shared" si="374"/>
        <v>0</v>
      </c>
      <c r="AH964" s="147">
        <f t="shared" si="375"/>
        <v>0</v>
      </c>
      <c r="AI964" s="147">
        <f t="shared" si="376"/>
        <v>0</v>
      </c>
      <c r="AJ964" s="148">
        <f t="shared" si="377"/>
        <v>0</v>
      </c>
      <c r="AK964" s="149">
        <f t="shared" si="360"/>
        <v>0</v>
      </c>
      <c r="AL964" s="149">
        <f t="shared" si="361"/>
        <v>0</v>
      </c>
      <c r="AM964" s="149">
        <f t="shared" si="362"/>
        <v>0</v>
      </c>
      <c r="AN964" s="149">
        <f t="shared" si="363"/>
        <v>0</v>
      </c>
      <c r="AO964" s="150">
        <f t="shared" si="378"/>
        <v>0</v>
      </c>
      <c r="AQ964" s="151">
        <f t="shared" si="379"/>
        <v>0</v>
      </c>
    </row>
    <row r="965" spans="1:43" ht="15" customHeight="1">
      <c r="A965" s="82" t="e">
        <f t="shared" si="364"/>
        <v>#REF!</v>
      </c>
      <c r="B965" s="134">
        <v>117</v>
      </c>
      <c r="C965" s="135" t="s">
        <v>453</v>
      </c>
      <c r="D965" s="136" t="s">
        <v>39</v>
      </c>
      <c r="E965" s="137"/>
      <c r="F965" s="138" t="s">
        <v>349</v>
      </c>
      <c r="G965" s="139" t="s">
        <v>350</v>
      </c>
      <c r="H965" s="140" t="str">
        <f t="shared" si="365"/>
        <v>Niet van toepassing</v>
      </c>
      <c r="I965" s="138" t="s">
        <v>254</v>
      </c>
      <c r="J965" s="138" t="s">
        <v>1172</v>
      </c>
      <c r="K965" s="141" t="str">
        <f t="shared" si="366"/>
        <v>NVT</v>
      </c>
      <c r="L965" s="141" t="str">
        <f t="shared" si="367"/>
        <v>NVT</v>
      </c>
      <c r="M965" s="141" t="str">
        <f t="shared" si="368"/>
        <v>NVT</v>
      </c>
      <c r="N965" s="141" t="str">
        <f t="shared" si="369"/>
        <v>NVT</v>
      </c>
      <c r="O965" s="141" t="str">
        <f t="shared" si="370"/>
        <v>NVT</v>
      </c>
      <c r="P965" s="141" t="str">
        <f t="shared" si="371"/>
        <v>NVT</v>
      </c>
      <c r="Q965" s="141" t="str">
        <f t="shared" si="372"/>
        <v>NVT</v>
      </c>
      <c r="R965" s="63" t="s">
        <v>1221</v>
      </c>
      <c r="S965" s="142">
        <f t="shared" si="358"/>
        <v>0</v>
      </c>
      <c r="T965" s="143">
        <v>22</v>
      </c>
      <c r="U965" s="144"/>
      <c r="V965" s="144">
        <v>48</v>
      </c>
      <c r="W965" s="144"/>
      <c r="X965" s="144"/>
      <c r="Y965" s="144"/>
      <c r="Z965" s="145"/>
      <c r="AA965" s="145"/>
      <c r="AB965" s="145">
        <f>T965</f>
        <v>22</v>
      </c>
      <c r="AC965" s="145"/>
      <c r="AD965" s="146"/>
      <c r="AE965" s="171">
        <v>1</v>
      </c>
      <c r="AF965" s="147">
        <f t="shared" si="373"/>
        <v>0</v>
      </c>
      <c r="AG965" s="147">
        <f t="shared" si="374"/>
        <v>0</v>
      </c>
      <c r="AH965" s="147">
        <f t="shared" si="375"/>
        <v>0</v>
      </c>
      <c r="AI965" s="147">
        <f t="shared" si="376"/>
        <v>0</v>
      </c>
      <c r="AJ965" s="148">
        <f t="shared" si="377"/>
        <v>0</v>
      </c>
      <c r="AK965" s="149">
        <f t="shared" si="360"/>
        <v>0</v>
      </c>
      <c r="AL965" s="149">
        <f t="shared" si="361"/>
        <v>0</v>
      </c>
      <c r="AM965" s="149">
        <f t="shared" si="362"/>
        <v>0</v>
      </c>
      <c r="AN965" s="149">
        <f t="shared" si="363"/>
        <v>0</v>
      </c>
      <c r="AO965" s="150">
        <f t="shared" si="378"/>
        <v>0</v>
      </c>
      <c r="AQ965" s="151">
        <f t="shared" si="379"/>
        <v>0</v>
      </c>
    </row>
    <row r="966" spans="1:43" ht="15" customHeight="1">
      <c r="A966" s="82" t="e">
        <f>1+#REF!</f>
        <v>#REF!</v>
      </c>
      <c r="B966" s="134">
        <v>117</v>
      </c>
      <c r="C966" s="135" t="s">
        <v>453</v>
      </c>
      <c r="D966" s="136" t="s">
        <v>39</v>
      </c>
      <c r="E966" s="137"/>
      <c r="F966" s="138" t="s">
        <v>349</v>
      </c>
      <c r="G966" s="139" t="s">
        <v>351</v>
      </c>
      <c r="H966" s="140" t="str">
        <f t="shared" si="365"/>
        <v>Niet van toepassing</v>
      </c>
      <c r="I966" s="138" t="s">
        <v>254</v>
      </c>
      <c r="J966" s="138" t="s">
        <v>1172</v>
      </c>
      <c r="K966" s="141" t="str">
        <f t="shared" si="366"/>
        <v>NVT</v>
      </c>
      <c r="L966" s="141" t="str">
        <f t="shared" si="367"/>
        <v>NVT</v>
      </c>
      <c r="M966" s="141" t="str">
        <f t="shared" si="368"/>
        <v>NVT</v>
      </c>
      <c r="N966" s="141" t="str">
        <f t="shared" si="369"/>
        <v>NVT</v>
      </c>
      <c r="O966" s="141" t="str">
        <f t="shared" si="370"/>
        <v>NVT</v>
      </c>
      <c r="P966" s="141" t="str">
        <f t="shared" si="371"/>
        <v>NVT</v>
      </c>
      <c r="Q966" s="141" t="str">
        <f t="shared" si="372"/>
        <v>NVT</v>
      </c>
      <c r="R966" s="63" t="s">
        <v>1221</v>
      </c>
      <c r="S966" s="142">
        <f t="shared" si="358"/>
        <v>0</v>
      </c>
      <c r="T966" s="143">
        <v>20</v>
      </c>
      <c r="U966" s="144"/>
      <c r="V966" s="144">
        <v>59</v>
      </c>
      <c r="W966" s="144"/>
      <c r="X966" s="144"/>
      <c r="Y966" s="144"/>
      <c r="Z966" s="145"/>
      <c r="AA966" s="145"/>
      <c r="AB966" s="145">
        <f>T966</f>
        <v>20</v>
      </c>
      <c r="AC966" s="145"/>
      <c r="AD966" s="146"/>
      <c r="AE966" s="171">
        <v>1</v>
      </c>
      <c r="AF966" s="147">
        <f t="shared" si="373"/>
        <v>0</v>
      </c>
      <c r="AG966" s="147">
        <f t="shared" si="374"/>
        <v>0</v>
      </c>
      <c r="AH966" s="147">
        <f t="shared" si="375"/>
        <v>0</v>
      </c>
      <c r="AI966" s="147">
        <f t="shared" si="376"/>
        <v>0</v>
      </c>
      <c r="AJ966" s="148">
        <f t="shared" si="377"/>
        <v>0</v>
      </c>
      <c r="AK966" s="149">
        <f t="shared" si="360"/>
        <v>0</v>
      </c>
      <c r="AL966" s="149">
        <f t="shared" si="361"/>
        <v>0</v>
      </c>
      <c r="AM966" s="149">
        <f t="shared" si="362"/>
        <v>0</v>
      </c>
      <c r="AN966" s="149">
        <f t="shared" si="363"/>
        <v>0</v>
      </c>
      <c r="AO966" s="150">
        <f t="shared" si="378"/>
        <v>0</v>
      </c>
      <c r="AQ966" s="151">
        <f t="shared" si="379"/>
        <v>0</v>
      </c>
    </row>
    <row r="967" spans="1:43" ht="15" customHeight="1">
      <c r="A967" s="82" t="e">
        <f t="shared" si="364"/>
        <v>#REF!</v>
      </c>
      <c r="B967" s="134">
        <v>117</v>
      </c>
      <c r="C967" s="135" t="s">
        <v>453</v>
      </c>
      <c r="D967" s="136" t="s">
        <v>39</v>
      </c>
      <c r="E967" s="137"/>
      <c r="F967" s="138" t="s">
        <v>352</v>
      </c>
      <c r="G967" s="139" t="s">
        <v>353</v>
      </c>
      <c r="H967" s="140" t="str">
        <f t="shared" si="365"/>
        <v>Niet van toepassing</v>
      </c>
      <c r="I967" s="138" t="s">
        <v>18</v>
      </c>
      <c r="J967" s="138" t="s">
        <v>1172</v>
      </c>
      <c r="K967" s="141" t="str">
        <f t="shared" si="366"/>
        <v>NVT</v>
      </c>
      <c r="L967" s="141" t="str">
        <f t="shared" si="367"/>
        <v>NVT</v>
      </c>
      <c r="M967" s="141" t="str">
        <f t="shared" si="368"/>
        <v>NVT</v>
      </c>
      <c r="N967" s="141" t="str">
        <f t="shared" si="369"/>
        <v>NVT</v>
      </c>
      <c r="O967" s="141" t="str">
        <f t="shared" si="370"/>
        <v>NVT</v>
      </c>
      <c r="P967" s="141" t="str">
        <f t="shared" si="371"/>
        <v>NVT</v>
      </c>
      <c r="Q967" s="141" t="str">
        <f t="shared" si="372"/>
        <v>NVT</v>
      </c>
      <c r="R967" s="63" t="s">
        <v>1221</v>
      </c>
      <c r="S967" s="142">
        <f t="shared" si="358"/>
        <v>0</v>
      </c>
      <c r="T967" s="143">
        <v>57</v>
      </c>
      <c r="U967" s="144"/>
      <c r="V967" s="144"/>
      <c r="W967" s="144">
        <v>77</v>
      </c>
      <c r="X967" s="144"/>
      <c r="Y967" s="144"/>
      <c r="Z967" s="145"/>
      <c r="AA967" s="145">
        <f>T967</f>
        <v>57</v>
      </c>
      <c r="AB967" s="145"/>
      <c r="AC967" s="145"/>
      <c r="AD967" s="146"/>
      <c r="AE967" s="171">
        <v>1</v>
      </c>
      <c r="AF967" s="147">
        <f t="shared" si="373"/>
        <v>0</v>
      </c>
      <c r="AG967" s="147">
        <f t="shared" si="374"/>
        <v>0</v>
      </c>
      <c r="AH967" s="147">
        <f t="shared" si="375"/>
        <v>0</v>
      </c>
      <c r="AI967" s="147">
        <f t="shared" si="376"/>
        <v>0</v>
      </c>
      <c r="AJ967" s="148">
        <f t="shared" si="377"/>
        <v>0</v>
      </c>
      <c r="AK967" s="149">
        <f t="shared" si="360"/>
        <v>0</v>
      </c>
      <c r="AL967" s="149">
        <f t="shared" si="361"/>
        <v>0</v>
      </c>
      <c r="AM967" s="149">
        <f t="shared" si="362"/>
        <v>0</v>
      </c>
      <c r="AN967" s="149">
        <f t="shared" si="363"/>
        <v>0</v>
      </c>
      <c r="AO967" s="150">
        <f t="shared" si="378"/>
        <v>0</v>
      </c>
      <c r="AQ967" s="151">
        <f t="shared" si="379"/>
        <v>0</v>
      </c>
    </row>
    <row r="968" spans="1:43" ht="15" customHeight="1">
      <c r="A968" s="82" t="e">
        <f t="shared" si="364"/>
        <v>#REF!</v>
      </c>
      <c r="B968" s="134">
        <v>117</v>
      </c>
      <c r="C968" s="135" t="s">
        <v>453</v>
      </c>
      <c r="D968" s="136" t="s">
        <v>39</v>
      </c>
      <c r="E968" s="137"/>
      <c r="F968" s="138" t="s">
        <v>354</v>
      </c>
      <c r="G968" s="139" t="s">
        <v>355</v>
      </c>
      <c r="H968" s="140" t="str">
        <f t="shared" si="365"/>
        <v>Niet van toepassing</v>
      </c>
      <c r="I968" s="138" t="s">
        <v>18</v>
      </c>
      <c r="J968" s="138" t="s">
        <v>1172</v>
      </c>
      <c r="K968" s="141" t="str">
        <f t="shared" si="366"/>
        <v>NVT</v>
      </c>
      <c r="L968" s="141" t="str">
        <f t="shared" si="367"/>
        <v>NVT</v>
      </c>
      <c r="M968" s="141" t="str">
        <f t="shared" si="368"/>
        <v>NVT</v>
      </c>
      <c r="N968" s="141" t="str">
        <f t="shared" si="369"/>
        <v>NVT</v>
      </c>
      <c r="O968" s="141" t="str">
        <f t="shared" si="370"/>
        <v>NVT</v>
      </c>
      <c r="P968" s="141" t="str">
        <f t="shared" si="371"/>
        <v>NVT</v>
      </c>
      <c r="Q968" s="141" t="str">
        <f t="shared" si="372"/>
        <v>NVT</v>
      </c>
      <c r="R968" s="63" t="s">
        <v>1221</v>
      </c>
      <c r="S968" s="142">
        <f t="shared" si="358"/>
        <v>0</v>
      </c>
      <c r="T968" s="143">
        <v>16</v>
      </c>
      <c r="U968" s="144"/>
      <c r="V968" s="144"/>
      <c r="W968" s="144">
        <v>42</v>
      </c>
      <c r="X968" s="144"/>
      <c r="Y968" s="144"/>
      <c r="Z968" s="145"/>
      <c r="AA968" s="145">
        <f>T968</f>
        <v>16</v>
      </c>
      <c r="AB968" s="145"/>
      <c r="AC968" s="145"/>
      <c r="AD968" s="146"/>
      <c r="AE968" s="171">
        <v>1</v>
      </c>
      <c r="AF968" s="147">
        <f t="shared" si="373"/>
        <v>0</v>
      </c>
      <c r="AG968" s="147">
        <f t="shared" si="374"/>
        <v>0</v>
      </c>
      <c r="AH968" s="147">
        <f t="shared" si="375"/>
        <v>0</v>
      </c>
      <c r="AI968" s="147">
        <f t="shared" si="376"/>
        <v>0</v>
      </c>
      <c r="AJ968" s="148">
        <f t="shared" si="377"/>
        <v>0</v>
      </c>
      <c r="AK968" s="149">
        <f t="shared" si="360"/>
        <v>0</v>
      </c>
      <c r="AL968" s="149">
        <f t="shared" si="361"/>
        <v>0</v>
      </c>
      <c r="AM968" s="149">
        <f t="shared" si="362"/>
        <v>0</v>
      </c>
      <c r="AN968" s="149">
        <f t="shared" si="363"/>
        <v>0</v>
      </c>
      <c r="AO968" s="150">
        <f t="shared" si="378"/>
        <v>0</v>
      </c>
      <c r="AQ968" s="151">
        <f t="shared" si="379"/>
        <v>0</v>
      </c>
    </row>
    <row r="969" spans="1:43" ht="15" customHeight="1">
      <c r="A969" s="82" t="e">
        <f t="shared" si="364"/>
        <v>#REF!</v>
      </c>
      <c r="B969" s="134">
        <v>117</v>
      </c>
      <c r="C969" s="135" t="s">
        <v>453</v>
      </c>
      <c r="D969" s="136" t="s">
        <v>39</v>
      </c>
      <c r="E969" s="137"/>
      <c r="F969" s="138" t="s">
        <v>337</v>
      </c>
      <c r="G969" s="139" t="s">
        <v>356</v>
      </c>
      <c r="H969" s="140" t="str">
        <f t="shared" si="365"/>
        <v>Niet van toepassing</v>
      </c>
      <c r="I969" s="138" t="s">
        <v>254</v>
      </c>
      <c r="J969" s="138" t="s">
        <v>1172</v>
      </c>
      <c r="K969" s="141" t="str">
        <f t="shared" si="366"/>
        <v>NVT</v>
      </c>
      <c r="L969" s="141" t="str">
        <f t="shared" si="367"/>
        <v>NVT</v>
      </c>
      <c r="M969" s="141" t="str">
        <f t="shared" si="368"/>
        <v>NVT</v>
      </c>
      <c r="N969" s="141" t="str">
        <f t="shared" si="369"/>
        <v>NVT</v>
      </c>
      <c r="O969" s="141" t="str">
        <f t="shared" si="370"/>
        <v>NVT</v>
      </c>
      <c r="P969" s="141" t="str">
        <f t="shared" si="371"/>
        <v>NVT</v>
      </c>
      <c r="Q969" s="141" t="str">
        <f t="shared" si="372"/>
        <v>NVT</v>
      </c>
      <c r="R969" s="63" t="s">
        <v>1221</v>
      </c>
      <c r="S969" s="142">
        <f t="shared" si="358"/>
        <v>0</v>
      </c>
      <c r="T969" s="143">
        <v>4</v>
      </c>
      <c r="U969" s="144"/>
      <c r="V969" s="144">
        <v>10</v>
      </c>
      <c r="W969" s="144"/>
      <c r="X969" s="144"/>
      <c r="Y969" s="144"/>
      <c r="Z969" s="145"/>
      <c r="AA969" s="145">
        <f>T969</f>
        <v>4</v>
      </c>
      <c r="AB969" s="145"/>
      <c r="AC969" s="145"/>
      <c r="AD969" s="146"/>
      <c r="AE969" s="171">
        <v>1</v>
      </c>
      <c r="AF969" s="147">
        <f t="shared" si="373"/>
        <v>0</v>
      </c>
      <c r="AG969" s="147">
        <f t="shared" si="374"/>
        <v>0</v>
      </c>
      <c r="AH969" s="147">
        <f t="shared" si="375"/>
        <v>0</v>
      </c>
      <c r="AI969" s="147">
        <f t="shared" si="376"/>
        <v>0</v>
      </c>
      <c r="AJ969" s="148">
        <f t="shared" si="377"/>
        <v>0</v>
      </c>
      <c r="AK969" s="149">
        <f t="shared" si="360"/>
        <v>0</v>
      </c>
      <c r="AL969" s="149">
        <f t="shared" si="361"/>
        <v>0</v>
      </c>
      <c r="AM969" s="149">
        <f t="shared" si="362"/>
        <v>0</v>
      </c>
      <c r="AN969" s="149">
        <f t="shared" si="363"/>
        <v>0</v>
      </c>
      <c r="AO969" s="150">
        <f t="shared" si="378"/>
        <v>0</v>
      </c>
      <c r="AQ969" s="151">
        <f t="shared" si="379"/>
        <v>0</v>
      </c>
    </row>
    <row r="970" spans="1:43" ht="15" customHeight="1">
      <c r="A970" s="82" t="e">
        <f t="shared" si="364"/>
        <v>#REF!</v>
      </c>
      <c r="B970" s="134">
        <v>117</v>
      </c>
      <c r="C970" s="135" t="s">
        <v>453</v>
      </c>
      <c r="D970" s="136" t="s">
        <v>39</v>
      </c>
      <c r="E970" s="137"/>
      <c r="F970" s="138" t="s">
        <v>101</v>
      </c>
      <c r="G970" s="139" t="s">
        <v>357</v>
      </c>
      <c r="H970" s="140" t="str">
        <f t="shared" si="365"/>
        <v>Perrons</v>
      </c>
      <c r="I970" s="138" t="s">
        <v>199</v>
      </c>
      <c r="J970" s="138" t="s">
        <v>1170</v>
      </c>
      <c r="K970" s="141" t="str">
        <f t="shared" si="366"/>
        <v>Volledig</v>
      </c>
      <c r="L970" s="141" t="str">
        <f t="shared" si="367"/>
        <v>naloop</v>
      </c>
      <c r="M970" s="141" t="str">
        <f t="shared" si="368"/>
        <v>naloop</v>
      </c>
      <c r="N970" s="141" t="str">
        <f t="shared" si="369"/>
        <v>Volledig</v>
      </c>
      <c r="O970" s="141" t="str">
        <f t="shared" si="370"/>
        <v>naloop</v>
      </c>
      <c r="P970" s="141" t="str">
        <f t="shared" si="371"/>
        <v>naloop</v>
      </c>
      <c r="Q970" s="141" t="str">
        <f t="shared" si="372"/>
        <v>naloop</v>
      </c>
      <c r="R970" s="63" t="s">
        <v>1472</v>
      </c>
      <c r="S970" s="142">
        <f t="shared" si="358"/>
        <v>365</v>
      </c>
      <c r="T970" s="143">
        <v>1511</v>
      </c>
      <c r="U970" s="144"/>
      <c r="V970" s="144"/>
      <c r="W970" s="144"/>
      <c r="X970" s="144"/>
      <c r="Y970" s="144"/>
      <c r="Z970" s="145">
        <v>1793</v>
      </c>
      <c r="AA970" s="145"/>
      <c r="AB970" s="145"/>
      <c r="AC970" s="145"/>
      <c r="AD970" s="146"/>
      <c r="AE970" s="171">
        <v>1</v>
      </c>
      <c r="AF970" s="147">
        <f t="shared" si="373"/>
        <v>0</v>
      </c>
      <c r="AG970" s="147">
        <f t="shared" si="374"/>
        <v>0</v>
      </c>
      <c r="AH970" s="147">
        <f t="shared" si="375"/>
        <v>0</v>
      </c>
      <c r="AI970" s="147">
        <f t="shared" si="376"/>
        <v>0</v>
      </c>
      <c r="AJ970" s="148" t="str">
        <f t="shared" si="377"/>
        <v>ja</v>
      </c>
      <c r="AK970" s="149">
        <f t="shared" si="360"/>
        <v>0</v>
      </c>
      <c r="AL970" s="149">
        <f t="shared" si="361"/>
        <v>0</v>
      </c>
      <c r="AM970" s="149">
        <f t="shared" si="362"/>
        <v>0</v>
      </c>
      <c r="AN970" s="149">
        <f t="shared" si="363"/>
        <v>0</v>
      </c>
      <c r="AO970" s="150" t="str">
        <f t="shared" si="378"/>
        <v>V</v>
      </c>
      <c r="AQ970" s="151">
        <f t="shared" si="379"/>
        <v>551515</v>
      </c>
    </row>
    <row r="971" spans="1:43" ht="15" customHeight="1">
      <c r="A971" s="82" t="e">
        <f t="shared" si="364"/>
        <v>#REF!</v>
      </c>
      <c r="B971" s="134">
        <v>117</v>
      </c>
      <c r="C971" s="135" t="s">
        <v>453</v>
      </c>
      <c r="D971" s="136" t="s">
        <v>39</v>
      </c>
      <c r="E971" s="137"/>
      <c r="F971" s="138" t="s">
        <v>212</v>
      </c>
      <c r="G971" s="139" t="s">
        <v>182</v>
      </c>
      <c r="H971" s="140" t="str">
        <f t="shared" si="365"/>
        <v>Liften</v>
      </c>
      <c r="I971" s="138" t="s">
        <v>457</v>
      </c>
      <c r="J971" s="138" t="s">
        <v>1170</v>
      </c>
      <c r="K971" s="141" t="str">
        <f t="shared" si="366"/>
        <v>Volledig</v>
      </c>
      <c r="L971" s="141" t="str">
        <f t="shared" si="367"/>
        <v>naloop</v>
      </c>
      <c r="M971" s="141" t="str">
        <f t="shared" si="368"/>
        <v>naloop</v>
      </c>
      <c r="N971" s="141" t="str">
        <f t="shared" si="369"/>
        <v>Volledig</v>
      </c>
      <c r="O971" s="141" t="str">
        <f t="shared" si="370"/>
        <v>naloop</v>
      </c>
      <c r="P971" s="141" t="str">
        <f t="shared" si="371"/>
        <v>naloop</v>
      </c>
      <c r="Q971" s="141" t="str">
        <f t="shared" si="372"/>
        <v>naloop</v>
      </c>
      <c r="R971" s="63" t="s">
        <v>1474</v>
      </c>
      <c r="S971" s="142">
        <f t="shared" si="358"/>
        <v>365</v>
      </c>
      <c r="T971" s="143">
        <v>4</v>
      </c>
      <c r="U971" s="144"/>
      <c r="V971" s="144"/>
      <c r="W971" s="144"/>
      <c r="X971" s="144">
        <v>15</v>
      </c>
      <c r="Y971" s="144"/>
      <c r="Z971" s="145"/>
      <c r="AA971" s="145"/>
      <c r="AB971" s="145"/>
      <c r="AC971" s="145">
        <f>T971</f>
        <v>4</v>
      </c>
      <c r="AD971" s="146"/>
      <c r="AE971" s="171">
        <v>1</v>
      </c>
      <c r="AF971" s="147">
        <f t="shared" si="373"/>
        <v>0</v>
      </c>
      <c r="AG971" s="147">
        <f t="shared" si="374"/>
        <v>0</v>
      </c>
      <c r="AH971" s="147">
        <f t="shared" si="375"/>
        <v>0</v>
      </c>
      <c r="AI971" s="147">
        <f t="shared" si="376"/>
        <v>0</v>
      </c>
      <c r="AJ971" s="148" t="str">
        <f t="shared" si="377"/>
        <v>ja</v>
      </c>
      <c r="AK971" s="149">
        <f t="shared" si="360"/>
        <v>0</v>
      </c>
      <c r="AL971" s="149">
        <f t="shared" si="361"/>
        <v>0</v>
      </c>
      <c r="AM971" s="149">
        <f t="shared" si="362"/>
        <v>0</v>
      </c>
      <c r="AN971" s="149">
        <f t="shared" si="363"/>
        <v>0</v>
      </c>
      <c r="AO971" s="150" t="str">
        <f t="shared" si="378"/>
        <v>V</v>
      </c>
      <c r="AQ971" s="151">
        <f t="shared" si="379"/>
        <v>1460</v>
      </c>
    </row>
    <row r="972" spans="1:43" ht="15" customHeight="1">
      <c r="A972" s="82" t="e">
        <f t="shared" si="364"/>
        <v>#REF!</v>
      </c>
      <c r="B972" s="134">
        <v>117</v>
      </c>
      <c r="C972" s="135" t="s">
        <v>453</v>
      </c>
      <c r="D972" s="136" t="s">
        <v>39</v>
      </c>
      <c r="E972" s="137"/>
      <c r="F972" s="138" t="s">
        <v>212</v>
      </c>
      <c r="G972" s="139" t="s">
        <v>454</v>
      </c>
      <c r="H972" s="140" t="str">
        <f t="shared" si="365"/>
        <v>Liften</v>
      </c>
      <c r="I972" s="138" t="s">
        <v>457</v>
      </c>
      <c r="J972" s="138" t="s">
        <v>1170</v>
      </c>
      <c r="K972" s="141" t="str">
        <f t="shared" si="366"/>
        <v>Volledig</v>
      </c>
      <c r="L972" s="141" t="str">
        <f t="shared" si="367"/>
        <v>naloop</v>
      </c>
      <c r="M972" s="141" t="str">
        <f t="shared" si="368"/>
        <v>naloop</v>
      </c>
      <c r="N972" s="141" t="str">
        <f t="shared" si="369"/>
        <v>Volledig</v>
      </c>
      <c r="O972" s="141" t="str">
        <f t="shared" si="370"/>
        <v>naloop</v>
      </c>
      <c r="P972" s="141" t="str">
        <f t="shared" si="371"/>
        <v>naloop</v>
      </c>
      <c r="Q972" s="141" t="str">
        <f t="shared" si="372"/>
        <v>naloop</v>
      </c>
      <c r="R972" s="63" t="s">
        <v>1474</v>
      </c>
      <c r="S972" s="142">
        <f t="shared" ref="S972:S1035" si="380">VLOOKUP(R972,Kengetal,2,FALSE)</f>
        <v>365</v>
      </c>
      <c r="T972" s="143">
        <v>4</v>
      </c>
      <c r="U972" s="144"/>
      <c r="V972" s="144"/>
      <c r="W972" s="144"/>
      <c r="X972" s="144">
        <v>15</v>
      </c>
      <c r="Y972" s="144"/>
      <c r="Z972" s="145"/>
      <c r="AA972" s="145"/>
      <c r="AB972" s="145"/>
      <c r="AC972" s="145">
        <f>T972</f>
        <v>4</v>
      </c>
      <c r="AD972" s="146"/>
      <c r="AE972" s="171">
        <v>1</v>
      </c>
      <c r="AF972" s="147">
        <f t="shared" si="373"/>
        <v>0</v>
      </c>
      <c r="AG972" s="147">
        <f t="shared" si="374"/>
        <v>0</v>
      </c>
      <c r="AH972" s="147">
        <f t="shared" si="375"/>
        <v>0</v>
      </c>
      <c r="AI972" s="147">
        <f t="shared" si="376"/>
        <v>0</v>
      </c>
      <c r="AJ972" s="148" t="str">
        <f t="shared" si="377"/>
        <v>ja</v>
      </c>
      <c r="AK972" s="149">
        <f t="shared" si="360"/>
        <v>0</v>
      </c>
      <c r="AL972" s="149">
        <f t="shared" si="361"/>
        <v>0</v>
      </c>
      <c r="AM972" s="149">
        <f t="shared" si="362"/>
        <v>0</v>
      </c>
      <c r="AN972" s="149">
        <f t="shared" si="363"/>
        <v>0</v>
      </c>
      <c r="AO972" s="150" t="str">
        <f t="shared" si="378"/>
        <v>V</v>
      </c>
      <c r="AQ972" s="151">
        <f t="shared" si="379"/>
        <v>1460</v>
      </c>
    </row>
    <row r="973" spans="1:43" ht="15" customHeight="1">
      <c r="A973" s="82" t="e">
        <f t="shared" si="364"/>
        <v>#REF!</v>
      </c>
      <c r="B973" s="134">
        <v>117</v>
      </c>
      <c r="C973" s="135" t="s">
        <v>453</v>
      </c>
      <c r="D973" s="136" t="s">
        <v>39</v>
      </c>
      <c r="E973" s="137"/>
      <c r="F973" s="138" t="s">
        <v>258</v>
      </c>
      <c r="G973" s="139" t="s">
        <v>451</v>
      </c>
      <c r="H973" s="140" t="str">
        <f t="shared" si="365"/>
        <v>Roltrappen(inclusief aangrenzende bouwdelen)</v>
      </c>
      <c r="I973" s="138" t="s">
        <v>920</v>
      </c>
      <c r="J973" s="138" t="s">
        <v>1170</v>
      </c>
      <c r="K973" s="141" t="str">
        <f t="shared" si="366"/>
        <v>Volledig</v>
      </c>
      <c r="L973" s="141" t="str">
        <f t="shared" si="367"/>
        <v>naloop</v>
      </c>
      <c r="M973" s="141" t="str">
        <f t="shared" si="368"/>
        <v>naloop</v>
      </c>
      <c r="N973" s="141" t="str">
        <f t="shared" si="369"/>
        <v>Volledig</v>
      </c>
      <c r="O973" s="141" t="str">
        <f t="shared" si="370"/>
        <v>naloop</v>
      </c>
      <c r="P973" s="141" t="str">
        <f t="shared" si="371"/>
        <v>naloop</v>
      </c>
      <c r="Q973" s="141" t="str">
        <f t="shared" si="372"/>
        <v>naloop</v>
      </c>
      <c r="R973" s="63" t="s">
        <v>1480</v>
      </c>
      <c r="S973" s="142">
        <f t="shared" si="380"/>
        <v>365</v>
      </c>
      <c r="T973" s="143">
        <v>27</v>
      </c>
      <c r="U973" s="144" t="s">
        <v>489</v>
      </c>
      <c r="V973" s="144"/>
      <c r="W973" s="144"/>
      <c r="X973" s="144"/>
      <c r="Y973" s="144"/>
      <c r="Z973" s="145"/>
      <c r="AA973" s="145"/>
      <c r="AB973" s="145">
        <f t="shared" ref="AB973:AB978" si="381">T973</f>
        <v>27</v>
      </c>
      <c r="AC973" s="145"/>
      <c r="AD973" s="146"/>
      <c r="AE973" s="171">
        <v>1</v>
      </c>
      <c r="AF973" s="147">
        <f t="shared" si="373"/>
        <v>0</v>
      </c>
      <c r="AG973" s="147">
        <f t="shared" si="374"/>
        <v>0</v>
      </c>
      <c r="AH973" s="147">
        <f t="shared" si="375"/>
        <v>0</v>
      </c>
      <c r="AI973" s="147">
        <f t="shared" si="376"/>
        <v>0</v>
      </c>
      <c r="AJ973" s="148" t="str">
        <f t="shared" si="377"/>
        <v>ja</v>
      </c>
      <c r="AK973" s="149">
        <f t="shared" si="360"/>
        <v>0</v>
      </c>
      <c r="AL973" s="149">
        <f t="shared" si="361"/>
        <v>0</v>
      </c>
      <c r="AM973" s="149">
        <f t="shared" si="362"/>
        <v>0</v>
      </c>
      <c r="AN973" s="149">
        <f t="shared" si="363"/>
        <v>0</v>
      </c>
      <c r="AO973" s="150" t="str">
        <f t="shared" si="378"/>
        <v>V</v>
      </c>
      <c r="AQ973" s="151">
        <f t="shared" si="379"/>
        <v>9855</v>
      </c>
    </row>
    <row r="974" spans="1:43" ht="15" customHeight="1">
      <c r="A974" s="82" t="e">
        <f t="shared" si="364"/>
        <v>#REF!</v>
      </c>
      <c r="B974" s="134">
        <v>117</v>
      </c>
      <c r="C974" s="135" t="s">
        <v>453</v>
      </c>
      <c r="D974" s="136" t="s">
        <v>39</v>
      </c>
      <c r="E974" s="137"/>
      <c r="F974" s="138" t="s">
        <v>258</v>
      </c>
      <c r="G974" s="139" t="s">
        <v>452</v>
      </c>
      <c r="H974" s="140" t="str">
        <f t="shared" si="365"/>
        <v>Roltrappen(inclusief aangrenzende bouwdelen)</v>
      </c>
      <c r="I974" s="138" t="s">
        <v>920</v>
      </c>
      <c r="J974" s="138" t="s">
        <v>1170</v>
      </c>
      <c r="K974" s="141" t="str">
        <f t="shared" si="366"/>
        <v>Volledig</v>
      </c>
      <c r="L974" s="141" t="str">
        <f t="shared" si="367"/>
        <v>naloop</v>
      </c>
      <c r="M974" s="141" t="str">
        <f t="shared" si="368"/>
        <v>naloop</v>
      </c>
      <c r="N974" s="141" t="str">
        <f t="shared" si="369"/>
        <v>Volledig</v>
      </c>
      <c r="O974" s="141" t="str">
        <f t="shared" si="370"/>
        <v>naloop</v>
      </c>
      <c r="P974" s="141" t="str">
        <f t="shared" si="371"/>
        <v>naloop</v>
      </c>
      <c r="Q974" s="141" t="str">
        <f t="shared" si="372"/>
        <v>naloop</v>
      </c>
      <c r="R974" s="63" t="s">
        <v>1480</v>
      </c>
      <c r="S974" s="142">
        <f t="shared" si="380"/>
        <v>365</v>
      </c>
      <c r="T974" s="143">
        <v>27</v>
      </c>
      <c r="U974" s="144" t="s">
        <v>489</v>
      </c>
      <c r="V974" s="144"/>
      <c r="W974" s="144"/>
      <c r="X974" s="144"/>
      <c r="Y974" s="144"/>
      <c r="Z974" s="145"/>
      <c r="AA974" s="145"/>
      <c r="AB974" s="145">
        <f t="shared" si="381"/>
        <v>27</v>
      </c>
      <c r="AC974" s="145"/>
      <c r="AD974" s="146"/>
      <c r="AE974" s="171">
        <v>1</v>
      </c>
      <c r="AF974" s="147">
        <f t="shared" si="373"/>
        <v>0</v>
      </c>
      <c r="AG974" s="147">
        <f t="shared" si="374"/>
        <v>0</v>
      </c>
      <c r="AH974" s="147">
        <f t="shared" si="375"/>
        <v>0</v>
      </c>
      <c r="AI974" s="147">
        <f t="shared" si="376"/>
        <v>0</v>
      </c>
      <c r="AJ974" s="148" t="str">
        <f t="shared" si="377"/>
        <v>ja</v>
      </c>
      <c r="AK974" s="149">
        <f t="shared" si="360"/>
        <v>0</v>
      </c>
      <c r="AL974" s="149">
        <f t="shared" si="361"/>
        <v>0</v>
      </c>
      <c r="AM974" s="149">
        <f t="shared" si="362"/>
        <v>0</v>
      </c>
      <c r="AN974" s="149">
        <f t="shared" si="363"/>
        <v>0</v>
      </c>
      <c r="AO974" s="150" t="str">
        <f t="shared" si="378"/>
        <v>V</v>
      </c>
      <c r="AQ974" s="151">
        <f t="shared" si="379"/>
        <v>9855</v>
      </c>
    </row>
    <row r="975" spans="1:43" ht="15" customHeight="1">
      <c r="A975" s="82" t="e">
        <f t="shared" si="364"/>
        <v>#REF!</v>
      </c>
      <c r="B975" s="134">
        <v>117</v>
      </c>
      <c r="C975" s="135" t="s">
        <v>453</v>
      </c>
      <c r="D975" s="136" t="s">
        <v>39</v>
      </c>
      <c r="E975" s="137"/>
      <c r="F975" s="138" t="s">
        <v>114</v>
      </c>
      <c r="G975" s="139" t="s">
        <v>455</v>
      </c>
      <c r="H975" s="140" t="str">
        <f t="shared" si="365"/>
        <v>Trappen</v>
      </c>
      <c r="I975" s="138" t="s">
        <v>118</v>
      </c>
      <c r="J975" s="138" t="s">
        <v>1170</v>
      </c>
      <c r="K975" s="141" t="str">
        <f t="shared" si="366"/>
        <v>Volledig</v>
      </c>
      <c r="L975" s="141" t="str">
        <f t="shared" si="367"/>
        <v>naloop</v>
      </c>
      <c r="M975" s="141" t="str">
        <f t="shared" si="368"/>
        <v>naloop</v>
      </c>
      <c r="N975" s="141" t="str">
        <f t="shared" si="369"/>
        <v>Volledig</v>
      </c>
      <c r="O975" s="141" t="str">
        <f t="shared" si="370"/>
        <v>naloop</v>
      </c>
      <c r="P975" s="141" t="str">
        <f t="shared" si="371"/>
        <v>naloop</v>
      </c>
      <c r="Q975" s="141" t="str">
        <f t="shared" si="372"/>
        <v>naloop</v>
      </c>
      <c r="R975" s="63" t="s">
        <v>1476</v>
      </c>
      <c r="S975" s="142">
        <f t="shared" si="380"/>
        <v>365</v>
      </c>
      <c r="T975" s="143">
        <v>30</v>
      </c>
      <c r="U975" s="144" t="s">
        <v>489</v>
      </c>
      <c r="V975" s="144"/>
      <c r="W975" s="144"/>
      <c r="X975" s="144"/>
      <c r="Y975" s="144"/>
      <c r="Z975" s="145"/>
      <c r="AA975" s="145"/>
      <c r="AB975" s="145">
        <f t="shared" si="381"/>
        <v>30</v>
      </c>
      <c r="AC975" s="145"/>
      <c r="AD975" s="146"/>
      <c r="AE975" s="171">
        <v>1</v>
      </c>
      <c r="AF975" s="147">
        <f t="shared" si="373"/>
        <v>0</v>
      </c>
      <c r="AG975" s="147">
        <f t="shared" si="374"/>
        <v>0</v>
      </c>
      <c r="AH975" s="147">
        <f t="shared" si="375"/>
        <v>0</v>
      </c>
      <c r="AI975" s="147">
        <f t="shared" si="376"/>
        <v>0</v>
      </c>
      <c r="AJ975" s="148" t="str">
        <f t="shared" si="377"/>
        <v>ja</v>
      </c>
      <c r="AK975" s="149">
        <f t="shared" si="360"/>
        <v>0</v>
      </c>
      <c r="AL975" s="149">
        <f t="shared" si="361"/>
        <v>0</v>
      </c>
      <c r="AM975" s="149">
        <f t="shared" si="362"/>
        <v>0</v>
      </c>
      <c r="AN975" s="149">
        <f t="shared" si="363"/>
        <v>0</v>
      </c>
      <c r="AO975" s="150" t="str">
        <f t="shared" si="378"/>
        <v>V</v>
      </c>
      <c r="AQ975" s="151">
        <f t="shared" si="379"/>
        <v>10950</v>
      </c>
    </row>
    <row r="976" spans="1:43" ht="15" customHeight="1">
      <c r="A976" s="82" t="e">
        <f t="shared" si="364"/>
        <v>#REF!</v>
      </c>
      <c r="B976" s="134">
        <v>117</v>
      </c>
      <c r="C976" s="135" t="s">
        <v>453</v>
      </c>
      <c r="D976" s="136" t="s">
        <v>39</v>
      </c>
      <c r="E976" s="137"/>
      <c r="F976" s="138" t="s">
        <v>114</v>
      </c>
      <c r="G976" s="139" t="s">
        <v>456</v>
      </c>
      <c r="H976" s="140" t="str">
        <f t="shared" si="365"/>
        <v>Trappen</v>
      </c>
      <c r="I976" s="138" t="s">
        <v>254</v>
      </c>
      <c r="J976" s="138" t="s">
        <v>1170</v>
      </c>
      <c r="K976" s="141" t="str">
        <f t="shared" si="366"/>
        <v>Volledig</v>
      </c>
      <c r="L976" s="141" t="str">
        <f t="shared" si="367"/>
        <v>naloop</v>
      </c>
      <c r="M976" s="141" t="str">
        <f t="shared" si="368"/>
        <v>naloop</v>
      </c>
      <c r="N976" s="141" t="str">
        <f t="shared" si="369"/>
        <v>Volledig</v>
      </c>
      <c r="O976" s="141" t="str">
        <f t="shared" si="370"/>
        <v>naloop</v>
      </c>
      <c r="P976" s="141" t="str">
        <f t="shared" si="371"/>
        <v>naloop</v>
      </c>
      <c r="Q976" s="141" t="str">
        <f t="shared" si="372"/>
        <v>naloop</v>
      </c>
      <c r="R976" s="63" t="s">
        <v>1476</v>
      </c>
      <c r="S976" s="142">
        <f t="shared" si="380"/>
        <v>365</v>
      </c>
      <c r="T976" s="143">
        <v>30</v>
      </c>
      <c r="U976" s="144" t="s">
        <v>489</v>
      </c>
      <c r="V976" s="144"/>
      <c r="W976" s="144"/>
      <c r="X976" s="144"/>
      <c r="Y976" s="144"/>
      <c r="Z976" s="145"/>
      <c r="AA976" s="145"/>
      <c r="AB976" s="145">
        <f t="shared" si="381"/>
        <v>30</v>
      </c>
      <c r="AC976" s="145"/>
      <c r="AD976" s="146"/>
      <c r="AE976" s="171">
        <v>1</v>
      </c>
      <c r="AF976" s="147">
        <f t="shared" si="373"/>
        <v>0</v>
      </c>
      <c r="AG976" s="147">
        <f t="shared" si="374"/>
        <v>0</v>
      </c>
      <c r="AH976" s="147">
        <f t="shared" si="375"/>
        <v>0</v>
      </c>
      <c r="AI976" s="147">
        <f t="shared" si="376"/>
        <v>0</v>
      </c>
      <c r="AJ976" s="148" t="str">
        <f t="shared" si="377"/>
        <v>ja</v>
      </c>
      <c r="AK976" s="149">
        <f t="shared" si="360"/>
        <v>0</v>
      </c>
      <c r="AL976" s="149">
        <f t="shared" si="361"/>
        <v>0</v>
      </c>
      <c r="AM976" s="149">
        <f t="shared" si="362"/>
        <v>0</v>
      </c>
      <c r="AN976" s="149">
        <f t="shared" si="363"/>
        <v>0</v>
      </c>
      <c r="AO976" s="150" t="str">
        <f t="shared" si="378"/>
        <v>V</v>
      </c>
      <c r="AQ976" s="151">
        <f t="shared" si="379"/>
        <v>10950</v>
      </c>
    </row>
    <row r="977" spans="1:43" ht="15" customHeight="1">
      <c r="A977" s="82" t="e">
        <f t="shared" si="364"/>
        <v>#REF!</v>
      </c>
      <c r="B977" s="134">
        <v>118</v>
      </c>
      <c r="C977" s="135" t="s">
        <v>299</v>
      </c>
      <c r="D977" s="136" t="s">
        <v>39</v>
      </c>
      <c r="E977" s="137"/>
      <c r="F977" s="138" t="s">
        <v>300</v>
      </c>
      <c r="G977" s="139" t="s">
        <v>301</v>
      </c>
      <c r="H977" s="140" t="str">
        <f t="shared" si="365"/>
        <v>Niet van toepassing</v>
      </c>
      <c r="I977" s="138" t="s">
        <v>195</v>
      </c>
      <c r="J977" s="138" t="s">
        <v>1172</v>
      </c>
      <c r="K977" s="141" t="str">
        <f t="shared" si="366"/>
        <v>NVT</v>
      </c>
      <c r="L977" s="141" t="str">
        <f t="shared" si="367"/>
        <v>NVT</v>
      </c>
      <c r="M977" s="141" t="str">
        <f t="shared" si="368"/>
        <v>NVT</v>
      </c>
      <c r="N977" s="141" t="str">
        <f t="shared" si="369"/>
        <v>NVT</v>
      </c>
      <c r="O977" s="141" t="str">
        <f t="shared" si="370"/>
        <v>NVT</v>
      </c>
      <c r="P977" s="141" t="str">
        <f t="shared" si="371"/>
        <v>NVT</v>
      </c>
      <c r="Q977" s="141" t="str">
        <f t="shared" si="372"/>
        <v>NVT</v>
      </c>
      <c r="R977" s="63" t="s">
        <v>1221</v>
      </c>
      <c r="S977" s="142">
        <f t="shared" si="380"/>
        <v>0</v>
      </c>
      <c r="T977" s="143">
        <v>5</v>
      </c>
      <c r="U977" s="144"/>
      <c r="V977" s="144">
        <v>17</v>
      </c>
      <c r="W977" s="144"/>
      <c r="X977" s="144"/>
      <c r="Y977" s="144"/>
      <c r="Z977" s="145"/>
      <c r="AA977" s="145"/>
      <c r="AB977" s="145">
        <f t="shared" si="381"/>
        <v>5</v>
      </c>
      <c r="AC977" s="145"/>
      <c r="AD977" s="146"/>
      <c r="AE977" s="171">
        <v>1</v>
      </c>
      <c r="AF977" s="147">
        <f t="shared" si="373"/>
        <v>0</v>
      </c>
      <c r="AG977" s="147">
        <f t="shared" si="374"/>
        <v>0</v>
      </c>
      <c r="AH977" s="147">
        <f t="shared" si="375"/>
        <v>0</v>
      </c>
      <c r="AI977" s="147">
        <f t="shared" si="376"/>
        <v>0</v>
      </c>
      <c r="AJ977" s="148">
        <f t="shared" si="377"/>
        <v>0</v>
      </c>
      <c r="AK977" s="149">
        <f t="shared" si="360"/>
        <v>0</v>
      </c>
      <c r="AL977" s="149">
        <f t="shared" si="361"/>
        <v>0</v>
      </c>
      <c r="AM977" s="149">
        <f t="shared" si="362"/>
        <v>0</v>
      </c>
      <c r="AN977" s="149">
        <f t="shared" si="363"/>
        <v>0</v>
      </c>
      <c r="AO977" s="150">
        <f t="shared" si="378"/>
        <v>0</v>
      </c>
      <c r="AQ977" s="151">
        <f t="shared" si="379"/>
        <v>0</v>
      </c>
    </row>
    <row r="978" spans="1:43" ht="15" customHeight="1">
      <c r="A978" s="82" t="e">
        <f t="shared" si="364"/>
        <v>#REF!</v>
      </c>
      <c r="B978" s="134">
        <v>118</v>
      </c>
      <c r="C978" s="135" t="s">
        <v>299</v>
      </c>
      <c r="D978" s="136" t="s">
        <v>39</v>
      </c>
      <c r="E978" s="137"/>
      <c r="F978" s="138" t="s">
        <v>302</v>
      </c>
      <c r="G978" s="139" t="s">
        <v>303</v>
      </c>
      <c r="H978" s="140" t="str">
        <f t="shared" si="365"/>
        <v>Niet van toepassing</v>
      </c>
      <c r="I978" s="138" t="s">
        <v>254</v>
      </c>
      <c r="J978" s="138" t="s">
        <v>1172</v>
      </c>
      <c r="K978" s="141" t="str">
        <f t="shared" si="366"/>
        <v>NVT</v>
      </c>
      <c r="L978" s="141" t="str">
        <f t="shared" si="367"/>
        <v>NVT</v>
      </c>
      <c r="M978" s="141" t="str">
        <f t="shared" si="368"/>
        <v>NVT</v>
      </c>
      <c r="N978" s="141" t="str">
        <f t="shared" si="369"/>
        <v>NVT</v>
      </c>
      <c r="O978" s="141" t="str">
        <f t="shared" si="370"/>
        <v>NVT</v>
      </c>
      <c r="P978" s="141" t="str">
        <f t="shared" si="371"/>
        <v>NVT</v>
      </c>
      <c r="Q978" s="141" t="str">
        <f t="shared" si="372"/>
        <v>NVT</v>
      </c>
      <c r="R978" s="63" t="s">
        <v>1221</v>
      </c>
      <c r="S978" s="142">
        <f t="shared" si="380"/>
        <v>0</v>
      </c>
      <c r="T978" s="143">
        <v>40</v>
      </c>
      <c r="U978" s="144"/>
      <c r="V978" s="144">
        <v>29</v>
      </c>
      <c r="W978" s="144"/>
      <c r="X978" s="144"/>
      <c r="Y978" s="144"/>
      <c r="Z978" s="145"/>
      <c r="AA978" s="145"/>
      <c r="AB978" s="145">
        <f t="shared" si="381"/>
        <v>40</v>
      </c>
      <c r="AC978" s="145"/>
      <c r="AD978" s="146"/>
      <c r="AE978" s="171">
        <v>1</v>
      </c>
      <c r="AF978" s="147">
        <f t="shared" si="373"/>
        <v>0</v>
      </c>
      <c r="AG978" s="147">
        <f t="shared" si="374"/>
        <v>0</v>
      </c>
      <c r="AH978" s="147">
        <f t="shared" si="375"/>
        <v>0</v>
      </c>
      <c r="AI978" s="147">
        <f t="shared" si="376"/>
        <v>0</v>
      </c>
      <c r="AJ978" s="148">
        <f t="shared" si="377"/>
        <v>0</v>
      </c>
      <c r="AK978" s="149">
        <f t="shared" si="360"/>
        <v>0</v>
      </c>
      <c r="AL978" s="149">
        <f t="shared" si="361"/>
        <v>0</v>
      </c>
      <c r="AM978" s="149">
        <f t="shared" si="362"/>
        <v>0</v>
      </c>
      <c r="AN978" s="149">
        <f t="shared" si="363"/>
        <v>0</v>
      </c>
      <c r="AO978" s="150">
        <f t="shared" si="378"/>
        <v>0</v>
      </c>
      <c r="AQ978" s="151">
        <f t="shared" si="379"/>
        <v>0</v>
      </c>
    </row>
    <row r="979" spans="1:43" ht="15" customHeight="1">
      <c r="A979" s="82" t="e">
        <f t="shared" si="364"/>
        <v>#REF!</v>
      </c>
      <c r="B979" s="134">
        <v>118</v>
      </c>
      <c r="C979" s="135" t="s">
        <v>299</v>
      </c>
      <c r="D979" s="136" t="s">
        <v>39</v>
      </c>
      <c r="E979" s="137"/>
      <c r="F979" s="138" t="s">
        <v>493</v>
      </c>
      <c r="G979" s="139" t="s">
        <v>265</v>
      </c>
      <c r="H979" s="140" t="str">
        <f t="shared" si="365"/>
        <v>Niet van toepassing</v>
      </c>
      <c r="I979" s="138" t="s">
        <v>18</v>
      </c>
      <c r="J979" s="138" t="s">
        <v>1172</v>
      </c>
      <c r="K979" s="141" t="str">
        <f t="shared" si="366"/>
        <v>NVT</v>
      </c>
      <c r="L979" s="141" t="str">
        <f t="shared" si="367"/>
        <v>NVT</v>
      </c>
      <c r="M979" s="141" t="str">
        <f t="shared" si="368"/>
        <v>NVT</v>
      </c>
      <c r="N979" s="141" t="str">
        <f t="shared" si="369"/>
        <v>NVT</v>
      </c>
      <c r="O979" s="141" t="str">
        <f t="shared" si="370"/>
        <v>NVT</v>
      </c>
      <c r="P979" s="141" t="str">
        <f t="shared" si="371"/>
        <v>NVT</v>
      </c>
      <c r="Q979" s="141" t="str">
        <f t="shared" si="372"/>
        <v>NVT</v>
      </c>
      <c r="R979" s="63" t="s">
        <v>1221</v>
      </c>
      <c r="S979" s="142">
        <f t="shared" si="380"/>
        <v>0</v>
      </c>
      <c r="T979" s="143">
        <v>36</v>
      </c>
      <c r="U979" s="144"/>
      <c r="V979" s="144"/>
      <c r="W979" s="144">
        <v>31</v>
      </c>
      <c r="X979" s="144"/>
      <c r="Y979" s="144"/>
      <c r="Z979" s="145"/>
      <c r="AA979" s="145">
        <f>T979</f>
        <v>36</v>
      </c>
      <c r="AB979" s="145"/>
      <c r="AC979" s="145"/>
      <c r="AD979" s="146"/>
      <c r="AE979" s="171">
        <v>1</v>
      </c>
      <c r="AF979" s="147">
        <f t="shared" si="373"/>
        <v>0</v>
      </c>
      <c r="AG979" s="147">
        <f t="shared" si="374"/>
        <v>0</v>
      </c>
      <c r="AH979" s="147">
        <f t="shared" si="375"/>
        <v>0</v>
      </c>
      <c r="AI979" s="147">
        <f t="shared" si="376"/>
        <v>0</v>
      </c>
      <c r="AJ979" s="148">
        <f t="shared" si="377"/>
        <v>0</v>
      </c>
      <c r="AK979" s="149">
        <f t="shared" si="360"/>
        <v>0</v>
      </c>
      <c r="AL979" s="149">
        <f t="shared" si="361"/>
        <v>0</v>
      </c>
      <c r="AM979" s="149">
        <f t="shared" si="362"/>
        <v>0</v>
      </c>
      <c r="AN979" s="149">
        <f t="shared" si="363"/>
        <v>0</v>
      </c>
      <c r="AO979" s="150">
        <f t="shared" si="378"/>
        <v>0</v>
      </c>
      <c r="AQ979" s="151">
        <f t="shared" si="379"/>
        <v>0</v>
      </c>
    </row>
    <row r="980" spans="1:43" ht="15" customHeight="1">
      <c r="A980" s="82" t="e">
        <f t="shared" si="364"/>
        <v>#REF!</v>
      </c>
      <c r="B980" s="134">
        <v>118</v>
      </c>
      <c r="C980" s="135" t="s">
        <v>299</v>
      </c>
      <c r="D980" s="136" t="s">
        <v>39</v>
      </c>
      <c r="E980" s="137"/>
      <c r="F980" s="138" t="s">
        <v>494</v>
      </c>
      <c r="G980" s="139" t="s">
        <v>266</v>
      </c>
      <c r="H980" s="140" t="str">
        <f t="shared" si="365"/>
        <v>Niet van toepassing</v>
      </c>
      <c r="I980" s="138" t="s">
        <v>18</v>
      </c>
      <c r="J980" s="138" t="s">
        <v>1172</v>
      </c>
      <c r="K980" s="141" t="str">
        <f t="shared" si="366"/>
        <v>NVT</v>
      </c>
      <c r="L980" s="141" t="str">
        <f t="shared" si="367"/>
        <v>NVT</v>
      </c>
      <c r="M980" s="141" t="str">
        <f t="shared" si="368"/>
        <v>NVT</v>
      </c>
      <c r="N980" s="141" t="str">
        <f t="shared" si="369"/>
        <v>NVT</v>
      </c>
      <c r="O980" s="141" t="str">
        <f t="shared" si="370"/>
        <v>NVT</v>
      </c>
      <c r="P980" s="141" t="str">
        <f t="shared" si="371"/>
        <v>NVT</v>
      </c>
      <c r="Q980" s="141" t="str">
        <f t="shared" si="372"/>
        <v>NVT</v>
      </c>
      <c r="R980" s="63" t="s">
        <v>1221</v>
      </c>
      <c r="S980" s="142">
        <f t="shared" si="380"/>
        <v>0</v>
      </c>
      <c r="T980" s="143">
        <v>11</v>
      </c>
      <c r="U980" s="144"/>
      <c r="V980" s="144"/>
      <c r="W980" s="144">
        <v>14</v>
      </c>
      <c r="X980" s="144"/>
      <c r="Y980" s="144"/>
      <c r="Z980" s="145"/>
      <c r="AA980" s="145">
        <f>T980</f>
        <v>11</v>
      </c>
      <c r="AB980" s="145"/>
      <c r="AC980" s="145"/>
      <c r="AD980" s="146"/>
      <c r="AE980" s="171">
        <v>1</v>
      </c>
      <c r="AF980" s="147">
        <f t="shared" si="373"/>
        <v>0</v>
      </c>
      <c r="AG980" s="147">
        <f t="shared" si="374"/>
        <v>0</v>
      </c>
      <c r="AH980" s="147">
        <f t="shared" si="375"/>
        <v>0</v>
      </c>
      <c r="AI980" s="147">
        <f t="shared" si="376"/>
        <v>0</v>
      </c>
      <c r="AJ980" s="148">
        <f t="shared" si="377"/>
        <v>0</v>
      </c>
      <c r="AK980" s="149">
        <f t="shared" si="360"/>
        <v>0</v>
      </c>
      <c r="AL980" s="149">
        <f t="shared" si="361"/>
        <v>0</v>
      </c>
      <c r="AM980" s="149">
        <f t="shared" si="362"/>
        <v>0</v>
      </c>
      <c r="AN980" s="149">
        <f t="shared" si="363"/>
        <v>0</v>
      </c>
      <c r="AO980" s="150">
        <f t="shared" si="378"/>
        <v>0</v>
      </c>
      <c r="AQ980" s="151">
        <f t="shared" si="379"/>
        <v>0</v>
      </c>
    </row>
    <row r="981" spans="1:43" ht="15" customHeight="1">
      <c r="A981" s="82" t="e">
        <f t="shared" si="364"/>
        <v>#REF!</v>
      </c>
      <c r="B981" s="134">
        <v>118</v>
      </c>
      <c r="C981" s="135" t="s">
        <v>299</v>
      </c>
      <c r="D981" s="136" t="s">
        <v>39</v>
      </c>
      <c r="E981" s="137"/>
      <c r="F981" s="138" t="s">
        <v>495</v>
      </c>
      <c r="G981" s="139" t="s">
        <v>267</v>
      </c>
      <c r="H981" s="140" t="str">
        <f t="shared" si="365"/>
        <v>Niet van toepassing</v>
      </c>
      <c r="I981" s="138" t="s">
        <v>18</v>
      </c>
      <c r="J981" s="138" t="s">
        <v>1172</v>
      </c>
      <c r="K981" s="141" t="str">
        <f t="shared" si="366"/>
        <v>NVT</v>
      </c>
      <c r="L981" s="141" t="str">
        <f t="shared" si="367"/>
        <v>NVT</v>
      </c>
      <c r="M981" s="141" t="str">
        <f t="shared" si="368"/>
        <v>NVT</v>
      </c>
      <c r="N981" s="141" t="str">
        <f t="shared" si="369"/>
        <v>NVT</v>
      </c>
      <c r="O981" s="141" t="str">
        <f t="shared" si="370"/>
        <v>NVT</v>
      </c>
      <c r="P981" s="141" t="str">
        <f t="shared" si="371"/>
        <v>NVT</v>
      </c>
      <c r="Q981" s="141" t="str">
        <f t="shared" si="372"/>
        <v>NVT</v>
      </c>
      <c r="R981" s="63" t="s">
        <v>1221</v>
      </c>
      <c r="S981" s="142">
        <f t="shared" si="380"/>
        <v>0</v>
      </c>
      <c r="T981" s="143">
        <v>8</v>
      </c>
      <c r="U981" s="144"/>
      <c r="V981" s="144"/>
      <c r="W981" s="144">
        <v>11</v>
      </c>
      <c r="X981" s="144"/>
      <c r="Y981" s="144"/>
      <c r="Z981" s="145"/>
      <c r="AA981" s="145">
        <f>T981</f>
        <v>8</v>
      </c>
      <c r="AB981" s="145"/>
      <c r="AC981" s="145"/>
      <c r="AD981" s="146"/>
      <c r="AE981" s="171">
        <v>1</v>
      </c>
      <c r="AF981" s="147">
        <f t="shared" si="373"/>
        <v>0</v>
      </c>
      <c r="AG981" s="147">
        <f t="shared" si="374"/>
        <v>0</v>
      </c>
      <c r="AH981" s="147">
        <f t="shared" si="375"/>
        <v>0</v>
      </c>
      <c r="AI981" s="147">
        <f t="shared" si="376"/>
        <v>0</v>
      </c>
      <c r="AJ981" s="148">
        <f t="shared" si="377"/>
        <v>0</v>
      </c>
      <c r="AK981" s="149">
        <f t="shared" si="360"/>
        <v>0</v>
      </c>
      <c r="AL981" s="149">
        <f t="shared" si="361"/>
        <v>0</v>
      </c>
      <c r="AM981" s="149">
        <f t="shared" si="362"/>
        <v>0</v>
      </c>
      <c r="AN981" s="149">
        <f t="shared" si="363"/>
        <v>0</v>
      </c>
      <c r="AO981" s="150">
        <f t="shared" si="378"/>
        <v>0</v>
      </c>
      <c r="AQ981" s="151">
        <f t="shared" si="379"/>
        <v>0</v>
      </c>
    </row>
    <row r="982" spans="1:43" ht="15" customHeight="1">
      <c r="A982" s="82" t="e">
        <f t="shared" si="364"/>
        <v>#REF!</v>
      </c>
      <c r="B982" s="134">
        <v>118</v>
      </c>
      <c r="C982" s="135" t="s">
        <v>299</v>
      </c>
      <c r="D982" s="136" t="s">
        <v>39</v>
      </c>
      <c r="E982" s="137"/>
      <c r="F982" s="138" t="s">
        <v>330</v>
      </c>
      <c r="G982" s="139" t="s">
        <v>268</v>
      </c>
      <c r="H982" s="140" t="str">
        <f t="shared" si="365"/>
        <v>Niet van toepassing</v>
      </c>
      <c r="I982" s="138" t="s">
        <v>18</v>
      </c>
      <c r="J982" s="138" t="s">
        <v>1172</v>
      </c>
      <c r="K982" s="141" t="str">
        <f t="shared" si="366"/>
        <v>NVT</v>
      </c>
      <c r="L982" s="141" t="str">
        <f t="shared" si="367"/>
        <v>NVT</v>
      </c>
      <c r="M982" s="141" t="str">
        <f t="shared" si="368"/>
        <v>NVT</v>
      </c>
      <c r="N982" s="141" t="str">
        <f t="shared" si="369"/>
        <v>NVT</v>
      </c>
      <c r="O982" s="141" t="str">
        <f t="shared" si="370"/>
        <v>NVT</v>
      </c>
      <c r="P982" s="141" t="str">
        <f t="shared" si="371"/>
        <v>NVT</v>
      </c>
      <c r="Q982" s="141" t="str">
        <f t="shared" si="372"/>
        <v>NVT</v>
      </c>
      <c r="R982" s="63" t="s">
        <v>1221</v>
      </c>
      <c r="S982" s="142">
        <f t="shared" si="380"/>
        <v>0</v>
      </c>
      <c r="T982" s="143">
        <v>9</v>
      </c>
      <c r="U982" s="144"/>
      <c r="V982" s="144"/>
      <c r="W982" s="144">
        <v>11</v>
      </c>
      <c r="X982" s="144"/>
      <c r="Y982" s="144"/>
      <c r="Z982" s="145"/>
      <c r="AA982" s="145">
        <f>T982</f>
        <v>9</v>
      </c>
      <c r="AB982" s="145"/>
      <c r="AC982" s="145"/>
      <c r="AD982" s="146"/>
      <c r="AE982" s="171">
        <v>1</v>
      </c>
      <c r="AF982" s="147">
        <f t="shared" si="373"/>
        <v>0</v>
      </c>
      <c r="AG982" s="147">
        <f t="shared" si="374"/>
        <v>0</v>
      </c>
      <c r="AH982" s="147">
        <f t="shared" si="375"/>
        <v>0</v>
      </c>
      <c r="AI982" s="147">
        <f t="shared" si="376"/>
        <v>0</v>
      </c>
      <c r="AJ982" s="148">
        <f t="shared" si="377"/>
        <v>0</v>
      </c>
      <c r="AK982" s="149">
        <f t="shared" si="360"/>
        <v>0</v>
      </c>
      <c r="AL982" s="149">
        <f t="shared" si="361"/>
        <v>0</v>
      </c>
      <c r="AM982" s="149">
        <f t="shared" si="362"/>
        <v>0</v>
      </c>
      <c r="AN982" s="149">
        <f t="shared" si="363"/>
        <v>0</v>
      </c>
      <c r="AO982" s="150">
        <f t="shared" si="378"/>
        <v>0</v>
      </c>
      <c r="AQ982" s="151">
        <f t="shared" si="379"/>
        <v>0</v>
      </c>
    </row>
    <row r="983" spans="1:43" ht="15" customHeight="1">
      <c r="A983" s="82" t="e">
        <f t="shared" si="364"/>
        <v>#REF!</v>
      </c>
      <c r="B983" s="134">
        <v>118</v>
      </c>
      <c r="C983" s="135" t="s">
        <v>299</v>
      </c>
      <c r="D983" s="136" t="s">
        <v>39</v>
      </c>
      <c r="E983" s="137"/>
      <c r="F983" s="138" t="s">
        <v>496</v>
      </c>
      <c r="G983" s="139" t="s">
        <v>365</v>
      </c>
      <c r="H983" s="140" t="str">
        <f t="shared" si="365"/>
        <v>Niet van toepassing</v>
      </c>
      <c r="I983" s="138" t="s">
        <v>18</v>
      </c>
      <c r="J983" s="138" t="s">
        <v>1172</v>
      </c>
      <c r="K983" s="141" t="str">
        <f t="shared" si="366"/>
        <v>NVT</v>
      </c>
      <c r="L983" s="141" t="str">
        <f t="shared" si="367"/>
        <v>NVT</v>
      </c>
      <c r="M983" s="141" t="str">
        <f t="shared" si="368"/>
        <v>NVT</v>
      </c>
      <c r="N983" s="141" t="str">
        <f t="shared" si="369"/>
        <v>NVT</v>
      </c>
      <c r="O983" s="141" t="str">
        <f t="shared" si="370"/>
        <v>NVT</v>
      </c>
      <c r="P983" s="141" t="str">
        <f t="shared" si="371"/>
        <v>NVT</v>
      </c>
      <c r="Q983" s="141" t="str">
        <f t="shared" si="372"/>
        <v>NVT</v>
      </c>
      <c r="R983" s="63" t="s">
        <v>1221</v>
      </c>
      <c r="S983" s="142">
        <f t="shared" si="380"/>
        <v>0</v>
      </c>
      <c r="T983" s="143">
        <v>29</v>
      </c>
      <c r="U983" s="144"/>
      <c r="V983" s="144"/>
      <c r="W983" s="144">
        <v>21</v>
      </c>
      <c r="X983" s="144"/>
      <c r="Y983" s="144"/>
      <c r="Z983" s="145"/>
      <c r="AA983" s="145">
        <f>T983</f>
        <v>29</v>
      </c>
      <c r="AB983" s="145"/>
      <c r="AC983" s="145"/>
      <c r="AD983" s="146"/>
      <c r="AE983" s="171">
        <v>1</v>
      </c>
      <c r="AF983" s="147">
        <f t="shared" si="373"/>
        <v>0</v>
      </c>
      <c r="AG983" s="147">
        <f t="shared" si="374"/>
        <v>0</v>
      </c>
      <c r="AH983" s="147">
        <f t="shared" si="375"/>
        <v>0</v>
      </c>
      <c r="AI983" s="147">
        <f t="shared" si="376"/>
        <v>0</v>
      </c>
      <c r="AJ983" s="148">
        <f t="shared" si="377"/>
        <v>0</v>
      </c>
      <c r="AK983" s="149">
        <f t="shared" si="360"/>
        <v>0</v>
      </c>
      <c r="AL983" s="149">
        <f t="shared" si="361"/>
        <v>0</v>
      </c>
      <c r="AM983" s="149">
        <f t="shared" si="362"/>
        <v>0</v>
      </c>
      <c r="AN983" s="149">
        <f t="shared" si="363"/>
        <v>0</v>
      </c>
      <c r="AO983" s="150">
        <f t="shared" si="378"/>
        <v>0</v>
      </c>
      <c r="AQ983" s="151">
        <f t="shared" si="379"/>
        <v>0</v>
      </c>
    </row>
    <row r="984" spans="1:43" ht="15" customHeight="1">
      <c r="A984" s="82" t="e">
        <f t="shared" si="364"/>
        <v>#REF!</v>
      </c>
      <c r="B984" s="134">
        <v>118</v>
      </c>
      <c r="C984" s="135" t="s">
        <v>299</v>
      </c>
      <c r="D984" s="136" t="s">
        <v>39</v>
      </c>
      <c r="E984" s="137"/>
      <c r="F984" s="138" t="s">
        <v>232</v>
      </c>
      <c r="G984" s="139" t="s">
        <v>113</v>
      </c>
      <c r="H984" s="140" t="str">
        <f t="shared" si="365"/>
        <v>Hallen</v>
      </c>
      <c r="I984" s="138" t="s">
        <v>195</v>
      </c>
      <c r="J984" s="138" t="s">
        <v>1170</v>
      </c>
      <c r="K984" s="141" t="str">
        <f t="shared" si="366"/>
        <v>Volledig</v>
      </c>
      <c r="L984" s="141" t="str">
        <f t="shared" si="367"/>
        <v>naloop</v>
      </c>
      <c r="M984" s="141" t="str">
        <f t="shared" si="368"/>
        <v>naloop</v>
      </c>
      <c r="N984" s="141" t="str">
        <f t="shared" si="369"/>
        <v>Volledig</v>
      </c>
      <c r="O984" s="141" t="str">
        <f t="shared" si="370"/>
        <v>naloop</v>
      </c>
      <c r="P984" s="141" t="str">
        <f t="shared" si="371"/>
        <v>naloop</v>
      </c>
      <c r="Q984" s="141" t="str">
        <f t="shared" si="372"/>
        <v>naloop</v>
      </c>
      <c r="R984" s="63" t="s">
        <v>1478</v>
      </c>
      <c r="S984" s="142">
        <f t="shared" si="380"/>
        <v>365</v>
      </c>
      <c r="T984" s="143">
        <v>188</v>
      </c>
      <c r="U984" s="144"/>
      <c r="V984" s="144">
        <v>470</v>
      </c>
      <c r="W984" s="144"/>
      <c r="X984" s="144"/>
      <c r="Y984" s="144"/>
      <c r="Z984" s="145"/>
      <c r="AA984" s="145"/>
      <c r="AB984" s="145">
        <f>T984</f>
        <v>188</v>
      </c>
      <c r="AC984" s="145"/>
      <c r="AD984" s="146"/>
      <c r="AE984" s="171">
        <v>1</v>
      </c>
      <c r="AF984" s="147">
        <f t="shared" si="373"/>
        <v>0</v>
      </c>
      <c r="AG984" s="147">
        <f t="shared" si="374"/>
        <v>0</v>
      </c>
      <c r="AH984" s="147">
        <f t="shared" si="375"/>
        <v>0</v>
      </c>
      <c r="AI984" s="147">
        <f t="shared" si="376"/>
        <v>0</v>
      </c>
      <c r="AJ984" s="148" t="str">
        <f t="shared" si="377"/>
        <v>ja</v>
      </c>
      <c r="AK984" s="149">
        <f t="shared" si="360"/>
        <v>0</v>
      </c>
      <c r="AL984" s="149">
        <f t="shared" si="361"/>
        <v>0</v>
      </c>
      <c r="AM984" s="149">
        <f t="shared" si="362"/>
        <v>0</v>
      </c>
      <c r="AN984" s="149">
        <f t="shared" si="363"/>
        <v>0</v>
      </c>
      <c r="AO984" s="150" t="str">
        <f t="shared" si="378"/>
        <v>V</v>
      </c>
      <c r="AQ984" s="151">
        <f t="shared" si="379"/>
        <v>68620</v>
      </c>
    </row>
    <row r="985" spans="1:43" ht="15" customHeight="1">
      <c r="A985" s="82" t="e">
        <f>1+#REF!</f>
        <v>#REF!</v>
      </c>
      <c r="B985" s="134">
        <v>118</v>
      </c>
      <c r="C985" s="135" t="s">
        <v>299</v>
      </c>
      <c r="D985" s="136" t="s">
        <v>39</v>
      </c>
      <c r="E985" s="137"/>
      <c r="F985" s="138" t="s">
        <v>248</v>
      </c>
      <c r="G985" s="139" t="s">
        <v>27</v>
      </c>
      <c r="H985" s="140" t="str">
        <f t="shared" si="365"/>
        <v>Niet van toepassing</v>
      </c>
      <c r="I985" s="138" t="s">
        <v>270</v>
      </c>
      <c r="J985" s="138" t="s">
        <v>1172</v>
      </c>
      <c r="K985" s="141" t="str">
        <f t="shared" si="366"/>
        <v>NVT</v>
      </c>
      <c r="L985" s="141" t="str">
        <f t="shared" si="367"/>
        <v>NVT</v>
      </c>
      <c r="M985" s="141" t="str">
        <f t="shared" si="368"/>
        <v>NVT</v>
      </c>
      <c r="N985" s="141" t="str">
        <f t="shared" si="369"/>
        <v>NVT</v>
      </c>
      <c r="O985" s="141" t="str">
        <f t="shared" si="370"/>
        <v>NVT</v>
      </c>
      <c r="P985" s="141" t="str">
        <f t="shared" si="371"/>
        <v>NVT</v>
      </c>
      <c r="Q985" s="141" t="str">
        <f t="shared" si="372"/>
        <v>NVT</v>
      </c>
      <c r="R985" s="63" t="s">
        <v>1221</v>
      </c>
      <c r="S985" s="142">
        <f t="shared" si="380"/>
        <v>0</v>
      </c>
      <c r="T985" s="143">
        <v>24</v>
      </c>
      <c r="U985" s="144"/>
      <c r="V985" s="144">
        <v>72</v>
      </c>
      <c r="W985" s="144"/>
      <c r="X985" s="144"/>
      <c r="Y985" s="144"/>
      <c r="Z985" s="145"/>
      <c r="AA985" s="145"/>
      <c r="AB985" s="145">
        <f>T985</f>
        <v>24</v>
      </c>
      <c r="AC985" s="145"/>
      <c r="AD985" s="146"/>
      <c r="AE985" s="171">
        <v>1</v>
      </c>
      <c r="AF985" s="147">
        <f t="shared" si="373"/>
        <v>0</v>
      </c>
      <c r="AG985" s="147">
        <f t="shared" si="374"/>
        <v>0</v>
      </c>
      <c r="AH985" s="147">
        <f t="shared" si="375"/>
        <v>0</v>
      </c>
      <c r="AI985" s="147">
        <f t="shared" si="376"/>
        <v>0</v>
      </c>
      <c r="AJ985" s="148">
        <f t="shared" si="377"/>
        <v>0</v>
      </c>
      <c r="AK985" s="149">
        <f t="shared" si="360"/>
        <v>0</v>
      </c>
      <c r="AL985" s="149">
        <f t="shared" si="361"/>
        <v>0</v>
      </c>
      <c r="AM985" s="149">
        <f t="shared" si="362"/>
        <v>0</v>
      </c>
      <c r="AN985" s="149">
        <f t="shared" si="363"/>
        <v>0</v>
      </c>
      <c r="AO985" s="150">
        <f t="shared" si="378"/>
        <v>0</v>
      </c>
      <c r="AQ985" s="151">
        <f t="shared" si="379"/>
        <v>0</v>
      </c>
    </row>
    <row r="986" spans="1:43" ht="15" customHeight="1">
      <c r="A986" s="82" t="e">
        <f t="shared" si="364"/>
        <v>#REF!</v>
      </c>
      <c r="B986" s="134">
        <v>118</v>
      </c>
      <c r="C986" s="135" t="s">
        <v>299</v>
      </c>
      <c r="D986" s="136" t="s">
        <v>39</v>
      </c>
      <c r="E986" s="137"/>
      <c r="F986" s="138" t="s">
        <v>66</v>
      </c>
      <c r="G986" s="139" t="s">
        <v>304</v>
      </c>
      <c r="H986" s="140" t="str">
        <f t="shared" si="365"/>
        <v>Niet van toepassing</v>
      </c>
      <c r="I986" s="138" t="s">
        <v>254</v>
      </c>
      <c r="J986" s="138" t="s">
        <v>1172</v>
      </c>
      <c r="K986" s="141" t="str">
        <f t="shared" si="366"/>
        <v>NVT</v>
      </c>
      <c r="L986" s="141" t="str">
        <f t="shared" si="367"/>
        <v>NVT</v>
      </c>
      <c r="M986" s="141" t="str">
        <f t="shared" si="368"/>
        <v>NVT</v>
      </c>
      <c r="N986" s="141" t="str">
        <f t="shared" si="369"/>
        <v>NVT</v>
      </c>
      <c r="O986" s="141" t="str">
        <f t="shared" si="370"/>
        <v>NVT</v>
      </c>
      <c r="P986" s="141" t="str">
        <f t="shared" si="371"/>
        <v>NVT</v>
      </c>
      <c r="Q986" s="141" t="str">
        <f t="shared" si="372"/>
        <v>NVT</v>
      </c>
      <c r="R986" s="63" t="s">
        <v>1221</v>
      </c>
      <c r="S986" s="142">
        <f t="shared" si="380"/>
        <v>0</v>
      </c>
      <c r="T986" s="143">
        <v>10</v>
      </c>
      <c r="U986" s="144"/>
      <c r="V986" s="144"/>
      <c r="W986" s="144">
        <v>29</v>
      </c>
      <c r="X986" s="144"/>
      <c r="Y986" s="144"/>
      <c r="Z986" s="145"/>
      <c r="AA986" s="145">
        <f>T986</f>
        <v>10</v>
      </c>
      <c r="AB986" s="145"/>
      <c r="AC986" s="145"/>
      <c r="AD986" s="146"/>
      <c r="AE986" s="171">
        <v>1</v>
      </c>
      <c r="AF986" s="147">
        <f t="shared" si="373"/>
        <v>0</v>
      </c>
      <c r="AG986" s="147">
        <f t="shared" si="374"/>
        <v>0</v>
      </c>
      <c r="AH986" s="147">
        <f t="shared" si="375"/>
        <v>0</v>
      </c>
      <c r="AI986" s="147">
        <f t="shared" si="376"/>
        <v>0</v>
      </c>
      <c r="AJ986" s="148">
        <f t="shared" si="377"/>
        <v>0</v>
      </c>
      <c r="AK986" s="149">
        <f t="shared" si="360"/>
        <v>0</v>
      </c>
      <c r="AL986" s="149">
        <f t="shared" si="361"/>
        <v>0</v>
      </c>
      <c r="AM986" s="149">
        <f t="shared" si="362"/>
        <v>0</v>
      </c>
      <c r="AN986" s="149">
        <f t="shared" si="363"/>
        <v>0</v>
      </c>
      <c r="AO986" s="150">
        <f t="shared" si="378"/>
        <v>0</v>
      </c>
      <c r="AQ986" s="151">
        <f t="shared" si="379"/>
        <v>0</v>
      </c>
    </row>
    <row r="987" spans="1:43" ht="15" customHeight="1">
      <c r="A987" s="82" t="e">
        <f t="shared" si="364"/>
        <v>#REF!</v>
      </c>
      <c r="B987" s="134">
        <v>118</v>
      </c>
      <c r="C987" s="135" t="s">
        <v>299</v>
      </c>
      <c r="D987" s="136" t="s">
        <v>39</v>
      </c>
      <c r="E987" s="137"/>
      <c r="F987" s="138" t="s">
        <v>305</v>
      </c>
      <c r="G987" s="139" t="s">
        <v>282</v>
      </c>
      <c r="H987" s="140" t="str">
        <f t="shared" si="365"/>
        <v>Niet van toepassing</v>
      </c>
      <c r="I987" s="138" t="s">
        <v>254</v>
      </c>
      <c r="J987" s="138" t="s">
        <v>1172</v>
      </c>
      <c r="K987" s="141" t="str">
        <f t="shared" si="366"/>
        <v>NVT</v>
      </c>
      <c r="L987" s="141" t="str">
        <f t="shared" si="367"/>
        <v>NVT</v>
      </c>
      <c r="M987" s="141" t="str">
        <f t="shared" si="368"/>
        <v>NVT</v>
      </c>
      <c r="N987" s="141" t="str">
        <f t="shared" si="369"/>
        <v>NVT</v>
      </c>
      <c r="O987" s="141" t="str">
        <f t="shared" si="370"/>
        <v>NVT</v>
      </c>
      <c r="P987" s="141" t="str">
        <f t="shared" si="371"/>
        <v>NVT</v>
      </c>
      <c r="Q987" s="141" t="str">
        <f t="shared" si="372"/>
        <v>NVT</v>
      </c>
      <c r="R987" s="63" t="s">
        <v>1221</v>
      </c>
      <c r="S987" s="142">
        <f t="shared" si="380"/>
        <v>0</v>
      </c>
      <c r="T987" s="143">
        <v>7</v>
      </c>
      <c r="U987" s="144"/>
      <c r="V987" s="144"/>
      <c r="W987" s="144">
        <v>26</v>
      </c>
      <c r="X987" s="144"/>
      <c r="Y987" s="144"/>
      <c r="Z987" s="145"/>
      <c r="AA987" s="145">
        <f>T987</f>
        <v>7</v>
      </c>
      <c r="AB987" s="145"/>
      <c r="AC987" s="145"/>
      <c r="AD987" s="146"/>
      <c r="AE987" s="171">
        <v>1</v>
      </c>
      <c r="AF987" s="147">
        <f t="shared" si="373"/>
        <v>0</v>
      </c>
      <c r="AG987" s="147">
        <f t="shared" si="374"/>
        <v>0</v>
      </c>
      <c r="AH987" s="147">
        <f t="shared" si="375"/>
        <v>0</v>
      </c>
      <c r="AI987" s="147">
        <f t="shared" si="376"/>
        <v>0</v>
      </c>
      <c r="AJ987" s="148">
        <f t="shared" si="377"/>
        <v>0</v>
      </c>
      <c r="AK987" s="149">
        <f t="shared" si="360"/>
        <v>0</v>
      </c>
      <c r="AL987" s="149">
        <f t="shared" si="361"/>
        <v>0</v>
      </c>
      <c r="AM987" s="149">
        <f t="shared" si="362"/>
        <v>0</v>
      </c>
      <c r="AN987" s="149">
        <f t="shared" si="363"/>
        <v>0</v>
      </c>
      <c r="AO987" s="150">
        <f t="shared" si="378"/>
        <v>0</v>
      </c>
      <c r="AQ987" s="151">
        <f t="shared" si="379"/>
        <v>0</v>
      </c>
    </row>
    <row r="988" spans="1:43" ht="15" customHeight="1">
      <c r="A988" s="82" t="e">
        <f t="shared" si="364"/>
        <v>#REF!</v>
      </c>
      <c r="B988" s="134">
        <v>118</v>
      </c>
      <c r="C988" s="135" t="s">
        <v>299</v>
      </c>
      <c r="D988" s="136" t="s">
        <v>39</v>
      </c>
      <c r="E988" s="137"/>
      <c r="F988" s="138" t="s">
        <v>68</v>
      </c>
      <c r="G988" s="139" t="s">
        <v>30</v>
      </c>
      <c r="H988" s="140" t="str">
        <f t="shared" si="365"/>
        <v>Niet van toepassing</v>
      </c>
      <c r="I988" s="138" t="s">
        <v>254</v>
      </c>
      <c r="J988" s="138" t="s">
        <v>1172</v>
      </c>
      <c r="K988" s="141" t="str">
        <f t="shared" si="366"/>
        <v>NVT</v>
      </c>
      <c r="L988" s="141" t="str">
        <f t="shared" si="367"/>
        <v>NVT</v>
      </c>
      <c r="M988" s="141" t="str">
        <f t="shared" si="368"/>
        <v>NVT</v>
      </c>
      <c r="N988" s="141" t="str">
        <f t="shared" si="369"/>
        <v>NVT</v>
      </c>
      <c r="O988" s="141" t="str">
        <f t="shared" si="370"/>
        <v>NVT</v>
      </c>
      <c r="P988" s="141" t="str">
        <f t="shared" si="371"/>
        <v>NVT</v>
      </c>
      <c r="Q988" s="141" t="str">
        <f t="shared" si="372"/>
        <v>NVT</v>
      </c>
      <c r="R988" s="63" t="s">
        <v>1221</v>
      </c>
      <c r="S988" s="142">
        <f t="shared" si="380"/>
        <v>0</v>
      </c>
      <c r="T988" s="143">
        <v>9</v>
      </c>
      <c r="U988" s="144"/>
      <c r="V988" s="144"/>
      <c r="W988" s="144">
        <v>27</v>
      </c>
      <c r="X988" s="144"/>
      <c r="Y988" s="144"/>
      <c r="Z988" s="145"/>
      <c r="AA988" s="145">
        <f>T988</f>
        <v>9</v>
      </c>
      <c r="AB988" s="145"/>
      <c r="AC988" s="145"/>
      <c r="AD988" s="146"/>
      <c r="AE988" s="171">
        <v>1</v>
      </c>
      <c r="AF988" s="147">
        <f t="shared" si="373"/>
        <v>0</v>
      </c>
      <c r="AG988" s="147">
        <f t="shared" si="374"/>
        <v>0</v>
      </c>
      <c r="AH988" s="147">
        <f t="shared" si="375"/>
        <v>0</v>
      </c>
      <c r="AI988" s="147">
        <f t="shared" si="376"/>
        <v>0</v>
      </c>
      <c r="AJ988" s="148">
        <f t="shared" si="377"/>
        <v>0</v>
      </c>
      <c r="AK988" s="149">
        <f t="shared" si="360"/>
        <v>0</v>
      </c>
      <c r="AL988" s="149">
        <f t="shared" si="361"/>
        <v>0</v>
      </c>
      <c r="AM988" s="149">
        <f t="shared" si="362"/>
        <v>0</v>
      </c>
      <c r="AN988" s="149">
        <f t="shared" si="363"/>
        <v>0</v>
      </c>
      <c r="AO988" s="150">
        <f t="shared" si="378"/>
        <v>0</v>
      </c>
      <c r="AQ988" s="151">
        <f t="shared" si="379"/>
        <v>0</v>
      </c>
    </row>
    <row r="989" spans="1:43" ht="15" customHeight="1">
      <c r="A989" s="82" t="e">
        <f t="shared" si="364"/>
        <v>#REF!</v>
      </c>
      <c r="B989" s="134">
        <v>118</v>
      </c>
      <c r="C989" s="135" t="s">
        <v>299</v>
      </c>
      <c r="D989" s="136" t="s">
        <v>39</v>
      </c>
      <c r="E989" s="137"/>
      <c r="F989" s="138" t="s">
        <v>306</v>
      </c>
      <c r="G989" s="139" t="s">
        <v>287</v>
      </c>
      <c r="H989" s="140" t="str">
        <f t="shared" si="365"/>
        <v>Sanitair</v>
      </c>
      <c r="I989" s="138" t="s">
        <v>237</v>
      </c>
      <c r="J989" s="138" t="s">
        <v>1170</v>
      </c>
      <c r="K989" s="141" t="str">
        <f t="shared" si="366"/>
        <v>Volledig</v>
      </c>
      <c r="L989" s="141" t="str">
        <f t="shared" si="367"/>
        <v>naloop</v>
      </c>
      <c r="M989" s="141" t="str">
        <f t="shared" si="368"/>
        <v>naloop</v>
      </c>
      <c r="N989" s="141" t="str">
        <f t="shared" si="369"/>
        <v>Volledig</v>
      </c>
      <c r="O989" s="141" t="str">
        <f t="shared" si="370"/>
        <v>naloop</v>
      </c>
      <c r="P989" s="141" t="str">
        <f t="shared" si="371"/>
        <v>naloop</v>
      </c>
      <c r="Q989" s="141" t="str">
        <f t="shared" si="372"/>
        <v>naloop</v>
      </c>
      <c r="R989" s="63" t="s">
        <v>1210</v>
      </c>
      <c r="S989" s="142">
        <f t="shared" si="380"/>
        <v>365</v>
      </c>
      <c r="T989" s="143">
        <v>4</v>
      </c>
      <c r="U989" s="144">
        <v>23</v>
      </c>
      <c r="V989" s="144"/>
      <c r="W989" s="144"/>
      <c r="X989" s="144"/>
      <c r="Y989" s="144"/>
      <c r="Z989" s="145"/>
      <c r="AA989" s="145"/>
      <c r="AB989" s="145"/>
      <c r="AC989" s="145">
        <f>T989</f>
        <v>4</v>
      </c>
      <c r="AD989" s="146"/>
      <c r="AE989" s="171">
        <v>1</v>
      </c>
      <c r="AF989" s="147">
        <f t="shared" si="373"/>
        <v>0</v>
      </c>
      <c r="AG989" s="147">
        <f t="shared" si="374"/>
        <v>0</v>
      </c>
      <c r="AH989" s="147">
        <f t="shared" si="375"/>
        <v>0</v>
      </c>
      <c r="AI989" s="147">
        <f t="shared" si="376"/>
        <v>0</v>
      </c>
      <c r="AJ989" s="148" t="str">
        <f t="shared" si="377"/>
        <v>ja</v>
      </c>
      <c r="AK989" s="149">
        <f t="shared" si="360"/>
        <v>0</v>
      </c>
      <c r="AL989" s="149">
        <f t="shared" si="361"/>
        <v>0</v>
      </c>
      <c r="AM989" s="149">
        <f t="shared" si="362"/>
        <v>0</v>
      </c>
      <c r="AN989" s="149">
        <f t="shared" si="363"/>
        <v>0</v>
      </c>
      <c r="AO989" s="150" t="str">
        <f t="shared" si="378"/>
        <v>S</v>
      </c>
      <c r="AQ989" s="151">
        <f t="shared" si="379"/>
        <v>1460</v>
      </c>
    </row>
    <row r="990" spans="1:43" ht="15" customHeight="1">
      <c r="A990" s="82" t="e">
        <f t="shared" si="364"/>
        <v>#REF!</v>
      </c>
      <c r="B990" s="134">
        <v>118</v>
      </c>
      <c r="C990" s="135" t="s">
        <v>299</v>
      </c>
      <c r="D990" s="136" t="s">
        <v>39</v>
      </c>
      <c r="E990" s="137"/>
      <c r="F990" s="138" t="s">
        <v>307</v>
      </c>
      <c r="G990" s="139" t="s">
        <v>288</v>
      </c>
      <c r="H990" s="140" t="str">
        <f t="shared" si="365"/>
        <v>Sanitair</v>
      </c>
      <c r="I990" s="138" t="s">
        <v>237</v>
      </c>
      <c r="J990" s="138" t="s">
        <v>1170</v>
      </c>
      <c r="K990" s="141" t="str">
        <f t="shared" si="366"/>
        <v>Volledig</v>
      </c>
      <c r="L990" s="141" t="str">
        <f t="shared" si="367"/>
        <v>naloop</v>
      </c>
      <c r="M990" s="141" t="str">
        <f t="shared" si="368"/>
        <v>naloop</v>
      </c>
      <c r="N990" s="141" t="str">
        <f t="shared" si="369"/>
        <v>Volledig</v>
      </c>
      <c r="O990" s="141" t="str">
        <f t="shared" si="370"/>
        <v>naloop</v>
      </c>
      <c r="P990" s="141" t="str">
        <f t="shared" si="371"/>
        <v>naloop</v>
      </c>
      <c r="Q990" s="141" t="str">
        <f t="shared" si="372"/>
        <v>naloop</v>
      </c>
      <c r="R990" s="63" t="s">
        <v>1210</v>
      </c>
      <c r="S990" s="142">
        <f t="shared" si="380"/>
        <v>365</v>
      </c>
      <c r="T990" s="143">
        <v>4</v>
      </c>
      <c r="U990" s="144">
        <v>23</v>
      </c>
      <c r="V990" s="144"/>
      <c r="W990" s="144"/>
      <c r="X990" s="144"/>
      <c r="Y990" s="144"/>
      <c r="Z990" s="145"/>
      <c r="AA990" s="145"/>
      <c r="AB990" s="145"/>
      <c r="AC990" s="145">
        <f>T990</f>
        <v>4</v>
      </c>
      <c r="AD990" s="146"/>
      <c r="AE990" s="171">
        <v>1</v>
      </c>
      <c r="AF990" s="147">
        <f t="shared" si="373"/>
        <v>0</v>
      </c>
      <c r="AG990" s="147">
        <f t="shared" si="374"/>
        <v>0</v>
      </c>
      <c r="AH990" s="147">
        <f t="shared" si="375"/>
        <v>0</v>
      </c>
      <c r="AI990" s="147">
        <f t="shared" si="376"/>
        <v>0</v>
      </c>
      <c r="AJ990" s="148" t="str">
        <f t="shared" si="377"/>
        <v>ja</v>
      </c>
      <c r="AK990" s="149">
        <f t="shared" ref="AK990:AK1043" si="382">IF($R990="",0,VLOOKUP($R990,Kengetal,5,FALSE))</f>
        <v>0</v>
      </c>
      <c r="AL990" s="149">
        <f t="shared" ref="AL990:AL1043" si="383">IF($R990="",0,VLOOKUP($R990,Kengetal,6,FALSE))</f>
        <v>0</v>
      </c>
      <c r="AM990" s="149">
        <f t="shared" ref="AM990:AM1043" si="384">IF($R990="",0,VLOOKUP($R990,Kengetal,7,FALSE))</f>
        <v>0</v>
      </c>
      <c r="AN990" s="149">
        <f t="shared" ref="AN990:AN1043" si="385">IF($R990="",0,VLOOKUP($R990,Kengetal,8,FALSE))</f>
        <v>0</v>
      </c>
      <c r="AO990" s="150" t="str">
        <f t="shared" si="378"/>
        <v>S</v>
      </c>
      <c r="AQ990" s="151">
        <f t="shared" si="379"/>
        <v>1460</v>
      </c>
    </row>
    <row r="991" spans="1:43" ht="15" customHeight="1">
      <c r="A991" s="82" t="e">
        <f t="shared" si="364"/>
        <v>#REF!</v>
      </c>
      <c r="B991" s="134">
        <v>118</v>
      </c>
      <c r="C991" s="135" t="s">
        <v>299</v>
      </c>
      <c r="D991" s="136" t="s">
        <v>39</v>
      </c>
      <c r="E991" s="137"/>
      <c r="F991" s="138" t="s">
        <v>308</v>
      </c>
      <c r="G991" s="139" t="s">
        <v>36</v>
      </c>
      <c r="H991" s="140" t="str">
        <f t="shared" si="365"/>
        <v>Niet van toepassing</v>
      </c>
      <c r="I991" s="138" t="s">
        <v>254</v>
      </c>
      <c r="J991" s="138" t="s">
        <v>1172</v>
      </c>
      <c r="K991" s="141" t="str">
        <f t="shared" si="366"/>
        <v>NVT</v>
      </c>
      <c r="L991" s="141" t="str">
        <f t="shared" si="367"/>
        <v>NVT</v>
      </c>
      <c r="M991" s="141" t="str">
        <f t="shared" si="368"/>
        <v>NVT</v>
      </c>
      <c r="N991" s="141" t="str">
        <f t="shared" si="369"/>
        <v>NVT</v>
      </c>
      <c r="O991" s="141" t="str">
        <f t="shared" si="370"/>
        <v>NVT</v>
      </c>
      <c r="P991" s="141" t="str">
        <f t="shared" si="371"/>
        <v>NVT</v>
      </c>
      <c r="Q991" s="141" t="str">
        <f t="shared" si="372"/>
        <v>NVT</v>
      </c>
      <c r="R991" s="63" t="s">
        <v>1221</v>
      </c>
      <c r="S991" s="142">
        <f t="shared" si="380"/>
        <v>0</v>
      </c>
      <c r="T991" s="143">
        <v>4</v>
      </c>
      <c r="U991" s="144"/>
      <c r="V991" s="144">
        <v>77</v>
      </c>
      <c r="W991" s="144"/>
      <c r="X991" s="144"/>
      <c r="Y991" s="144"/>
      <c r="Z991" s="145"/>
      <c r="AA991" s="145"/>
      <c r="AB991" s="145">
        <f>T991</f>
        <v>4</v>
      </c>
      <c r="AC991" s="145"/>
      <c r="AD991" s="146"/>
      <c r="AE991" s="171">
        <v>1</v>
      </c>
      <c r="AF991" s="147">
        <f t="shared" si="373"/>
        <v>0</v>
      </c>
      <c r="AG991" s="147">
        <f t="shared" si="374"/>
        <v>0</v>
      </c>
      <c r="AH991" s="147">
        <f t="shared" si="375"/>
        <v>0</v>
      </c>
      <c r="AI991" s="147">
        <f t="shared" si="376"/>
        <v>0</v>
      </c>
      <c r="AJ991" s="148">
        <f t="shared" si="377"/>
        <v>0</v>
      </c>
      <c r="AK991" s="149">
        <f t="shared" si="382"/>
        <v>0</v>
      </c>
      <c r="AL991" s="149">
        <f t="shared" si="383"/>
        <v>0</v>
      </c>
      <c r="AM991" s="149">
        <f t="shared" si="384"/>
        <v>0</v>
      </c>
      <c r="AN991" s="149">
        <f t="shared" si="385"/>
        <v>0</v>
      </c>
      <c r="AO991" s="150">
        <f t="shared" si="378"/>
        <v>0</v>
      </c>
      <c r="AQ991" s="151">
        <f t="shared" si="379"/>
        <v>0</v>
      </c>
    </row>
    <row r="992" spans="1:43" ht="15" customHeight="1">
      <c r="A992" s="82" t="e">
        <f t="shared" si="364"/>
        <v>#REF!</v>
      </c>
      <c r="B992" s="134">
        <v>118</v>
      </c>
      <c r="C992" s="135" t="s">
        <v>299</v>
      </c>
      <c r="D992" s="136" t="s">
        <v>39</v>
      </c>
      <c r="E992" s="137"/>
      <c r="F992" s="138" t="s">
        <v>212</v>
      </c>
      <c r="G992" s="139" t="s">
        <v>291</v>
      </c>
      <c r="H992" s="140" t="str">
        <f t="shared" si="365"/>
        <v>Liften</v>
      </c>
      <c r="I992" s="138" t="s">
        <v>457</v>
      </c>
      <c r="J992" s="138" t="s">
        <v>1170</v>
      </c>
      <c r="K992" s="141" t="str">
        <f t="shared" si="366"/>
        <v>Volledig</v>
      </c>
      <c r="L992" s="141" t="str">
        <f t="shared" si="367"/>
        <v>naloop</v>
      </c>
      <c r="M992" s="141" t="str">
        <f t="shared" si="368"/>
        <v>naloop</v>
      </c>
      <c r="N992" s="141" t="str">
        <f t="shared" si="369"/>
        <v>Volledig</v>
      </c>
      <c r="O992" s="141" t="str">
        <f t="shared" si="370"/>
        <v>naloop</v>
      </c>
      <c r="P992" s="141" t="str">
        <f t="shared" si="371"/>
        <v>naloop</v>
      </c>
      <c r="Q992" s="141" t="str">
        <f t="shared" si="372"/>
        <v>naloop</v>
      </c>
      <c r="R992" s="63" t="s">
        <v>1474</v>
      </c>
      <c r="S992" s="142">
        <f t="shared" si="380"/>
        <v>365</v>
      </c>
      <c r="T992" s="143">
        <v>4</v>
      </c>
      <c r="U992" s="144"/>
      <c r="V992" s="144"/>
      <c r="W992" s="144"/>
      <c r="X992" s="144">
        <v>15</v>
      </c>
      <c r="Y992" s="144"/>
      <c r="Z992" s="145"/>
      <c r="AA992" s="145"/>
      <c r="AB992" s="145"/>
      <c r="AC992" s="145">
        <f>T992</f>
        <v>4</v>
      </c>
      <c r="AD992" s="146"/>
      <c r="AE992" s="171">
        <v>1</v>
      </c>
      <c r="AF992" s="147">
        <f t="shared" si="373"/>
        <v>0</v>
      </c>
      <c r="AG992" s="147">
        <f t="shared" si="374"/>
        <v>0</v>
      </c>
      <c r="AH992" s="147">
        <f t="shared" si="375"/>
        <v>0</v>
      </c>
      <c r="AI992" s="147">
        <f t="shared" si="376"/>
        <v>0</v>
      </c>
      <c r="AJ992" s="148" t="str">
        <f t="shared" si="377"/>
        <v>ja</v>
      </c>
      <c r="AK992" s="149">
        <f t="shared" si="382"/>
        <v>0</v>
      </c>
      <c r="AL992" s="149">
        <f t="shared" si="383"/>
        <v>0</v>
      </c>
      <c r="AM992" s="149">
        <f t="shared" si="384"/>
        <v>0</v>
      </c>
      <c r="AN992" s="149">
        <f t="shared" si="385"/>
        <v>0</v>
      </c>
      <c r="AO992" s="150" t="str">
        <f t="shared" si="378"/>
        <v>V</v>
      </c>
      <c r="AQ992" s="151">
        <f t="shared" si="379"/>
        <v>1460</v>
      </c>
    </row>
    <row r="993" spans="1:43" ht="15" customHeight="1">
      <c r="A993" s="82" t="e">
        <f t="shared" si="364"/>
        <v>#REF!</v>
      </c>
      <c r="B993" s="134">
        <v>118</v>
      </c>
      <c r="C993" s="135" t="s">
        <v>299</v>
      </c>
      <c r="D993" s="136" t="s">
        <v>39</v>
      </c>
      <c r="E993" s="137"/>
      <c r="F993" s="138" t="s">
        <v>216</v>
      </c>
      <c r="G993" s="139" t="s">
        <v>309</v>
      </c>
      <c r="H993" s="140" t="str">
        <f t="shared" si="365"/>
        <v>Kantoren/spreekkamers</v>
      </c>
      <c r="I993" s="138" t="s">
        <v>254</v>
      </c>
      <c r="J993" s="138" t="s">
        <v>1170</v>
      </c>
      <c r="K993" s="141" t="str">
        <f t="shared" si="366"/>
        <v>Volledig</v>
      </c>
      <c r="L993" s="141" t="str">
        <f t="shared" si="367"/>
        <v>naloop</v>
      </c>
      <c r="M993" s="141" t="str">
        <f t="shared" si="368"/>
        <v>naloop</v>
      </c>
      <c r="N993" s="141" t="str">
        <f t="shared" si="369"/>
        <v>Volledig</v>
      </c>
      <c r="O993" s="141" t="str">
        <f t="shared" si="370"/>
        <v>naloop</v>
      </c>
      <c r="P993" s="141" t="str">
        <f t="shared" si="371"/>
        <v>naloop</v>
      </c>
      <c r="Q993" s="141" t="str">
        <f t="shared" si="372"/>
        <v>naloop</v>
      </c>
      <c r="R993" s="63" t="s">
        <v>1219</v>
      </c>
      <c r="S993" s="142">
        <f t="shared" si="380"/>
        <v>365</v>
      </c>
      <c r="T993" s="143">
        <v>13</v>
      </c>
      <c r="U993" s="144"/>
      <c r="V993" s="144">
        <v>49</v>
      </c>
      <c r="W993" s="144"/>
      <c r="X993" s="144"/>
      <c r="Y993" s="144"/>
      <c r="Z993" s="145"/>
      <c r="AA993" s="145"/>
      <c r="AB993" s="145">
        <f>T993</f>
        <v>13</v>
      </c>
      <c r="AC993" s="145"/>
      <c r="AD993" s="146"/>
      <c r="AE993" s="171">
        <v>1</v>
      </c>
      <c r="AF993" s="147">
        <f t="shared" si="373"/>
        <v>0</v>
      </c>
      <c r="AG993" s="147">
        <f t="shared" si="374"/>
        <v>0</v>
      </c>
      <c r="AH993" s="147">
        <f t="shared" si="375"/>
        <v>0</v>
      </c>
      <c r="AI993" s="147">
        <f t="shared" si="376"/>
        <v>0</v>
      </c>
      <c r="AJ993" s="148" t="str">
        <f t="shared" si="377"/>
        <v>nee</v>
      </c>
      <c r="AK993" s="149">
        <f t="shared" si="382"/>
        <v>0</v>
      </c>
      <c r="AL993" s="149">
        <f t="shared" si="383"/>
        <v>0</v>
      </c>
      <c r="AM993" s="149">
        <f t="shared" si="384"/>
        <v>0</v>
      </c>
      <c r="AN993" s="149">
        <f t="shared" si="385"/>
        <v>0</v>
      </c>
      <c r="AO993" s="150" t="str">
        <f t="shared" si="378"/>
        <v>B</v>
      </c>
      <c r="AQ993" s="151">
        <f t="shared" si="379"/>
        <v>4745</v>
      </c>
    </row>
    <row r="994" spans="1:43" ht="15" customHeight="1">
      <c r="A994" s="82" t="e">
        <f t="shared" si="364"/>
        <v>#REF!</v>
      </c>
      <c r="B994" s="134">
        <v>118</v>
      </c>
      <c r="C994" s="135" t="s">
        <v>299</v>
      </c>
      <c r="D994" s="136" t="s">
        <v>39</v>
      </c>
      <c r="E994" s="137"/>
      <c r="F994" s="138" t="s">
        <v>310</v>
      </c>
      <c r="G994" s="139" t="s">
        <v>311</v>
      </c>
      <c r="H994" s="140" t="str">
        <f t="shared" si="365"/>
        <v>Niet van toepassing</v>
      </c>
      <c r="I994" s="138" t="s">
        <v>195</v>
      </c>
      <c r="J994" s="138" t="s">
        <v>1207</v>
      </c>
      <c r="K994" s="141" t="str">
        <f t="shared" si="366"/>
        <v>NVT</v>
      </c>
      <c r="L994" s="141" t="str">
        <f t="shared" si="367"/>
        <v>NVT</v>
      </c>
      <c r="M994" s="141" t="str">
        <f t="shared" si="368"/>
        <v>NVT</v>
      </c>
      <c r="N994" s="141" t="str">
        <f t="shared" si="369"/>
        <v>NVT</v>
      </c>
      <c r="O994" s="141" t="str">
        <f t="shared" si="370"/>
        <v>NVT</v>
      </c>
      <c r="P994" s="141" t="str">
        <f t="shared" si="371"/>
        <v>NVT</v>
      </c>
      <c r="Q994" s="141" t="str">
        <f t="shared" si="372"/>
        <v>NVT</v>
      </c>
      <c r="R994" s="197" t="s">
        <v>1221</v>
      </c>
      <c r="S994" s="142">
        <f t="shared" si="380"/>
        <v>0</v>
      </c>
      <c r="T994" s="143">
        <v>1</v>
      </c>
      <c r="U994" s="144">
        <v>4</v>
      </c>
      <c r="V994" s="144"/>
      <c r="W994" s="144"/>
      <c r="X994" s="144"/>
      <c r="Y994" s="144"/>
      <c r="Z994" s="145"/>
      <c r="AA994" s="145">
        <f>T994</f>
        <v>1</v>
      </c>
      <c r="AB994" s="145"/>
      <c r="AC994" s="145"/>
      <c r="AD994" s="146"/>
      <c r="AE994" s="171">
        <v>1</v>
      </c>
      <c r="AF994" s="147">
        <f t="shared" si="373"/>
        <v>0</v>
      </c>
      <c r="AG994" s="147">
        <f t="shared" si="374"/>
        <v>0</v>
      </c>
      <c r="AH994" s="147">
        <f t="shared" si="375"/>
        <v>0</v>
      </c>
      <c r="AI994" s="147">
        <f t="shared" si="376"/>
        <v>0</v>
      </c>
      <c r="AJ994" s="148">
        <f t="shared" si="377"/>
        <v>0</v>
      </c>
      <c r="AK994" s="149">
        <f t="shared" si="382"/>
        <v>0</v>
      </c>
      <c r="AL994" s="149">
        <f t="shared" si="383"/>
        <v>0</v>
      </c>
      <c r="AM994" s="149">
        <f t="shared" si="384"/>
        <v>0</v>
      </c>
      <c r="AN994" s="149">
        <f t="shared" si="385"/>
        <v>0</v>
      </c>
      <c r="AO994" s="150">
        <f t="shared" si="378"/>
        <v>0</v>
      </c>
      <c r="AQ994" s="151">
        <f t="shared" si="379"/>
        <v>0</v>
      </c>
    </row>
    <row r="995" spans="1:43" ht="15" customHeight="1">
      <c r="A995" s="82" t="e">
        <f t="shared" si="364"/>
        <v>#REF!</v>
      </c>
      <c r="B995" s="134">
        <v>118</v>
      </c>
      <c r="C995" s="135" t="s">
        <v>299</v>
      </c>
      <c r="D995" s="136" t="s">
        <v>39</v>
      </c>
      <c r="E995" s="137"/>
      <c r="F995" s="138" t="s">
        <v>101</v>
      </c>
      <c r="G995" s="139" t="s">
        <v>25</v>
      </c>
      <c r="H995" s="140" t="str">
        <f t="shared" si="365"/>
        <v>Perrons</v>
      </c>
      <c r="I995" s="138" t="s">
        <v>199</v>
      </c>
      <c r="J995" s="138" t="s">
        <v>1170</v>
      </c>
      <c r="K995" s="141" t="str">
        <f t="shared" si="366"/>
        <v>Volledig</v>
      </c>
      <c r="L995" s="141" t="str">
        <f t="shared" si="367"/>
        <v>naloop</v>
      </c>
      <c r="M995" s="141" t="str">
        <f t="shared" si="368"/>
        <v>naloop</v>
      </c>
      <c r="N995" s="141" t="str">
        <f t="shared" si="369"/>
        <v>Volledig</v>
      </c>
      <c r="O995" s="141" t="str">
        <f t="shared" si="370"/>
        <v>naloop</v>
      </c>
      <c r="P995" s="141" t="str">
        <f t="shared" si="371"/>
        <v>naloop</v>
      </c>
      <c r="Q995" s="141" t="str">
        <f t="shared" si="372"/>
        <v>naloop</v>
      </c>
      <c r="R995" s="63" t="s">
        <v>1472</v>
      </c>
      <c r="S995" s="142">
        <f t="shared" si="380"/>
        <v>365</v>
      </c>
      <c r="T995" s="143">
        <v>1340</v>
      </c>
      <c r="U995" s="144"/>
      <c r="V995" s="144"/>
      <c r="W995" s="144"/>
      <c r="X995" s="144"/>
      <c r="Y995" s="144"/>
      <c r="Z995" s="145">
        <v>536</v>
      </c>
      <c r="AA995" s="145"/>
      <c r="AB995" s="145"/>
      <c r="AC995" s="145"/>
      <c r="AD995" s="146"/>
      <c r="AE995" s="171">
        <v>1</v>
      </c>
      <c r="AF995" s="147">
        <f t="shared" si="373"/>
        <v>0</v>
      </c>
      <c r="AG995" s="147">
        <f t="shared" si="374"/>
        <v>0</v>
      </c>
      <c r="AH995" s="147">
        <f t="shared" si="375"/>
        <v>0</v>
      </c>
      <c r="AI995" s="147">
        <f t="shared" si="376"/>
        <v>0</v>
      </c>
      <c r="AJ995" s="148" t="str">
        <f t="shared" si="377"/>
        <v>ja</v>
      </c>
      <c r="AK995" s="149">
        <f t="shared" si="382"/>
        <v>0</v>
      </c>
      <c r="AL995" s="149">
        <f t="shared" si="383"/>
        <v>0</v>
      </c>
      <c r="AM995" s="149">
        <f t="shared" si="384"/>
        <v>0</v>
      </c>
      <c r="AN995" s="149">
        <f t="shared" si="385"/>
        <v>0</v>
      </c>
      <c r="AO995" s="150" t="str">
        <f t="shared" si="378"/>
        <v>V</v>
      </c>
      <c r="AQ995" s="151">
        <f t="shared" si="379"/>
        <v>489100</v>
      </c>
    </row>
    <row r="996" spans="1:43" ht="15" customHeight="1">
      <c r="A996" s="82" t="e">
        <f t="shared" si="364"/>
        <v>#REF!</v>
      </c>
      <c r="B996" s="134">
        <v>118</v>
      </c>
      <c r="C996" s="135" t="s">
        <v>299</v>
      </c>
      <c r="D996" s="136" t="s">
        <v>39</v>
      </c>
      <c r="E996" s="137"/>
      <c r="F996" s="138" t="s">
        <v>312</v>
      </c>
      <c r="G996" s="139" t="s">
        <v>313</v>
      </c>
      <c r="H996" s="140" t="str">
        <f t="shared" si="365"/>
        <v>Trappen</v>
      </c>
      <c r="I996" s="138" t="s">
        <v>118</v>
      </c>
      <c r="J996" s="138" t="s">
        <v>1170</v>
      </c>
      <c r="K996" s="141" t="str">
        <f t="shared" si="366"/>
        <v>Volledig</v>
      </c>
      <c r="L996" s="141" t="str">
        <f t="shared" si="367"/>
        <v>naloop</v>
      </c>
      <c r="M996" s="141" t="str">
        <f t="shared" si="368"/>
        <v>naloop</v>
      </c>
      <c r="N996" s="141" t="str">
        <f t="shared" si="369"/>
        <v>Volledig</v>
      </c>
      <c r="O996" s="141" t="str">
        <f t="shared" si="370"/>
        <v>naloop</v>
      </c>
      <c r="P996" s="141" t="str">
        <f t="shared" si="371"/>
        <v>naloop</v>
      </c>
      <c r="Q996" s="141" t="str">
        <f t="shared" si="372"/>
        <v>naloop</v>
      </c>
      <c r="R996" s="63" t="s">
        <v>1476</v>
      </c>
      <c r="S996" s="142">
        <f t="shared" si="380"/>
        <v>365</v>
      </c>
      <c r="T996" s="143">
        <v>30</v>
      </c>
      <c r="U996" s="144" t="s">
        <v>489</v>
      </c>
      <c r="V996" s="144"/>
      <c r="W996" s="144"/>
      <c r="X996" s="144"/>
      <c r="Y996" s="144"/>
      <c r="Z996" s="145"/>
      <c r="AA996" s="145"/>
      <c r="AB996" s="145">
        <f>T996</f>
        <v>30</v>
      </c>
      <c r="AC996" s="145"/>
      <c r="AD996" s="146"/>
      <c r="AE996" s="171">
        <v>1</v>
      </c>
      <c r="AF996" s="147">
        <f t="shared" si="373"/>
        <v>0</v>
      </c>
      <c r="AG996" s="147">
        <f t="shared" si="374"/>
        <v>0</v>
      </c>
      <c r="AH996" s="147">
        <f t="shared" si="375"/>
        <v>0</v>
      </c>
      <c r="AI996" s="147">
        <f t="shared" si="376"/>
        <v>0</v>
      </c>
      <c r="AJ996" s="148" t="str">
        <f t="shared" si="377"/>
        <v>ja</v>
      </c>
      <c r="AK996" s="149">
        <f t="shared" si="382"/>
        <v>0</v>
      </c>
      <c r="AL996" s="149">
        <f t="shared" si="383"/>
        <v>0</v>
      </c>
      <c r="AM996" s="149">
        <f t="shared" si="384"/>
        <v>0</v>
      </c>
      <c r="AN996" s="149">
        <f t="shared" si="385"/>
        <v>0</v>
      </c>
      <c r="AO996" s="150" t="str">
        <f t="shared" si="378"/>
        <v>V</v>
      </c>
      <c r="AQ996" s="151">
        <f t="shared" si="379"/>
        <v>10950</v>
      </c>
    </row>
    <row r="997" spans="1:43" ht="15" customHeight="1">
      <c r="A997" s="82" t="e">
        <f t="shared" si="364"/>
        <v>#REF!</v>
      </c>
      <c r="B997" s="134">
        <v>118</v>
      </c>
      <c r="C997" s="135" t="s">
        <v>299</v>
      </c>
      <c r="D997" s="136" t="s">
        <v>39</v>
      </c>
      <c r="E997" s="137"/>
      <c r="F997" s="138" t="s">
        <v>314</v>
      </c>
      <c r="G997" s="139" t="s">
        <v>315</v>
      </c>
      <c r="H997" s="140" t="str">
        <f t="shared" si="365"/>
        <v>Niet van toepassing</v>
      </c>
      <c r="I997" s="138" t="s">
        <v>254</v>
      </c>
      <c r="J997" s="138" t="s">
        <v>1172</v>
      </c>
      <c r="K997" s="141" t="str">
        <f t="shared" si="366"/>
        <v>NVT</v>
      </c>
      <c r="L997" s="141" t="str">
        <f t="shared" si="367"/>
        <v>NVT</v>
      </c>
      <c r="M997" s="141" t="str">
        <f t="shared" si="368"/>
        <v>NVT</v>
      </c>
      <c r="N997" s="141" t="str">
        <f t="shared" si="369"/>
        <v>NVT</v>
      </c>
      <c r="O997" s="141" t="str">
        <f t="shared" si="370"/>
        <v>NVT</v>
      </c>
      <c r="P997" s="141" t="str">
        <f t="shared" si="371"/>
        <v>NVT</v>
      </c>
      <c r="Q997" s="141" t="str">
        <f t="shared" si="372"/>
        <v>NVT</v>
      </c>
      <c r="R997" s="63" t="s">
        <v>1221</v>
      </c>
      <c r="S997" s="142">
        <f t="shared" si="380"/>
        <v>0</v>
      </c>
      <c r="T997" s="143">
        <v>19</v>
      </c>
      <c r="U997" s="144"/>
      <c r="V997" s="144">
        <v>18</v>
      </c>
      <c r="W997" s="144"/>
      <c r="X997" s="144"/>
      <c r="Y997" s="144"/>
      <c r="Z997" s="145"/>
      <c r="AA997" s="145"/>
      <c r="AB997" s="145">
        <f>T997</f>
        <v>19</v>
      </c>
      <c r="AC997" s="145"/>
      <c r="AD997" s="146"/>
      <c r="AE997" s="171">
        <v>1</v>
      </c>
      <c r="AF997" s="147">
        <f t="shared" si="373"/>
        <v>0</v>
      </c>
      <c r="AG997" s="147">
        <f t="shared" si="374"/>
        <v>0</v>
      </c>
      <c r="AH997" s="147">
        <f t="shared" si="375"/>
        <v>0</v>
      </c>
      <c r="AI997" s="147">
        <f t="shared" si="376"/>
        <v>0</v>
      </c>
      <c r="AJ997" s="148">
        <f t="shared" si="377"/>
        <v>0</v>
      </c>
      <c r="AK997" s="149">
        <f t="shared" si="382"/>
        <v>0</v>
      </c>
      <c r="AL997" s="149">
        <f t="shared" si="383"/>
        <v>0</v>
      </c>
      <c r="AM997" s="149">
        <f t="shared" si="384"/>
        <v>0</v>
      </c>
      <c r="AN997" s="149">
        <f t="shared" si="385"/>
        <v>0</v>
      </c>
      <c r="AO997" s="150">
        <f t="shared" si="378"/>
        <v>0</v>
      </c>
      <c r="AQ997" s="151">
        <f t="shared" si="379"/>
        <v>0</v>
      </c>
    </row>
    <row r="998" spans="1:43" ht="15" customHeight="1">
      <c r="A998" s="82" t="e">
        <f t="shared" si="364"/>
        <v>#REF!</v>
      </c>
      <c r="B998" s="134">
        <v>118</v>
      </c>
      <c r="C998" s="135" t="s">
        <v>299</v>
      </c>
      <c r="D998" s="136" t="s">
        <v>39</v>
      </c>
      <c r="E998" s="137"/>
      <c r="F998" s="138" t="s">
        <v>258</v>
      </c>
      <c r="G998" s="139" t="s">
        <v>452</v>
      </c>
      <c r="H998" s="140" t="str">
        <f t="shared" si="365"/>
        <v>Roltrappen(inclusief aangrenzende bouwdelen)</v>
      </c>
      <c r="I998" s="138" t="s">
        <v>920</v>
      </c>
      <c r="J998" s="138" t="s">
        <v>1170</v>
      </c>
      <c r="K998" s="141" t="str">
        <f t="shared" si="366"/>
        <v>Volledig</v>
      </c>
      <c r="L998" s="141" t="str">
        <f t="shared" si="367"/>
        <v>naloop</v>
      </c>
      <c r="M998" s="141" t="str">
        <f t="shared" si="368"/>
        <v>naloop</v>
      </c>
      <c r="N998" s="141" t="str">
        <f t="shared" si="369"/>
        <v>Volledig</v>
      </c>
      <c r="O998" s="141" t="str">
        <f t="shared" si="370"/>
        <v>naloop</v>
      </c>
      <c r="P998" s="141" t="str">
        <f t="shared" si="371"/>
        <v>naloop</v>
      </c>
      <c r="Q998" s="141" t="str">
        <f t="shared" si="372"/>
        <v>naloop</v>
      </c>
      <c r="R998" s="63" t="s">
        <v>1480</v>
      </c>
      <c r="S998" s="142">
        <f t="shared" si="380"/>
        <v>365</v>
      </c>
      <c r="T998" s="143">
        <v>27</v>
      </c>
      <c r="U998" s="144" t="s">
        <v>489</v>
      </c>
      <c r="V998" s="144"/>
      <c r="W998" s="144"/>
      <c r="X998" s="144"/>
      <c r="Y998" s="144"/>
      <c r="Z998" s="145"/>
      <c r="AA998" s="145"/>
      <c r="AB998" s="145">
        <f>T998</f>
        <v>27</v>
      </c>
      <c r="AC998" s="145"/>
      <c r="AD998" s="146"/>
      <c r="AE998" s="171">
        <v>1</v>
      </c>
      <c r="AF998" s="147">
        <f t="shared" si="373"/>
        <v>0</v>
      </c>
      <c r="AG998" s="147">
        <f t="shared" si="374"/>
        <v>0</v>
      </c>
      <c r="AH998" s="147">
        <f t="shared" si="375"/>
        <v>0</v>
      </c>
      <c r="AI998" s="147">
        <f t="shared" si="376"/>
        <v>0</v>
      </c>
      <c r="AJ998" s="148" t="str">
        <f t="shared" si="377"/>
        <v>ja</v>
      </c>
      <c r="AK998" s="149">
        <f t="shared" si="382"/>
        <v>0</v>
      </c>
      <c r="AL998" s="149">
        <f t="shared" si="383"/>
        <v>0</v>
      </c>
      <c r="AM998" s="149">
        <f t="shared" si="384"/>
        <v>0</v>
      </c>
      <c r="AN998" s="149">
        <f t="shared" si="385"/>
        <v>0</v>
      </c>
      <c r="AO998" s="150" t="str">
        <f t="shared" si="378"/>
        <v>V</v>
      </c>
      <c r="AQ998" s="151">
        <f t="shared" si="379"/>
        <v>9855</v>
      </c>
    </row>
    <row r="999" spans="1:43" ht="15" customHeight="1">
      <c r="A999" s="82" t="e">
        <f t="shared" si="364"/>
        <v>#REF!</v>
      </c>
      <c r="B999" s="134">
        <v>119</v>
      </c>
      <c r="C999" s="135" t="s">
        <v>479</v>
      </c>
      <c r="D999" s="136" t="s">
        <v>39</v>
      </c>
      <c r="E999" s="137"/>
      <c r="F999" s="138" t="s">
        <v>232</v>
      </c>
      <c r="G999" s="139" t="s">
        <v>113</v>
      </c>
      <c r="H999" s="140" t="str">
        <f t="shared" si="365"/>
        <v>Hallen</v>
      </c>
      <c r="I999" s="138" t="s">
        <v>195</v>
      </c>
      <c r="J999" s="138" t="s">
        <v>1171</v>
      </c>
      <c r="K999" s="141" t="str">
        <f t="shared" si="366"/>
        <v>Omde dag Vol/Nal.</v>
      </c>
      <c r="L999" s="141" t="str">
        <f t="shared" si="367"/>
        <v>Omde dag Nal./Vol</v>
      </c>
      <c r="M999" s="141" t="str">
        <f t="shared" si="368"/>
        <v>Omde dag Vol/Nal.</v>
      </c>
      <c r="N999" s="141" t="str">
        <f t="shared" si="369"/>
        <v>Omde dag Nal./Vol</v>
      </c>
      <c r="O999" s="141" t="str">
        <f t="shared" si="370"/>
        <v>Omde dag Vol/Nal.</v>
      </c>
      <c r="P999" s="141" t="str">
        <f t="shared" si="371"/>
        <v>Omde dag Nal./Vol</v>
      </c>
      <c r="Q999" s="141" t="str">
        <f t="shared" si="372"/>
        <v>Omde dag Vol/Nal.</v>
      </c>
      <c r="R999" s="63" t="s">
        <v>1479</v>
      </c>
      <c r="S999" s="142">
        <f t="shared" si="380"/>
        <v>365</v>
      </c>
      <c r="T999" s="143">
        <v>190</v>
      </c>
      <c r="U999" s="144"/>
      <c r="V999" s="144"/>
      <c r="W999" s="144"/>
      <c r="X999" s="144"/>
      <c r="Y999" s="144"/>
      <c r="Z999" s="145"/>
      <c r="AA999" s="145"/>
      <c r="AB999" s="145"/>
      <c r="AC999" s="145">
        <f>T999</f>
        <v>190</v>
      </c>
      <c r="AD999" s="146"/>
      <c r="AE999" s="171">
        <v>1</v>
      </c>
      <c r="AF999" s="147">
        <f t="shared" si="373"/>
        <v>0</v>
      </c>
      <c r="AG999" s="147">
        <f t="shared" si="374"/>
        <v>0</v>
      </c>
      <c r="AH999" s="147">
        <f t="shared" si="375"/>
        <v>0</v>
      </c>
      <c r="AI999" s="147">
        <f t="shared" si="376"/>
        <v>0</v>
      </c>
      <c r="AJ999" s="148" t="str">
        <f t="shared" si="377"/>
        <v>ja</v>
      </c>
      <c r="AK999" s="149">
        <f t="shared" si="382"/>
        <v>0</v>
      </c>
      <c r="AL999" s="149">
        <f t="shared" si="383"/>
        <v>0</v>
      </c>
      <c r="AM999" s="149">
        <f t="shared" si="384"/>
        <v>0</v>
      </c>
      <c r="AN999" s="149">
        <f t="shared" si="385"/>
        <v>0</v>
      </c>
      <c r="AO999" s="150" t="str">
        <f t="shared" si="378"/>
        <v>V</v>
      </c>
      <c r="AQ999" s="151">
        <f t="shared" si="379"/>
        <v>69350</v>
      </c>
    </row>
    <row r="1000" spans="1:43" ht="15" customHeight="1">
      <c r="A1000" s="82" t="e">
        <f>1+#REF!</f>
        <v>#REF!</v>
      </c>
      <c r="B1000" s="134">
        <v>119</v>
      </c>
      <c r="C1000" s="135" t="s">
        <v>479</v>
      </c>
      <c r="D1000" s="136" t="s">
        <v>39</v>
      </c>
      <c r="E1000" s="137"/>
      <c r="F1000" s="138" t="s">
        <v>114</v>
      </c>
      <c r="G1000" s="139" t="s">
        <v>276</v>
      </c>
      <c r="H1000" s="140" t="str">
        <f t="shared" si="365"/>
        <v>Trappen</v>
      </c>
      <c r="I1000" s="138" t="s">
        <v>254</v>
      </c>
      <c r="J1000" s="138" t="s">
        <v>1171</v>
      </c>
      <c r="K1000" s="141" t="str">
        <f t="shared" si="366"/>
        <v>Omde dag Vol/Nal.</v>
      </c>
      <c r="L1000" s="141" t="str">
        <f t="shared" si="367"/>
        <v>Omde dag Nal./Vol</v>
      </c>
      <c r="M1000" s="141" t="str">
        <f t="shared" si="368"/>
        <v>Omde dag Vol/Nal.</v>
      </c>
      <c r="N1000" s="141" t="str">
        <f t="shared" si="369"/>
        <v>Omde dag Nal./Vol</v>
      </c>
      <c r="O1000" s="141" t="str">
        <f t="shared" si="370"/>
        <v>Omde dag Vol/Nal.</v>
      </c>
      <c r="P1000" s="141" t="str">
        <f t="shared" si="371"/>
        <v>Omde dag Nal./Vol</v>
      </c>
      <c r="Q1000" s="141" t="str">
        <f t="shared" si="372"/>
        <v>Omde dag Vol/Nal.</v>
      </c>
      <c r="R1000" s="63" t="s">
        <v>1477</v>
      </c>
      <c r="S1000" s="142">
        <f t="shared" si="380"/>
        <v>365</v>
      </c>
      <c r="T1000" s="143">
        <v>6</v>
      </c>
      <c r="U1000" s="144"/>
      <c r="V1000" s="144"/>
      <c r="W1000" s="144"/>
      <c r="X1000" s="144"/>
      <c r="Y1000" s="144"/>
      <c r="Z1000" s="145"/>
      <c r="AA1000" s="145"/>
      <c r="AB1000" s="145"/>
      <c r="AC1000" s="145">
        <f>T1000</f>
        <v>6</v>
      </c>
      <c r="AD1000" s="146"/>
      <c r="AE1000" s="171">
        <v>1</v>
      </c>
      <c r="AF1000" s="147">
        <f t="shared" si="373"/>
        <v>0</v>
      </c>
      <c r="AG1000" s="147">
        <f t="shared" si="374"/>
        <v>0</v>
      </c>
      <c r="AH1000" s="147">
        <f t="shared" si="375"/>
        <v>0</v>
      </c>
      <c r="AI1000" s="147">
        <f t="shared" si="376"/>
        <v>0</v>
      </c>
      <c r="AJ1000" s="148" t="str">
        <f t="shared" si="377"/>
        <v>ja</v>
      </c>
      <c r="AK1000" s="149">
        <f t="shared" si="382"/>
        <v>0</v>
      </c>
      <c r="AL1000" s="149">
        <f t="shared" si="383"/>
        <v>0</v>
      </c>
      <c r="AM1000" s="149">
        <f t="shared" si="384"/>
        <v>0</v>
      </c>
      <c r="AN1000" s="149">
        <f t="shared" si="385"/>
        <v>0</v>
      </c>
      <c r="AO1000" s="150" t="str">
        <f t="shared" si="378"/>
        <v>V</v>
      </c>
      <c r="AQ1000" s="151">
        <f t="shared" si="379"/>
        <v>2190</v>
      </c>
    </row>
    <row r="1001" spans="1:43" ht="15" customHeight="1">
      <c r="A1001" s="82" t="e">
        <f t="shared" si="364"/>
        <v>#REF!</v>
      </c>
      <c r="B1001" s="134">
        <v>119</v>
      </c>
      <c r="C1001" s="135" t="s">
        <v>479</v>
      </c>
      <c r="D1001" s="136" t="s">
        <v>39</v>
      </c>
      <c r="E1001" s="137"/>
      <c r="F1001" s="138" t="s">
        <v>271</v>
      </c>
      <c r="G1001" s="139" t="s">
        <v>29</v>
      </c>
      <c r="H1001" s="140" t="str">
        <f t="shared" si="365"/>
        <v>Niet van toepassing</v>
      </c>
      <c r="I1001" s="138" t="s">
        <v>254</v>
      </c>
      <c r="J1001" s="138" t="s">
        <v>1172</v>
      </c>
      <c r="K1001" s="141" t="str">
        <f t="shared" si="366"/>
        <v>NVT</v>
      </c>
      <c r="L1001" s="141" t="str">
        <f t="shared" si="367"/>
        <v>NVT</v>
      </c>
      <c r="M1001" s="141" t="str">
        <f t="shared" si="368"/>
        <v>NVT</v>
      </c>
      <c r="N1001" s="141" t="str">
        <f t="shared" si="369"/>
        <v>NVT</v>
      </c>
      <c r="O1001" s="141" t="str">
        <f t="shared" si="370"/>
        <v>NVT</v>
      </c>
      <c r="P1001" s="141" t="str">
        <f t="shared" si="371"/>
        <v>NVT</v>
      </c>
      <c r="Q1001" s="141" t="str">
        <f t="shared" si="372"/>
        <v>NVT</v>
      </c>
      <c r="R1001" s="63" t="s">
        <v>1221</v>
      </c>
      <c r="S1001" s="142">
        <f t="shared" si="380"/>
        <v>0</v>
      </c>
      <c r="T1001" s="143">
        <v>9</v>
      </c>
      <c r="U1001" s="144"/>
      <c r="V1001" s="144"/>
      <c r="W1001" s="144">
        <v>39</v>
      </c>
      <c r="X1001" s="144"/>
      <c r="Y1001" s="144"/>
      <c r="Z1001" s="145"/>
      <c r="AA1001" s="145">
        <f>T1001</f>
        <v>9</v>
      </c>
      <c r="AB1001" s="145"/>
      <c r="AC1001" s="145"/>
      <c r="AD1001" s="146"/>
      <c r="AE1001" s="171">
        <v>1</v>
      </c>
      <c r="AF1001" s="147">
        <f t="shared" si="373"/>
        <v>0</v>
      </c>
      <c r="AG1001" s="147">
        <f t="shared" si="374"/>
        <v>0</v>
      </c>
      <c r="AH1001" s="147">
        <f t="shared" si="375"/>
        <v>0</v>
      </c>
      <c r="AI1001" s="147">
        <f t="shared" si="376"/>
        <v>0</v>
      </c>
      <c r="AJ1001" s="148">
        <f t="shared" si="377"/>
        <v>0</v>
      </c>
      <c r="AK1001" s="149">
        <f t="shared" si="382"/>
        <v>0</v>
      </c>
      <c r="AL1001" s="149">
        <f t="shared" si="383"/>
        <v>0</v>
      </c>
      <c r="AM1001" s="149">
        <f t="shared" si="384"/>
        <v>0</v>
      </c>
      <c r="AN1001" s="149">
        <f t="shared" si="385"/>
        <v>0</v>
      </c>
      <c r="AO1001" s="150">
        <f t="shared" si="378"/>
        <v>0</v>
      </c>
      <c r="AQ1001" s="151">
        <f t="shared" si="379"/>
        <v>0</v>
      </c>
    </row>
    <row r="1002" spans="1:43" ht="15" customHeight="1">
      <c r="A1002" s="82" t="e">
        <f t="shared" si="364"/>
        <v>#REF!</v>
      </c>
      <c r="B1002" s="134">
        <v>119</v>
      </c>
      <c r="C1002" s="135" t="s">
        <v>479</v>
      </c>
      <c r="D1002" s="136" t="s">
        <v>39</v>
      </c>
      <c r="E1002" s="137"/>
      <c r="F1002" s="138" t="s">
        <v>462</v>
      </c>
      <c r="G1002" s="139" t="s">
        <v>282</v>
      </c>
      <c r="H1002" s="140" t="str">
        <f t="shared" si="365"/>
        <v>Niet van toepassing</v>
      </c>
      <c r="I1002" s="138" t="s">
        <v>254</v>
      </c>
      <c r="J1002" s="138" t="s">
        <v>1172</v>
      </c>
      <c r="K1002" s="141" t="str">
        <f t="shared" si="366"/>
        <v>NVT</v>
      </c>
      <c r="L1002" s="141" t="str">
        <f t="shared" si="367"/>
        <v>NVT</v>
      </c>
      <c r="M1002" s="141" t="str">
        <f t="shared" si="368"/>
        <v>NVT</v>
      </c>
      <c r="N1002" s="141" t="str">
        <f t="shared" si="369"/>
        <v>NVT</v>
      </c>
      <c r="O1002" s="141" t="str">
        <f t="shared" si="370"/>
        <v>NVT</v>
      </c>
      <c r="P1002" s="141" t="str">
        <f t="shared" si="371"/>
        <v>NVT</v>
      </c>
      <c r="Q1002" s="141" t="str">
        <f t="shared" si="372"/>
        <v>NVT</v>
      </c>
      <c r="R1002" s="63" t="s">
        <v>1221</v>
      </c>
      <c r="S1002" s="142">
        <f t="shared" si="380"/>
        <v>0</v>
      </c>
      <c r="T1002" s="143">
        <v>4</v>
      </c>
      <c r="U1002" s="144"/>
      <c r="V1002" s="144">
        <v>24</v>
      </c>
      <c r="W1002" s="144"/>
      <c r="X1002" s="144"/>
      <c r="Y1002" s="144"/>
      <c r="Z1002" s="145"/>
      <c r="AA1002" s="145"/>
      <c r="AB1002" s="145">
        <f>T1002</f>
        <v>4</v>
      </c>
      <c r="AC1002" s="145"/>
      <c r="AD1002" s="146"/>
      <c r="AE1002" s="171">
        <v>1</v>
      </c>
      <c r="AF1002" s="147">
        <f t="shared" si="373"/>
        <v>0</v>
      </c>
      <c r="AG1002" s="147">
        <f t="shared" si="374"/>
        <v>0</v>
      </c>
      <c r="AH1002" s="147">
        <f t="shared" si="375"/>
        <v>0</v>
      </c>
      <c r="AI1002" s="147">
        <f t="shared" si="376"/>
        <v>0</v>
      </c>
      <c r="AJ1002" s="148">
        <f t="shared" si="377"/>
        <v>0</v>
      </c>
      <c r="AK1002" s="149">
        <f t="shared" si="382"/>
        <v>0</v>
      </c>
      <c r="AL1002" s="149">
        <f t="shared" si="383"/>
        <v>0</v>
      </c>
      <c r="AM1002" s="149">
        <f t="shared" si="384"/>
        <v>0</v>
      </c>
      <c r="AN1002" s="149">
        <f t="shared" si="385"/>
        <v>0</v>
      </c>
      <c r="AO1002" s="150">
        <f t="shared" si="378"/>
        <v>0</v>
      </c>
      <c r="AQ1002" s="151">
        <f t="shared" si="379"/>
        <v>0</v>
      </c>
    </row>
    <row r="1003" spans="1:43" ht="15" customHeight="1">
      <c r="A1003" s="82" t="e">
        <f t="shared" si="364"/>
        <v>#REF!</v>
      </c>
      <c r="B1003" s="134">
        <v>119</v>
      </c>
      <c r="C1003" s="135" t="s">
        <v>479</v>
      </c>
      <c r="D1003" s="136" t="s">
        <v>39</v>
      </c>
      <c r="E1003" s="137"/>
      <c r="F1003" s="138" t="s">
        <v>464</v>
      </c>
      <c r="G1003" s="139" t="s">
        <v>30</v>
      </c>
      <c r="H1003" s="140" t="str">
        <f t="shared" si="365"/>
        <v>Niet van toepassing</v>
      </c>
      <c r="I1003" s="138" t="s">
        <v>18</v>
      </c>
      <c r="J1003" s="138" t="s">
        <v>1172</v>
      </c>
      <c r="K1003" s="141" t="str">
        <f t="shared" si="366"/>
        <v>NVT</v>
      </c>
      <c r="L1003" s="141" t="str">
        <f t="shared" si="367"/>
        <v>NVT</v>
      </c>
      <c r="M1003" s="141" t="str">
        <f t="shared" si="368"/>
        <v>NVT</v>
      </c>
      <c r="N1003" s="141" t="str">
        <f t="shared" si="369"/>
        <v>NVT</v>
      </c>
      <c r="O1003" s="141" t="str">
        <f t="shared" si="370"/>
        <v>NVT</v>
      </c>
      <c r="P1003" s="141" t="str">
        <f t="shared" si="371"/>
        <v>NVT</v>
      </c>
      <c r="Q1003" s="141" t="str">
        <f t="shared" si="372"/>
        <v>NVT</v>
      </c>
      <c r="R1003" s="63" t="s">
        <v>1221</v>
      </c>
      <c r="S1003" s="142">
        <f t="shared" si="380"/>
        <v>0</v>
      </c>
      <c r="T1003" s="143">
        <v>6</v>
      </c>
      <c r="U1003" s="144"/>
      <c r="V1003" s="144"/>
      <c r="W1003" s="144">
        <v>30</v>
      </c>
      <c r="X1003" s="144"/>
      <c r="Y1003" s="144"/>
      <c r="Z1003" s="145"/>
      <c r="AA1003" s="145">
        <f>T1003</f>
        <v>6</v>
      </c>
      <c r="AB1003" s="145"/>
      <c r="AC1003" s="145"/>
      <c r="AD1003" s="146"/>
      <c r="AE1003" s="171">
        <v>1</v>
      </c>
      <c r="AF1003" s="147">
        <f t="shared" si="373"/>
        <v>0</v>
      </c>
      <c r="AG1003" s="147">
        <f t="shared" si="374"/>
        <v>0</v>
      </c>
      <c r="AH1003" s="147">
        <f t="shared" si="375"/>
        <v>0</v>
      </c>
      <c r="AI1003" s="147">
        <f t="shared" si="376"/>
        <v>0</v>
      </c>
      <c r="AJ1003" s="148">
        <f t="shared" si="377"/>
        <v>0</v>
      </c>
      <c r="AK1003" s="149">
        <f t="shared" si="382"/>
        <v>0</v>
      </c>
      <c r="AL1003" s="149">
        <f t="shared" si="383"/>
        <v>0</v>
      </c>
      <c r="AM1003" s="149">
        <f t="shared" si="384"/>
        <v>0</v>
      </c>
      <c r="AN1003" s="149">
        <f t="shared" si="385"/>
        <v>0</v>
      </c>
      <c r="AO1003" s="150">
        <f t="shared" si="378"/>
        <v>0</v>
      </c>
      <c r="AQ1003" s="151">
        <f t="shared" si="379"/>
        <v>0</v>
      </c>
    </row>
    <row r="1004" spans="1:43" ht="15" customHeight="1">
      <c r="A1004" s="82" t="e">
        <f t="shared" si="364"/>
        <v>#REF!</v>
      </c>
      <c r="B1004" s="134">
        <v>119</v>
      </c>
      <c r="C1004" s="135" t="s">
        <v>479</v>
      </c>
      <c r="D1004" s="136" t="s">
        <v>39</v>
      </c>
      <c r="E1004" s="137"/>
      <c r="F1004" s="138" t="s">
        <v>464</v>
      </c>
      <c r="G1004" s="139" t="s">
        <v>31</v>
      </c>
      <c r="H1004" s="140" t="str">
        <f t="shared" si="365"/>
        <v>Niet van toepassing</v>
      </c>
      <c r="I1004" s="138" t="s">
        <v>18</v>
      </c>
      <c r="J1004" s="138" t="s">
        <v>1172</v>
      </c>
      <c r="K1004" s="141" t="str">
        <f t="shared" si="366"/>
        <v>NVT</v>
      </c>
      <c r="L1004" s="141" t="str">
        <f t="shared" si="367"/>
        <v>NVT</v>
      </c>
      <c r="M1004" s="141" t="str">
        <f t="shared" si="368"/>
        <v>NVT</v>
      </c>
      <c r="N1004" s="141" t="str">
        <f t="shared" si="369"/>
        <v>NVT</v>
      </c>
      <c r="O1004" s="141" t="str">
        <f t="shared" si="370"/>
        <v>NVT</v>
      </c>
      <c r="P1004" s="141" t="str">
        <f t="shared" si="371"/>
        <v>NVT</v>
      </c>
      <c r="Q1004" s="141" t="str">
        <f t="shared" si="372"/>
        <v>NVT</v>
      </c>
      <c r="R1004" s="63" t="s">
        <v>1221</v>
      </c>
      <c r="S1004" s="142">
        <f t="shared" si="380"/>
        <v>0</v>
      </c>
      <c r="T1004" s="143">
        <v>6</v>
      </c>
      <c r="U1004" s="144"/>
      <c r="V1004" s="144"/>
      <c r="W1004" s="144">
        <v>30</v>
      </c>
      <c r="X1004" s="144"/>
      <c r="Y1004" s="144"/>
      <c r="Z1004" s="145"/>
      <c r="AA1004" s="145">
        <f>T1004</f>
        <v>6</v>
      </c>
      <c r="AB1004" s="145"/>
      <c r="AC1004" s="145"/>
      <c r="AD1004" s="146"/>
      <c r="AE1004" s="171">
        <v>1</v>
      </c>
      <c r="AF1004" s="147">
        <f t="shared" si="373"/>
        <v>0</v>
      </c>
      <c r="AG1004" s="147">
        <f t="shared" si="374"/>
        <v>0</v>
      </c>
      <c r="AH1004" s="147">
        <f t="shared" si="375"/>
        <v>0</v>
      </c>
      <c r="AI1004" s="147">
        <f t="shared" si="376"/>
        <v>0</v>
      </c>
      <c r="AJ1004" s="148">
        <f t="shared" si="377"/>
        <v>0</v>
      </c>
      <c r="AK1004" s="149">
        <f t="shared" si="382"/>
        <v>0</v>
      </c>
      <c r="AL1004" s="149">
        <f t="shared" si="383"/>
        <v>0</v>
      </c>
      <c r="AM1004" s="149">
        <f t="shared" si="384"/>
        <v>0</v>
      </c>
      <c r="AN1004" s="149">
        <f t="shared" si="385"/>
        <v>0</v>
      </c>
      <c r="AO1004" s="150">
        <f t="shared" si="378"/>
        <v>0</v>
      </c>
      <c r="AQ1004" s="151">
        <f t="shared" si="379"/>
        <v>0</v>
      </c>
    </row>
    <row r="1005" spans="1:43" ht="15" customHeight="1">
      <c r="A1005" s="82" t="e">
        <f t="shared" si="364"/>
        <v>#REF!</v>
      </c>
      <c r="B1005" s="134">
        <v>119</v>
      </c>
      <c r="C1005" s="135" t="s">
        <v>479</v>
      </c>
      <c r="D1005" s="136" t="s">
        <v>39</v>
      </c>
      <c r="E1005" s="137"/>
      <c r="F1005" s="138" t="s">
        <v>465</v>
      </c>
      <c r="G1005" s="139" t="s">
        <v>32</v>
      </c>
      <c r="H1005" s="140" t="str">
        <f t="shared" si="365"/>
        <v>Niet van toepassing</v>
      </c>
      <c r="I1005" s="138" t="s">
        <v>195</v>
      </c>
      <c r="J1005" s="138" t="s">
        <v>1172</v>
      </c>
      <c r="K1005" s="141" t="str">
        <f t="shared" si="366"/>
        <v>NVT</v>
      </c>
      <c r="L1005" s="141" t="str">
        <f t="shared" si="367"/>
        <v>NVT</v>
      </c>
      <c r="M1005" s="141" t="str">
        <f t="shared" si="368"/>
        <v>NVT</v>
      </c>
      <c r="N1005" s="141" t="str">
        <f t="shared" si="369"/>
        <v>NVT</v>
      </c>
      <c r="O1005" s="141" t="str">
        <f t="shared" si="370"/>
        <v>NVT</v>
      </c>
      <c r="P1005" s="141" t="str">
        <f t="shared" si="371"/>
        <v>NVT</v>
      </c>
      <c r="Q1005" s="141" t="str">
        <f t="shared" si="372"/>
        <v>NVT</v>
      </c>
      <c r="R1005" s="63" t="s">
        <v>1221</v>
      </c>
      <c r="S1005" s="142">
        <f t="shared" si="380"/>
        <v>0</v>
      </c>
      <c r="T1005" s="143">
        <v>12</v>
      </c>
      <c r="U1005" s="144"/>
      <c r="V1005" s="144">
        <v>48</v>
      </c>
      <c r="W1005" s="144"/>
      <c r="X1005" s="144"/>
      <c r="Y1005" s="144"/>
      <c r="Z1005" s="145"/>
      <c r="AA1005" s="145"/>
      <c r="AB1005" s="145">
        <f>T1005</f>
        <v>12</v>
      </c>
      <c r="AC1005" s="145"/>
      <c r="AD1005" s="146"/>
      <c r="AE1005" s="171">
        <v>1</v>
      </c>
      <c r="AF1005" s="147">
        <f t="shared" si="373"/>
        <v>0</v>
      </c>
      <c r="AG1005" s="147">
        <f t="shared" si="374"/>
        <v>0</v>
      </c>
      <c r="AH1005" s="147">
        <f t="shared" si="375"/>
        <v>0</v>
      </c>
      <c r="AI1005" s="147">
        <f t="shared" si="376"/>
        <v>0</v>
      </c>
      <c r="AJ1005" s="148">
        <f t="shared" si="377"/>
        <v>0</v>
      </c>
      <c r="AK1005" s="149">
        <f t="shared" si="382"/>
        <v>0</v>
      </c>
      <c r="AL1005" s="149">
        <f t="shared" si="383"/>
        <v>0</v>
      </c>
      <c r="AM1005" s="149">
        <f t="shared" si="384"/>
        <v>0</v>
      </c>
      <c r="AN1005" s="149">
        <f t="shared" si="385"/>
        <v>0</v>
      </c>
      <c r="AO1005" s="150">
        <f t="shared" si="378"/>
        <v>0</v>
      </c>
      <c r="AQ1005" s="151">
        <f t="shared" si="379"/>
        <v>0</v>
      </c>
    </row>
    <row r="1006" spans="1:43" ht="15" customHeight="1">
      <c r="A1006" s="82" t="e">
        <f t="shared" si="364"/>
        <v>#REF!</v>
      </c>
      <c r="B1006" s="134">
        <v>119</v>
      </c>
      <c r="C1006" s="135" t="s">
        <v>479</v>
      </c>
      <c r="D1006" s="136" t="s">
        <v>39</v>
      </c>
      <c r="E1006" s="137"/>
      <c r="F1006" s="138" t="s">
        <v>474</v>
      </c>
      <c r="G1006" s="139" t="s">
        <v>287</v>
      </c>
      <c r="H1006" s="140" t="str">
        <f t="shared" si="365"/>
        <v>Sanitair</v>
      </c>
      <c r="I1006" s="138" t="s">
        <v>195</v>
      </c>
      <c r="J1006" s="138" t="s">
        <v>1171</v>
      </c>
      <c r="K1006" s="141" t="str">
        <f t="shared" si="366"/>
        <v>Omde dag Vol/Nal.</v>
      </c>
      <c r="L1006" s="141" t="str">
        <f t="shared" si="367"/>
        <v>Omde dag Nal./Vol</v>
      </c>
      <c r="M1006" s="141" t="str">
        <f t="shared" si="368"/>
        <v>Omde dag Vol/Nal.</v>
      </c>
      <c r="N1006" s="141" t="str">
        <f t="shared" si="369"/>
        <v>Omde dag Nal./Vol</v>
      </c>
      <c r="O1006" s="141" t="str">
        <f t="shared" si="370"/>
        <v>Omde dag Vol/Nal.</v>
      </c>
      <c r="P1006" s="141" t="str">
        <f t="shared" si="371"/>
        <v>Omde dag Nal./Vol</v>
      </c>
      <c r="Q1006" s="141" t="str">
        <f t="shared" si="372"/>
        <v>Omde dag Vol/Nal.</v>
      </c>
      <c r="R1006" s="63" t="s">
        <v>1211</v>
      </c>
      <c r="S1006" s="142">
        <f t="shared" si="380"/>
        <v>365</v>
      </c>
      <c r="T1006" s="143">
        <v>4</v>
      </c>
      <c r="U1006" s="144">
        <v>23</v>
      </c>
      <c r="V1006" s="144"/>
      <c r="W1006" s="144"/>
      <c r="X1006" s="144"/>
      <c r="Y1006" s="144"/>
      <c r="Z1006" s="145"/>
      <c r="AA1006" s="145"/>
      <c r="AB1006" s="145"/>
      <c r="AC1006" s="145">
        <f t="shared" ref="AC1006:AC1011" si="386">T1006</f>
        <v>4</v>
      </c>
      <c r="AD1006" s="146"/>
      <c r="AE1006" s="171">
        <v>1</v>
      </c>
      <c r="AF1006" s="147">
        <f t="shared" si="373"/>
        <v>0</v>
      </c>
      <c r="AG1006" s="147">
        <f t="shared" si="374"/>
        <v>0</v>
      </c>
      <c r="AH1006" s="147">
        <f t="shared" si="375"/>
        <v>0</v>
      </c>
      <c r="AI1006" s="147">
        <f t="shared" si="376"/>
        <v>0</v>
      </c>
      <c r="AJ1006" s="148" t="str">
        <f t="shared" si="377"/>
        <v>ja</v>
      </c>
      <c r="AK1006" s="149">
        <f t="shared" si="382"/>
        <v>0</v>
      </c>
      <c r="AL1006" s="149">
        <f t="shared" si="383"/>
        <v>0</v>
      </c>
      <c r="AM1006" s="149">
        <f t="shared" si="384"/>
        <v>0</v>
      </c>
      <c r="AN1006" s="149">
        <f t="shared" si="385"/>
        <v>0</v>
      </c>
      <c r="AO1006" s="150" t="str">
        <f t="shared" si="378"/>
        <v>S</v>
      </c>
      <c r="AQ1006" s="151">
        <f t="shared" si="379"/>
        <v>1460</v>
      </c>
    </row>
    <row r="1007" spans="1:43" ht="15" customHeight="1">
      <c r="A1007" s="82" t="e">
        <f t="shared" si="364"/>
        <v>#REF!</v>
      </c>
      <c r="B1007" s="134">
        <v>119</v>
      </c>
      <c r="C1007" s="135" t="s">
        <v>479</v>
      </c>
      <c r="D1007" s="136" t="s">
        <v>39</v>
      </c>
      <c r="E1007" s="137"/>
      <c r="F1007" s="138" t="s">
        <v>6</v>
      </c>
      <c r="G1007" s="139" t="s">
        <v>116</v>
      </c>
      <c r="H1007" s="140" t="str">
        <f t="shared" si="365"/>
        <v>Liften</v>
      </c>
      <c r="I1007" s="138" t="s">
        <v>1109</v>
      </c>
      <c r="J1007" s="138" t="s">
        <v>1171</v>
      </c>
      <c r="K1007" s="141" t="str">
        <f t="shared" si="366"/>
        <v>Omde dag Vol/Nal.</v>
      </c>
      <c r="L1007" s="141" t="str">
        <f t="shared" si="367"/>
        <v>Omde dag Nal./Vol</v>
      </c>
      <c r="M1007" s="141" t="str">
        <f t="shared" si="368"/>
        <v>Omde dag Vol/Nal.</v>
      </c>
      <c r="N1007" s="141" t="str">
        <f t="shared" si="369"/>
        <v>Omde dag Nal./Vol</v>
      </c>
      <c r="O1007" s="141" t="str">
        <f t="shared" si="370"/>
        <v>Omde dag Vol/Nal.</v>
      </c>
      <c r="P1007" s="141" t="str">
        <f t="shared" si="371"/>
        <v>Omde dag Nal./Vol</v>
      </c>
      <c r="Q1007" s="141" t="str">
        <f t="shared" si="372"/>
        <v>Omde dag Vol/Nal.</v>
      </c>
      <c r="R1007" s="63" t="s">
        <v>1475</v>
      </c>
      <c r="S1007" s="142">
        <f t="shared" si="380"/>
        <v>365</v>
      </c>
      <c r="T1007" s="143">
        <v>3</v>
      </c>
      <c r="U1007" s="144"/>
      <c r="V1007" s="144"/>
      <c r="W1007" s="144"/>
      <c r="X1007" s="144"/>
      <c r="Y1007" s="144"/>
      <c r="Z1007" s="145"/>
      <c r="AA1007" s="145"/>
      <c r="AB1007" s="145"/>
      <c r="AC1007" s="145">
        <f t="shared" si="386"/>
        <v>3</v>
      </c>
      <c r="AD1007" s="146"/>
      <c r="AE1007" s="171">
        <v>1</v>
      </c>
      <c r="AF1007" s="147">
        <f t="shared" si="373"/>
        <v>0</v>
      </c>
      <c r="AG1007" s="147">
        <f t="shared" si="374"/>
        <v>0</v>
      </c>
      <c r="AH1007" s="147">
        <f t="shared" si="375"/>
        <v>0</v>
      </c>
      <c r="AI1007" s="147">
        <f t="shared" si="376"/>
        <v>0</v>
      </c>
      <c r="AJ1007" s="148" t="str">
        <f t="shared" si="377"/>
        <v>ja</v>
      </c>
      <c r="AK1007" s="149">
        <f t="shared" si="382"/>
        <v>0</v>
      </c>
      <c r="AL1007" s="149">
        <f t="shared" si="383"/>
        <v>0</v>
      </c>
      <c r="AM1007" s="149">
        <f t="shared" si="384"/>
        <v>0</v>
      </c>
      <c r="AN1007" s="149">
        <f t="shared" si="385"/>
        <v>0</v>
      </c>
      <c r="AO1007" s="150" t="str">
        <f t="shared" si="378"/>
        <v>V</v>
      </c>
      <c r="AQ1007" s="151">
        <f t="shared" si="379"/>
        <v>1095</v>
      </c>
    </row>
    <row r="1008" spans="1:43" ht="15" customHeight="1">
      <c r="A1008" s="82" t="e">
        <f t="shared" ref="A1008:A1063" si="387">1+A1007</f>
        <v>#REF!</v>
      </c>
      <c r="B1008" s="134">
        <v>119</v>
      </c>
      <c r="C1008" s="135" t="s">
        <v>479</v>
      </c>
      <c r="D1008" s="136" t="s">
        <v>39</v>
      </c>
      <c r="E1008" s="137"/>
      <c r="F1008" s="138" t="s">
        <v>480</v>
      </c>
      <c r="G1008" s="139" t="s">
        <v>36</v>
      </c>
      <c r="H1008" s="140" t="str">
        <f t="shared" si="365"/>
        <v>Roltrappen(inclusief aangrenzende bouwdelen)</v>
      </c>
      <c r="I1008" s="138" t="s">
        <v>1251</v>
      </c>
      <c r="J1008" s="138" t="s">
        <v>1171</v>
      </c>
      <c r="K1008" s="141" t="str">
        <f t="shared" si="366"/>
        <v>Omde dag Vol/Nal.</v>
      </c>
      <c r="L1008" s="141" t="str">
        <f t="shared" si="367"/>
        <v>Omde dag Nal./Vol</v>
      </c>
      <c r="M1008" s="141" t="str">
        <f t="shared" si="368"/>
        <v>Omde dag Vol/Nal.</v>
      </c>
      <c r="N1008" s="141" t="str">
        <f t="shared" si="369"/>
        <v>Omde dag Nal./Vol</v>
      </c>
      <c r="O1008" s="141" t="str">
        <f t="shared" si="370"/>
        <v>Omde dag Vol/Nal.</v>
      </c>
      <c r="P1008" s="141" t="str">
        <f t="shared" si="371"/>
        <v>Omde dag Nal./Vol</v>
      </c>
      <c r="Q1008" s="141" t="str">
        <f t="shared" si="372"/>
        <v>Omde dag Vol/Nal.</v>
      </c>
      <c r="R1008" s="63" t="s">
        <v>1481</v>
      </c>
      <c r="S1008" s="142">
        <f t="shared" si="380"/>
        <v>365</v>
      </c>
      <c r="T1008" s="143">
        <v>46</v>
      </c>
      <c r="U1008" s="144" t="s">
        <v>489</v>
      </c>
      <c r="V1008" s="144"/>
      <c r="W1008" s="144"/>
      <c r="X1008" s="144"/>
      <c r="Y1008" s="144"/>
      <c r="Z1008" s="145"/>
      <c r="AA1008" s="145"/>
      <c r="AB1008" s="145"/>
      <c r="AC1008" s="145">
        <f t="shared" si="386"/>
        <v>46</v>
      </c>
      <c r="AD1008" s="146"/>
      <c r="AE1008" s="171">
        <v>1</v>
      </c>
      <c r="AF1008" s="147">
        <f t="shared" si="373"/>
        <v>0</v>
      </c>
      <c r="AG1008" s="147">
        <f t="shared" si="374"/>
        <v>0</v>
      </c>
      <c r="AH1008" s="147">
        <f t="shared" si="375"/>
        <v>0</v>
      </c>
      <c r="AI1008" s="147">
        <f t="shared" si="376"/>
        <v>0</v>
      </c>
      <c r="AJ1008" s="148" t="str">
        <f t="shared" si="377"/>
        <v>ja</v>
      </c>
      <c r="AK1008" s="149">
        <f t="shared" si="382"/>
        <v>0</v>
      </c>
      <c r="AL1008" s="149">
        <f t="shared" si="383"/>
        <v>0</v>
      </c>
      <c r="AM1008" s="149">
        <f t="shared" si="384"/>
        <v>0</v>
      </c>
      <c r="AN1008" s="149">
        <f t="shared" si="385"/>
        <v>0</v>
      </c>
      <c r="AO1008" s="150" t="str">
        <f t="shared" si="378"/>
        <v>V</v>
      </c>
      <c r="AQ1008" s="151">
        <f t="shared" si="379"/>
        <v>16790</v>
      </c>
    </row>
    <row r="1009" spans="1:43" ht="15" customHeight="1">
      <c r="A1009" s="82" t="e">
        <f t="shared" si="387"/>
        <v>#REF!</v>
      </c>
      <c r="B1009" s="134">
        <v>119</v>
      </c>
      <c r="C1009" s="135" t="s">
        <v>479</v>
      </c>
      <c r="D1009" s="136" t="s">
        <v>39</v>
      </c>
      <c r="E1009" s="137"/>
      <c r="F1009" s="138" t="s">
        <v>481</v>
      </c>
      <c r="G1009" s="139" t="s">
        <v>291</v>
      </c>
      <c r="H1009" s="140" t="str">
        <f t="shared" si="365"/>
        <v>Roltrappen(inclusief aangrenzende bouwdelen)</v>
      </c>
      <c r="I1009" s="138" t="s">
        <v>1251</v>
      </c>
      <c r="J1009" s="138" t="s">
        <v>1171</v>
      </c>
      <c r="K1009" s="141" t="str">
        <f t="shared" si="366"/>
        <v>Omde dag Vol/Nal.</v>
      </c>
      <c r="L1009" s="141" t="str">
        <f t="shared" si="367"/>
        <v>Omde dag Nal./Vol</v>
      </c>
      <c r="M1009" s="141" t="str">
        <f t="shared" si="368"/>
        <v>Omde dag Vol/Nal.</v>
      </c>
      <c r="N1009" s="141" t="str">
        <f t="shared" si="369"/>
        <v>Omde dag Nal./Vol</v>
      </c>
      <c r="O1009" s="141" t="str">
        <f t="shared" si="370"/>
        <v>Omde dag Vol/Nal.</v>
      </c>
      <c r="P1009" s="141" t="str">
        <f t="shared" si="371"/>
        <v>Omde dag Nal./Vol</v>
      </c>
      <c r="Q1009" s="141" t="str">
        <f t="shared" si="372"/>
        <v>Omde dag Vol/Nal.</v>
      </c>
      <c r="R1009" s="63" t="s">
        <v>1481</v>
      </c>
      <c r="S1009" s="142">
        <f t="shared" si="380"/>
        <v>365</v>
      </c>
      <c r="T1009" s="143">
        <v>46</v>
      </c>
      <c r="U1009" s="144" t="s">
        <v>489</v>
      </c>
      <c r="V1009" s="144"/>
      <c r="W1009" s="144"/>
      <c r="X1009" s="144"/>
      <c r="Y1009" s="144"/>
      <c r="Z1009" s="145"/>
      <c r="AA1009" s="145"/>
      <c r="AB1009" s="145"/>
      <c r="AC1009" s="145">
        <f t="shared" si="386"/>
        <v>46</v>
      </c>
      <c r="AD1009" s="146"/>
      <c r="AE1009" s="171">
        <v>1</v>
      </c>
      <c r="AF1009" s="147">
        <f t="shared" si="373"/>
        <v>0</v>
      </c>
      <c r="AG1009" s="147">
        <f t="shared" si="374"/>
        <v>0</v>
      </c>
      <c r="AH1009" s="147">
        <f t="shared" si="375"/>
        <v>0</v>
      </c>
      <c r="AI1009" s="147">
        <f t="shared" si="376"/>
        <v>0</v>
      </c>
      <c r="AJ1009" s="148" t="str">
        <f t="shared" si="377"/>
        <v>ja</v>
      </c>
      <c r="AK1009" s="149">
        <f t="shared" si="382"/>
        <v>0</v>
      </c>
      <c r="AL1009" s="149">
        <f t="shared" si="383"/>
        <v>0</v>
      </c>
      <c r="AM1009" s="149">
        <f t="shared" si="384"/>
        <v>0</v>
      </c>
      <c r="AN1009" s="149">
        <f t="shared" si="385"/>
        <v>0</v>
      </c>
      <c r="AO1009" s="150" t="str">
        <f t="shared" si="378"/>
        <v>V</v>
      </c>
      <c r="AQ1009" s="151">
        <f t="shared" si="379"/>
        <v>16790</v>
      </c>
    </row>
    <row r="1010" spans="1:43" ht="15" customHeight="1">
      <c r="A1010" s="82" t="e">
        <f t="shared" si="387"/>
        <v>#REF!</v>
      </c>
      <c r="B1010" s="134">
        <v>119</v>
      </c>
      <c r="C1010" s="135" t="s">
        <v>479</v>
      </c>
      <c r="D1010" s="136" t="s">
        <v>39</v>
      </c>
      <c r="E1010" s="137"/>
      <c r="F1010" s="138" t="s">
        <v>482</v>
      </c>
      <c r="G1010" s="139" t="s">
        <v>483</v>
      </c>
      <c r="H1010" s="140" t="str">
        <f t="shared" si="365"/>
        <v>Roltrappen(inclusief aangrenzende bouwdelen)</v>
      </c>
      <c r="I1010" s="138" t="s">
        <v>1251</v>
      </c>
      <c r="J1010" s="138" t="s">
        <v>1171</v>
      </c>
      <c r="K1010" s="141" t="str">
        <f t="shared" si="366"/>
        <v>Omde dag Vol/Nal.</v>
      </c>
      <c r="L1010" s="141" t="str">
        <f t="shared" si="367"/>
        <v>Omde dag Nal./Vol</v>
      </c>
      <c r="M1010" s="141" t="str">
        <f t="shared" si="368"/>
        <v>Omde dag Vol/Nal.</v>
      </c>
      <c r="N1010" s="141" t="str">
        <f t="shared" si="369"/>
        <v>Omde dag Nal./Vol</v>
      </c>
      <c r="O1010" s="141" t="str">
        <f t="shared" si="370"/>
        <v>Omde dag Vol/Nal.</v>
      </c>
      <c r="P1010" s="141" t="str">
        <f t="shared" si="371"/>
        <v>Omde dag Nal./Vol</v>
      </c>
      <c r="Q1010" s="141" t="str">
        <f t="shared" si="372"/>
        <v>Omde dag Vol/Nal.</v>
      </c>
      <c r="R1010" s="63" t="s">
        <v>1481</v>
      </c>
      <c r="S1010" s="142">
        <f t="shared" si="380"/>
        <v>365</v>
      </c>
      <c r="T1010" s="143">
        <v>46</v>
      </c>
      <c r="U1010" s="144" t="s">
        <v>489</v>
      </c>
      <c r="V1010" s="144"/>
      <c r="W1010" s="144"/>
      <c r="X1010" s="144"/>
      <c r="Y1010" s="144"/>
      <c r="Z1010" s="145"/>
      <c r="AA1010" s="145"/>
      <c r="AB1010" s="145"/>
      <c r="AC1010" s="145">
        <f t="shared" si="386"/>
        <v>46</v>
      </c>
      <c r="AD1010" s="146"/>
      <c r="AE1010" s="171">
        <v>1</v>
      </c>
      <c r="AF1010" s="147">
        <f t="shared" si="373"/>
        <v>0</v>
      </c>
      <c r="AG1010" s="147">
        <f t="shared" si="374"/>
        <v>0</v>
      </c>
      <c r="AH1010" s="147">
        <f t="shared" si="375"/>
        <v>0</v>
      </c>
      <c r="AI1010" s="147">
        <f t="shared" si="376"/>
        <v>0</v>
      </c>
      <c r="AJ1010" s="148" t="str">
        <f t="shared" si="377"/>
        <v>ja</v>
      </c>
      <c r="AK1010" s="149">
        <f t="shared" si="382"/>
        <v>0</v>
      </c>
      <c r="AL1010" s="149">
        <f t="shared" si="383"/>
        <v>0</v>
      </c>
      <c r="AM1010" s="149">
        <f t="shared" si="384"/>
        <v>0</v>
      </c>
      <c r="AN1010" s="149">
        <f t="shared" si="385"/>
        <v>0</v>
      </c>
      <c r="AO1010" s="150" t="str">
        <f t="shared" si="378"/>
        <v>V</v>
      </c>
      <c r="AQ1010" s="151">
        <f t="shared" si="379"/>
        <v>16790</v>
      </c>
    </row>
    <row r="1011" spans="1:43" ht="15" customHeight="1">
      <c r="A1011" s="82" t="e">
        <f t="shared" si="387"/>
        <v>#REF!</v>
      </c>
      <c r="B1011" s="134">
        <v>119</v>
      </c>
      <c r="C1011" s="135" t="s">
        <v>479</v>
      </c>
      <c r="D1011" s="136" t="s">
        <v>39</v>
      </c>
      <c r="E1011" s="137"/>
      <c r="F1011" s="138" t="s">
        <v>114</v>
      </c>
      <c r="G1011" s="139" t="s">
        <v>346</v>
      </c>
      <c r="H1011" s="140" t="str">
        <f t="shared" si="365"/>
        <v>Trappen</v>
      </c>
      <c r="I1011" s="138" t="s">
        <v>254</v>
      </c>
      <c r="J1011" s="138" t="s">
        <v>1171</v>
      </c>
      <c r="K1011" s="141" t="str">
        <f t="shared" si="366"/>
        <v>Omde dag Vol/Nal.</v>
      </c>
      <c r="L1011" s="141" t="str">
        <f t="shared" si="367"/>
        <v>Omde dag Nal./Vol</v>
      </c>
      <c r="M1011" s="141" t="str">
        <f t="shared" si="368"/>
        <v>Omde dag Vol/Nal.</v>
      </c>
      <c r="N1011" s="141" t="str">
        <f t="shared" si="369"/>
        <v>Omde dag Nal./Vol</v>
      </c>
      <c r="O1011" s="141" t="str">
        <f t="shared" si="370"/>
        <v>Omde dag Vol/Nal.</v>
      </c>
      <c r="P1011" s="141" t="str">
        <f t="shared" si="371"/>
        <v>Omde dag Nal./Vol</v>
      </c>
      <c r="Q1011" s="141" t="str">
        <f t="shared" si="372"/>
        <v>Omde dag Vol/Nal.</v>
      </c>
      <c r="R1011" s="63" t="s">
        <v>1477</v>
      </c>
      <c r="S1011" s="142">
        <f t="shared" si="380"/>
        <v>365</v>
      </c>
      <c r="T1011" s="143">
        <v>16</v>
      </c>
      <c r="U1011" s="144"/>
      <c r="V1011" s="144"/>
      <c r="W1011" s="144"/>
      <c r="X1011" s="144"/>
      <c r="Y1011" s="144"/>
      <c r="Z1011" s="145"/>
      <c r="AA1011" s="145"/>
      <c r="AB1011" s="145"/>
      <c r="AC1011" s="145">
        <f t="shared" si="386"/>
        <v>16</v>
      </c>
      <c r="AD1011" s="146"/>
      <c r="AE1011" s="171">
        <v>1</v>
      </c>
      <c r="AF1011" s="147">
        <f t="shared" si="373"/>
        <v>0</v>
      </c>
      <c r="AG1011" s="147">
        <f t="shared" si="374"/>
        <v>0</v>
      </c>
      <c r="AH1011" s="147">
        <f t="shared" si="375"/>
        <v>0</v>
      </c>
      <c r="AI1011" s="147">
        <f t="shared" si="376"/>
        <v>0</v>
      </c>
      <c r="AJ1011" s="148" t="str">
        <f t="shared" si="377"/>
        <v>ja</v>
      </c>
      <c r="AK1011" s="149">
        <f t="shared" si="382"/>
        <v>0</v>
      </c>
      <c r="AL1011" s="149">
        <f t="shared" si="383"/>
        <v>0</v>
      </c>
      <c r="AM1011" s="149">
        <f t="shared" si="384"/>
        <v>0</v>
      </c>
      <c r="AN1011" s="149">
        <f t="shared" si="385"/>
        <v>0</v>
      </c>
      <c r="AO1011" s="150" t="str">
        <f t="shared" si="378"/>
        <v>V</v>
      </c>
      <c r="AQ1011" s="151">
        <f t="shared" si="379"/>
        <v>5840</v>
      </c>
    </row>
    <row r="1012" spans="1:43" ht="15" customHeight="1">
      <c r="A1012" s="82" t="e">
        <f t="shared" si="387"/>
        <v>#REF!</v>
      </c>
      <c r="B1012" s="134">
        <v>119</v>
      </c>
      <c r="C1012" s="135" t="s">
        <v>479</v>
      </c>
      <c r="D1012" s="136" t="s">
        <v>39</v>
      </c>
      <c r="E1012" s="137"/>
      <c r="F1012" s="138" t="s">
        <v>262</v>
      </c>
      <c r="G1012" s="139" t="s">
        <v>371</v>
      </c>
      <c r="H1012" s="140" t="str">
        <f t="shared" si="365"/>
        <v>Trappen</v>
      </c>
      <c r="I1012" s="138" t="s">
        <v>254</v>
      </c>
      <c r="J1012" s="138" t="s">
        <v>1171</v>
      </c>
      <c r="K1012" s="141" t="str">
        <f t="shared" si="366"/>
        <v>Omde dag Vol/Nal.</v>
      </c>
      <c r="L1012" s="141" t="str">
        <f t="shared" si="367"/>
        <v>Omde dag Nal./Vol</v>
      </c>
      <c r="M1012" s="141" t="str">
        <f t="shared" si="368"/>
        <v>Omde dag Vol/Nal.</v>
      </c>
      <c r="N1012" s="141" t="str">
        <f t="shared" si="369"/>
        <v>Omde dag Nal./Vol</v>
      </c>
      <c r="O1012" s="141" t="str">
        <f t="shared" si="370"/>
        <v>Omde dag Vol/Nal.</v>
      </c>
      <c r="P1012" s="141" t="str">
        <f t="shared" si="371"/>
        <v>Omde dag Nal./Vol</v>
      </c>
      <c r="Q1012" s="141" t="str">
        <f t="shared" si="372"/>
        <v>Omde dag Vol/Nal.</v>
      </c>
      <c r="R1012" s="63" t="s">
        <v>1477</v>
      </c>
      <c r="S1012" s="142">
        <f t="shared" si="380"/>
        <v>365</v>
      </c>
      <c r="T1012" s="143">
        <v>13</v>
      </c>
      <c r="U1012" s="144"/>
      <c r="V1012" s="144"/>
      <c r="W1012" s="144">
        <v>43</v>
      </c>
      <c r="X1012" s="144"/>
      <c r="Y1012" s="144"/>
      <c r="Z1012" s="145"/>
      <c r="AA1012" s="145"/>
      <c r="AB1012" s="145">
        <f>T1012</f>
        <v>13</v>
      </c>
      <c r="AC1012" s="145"/>
      <c r="AD1012" s="146"/>
      <c r="AE1012" s="171">
        <v>1</v>
      </c>
      <c r="AF1012" s="147">
        <f t="shared" si="373"/>
        <v>0</v>
      </c>
      <c r="AG1012" s="147">
        <f t="shared" si="374"/>
        <v>0</v>
      </c>
      <c r="AH1012" s="147">
        <f t="shared" si="375"/>
        <v>0</v>
      </c>
      <c r="AI1012" s="147">
        <f t="shared" si="376"/>
        <v>0</v>
      </c>
      <c r="AJ1012" s="148" t="str">
        <f t="shared" si="377"/>
        <v>ja</v>
      </c>
      <c r="AK1012" s="149">
        <f t="shared" si="382"/>
        <v>0</v>
      </c>
      <c r="AL1012" s="149">
        <f t="shared" si="383"/>
        <v>0</v>
      </c>
      <c r="AM1012" s="149">
        <f t="shared" si="384"/>
        <v>0</v>
      </c>
      <c r="AN1012" s="149">
        <f t="shared" si="385"/>
        <v>0</v>
      </c>
      <c r="AO1012" s="150" t="str">
        <f t="shared" si="378"/>
        <v>V</v>
      </c>
      <c r="AQ1012" s="151">
        <f t="shared" si="379"/>
        <v>4745</v>
      </c>
    </row>
    <row r="1013" spans="1:43" ht="15" customHeight="1">
      <c r="A1013" s="82" t="e">
        <f t="shared" si="387"/>
        <v>#REF!</v>
      </c>
      <c r="B1013" s="134">
        <v>119</v>
      </c>
      <c r="C1013" s="135" t="s">
        <v>479</v>
      </c>
      <c r="D1013" s="136" t="s">
        <v>39</v>
      </c>
      <c r="E1013" s="137"/>
      <c r="F1013" s="138" t="s">
        <v>319</v>
      </c>
      <c r="G1013" s="139" t="s">
        <v>372</v>
      </c>
      <c r="H1013" s="140" t="str">
        <f t="shared" si="365"/>
        <v>Niet van toepassing</v>
      </c>
      <c r="I1013" s="138" t="s">
        <v>254</v>
      </c>
      <c r="J1013" s="138" t="s">
        <v>1172</v>
      </c>
      <c r="K1013" s="141" t="str">
        <f t="shared" si="366"/>
        <v>NVT</v>
      </c>
      <c r="L1013" s="141" t="str">
        <f t="shared" si="367"/>
        <v>NVT</v>
      </c>
      <c r="M1013" s="141" t="str">
        <f t="shared" si="368"/>
        <v>NVT</v>
      </c>
      <c r="N1013" s="141" t="str">
        <f t="shared" si="369"/>
        <v>NVT</v>
      </c>
      <c r="O1013" s="141" t="str">
        <f t="shared" si="370"/>
        <v>NVT</v>
      </c>
      <c r="P1013" s="141" t="str">
        <f t="shared" si="371"/>
        <v>NVT</v>
      </c>
      <c r="Q1013" s="141" t="str">
        <f t="shared" si="372"/>
        <v>NVT</v>
      </c>
      <c r="R1013" s="63" t="s">
        <v>1221</v>
      </c>
      <c r="S1013" s="142">
        <f t="shared" si="380"/>
        <v>0</v>
      </c>
      <c r="T1013" s="143">
        <v>15</v>
      </c>
      <c r="U1013" s="144"/>
      <c r="V1013" s="144">
        <v>47</v>
      </c>
      <c r="W1013" s="144"/>
      <c r="X1013" s="144"/>
      <c r="Y1013" s="144"/>
      <c r="Z1013" s="145"/>
      <c r="AA1013" s="145"/>
      <c r="AB1013" s="145">
        <f>T1013</f>
        <v>15</v>
      </c>
      <c r="AC1013" s="145"/>
      <c r="AD1013" s="146"/>
      <c r="AE1013" s="171">
        <v>1</v>
      </c>
      <c r="AF1013" s="147">
        <f t="shared" si="373"/>
        <v>0</v>
      </c>
      <c r="AG1013" s="147">
        <f t="shared" si="374"/>
        <v>0</v>
      </c>
      <c r="AH1013" s="147">
        <f t="shared" si="375"/>
        <v>0</v>
      </c>
      <c r="AI1013" s="147">
        <f t="shared" si="376"/>
        <v>0</v>
      </c>
      <c r="AJ1013" s="148">
        <f t="shared" si="377"/>
        <v>0</v>
      </c>
      <c r="AK1013" s="149">
        <f t="shared" si="382"/>
        <v>0</v>
      </c>
      <c r="AL1013" s="149">
        <f t="shared" si="383"/>
        <v>0</v>
      </c>
      <c r="AM1013" s="149">
        <f t="shared" si="384"/>
        <v>0</v>
      </c>
      <c r="AN1013" s="149">
        <f t="shared" si="385"/>
        <v>0</v>
      </c>
      <c r="AO1013" s="150">
        <f t="shared" si="378"/>
        <v>0</v>
      </c>
      <c r="AQ1013" s="151">
        <f t="shared" si="379"/>
        <v>0</v>
      </c>
    </row>
    <row r="1014" spans="1:43" ht="15" customHeight="1">
      <c r="A1014" s="82" t="e">
        <f t="shared" si="387"/>
        <v>#REF!</v>
      </c>
      <c r="B1014" s="134">
        <v>119</v>
      </c>
      <c r="C1014" s="135" t="s">
        <v>479</v>
      </c>
      <c r="D1014" s="136" t="s">
        <v>39</v>
      </c>
      <c r="E1014" s="137"/>
      <c r="F1014" s="138" t="s">
        <v>341</v>
      </c>
      <c r="G1014" s="139" t="s">
        <v>484</v>
      </c>
      <c r="H1014" s="140" t="str">
        <f t="shared" si="365"/>
        <v>Kantoren/spreekkamers</v>
      </c>
      <c r="I1014" s="138" t="s">
        <v>270</v>
      </c>
      <c r="J1014" s="138" t="s">
        <v>1171</v>
      </c>
      <c r="K1014" s="141" t="str">
        <f t="shared" si="366"/>
        <v>Omde dag Vol/Nal.</v>
      </c>
      <c r="L1014" s="141" t="str">
        <f t="shared" si="367"/>
        <v>Omde dag Nal./Vol</v>
      </c>
      <c r="M1014" s="141" t="str">
        <f t="shared" si="368"/>
        <v>Omde dag Vol/Nal.</v>
      </c>
      <c r="N1014" s="141" t="str">
        <f t="shared" si="369"/>
        <v>Omde dag Nal./Vol</v>
      </c>
      <c r="O1014" s="141" t="str">
        <f t="shared" si="370"/>
        <v>Omde dag Vol/Nal.</v>
      </c>
      <c r="P1014" s="141" t="str">
        <f t="shared" si="371"/>
        <v>Omde dag Nal./Vol</v>
      </c>
      <c r="Q1014" s="141" t="str">
        <f t="shared" si="372"/>
        <v>Omde dag Vol/Nal.</v>
      </c>
      <c r="R1014" s="63" t="s">
        <v>1220</v>
      </c>
      <c r="S1014" s="142">
        <f t="shared" si="380"/>
        <v>365</v>
      </c>
      <c r="T1014" s="143">
        <v>24</v>
      </c>
      <c r="U1014" s="144"/>
      <c r="V1014" s="144"/>
      <c r="W1014" s="144"/>
      <c r="X1014" s="144"/>
      <c r="Y1014" s="144"/>
      <c r="Z1014" s="145"/>
      <c r="AA1014" s="145"/>
      <c r="AB1014" s="145"/>
      <c r="AC1014" s="145">
        <f>T1014</f>
        <v>24</v>
      </c>
      <c r="AD1014" s="146"/>
      <c r="AE1014" s="171">
        <v>1</v>
      </c>
      <c r="AF1014" s="147">
        <f t="shared" si="373"/>
        <v>0</v>
      </c>
      <c r="AG1014" s="147">
        <f t="shared" si="374"/>
        <v>0</v>
      </c>
      <c r="AH1014" s="147">
        <f t="shared" si="375"/>
        <v>0</v>
      </c>
      <c r="AI1014" s="147">
        <f t="shared" si="376"/>
        <v>0</v>
      </c>
      <c r="AJ1014" s="148" t="str">
        <f t="shared" si="377"/>
        <v>nee</v>
      </c>
      <c r="AK1014" s="149">
        <f t="shared" si="382"/>
        <v>0</v>
      </c>
      <c r="AL1014" s="149">
        <f t="shared" si="383"/>
        <v>0</v>
      </c>
      <c r="AM1014" s="149">
        <f t="shared" si="384"/>
        <v>0</v>
      </c>
      <c r="AN1014" s="149">
        <f t="shared" si="385"/>
        <v>0</v>
      </c>
      <c r="AO1014" s="150" t="str">
        <f t="shared" si="378"/>
        <v>B</v>
      </c>
      <c r="AQ1014" s="151">
        <f t="shared" si="379"/>
        <v>8760</v>
      </c>
    </row>
    <row r="1015" spans="1:43" ht="15" customHeight="1">
      <c r="A1015" s="82" t="e">
        <f t="shared" si="387"/>
        <v>#REF!</v>
      </c>
      <c r="B1015" s="134">
        <v>119</v>
      </c>
      <c r="C1015" s="135" t="s">
        <v>479</v>
      </c>
      <c r="D1015" s="136" t="s">
        <v>39</v>
      </c>
      <c r="E1015" s="137"/>
      <c r="F1015" s="138" t="s">
        <v>114</v>
      </c>
      <c r="G1015" s="139" t="s">
        <v>472</v>
      </c>
      <c r="H1015" s="140" t="str">
        <f t="shared" si="365"/>
        <v>Trappen</v>
      </c>
      <c r="I1015" s="138" t="s">
        <v>254</v>
      </c>
      <c r="J1015" s="138" t="s">
        <v>1171</v>
      </c>
      <c r="K1015" s="141" t="str">
        <f t="shared" si="366"/>
        <v>Omde dag Vol/Nal.</v>
      </c>
      <c r="L1015" s="141" t="str">
        <f t="shared" si="367"/>
        <v>Omde dag Nal./Vol</v>
      </c>
      <c r="M1015" s="141" t="str">
        <f t="shared" si="368"/>
        <v>Omde dag Vol/Nal.</v>
      </c>
      <c r="N1015" s="141" t="str">
        <f t="shared" si="369"/>
        <v>Omde dag Nal./Vol</v>
      </c>
      <c r="O1015" s="141" t="str">
        <f t="shared" si="370"/>
        <v>Omde dag Vol/Nal.</v>
      </c>
      <c r="P1015" s="141" t="str">
        <f t="shared" si="371"/>
        <v>Omde dag Nal./Vol</v>
      </c>
      <c r="Q1015" s="141" t="str">
        <f t="shared" si="372"/>
        <v>Omde dag Vol/Nal.</v>
      </c>
      <c r="R1015" s="63" t="s">
        <v>1477</v>
      </c>
      <c r="S1015" s="142">
        <f t="shared" si="380"/>
        <v>365</v>
      </c>
      <c r="T1015" s="143">
        <v>10</v>
      </c>
      <c r="U1015" s="144"/>
      <c r="V1015" s="144"/>
      <c r="W1015" s="144"/>
      <c r="X1015" s="144"/>
      <c r="Y1015" s="144"/>
      <c r="Z1015" s="145"/>
      <c r="AA1015" s="145"/>
      <c r="AB1015" s="145"/>
      <c r="AC1015" s="145">
        <f>T1015</f>
        <v>10</v>
      </c>
      <c r="AD1015" s="146"/>
      <c r="AE1015" s="171">
        <v>1</v>
      </c>
      <c r="AF1015" s="147">
        <f t="shared" si="373"/>
        <v>0</v>
      </c>
      <c r="AG1015" s="147">
        <f t="shared" si="374"/>
        <v>0</v>
      </c>
      <c r="AH1015" s="147">
        <f t="shared" si="375"/>
        <v>0</v>
      </c>
      <c r="AI1015" s="147">
        <f t="shared" si="376"/>
        <v>0</v>
      </c>
      <c r="AJ1015" s="148" t="str">
        <f t="shared" si="377"/>
        <v>ja</v>
      </c>
      <c r="AK1015" s="149">
        <f t="shared" si="382"/>
        <v>0</v>
      </c>
      <c r="AL1015" s="149">
        <f t="shared" si="383"/>
        <v>0</v>
      </c>
      <c r="AM1015" s="149">
        <f t="shared" si="384"/>
        <v>0</v>
      </c>
      <c r="AN1015" s="149">
        <f t="shared" si="385"/>
        <v>0</v>
      </c>
      <c r="AO1015" s="150" t="str">
        <f t="shared" si="378"/>
        <v>V</v>
      </c>
      <c r="AQ1015" s="151">
        <f t="shared" si="379"/>
        <v>3650</v>
      </c>
    </row>
    <row r="1016" spans="1:43" ht="15" customHeight="1">
      <c r="A1016" s="82" t="e">
        <f t="shared" si="387"/>
        <v>#REF!</v>
      </c>
      <c r="B1016" s="134">
        <v>119</v>
      </c>
      <c r="C1016" s="135" t="s">
        <v>479</v>
      </c>
      <c r="D1016" s="136" t="s">
        <v>39</v>
      </c>
      <c r="E1016" s="137"/>
      <c r="F1016" s="138" t="s">
        <v>470</v>
      </c>
      <c r="G1016" s="139" t="s">
        <v>485</v>
      </c>
      <c r="H1016" s="140" t="str">
        <f t="shared" si="365"/>
        <v>Niet van toepassing</v>
      </c>
      <c r="I1016" s="138" t="s">
        <v>35</v>
      </c>
      <c r="J1016" s="138" t="s">
        <v>1172</v>
      </c>
      <c r="K1016" s="141" t="str">
        <f t="shared" si="366"/>
        <v>NVT</v>
      </c>
      <c r="L1016" s="141" t="str">
        <f t="shared" si="367"/>
        <v>NVT</v>
      </c>
      <c r="M1016" s="141" t="str">
        <f t="shared" si="368"/>
        <v>NVT</v>
      </c>
      <c r="N1016" s="141" t="str">
        <f t="shared" si="369"/>
        <v>NVT</v>
      </c>
      <c r="O1016" s="141" t="str">
        <f t="shared" si="370"/>
        <v>NVT</v>
      </c>
      <c r="P1016" s="141" t="str">
        <f t="shared" si="371"/>
        <v>NVT</v>
      </c>
      <c r="Q1016" s="141" t="str">
        <f t="shared" si="372"/>
        <v>NVT</v>
      </c>
      <c r="R1016" s="63" t="s">
        <v>1221</v>
      </c>
      <c r="S1016" s="142">
        <f t="shared" si="380"/>
        <v>0</v>
      </c>
      <c r="T1016" s="143">
        <v>20</v>
      </c>
      <c r="U1016" s="144"/>
      <c r="V1016" s="144"/>
      <c r="W1016" s="144">
        <v>54</v>
      </c>
      <c r="X1016" s="144"/>
      <c r="Y1016" s="144"/>
      <c r="Z1016" s="145"/>
      <c r="AA1016" s="145">
        <f>T1016</f>
        <v>20</v>
      </c>
      <c r="AB1016" s="145"/>
      <c r="AC1016" s="145"/>
      <c r="AD1016" s="146"/>
      <c r="AE1016" s="171">
        <v>1</v>
      </c>
      <c r="AF1016" s="147">
        <f t="shared" si="373"/>
        <v>0</v>
      </c>
      <c r="AG1016" s="147">
        <f t="shared" si="374"/>
        <v>0</v>
      </c>
      <c r="AH1016" s="147">
        <f t="shared" si="375"/>
        <v>0</v>
      </c>
      <c r="AI1016" s="147">
        <f t="shared" si="376"/>
        <v>0</v>
      </c>
      <c r="AJ1016" s="148">
        <f t="shared" si="377"/>
        <v>0</v>
      </c>
      <c r="AK1016" s="149">
        <f t="shared" si="382"/>
        <v>0</v>
      </c>
      <c r="AL1016" s="149">
        <f t="shared" si="383"/>
        <v>0</v>
      </c>
      <c r="AM1016" s="149">
        <f t="shared" si="384"/>
        <v>0</v>
      </c>
      <c r="AN1016" s="149">
        <f t="shared" si="385"/>
        <v>0</v>
      </c>
      <c r="AO1016" s="150">
        <f t="shared" si="378"/>
        <v>0</v>
      </c>
      <c r="AQ1016" s="151">
        <f t="shared" si="379"/>
        <v>0</v>
      </c>
    </row>
    <row r="1017" spans="1:43" ht="15" customHeight="1">
      <c r="A1017" s="82" t="e">
        <f t="shared" si="387"/>
        <v>#REF!</v>
      </c>
      <c r="B1017" s="134">
        <v>119</v>
      </c>
      <c r="C1017" s="135" t="s">
        <v>479</v>
      </c>
      <c r="D1017" s="136" t="s">
        <v>39</v>
      </c>
      <c r="E1017" s="137"/>
      <c r="F1017" s="138" t="s">
        <v>101</v>
      </c>
      <c r="G1017" s="139" t="s">
        <v>476</v>
      </c>
      <c r="H1017" s="140" t="str">
        <f t="shared" ref="H1017:H1071" si="388">VLOOKUP(R1017,Kengetal,3,FALSE)</f>
        <v>Perrons</v>
      </c>
      <c r="I1017" s="138" t="s">
        <v>195</v>
      </c>
      <c r="J1017" s="138" t="s">
        <v>1171</v>
      </c>
      <c r="K1017" s="141" t="str">
        <f t="shared" ref="K1017:K1071" si="389">IF($R1017="",0,VLOOKUP($R1017,Kengetal,14,FALSE))</f>
        <v>Omde dag Vol/Nal.</v>
      </c>
      <c r="L1017" s="141" t="str">
        <f t="shared" ref="L1017:L1071" si="390">IF($R1017="",0,VLOOKUP($R1017,Kengetal,15,FALSE))</f>
        <v>Omde dag Nal./Vol</v>
      </c>
      <c r="M1017" s="141" t="str">
        <f t="shared" ref="M1017:M1071" si="391">IF($R1017="",0,VLOOKUP($R1017,Kengetal,16,FALSE))</f>
        <v>Omde dag Vol/Nal.</v>
      </c>
      <c r="N1017" s="141" t="str">
        <f t="shared" ref="N1017:N1071" si="392">IF($R1017="",0,VLOOKUP($R1017,Kengetal,17,FALSE))</f>
        <v>Omde dag Nal./Vol</v>
      </c>
      <c r="O1017" s="141" t="str">
        <f t="shared" ref="O1017:O1071" si="393">IF($R1017="",0,VLOOKUP($R1017,Kengetal,18,FALSE))</f>
        <v>Omde dag Vol/Nal.</v>
      </c>
      <c r="P1017" s="141" t="str">
        <f t="shared" ref="P1017:P1071" si="394">IF($R1017="",0,VLOOKUP($R1017,Kengetal,19,FALSE))</f>
        <v>Omde dag Nal./Vol</v>
      </c>
      <c r="Q1017" s="141" t="str">
        <f t="shared" ref="Q1017:Q1071" si="395">IF($R1017="",0,VLOOKUP($R1017,Kengetal,20,FALSE))</f>
        <v>Omde dag Vol/Nal.</v>
      </c>
      <c r="R1017" s="63" t="s">
        <v>1473</v>
      </c>
      <c r="S1017" s="142">
        <f t="shared" si="380"/>
        <v>365</v>
      </c>
      <c r="T1017" s="143">
        <v>1637</v>
      </c>
      <c r="U1017" s="144"/>
      <c r="V1017" s="144"/>
      <c r="W1017" s="144"/>
      <c r="X1017" s="144"/>
      <c r="Y1017" s="144"/>
      <c r="Z1017" s="145" t="s">
        <v>498</v>
      </c>
      <c r="AA1017" s="145"/>
      <c r="AB1017" s="145"/>
      <c r="AC1017" s="145"/>
      <c r="AD1017" s="146"/>
      <c r="AE1017" s="171">
        <v>1</v>
      </c>
      <c r="AF1017" s="147">
        <f t="shared" ref="AF1017:AF1071" si="396">T1017*AK1017*AE1017</f>
        <v>0</v>
      </c>
      <c r="AG1017" s="147">
        <f t="shared" ref="AG1017:AG1071" si="397">T1017*AL1017*AE1017</f>
        <v>0</v>
      </c>
      <c r="AH1017" s="147">
        <f t="shared" ref="AH1017:AH1071" si="398">T1017*AM1017*AE1017</f>
        <v>0</v>
      </c>
      <c r="AI1017" s="147">
        <f t="shared" ref="AI1017:AI1071" si="399">T1017*AN1017*AE1017</f>
        <v>0</v>
      </c>
      <c r="AJ1017" s="148" t="str">
        <f t="shared" ref="AJ1017:AJ1071" si="400">IF($R1017="",0,VLOOKUP($R1017,Kengetal,12,FALSE))</f>
        <v>ja</v>
      </c>
      <c r="AK1017" s="149">
        <f t="shared" si="382"/>
        <v>0</v>
      </c>
      <c r="AL1017" s="149">
        <f t="shared" si="383"/>
        <v>0</v>
      </c>
      <c r="AM1017" s="149">
        <f t="shared" si="384"/>
        <v>0</v>
      </c>
      <c r="AN1017" s="149">
        <f t="shared" si="385"/>
        <v>0</v>
      </c>
      <c r="AO1017" s="150" t="str">
        <f t="shared" ref="AO1017:AO1071" si="401">IF($R1017="",0,VLOOKUP($R1017,Kengetal,13,FALSE))</f>
        <v>V</v>
      </c>
      <c r="AQ1017" s="151">
        <f t="shared" ref="AQ1017:AQ1071" si="402">T1017*S1017</f>
        <v>597505</v>
      </c>
    </row>
    <row r="1018" spans="1:43" ht="15" customHeight="1">
      <c r="A1018" s="82" t="e">
        <f t="shared" si="387"/>
        <v>#REF!</v>
      </c>
      <c r="B1018" s="134">
        <v>119</v>
      </c>
      <c r="C1018" s="135" t="s">
        <v>479</v>
      </c>
      <c r="D1018" s="136" t="s">
        <v>39</v>
      </c>
      <c r="E1018" s="137"/>
      <c r="F1018" s="138" t="s">
        <v>210</v>
      </c>
      <c r="G1018" s="139" t="s">
        <v>486</v>
      </c>
      <c r="H1018" s="140" t="str">
        <f t="shared" si="388"/>
        <v>Niet van toepassing</v>
      </c>
      <c r="I1018" s="138" t="s">
        <v>18</v>
      </c>
      <c r="J1018" s="138" t="s">
        <v>1172</v>
      </c>
      <c r="K1018" s="141" t="str">
        <f t="shared" si="389"/>
        <v>NVT</v>
      </c>
      <c r="L1018" s="141" t="str">
        <f t="shared" si="390"/>
        <v>NVT</v>
      </c>
      <c r="M1018" s="141" t="str">
        <f t="shared" si="391"/>
        <v>NVT</v>
      </c>
      <c r="N1018" s="141" t="str">
        <f t="shared" si="392"/>
        <v>NVT</v>
      </c>
      <c r="O1018" s="141" t="str">
        <f t="shared" si="393"/>
        <v>NVT</v>
      </c>
      <c r="P1018" s="141" t="str">
        <f t="shared" si="394"/>
        <v>NVT</v>
      </c>
      <c r="Q1018" s="141" t="str">
        <f t="shared" si="395"/>
        <v>NVT</v>
      </c>
      <c r="R1018" s="63" t="s">
        <v>1221</v>
      </c>
      <c r="S1018" s="142">
        <f t="shared" si="380"/>
        <v>0</v>
      </c>
      <c r="T1018" s="143">
        <v>3</v>
      </c>
      <c r="U1018" s="144"/>
      <c r="V1018" s="144"/>
      <c r="W1018" s="144">
        <v>15</v>
      </c>
      <c r="X1018" s="144"/>
      <c r="Y1018" s="144"/>
      <c r="Z1018" s="145"/>
      <c r="AA1018" s="145">
        <f>T1018</f>
        <v>3</v>
      </c>
      <c r="AB1018" s="145"/>
      <c r="AC1018" s="145"/>
      <c r="AD1018" s="146"/>
      <c r="AE1018" s="171">
        <v>1</v>
      </c>
      <c r="AF1018" s="147">
        <f t="shared" si="396"/>
        <v>0</v>
      </c>
      <c r="AG1018" s="147">
        <f t="shared" si="397"/>
        <v>0</v>
      </c>
      <c r="AH1018" s="147">
        <f t="shared" si="398"/>
        <v>0</v>
      </c>
      <c r="AI1018" s="147">
        <f t="shared" si="399"/>
        <v>0</v>
      </c>
      <c r="AJ1018" s="148">
        <f t="shared" si="400"/>
        <v>0</v>
      </c>
      <c r="AK1018" s="149">
        <f t="shared" si="382"/>
        <v>0</v>
      </c>
      <c r="AL1018" s="149">
        <f t="shared" si="383"/>
        <v>0</v>
      </c>
      <c r="AM1018" s="149">
        <f t="shared" si="384"/>
        <v>0</v>
      </c>
      <c r="AN1018" s="149">
        <f t="shared" si="385"/>
        <v>0</v>
      </c>
      <c r="AO1018" s="150">
        <f t="shared" si="401"/>
        <v>0</v>
      </c>
      <c r="AQ1018" s="151">
        <f t="shared" si="402"/>
        <v>0</v>
      </c>
    </row>
    <row r="1019" spans="1:43" ht="15" customHeight="1">
      <c r="A1019" s="82" t="e">
        <f t="shared" si="387"/>
        <v>#REF!</v>
      </c>
      <c r="B1019" s="134">
        <v>120</v>
      </c>
      <c r="C1019" s="135" t="s">
        <v>459</v>
      </c>
      <c r="D1019" s="136" t="s">
        <v>39</v>
      </c>
      <c r="E1019" s="137"/>
      <c r="F1019" s="138" t="s">
        <v>232</v>
      </c>
      <c r="G1019" s="139" t="s">
        <v>113</v>
      </c>
      <c r="H1019" s="140" t="str">
        <f t="shared" si="388"/>
        <v>Hallen</v>
      </c>
      <c r="I1019" s="138" t="s">
        <v>1254</v>
      </c>
      <c r="J1019" s="138" t="s">
        <v>1170</v>
      </c>
      <c r="K1019" s="141" t="str">
        <f t="shared" si="389"/>
        <v>Volledig</v>
      </c>
      <c r="L1019" s="141" t="str">
        <f t="shared" si="390"/>
        <v>naloop</v>
      </c>
      <c r="M1019" s="141" t="str">
        <f t="shared" si="391"/>
        <v>naloop</v>
      </c>
      <c r="N1019" s="141" t="str">
        <f t="shared" si="392"/>
        <v>Volledig</v>
      </c>
      <c r="O1019" s="141" t="str">
        <f t="shared" si="393"/>
        <v>naloop</v>
      </c>
      <c r="P1019" s="141" t="str">
        <f t="shared" si="394"/>
        <v>naloop</v>
      </c>
      <c r="Q1019" s="141" t="str">
        <f t="shared" si="395"/>
        <v>naloop</v>
      </c>
      <c r="R1019" s="63" t="s">
        <v>1478</v>
      </c>
      <c r="S1019" s="142">
        <f t="shared" si="380"/>
        <v>365</v>
      </c>
      <c r="T1019" s="143">
        <v>143</v>
      </c>
      <c r="U1019" s="144">
        <v>364</v>
      </c>
      <c r="V1019" s="144">
        <v>296</v>
      </c>
      <c r="W1019" s="144"/>
      <c r="X1019" s="144"/>
      <c r="Y1019" s="144"/>
      <c r="Z1019" s="145"/>
      <c r="AA1019" s="145"/>
      <c r="AB1019" s="145">
        <f>T1019</f>
        <v>143</v>
      </c>
      <c r="AC1019" s="145"/>
      <c r="AD1019" s="146"/>
      <c r="AE1019" s="171">
        <v>1</v>
      </c>
      <c r="AF1019" s="147">
        <f t="shared" si="396"/>
        <v>0</v>
      </c>
      <c r="AG1019" s="147">
        <f t="shared" si="397"/>
        <v>0</v>
      </c>
      <c r="AH1019" s="147">
        <f t="shared" si="398"/>
        <v>0</v>
      </c>
      <c r="AI1019" s="147">
        <f t="shared" si="399"/>
        <v>0</v>
      </c>
      <c r="AJ1019" s="148" t="str">
        <f t="shared" si="400"/>
        <v>ja</v>
      </c>
      <c r="AK1019" s="149">
        <f t="shared" si="382"/>
        <v>0</v>
      </c>
      <c r="AL1019" s="149">
        <f t="shared" si="383"/>
        <v>0</v>
      </c>
      <c r="AM1019" s="149">
        <f t="shared" si="384"/>
        <v>0</v>
      </c>
      <c r="AN1019" s="149">
        <f t="shared" si="385"/>
        <v>0</v>
      </c>
      <c r="AO1019" s="150" t="str">
        <f t="shared" si="401"/>
        <v>V</v>
      </c>
      <c r="AQ1019" s="151">
        <f t="shared" si="402"/>
        <v>52195</v>
      </c>
    </row>
    <row r="1020" spans="1:43" ht="15" customHeight="1">
      <c r="A1020" s="82" t="e">
        <f t="shared" si="387"/>
        <v>#REF!</v>
      </c>
      <c r="B1020" s="134">
        <v>120</v>
      </c>
      <c r="C1020" s="135" t="s">
        <v>459</v>
      </c>
      <c r="D1020" s="136" t="s">
        <v>39</v>
      </c>
      <c r="E1020" s="137"/>
      <c r="F1020" s="138" t="s">
        <v>460</v>
      </c>
      <c r="G1020" s="139" t="s">
        <v>333</v>
      </c>
      <c r="H1020" s="140" t="str">
        <f t="shared" si="388"/>
        <v>Trappen</v>
      </c>
      <c r="I1020" s="138" t="s">
        <v>254</v>
      </c>
      <c r="J1020" s="138" t="s">
        <v>1170</v>
      </c>
      <c r="K1020" s="141" t="str">
        <f t="shared" si="389"/>
        <v>Volledig</v>
      </c>
      <c r="L1020" s="141" t="str">
        <f t="shared" si="390"/>
        <v>naloop</v>
      </c>
      <c r="M1020" s="141" t="str">
        <f t="shared" si="391"/>
        <v>naloop</v>
      </c>
      <c r="N1020" s="141" t="str">
        <f t="shared" si="392"/>
        <v>Volledig</v>
      </c>
      <c r="O1020" s="141" t="str">
        <f t="shared" si="393"/>
        <v>naloop</v>
      </c>
      <c r="P1020" s="141" t="str">
        <f t="shared" si="394"/>
        <v>naloop</v>
      </c>
      <c r="Q1020" s="141" t="str">
        <f t="shared" si="395"/>
        <v>naloop</v>
      </c>
      <c r="R1020" s="63" t="s">
        <v>1476</v>
      </c>
      <c r="S1020" s="142">
        <f t="shared" si="380"/>
        <v>365</v>
      </c>
      <c r="T1020" s="143">
        <v>28</v>
      </c>
      <c r="U1020" s="144"/>
      <c r="V1020" s="144">
        <v>62</v>
      </c>
      <c r="W1020" s="144"/>
      <c r="X1020" s="144"/>
      <c r="Y1020" s="144"/>
      <c r="Z1020" s="145"/>
      <c r="AA1020" s="145">
        <f>T1020</f>
        <v>28</v>
      </c>
      <c r="AB1020" s="145"/>
      <c r="AC1020" s="145"/>
      <c r="AD1020" s="146"/>
      <c r="AE1020" s="171">
        <v>1</v>
      </c>
      <c r="AF1020" s="147">
        <f t="shared" si="396"/>
        <v>0</v>
      </c>
      <c r="AG1020" s="147">
        <f t="shared" si="397"/>
        <v>0</v>
      </c>
      <c r="AH1020" s="147">
        <f t="shared" si="398"/>
        <v>0</v>
      </c>
      <c r="AI1020" s="147">
        <f t="shared" si="399"/>
        <v>0</v>
      </c>
      <c r="AJ1020" s="148" t="str">
        <f t="shared" si="400"/>
        <v>ja</v>
      </c>
      <c r="AK1020" s="149">
        <f t="shared" si="382"/>
        <v>0</v>
      </c>
      <c r="AL1020" s="149">
        <f t="shared" si="383"/>
        <v>0</v>
      </c>
      <c r="AM1020" s="149">
        <f t="shared" si="384"/>
        <v>0</v>
      </c>
      <c r="AN1020" s="149">
        <f t="shared" si="385"/>
        <v>0</v>
      </c>
      <c r="AO1020" s="150" t="str">
        <f t="shared" si="401"/>
        <v>V</v>
      </c>
      <c r="AQ1020" s="151">
        <f t="shared" si="402"/>
        <v>10220</v>
      </c>
    </row>
    <row r="1021" spans="1:43" ht="15" customHeight="1">
      <c r="A1021" s="82" t="e">
        <f>1+#REF!</f>
        <v>#REF!</v>
      </c>
      <c r="B1021" s="134">
        <v>120</v>
      </c>
      <c r="C1021" s="135" t="s">
        <v>459</v>
      </c>
      <c r="D1021" s="136" t="s">
        <v>39</v>
      </c>
      <c r="E1021" s="137"/>
      <c r="F1021" s="138" t="s">
        <v>271</v>
      </c>
      <c r="G1021" s="139" t="s">
        <v>461</v>
      </c>
      <c r="H1021" s="140" t="str">
        <f t="shared" si="388"/>
        <v>Niet van toepassing</v>
      </c>
      <c r="I1021" s="138" t="s">
        <v>254</v>
      </c>
      <c r="J1021" s="138" t="s">
        <v>1172</v>
      </c>
      <c r="K1021" s="141" t="str">
        <f t="shared" si="389"/>
        <v>NVT</v>
      </c>
      <c r="L1021" s="141" t="str">
        <f t="shared" si="390"/>
        <v>NVT</v>
      </c>
      <c r="M1021" s="141" t="str">
        <f t="shared" si="391"/>
        <v>NVT</v>
      </c>
      <c r="N1021" s="141" t="str">
        <f t="shared" si="392"/>
        <v>NVT</v>
      </c>
      <c r="O1021" s="141" t="str">
        <f t="shared" si="393"/>
        <v>NVT</v>
      </c>
      <c r="P1021" s="141" t="str">
        <f t="shared" si="394"/>
        <v>NVT</v>
      </c>
      <c r="Q1021" s="141" t="str">
        <f t="shared" si="395"/>
        <v>NVT</v>
      </c>
      <c r="R1021" s="63" t="s">
        <v>1221</v>
      </c>
      <c r="S1021" s="142">
        <f t="shared" si="380"/>
        <v>0</v>
      </c>
      <c r="T1021" s="143">
        <v>15</v>
      </c>
      <c r="U1021" s="144"/>
      <c r="V1021" s="144"/>
      <c r="W1021" s="144">
        <v>50</v>
      </c>
      <c r="X1021" s="144"/>
      <c r="Y1021" s="144"/>
      <c r="Z1021" s="145"/>
      <c r="AA1021" s="145">
        <f t="shared" ref="AA1021:AA1027" si="403">T1021</f>
        <v>15</v>
      </c>
      <c r="AB1021" s="145"/>
      <c r="AC1021" s="145"/>
      <c r="AD1021" s="146"/>
      <c r="AE1021" s="171">
        <v>1</v>
      </c>
      <c r="AF1021" s="147">
        <f t="shared" si="396"/>
        <v>0</v>
      </c>
      <c r="AG1021" s="147">
        <f t="shared" si="397"/>
        <v>0</v>
      </c>
      <c r="AH1021" s="147">
        <f t="shared" si="398"/>
        <v>0</v>
      </c>
      <c r="AI1021" s="147">
        <f t="shared" si="399"/>
        <v>0</v>
      </c>
      <c r="AJ1021" s="148">
        <f t="shared" si="400"/>
        <v>0</v>
      </c>
      <c r="AK1021" s="149">
        <f t="shared" si="382"/>
        <v>0</v>
      </c>
      <c r="AL1021" s="149">
        <f t="shared" si="383"/>
        <v>0</v>
      </c>
      <c r="AM1021" s="149">
        <f t="shared" si="384"/>
        <v>0</v>
      </c>
      <c r="AN1021" s="149">
        <f t="shared" si="385"/>
        <v>0</v>
      </c>
      <c r="AO1021" s="150">
        <f t="shared" si="401"/>
        <v>0</v>
      </c>
      <c r="AQ1021" s="151">
        <f t="shared" si="402"/>
        <v>0</v>
      </c>
    </row>
    <row r="1022" spans="1:43" ht="15" customHeight="1">
      <c r="A1022" s="82" t="e">
        <f t="shared" si="387"/>
        <v>#REF!</v>
      </c>
      <c r="B1022" s="134">
        <v>120</v>
      </c>
      <c r="C1022" s="135" t="s">
        <v>459</v>
      </c>
      <c r="D1022" s="136" t="s">
        <v>39</v>
      </c>
      <c r="E1022" s="137"/>
      <c r="F1022" s="138" t="s">
        <v>462</v>
      </c>
      <c r="G1022" s="139" t="s">
        <v>463</v>
      </c>
      <c r="H1022" s="140" t="str">
        <f t="shared" si="388"/>
        <v>Niet van toepassing</v>
      </c>
      <c r="I1022" s="138" t="s">
        <v>254</v>
      </c>
      <c r="J1022" s="138" t="s">
        <v>1172</v>
      </c>
      <c r="K1022" s="141" t="str">
        <f t="shared" si="389"/>
        <v>NVT</v>
      </c>
      <c r="L1022" s="141" t="str">
        <f t="shared" si="390"/>
        <v>NVT</v>
      </c>
      <c r="M1022" s="141" t="str">
        <f t="shared" si="391"/>
        <v>NVT</v>
      </c>
      <c r="N1022" s="141" t="str">
        <f t="shared" si="392"/>
        <v>NVT</v>
      </c>
      <c r="O1022" s="141" t="str">
        <f t="shared" si="393"/>
        <v>NVT</v>
      </c>
      <c r="P1022" s="141" t="str">
        <f t="shared" si="394"/>
        <v>NVT</v>
      </c>
      <c r="Q1022" s="141" t="str">
        <f t="shared" si="395"/>
        <v>NVT</v>
      </c>
      <c r="R1022" s="63" t="s">
        <v>1221</v>
      </c>
      <c r="S1022" s="142">
        <f t="shared" si="380"/>
        <v>0</v>
      </c>
      <c r="T1022" s="143">
        <v>8</v>
      </c>
      <c r="U1022" s="144"/>
      <c r="V1022" s="144"/>
      <c r="W1022" s="144">
        <v>37</v>
      </c>
      <c r="X1022" s="144"/>
      <c r="Y1022" s="144"/>
      <c r="Z1022" s="145"/>
      <c r="AA1022" s="145">
        <f t="shared" si="403"/>
        <v>8</v>
      </c>
      <c r="AB1022" s="145"/>
      <c r="AC1022" s="145"/>
      <c r="AD1022" s="146"/>
      <c r="AE1022" s="171">
        <v>1</v>
      </c>
      <c r="AF1022" s="147">
        <f t="shared" si="396"/>
        <v>0</v>
      </c>
      <c r="AG1022" s="147">
        <f t="shared" si="397"/>
        <v>0</v>
      </c>
      <c r="AH1022" s="147">
        <f t="shared" si="398"/>
        <v>0</v>
      </c>
      <c r="AI1022" s="147">
        <f t="shared" si="399"/>
        <v>0</v>
      </c>
      <c r="AJ1022" s="148">
        <f t="shared" si="400"/>
        <v>0</v>
      </c>
      <c r="AK1022" s="149">
        <f t="shared" si="382"/>
        <v>0</v>
      </c>
      <c r="AL1022" s="149">
        <f t="shared" si="383"/>
        <v>0</v>
      </c>
      <c r="AM1022" s="149">
        <f t="shared" si="384"/>
        <v>0</v>
      </c>
      <c r="AN1022" s="149">
        <f t="shared" si="385"/>
        <v>0</v>
      </c>
      <c r="AO1022" s="150">
        <f t="shared" si="401"/>
        <v>0</v>
      </c>
      <c r="AQ1022" s="151">
        <f t="shared" si="402"/>
        <v>0</v>
      </c>
    </row>
    <row r="1023" spans="1:43" ht="15" customHeight="1">
      <c r="A1023" s="82" t="e">
        <f t="shared" si="387"/>
        <v>#REF!</v>
      </c>
      <c r="B1023" s="134">
        <v>120</v>
      </c>
      <c r="C1023" s="135" t="s">
        <v>459</v>
      </c>
      <c r="D1023" s="136" t="s">
        <v>39</v>
      </c>
      <c r="E1023" s="137"/>
      <c r="F1023" s="138" t="s">
        <v>464</v>
      </c>
      <c r="G1023" s="139" t="s">
        <v>30</v>
      </c>
      <c r="H1023" s="140" t="str">
        <f t="shared" si="388"/>
        <v>Niet van toepassing</v>
      </c>
      <c r="I1023" s="138" t="s">
        <v>254</v>
      </c>
      <c r="J1023" s="138" t="s">
        <v>1172</v>
      </c>
      <c r="K1023" s="141" t="str">
        <f t="shared" si="389"/>
        <v>NVT</v>
      </c>
      <c r="L1023" s="141" t="str">
        <f t="shared" si="390"/>
        <v>NVT</v>
      </c>
      <c r="M1023" s="141" t="str">
        <f t="shared" si="391"/>
        <v>NVT</v>
      </c>
      <c r="N1023" s="141" t="str">
        <f t="shared" si="392"/>
        <v>NVT</v>
      </c>
      <c r="O1023" s="141" t="str">
        <f t="shared" si="393"/>
        <v>NVT</v>
      </c>
      <c r="P1023" s="141" t="str">
        <f t="shared" si="394"/>
        <v>NVT</v>
      </c>
      <c r="Q1023" s="141" t="str">
        <f t="shared" si="395"/>
        <v>NVT</v>
      </c>
      <c r="R1023" s="63" t="s">
        <v>1221</v>
      </c>
      <c r="S1023" s="142">
        <f t="shared" si="380"/>
        <v>0</v>
      </c>
      <c r="T1023" s="143">
        <v>12</v>
      </c>
      <c r="U1023" s="144"/>
      <c r="V1023" s="144"/>
      <c r="W1023" s="144">
        <v>42</v>
      </c>
      <c r="X1023" s="144"/>
      <c r="Y1023" s="144"/>
      <c r="Z1023" s="145"/>
      <c r="AA1023" s="145">
        <f t="shared" si="403"/>
        <v>12</v>
      </c>
      <c r="AB1023" s="145"/>
      <c r="AC1023" s="145"/>
      <c r="AD1023" s="146"/>
      <c r="AE1023" s="171">
        <v>1</v>
      </c>
      <c r="AF1023" s="147">
        <f t="shared" si="396"/>
        <v>0</v>
      </c>
      <c r="AG1023" s="147">
        <f t="shared" si="397"/>
        <v>0</v>
      </c>
      <c r="AH1023" s="147">
        <f t="shared" si="398"/>
        <v>0</v>
      </c>
      <c r="AI1023" s="147">
        <f t="shared" si="399"/>
        <v>0</v>
      </c>
      <c r="AJ1023" s="148">
        <f t="shared" si="400"/>
        <v>0</v>
      </c>
      <c r="AK1023" s="149">
        <f t="shared" si="382"/>
        <v>0</v>
      </c>
      <c r="AL1023" s="149">
        <f t="shared" si="383"/>
        <v>0</v>
      </c>
      <c r="AM1023" s="149">
        <f t="shared" si="384"/>
        <v>0</v>
      </c>
      <c r="AN1023" s="149">
        <f t="shared" si="385"/>
        <v>0</v>
      </c>
      <c r="AO1023" s="150">
        <f t="shared" si="401"/>
        <v>0</v>
      </c>
      <c r="AQ1023" s="151">
        <f t="shared" si="402"/>
        <v>0</v>
      </c>
    </row>
    <row r="1024" spans="1:43" ht="15" customHeight="1">
      <c r="A1024" s="82" t="e">
        <f t="shared" si="387"/>
        <v>#REF!</v>
      </c>
      <c r="B1024" s="134">
        <v>120</v>
      </c>
      <c r="C1024" s="135" t="s">
        <v>459</v>
      </c>
      <c r="D1024" s="136" t="s">
        <v>39</v>
      </c>
      <c r="E1024" s="137"/>
      <c r="F1024" s="138" t="s">
        <v>464</v>
      </c>
      <c r="G1024" s="139" t="s">
        <v>31</v>
      </c>
      <c r="H1024" s="140" t="str">
        <f t="shared" si="388"/>
        <v>Niet van toepassing</v>
      </c>
      <c r="I1024" s="138" t="s">
        <v>254</v>
      </c>
      <c r="J1024" s="138" t="s">
        <v>1172</v>
      </c>
      <c r="K1024" s="141" t="str">
        <f t="shared" si="389"/>
        <v>NVT</v>
      </c>
      <c r="L1024" s="141" t="str">
        <f t="shared" si="390"/>
        <v>NVT</v>
      </c>
      <c r="M1024" s="141" t="str">
        <f t="shared" si="391"/>
        <v>NVT</v>
      </c>
      <c r="N1024" s="141" t="str">
        <f t="shared" si="392"/>
        <v>NVT</v>
      </c>
      <c r="O1024" s="141" t="str">
        <f t="shared" si="393"/>
        <v>NVT</v>
      </c>
      <c r="P1024" s="141" t="str">
        <f t="shared" si="394"/>
        <v>NVT</v>
      </c>
      <c r="Q1024" s="141" t="str">
        <f t="shared" si="395"/>
        <v>NVT</v>
      </c>
      <c r="R1024" s="63" t="s">
        <v>1221</v>
      </c>
      <c r="S1024" s="142">
        <f t="shared" si="380"/>
        <v>0</v>
      </c>
      <c r="T1024" s="143">
        <v>12</v>
      </c>
      <c r="U1024" s="144"/>
      <c r="V1024" s="144"/>
      <c r="W1024" s="144">
        <v>42</v>
      </c>
      <c r="X1024" s="144"/>
      <c r="Y1024" s="144"/>
      <c r="Z1024" s="145"/>
      <c r="AA1024" s="145">
        <f t="shared" si="403"/>
        <v>12</v>
      </c>
      <c r="AB1024" s="145"/>
      <c r="AC1024" s="145"/>
      <c r="AD1024" s="146"/>
      <c r="AE1024" s="171">
        <v>1</v>
      </c>
      <c r="AF1024" s="147">
        <f t="shared" si="396"/>
        <v>0</v>
      </c>
      <c r="AG1024" s="147">
        <f t="shared" si="397"/>
        <v>0</v>
      </c>
      <c r="AH1024" s="147">
        <f t="shared" si="398"/>
        <v>0</v>
      </c>
      <c r="AI1024" s="147">
        <f t="shared" si="399"/>
        <v>0</v>
      </c>
      <c r="AJ1024" s="148">
        <f t="shared" si="400"/>
        <v>0</v>
      </c>
      <c r="AK1024" s="149">
        <f t="shared" si="382"/>
        <v>0</v>
      </c>
      <c r="AL1024" s="149">
        <f t="shared" si="383"/>
        <v>0</v>
      </c>
      <c r="AM1024" s="149">
        <f t="shared" si="384"/>
        <v>0</v>
      </c>
      <c r="AN1024" s="149">
        <f t="shared" si="385"/>
        <v>0</v>
      </c>
      <c r="AO1024" s="150">
        <f t="shared" si="401"/>
        <v>0</v>
      </c>
      <c r="AQ1024" s="151">
        <f t="shared" si="402"/>
        <v>0</v>
      </c>
    </row>
    <row r="1025" spans="1:43" ht="15" customHeight="1">
      <c r="A1025" s="82" t="e">
        <f t="shared" si="387"/>
        <v>#REF!</v>
      </c>
      <c r="B1025" s="134">
        <v>120</v>
      </c>
      <c r="C1025" s="135" t="s">
        <v>459</v>
      </c>
      <c r="D1025" s="136" t="s">
        <v>39</v>
      </c>
      <c r="E1025" s="137"/>
      <c r="F1025" s="138" t="s">
        <v>465</v>
      </c>
      <c r="G1025" s="139" t="s">
        <v>285</v>
      </c>
      <c r="H1025" s="140" t="str">
        <f t="shared" si="388"/>
        <v>Niet van toepassing</v>
      </c>
      <c r="I1025" s="138" t="s">
        <v>254</v>
      </c>
      <c r="J1025" s="138" t="s">
        <v>1172</v>
      </c>
      <c r="K1025" s="141" t="str">
        <f t="shared" si="389"/>
        <v>NVT</v>
      </c>
      <c r="L1025" s="141" t="str">
        <f t="shared" si="390"/>
        <v>NVT</v>
      </c>
      <c r="M1025" s="141" t="str">
        <f t="shared" si="391"/>
        <v>NVT</v>
      </c>
      <c r="N1025" s="141" t="str">
        <f t="shared" si="392"/>
        <v>NVT</v>
      </c>
      <c r="O1025" s="141" t="str">
        <f t="shared" si="393"/>
        <v>NVT</v>
      </c>
      <c r="P1025" s="141" t="str">
        <f t="shared" si="394"/>
        <v>NVT</v>
      </c>
      <c r="Q1025" s="141" t="str">
        <f t="shared" si="395"/>
        <v>NVT</v>
      </c>
      <c r="R1025" s="63" t="s">
        <v>1221</v>
      </c>
      <c r="S1025" s="142">
        <f t="shared" si="380"/>
        <v>0</v>
      </c>
      <c r="T1025" s="143">
        <v>5</v>
      </c>
      <c r="U1025" s="144"/>
      <c r="V1025" s="144"/>
      <c r="W1025" s="144">
        <v>26</v>
      </c>
      <c r="X1025" s="144"/>
      <c r="Y1025" s="144"/>
      <c r="Z1025" s="145"/>
      <c r="AA1025" s="145">
        <f t="shared" si="403"/>
        <v>5</v>
      </c>
      <c r="AB1025" s="145"/>
      <c r="AC1025" s="145"/>
      <c r="AD1025" s="146"/>
      <c r="AE1025" s="171">
        <v>1</v>
      </c>
      <c r="AF1025" s="147">
        <f t="shared" si="396"/>
        <v>0</v>
      </c>
      <c r="AG1025" s="147">
        <f t="shared" si="397"/>
        <v>0</v>
      </c>
      <c r="AH1025" s="147">
        <f t="shared" si="398"/>
        <v>0</v>
      </c>
      <c r="AI1025" s="147">
        <f t="shared" si="399"/>
        <v>0</v>
      </c>
      <c r="AJ1025" s="148">
        <f t="shared" si="400"/>
        <v>0</v>
      </c>
      <c r="AK1025" s="149">
        <f t="shared" si="382"/>
        <v>0</v>
      </c>
      <c r="AL1025" s="149">
        <f t="shared" si="383"/>
        <v>0</v>
      </c>
      <c r="AM1025" s="149">
        <f t="shared" si="384"/>
        <v>0</v>
      </c>
      <c r="AN1025" s="149">
        <f t="shared" si="385"/>
        <v>0</v>
      </c>
      <c r="AO1025" s="150">
        <f t="shared" si="401"/>
        <v>0</v>
      </c>
      <c r="AQ1025" s="151">
        <f t="shared" si="402"/>
        <v>0</v>
      </c>
    </row>
    <row r="1026" spans="1:43" ht="15" customHeight="1">
      <c r="A1026" s="82" t="e">
        <f t="shared" si="387"/>
        <v>#REF!</v>
      </c>
      <c r="B1026" s="134">
        <v>120</v>
      </c>
      <c r="C1026" s="135" t="s">
        <v>459</v>
      </c>
      <c r="D1026" s="136" t="s">
        <v>39</v>
      </c>
      <c r="E1026" s="137"/>
      <c r="F1026" s="138" t="s">
        <v>325</v>
      </c>
      <c r="G1026" s="139" t="s">
        <v>466</v>
      </c>
      <c r="H1026" s="140" t="str">
        <f t="shared" si="388"/>
        <v>Berging/opslag/magazijn</v>
      </c>
      <c r="I1026" s="138" t="s">
        <v>254</v>
      </c>
      <c r="J1026" s="138" t="s">
        <v>1207</v>
      </c>
      <c r="K1026" s="141" t="str">
        <f t="shared" si="389"/>
        <v>Zie Freq</v>
      </c>
      <c r="L1026" s="141" t="str">
        <f t="shared" si="390"/>
        <v>Zie Freq</v>
      </c>
      <c r="M1026" s="141" t="str">
        <f t="shared" si="391"/>
        <v>Zie Freq</v>
      </c>
      <c r="N1026" s="141" t="str">
        <f t="shared" si="392"/>
        <v>Zie Freq</v>
      </c>
      <c r="O1026" s="141" t="str">
        <f t="shared" si="393"/>
        <v>Zie Freq</v>
      </c>
      <c r="P1026" s="141" t="str">
        <f t="shared" si="394"/>
        <v>NVT</v>
      </c>
      <c r="Q1026" s="141" t="str">
        <f t="shared" si="395"/>
        <v>NVT</v>
      </c>
      <c r="R1026" s="63" t="s">
        <v>1264</v>
      </c>
      <c r="S1026" s="142">
        <f t="shared" si="380"/>
        <v>2</v>
      </c>
      <c r="T1026" s="143">
        <v>10</v>
      </c>
      <c r="U1026" s="144"/>
      <c r="V1026" s="144"/>
      <c r="W1026" s="144">
        <v>38</v>
      </c>
      <c r="X1026" s="144"/>
      <c r="Y1026" s="144"/>
      <c r="Z1026" s="145"/>
      <c r="AA1026" s="145">
        <f t="shared" si="403"/>
        <v>10</v>
      </c>
      <c r="AB1026" s="145"/>
      <c r="AC1026" s="145"/>
      <c r="AD1026" s="146"/>
      <c r="AE1026" s="171">
        <v>1</v>
      </c>
      <c r="AF1026" s="147">
        <f t="shared" si="396"/>
        <v>0</v>
      </c>
      <c r="AG1026" s="147">
        <f t="shared" si="397"/>
        <v>0</v>
      </c>
      <c r="AH1026" s="147">
        <f t="shared" si="398"/>
        <v>0</v>
      </c>
      <c r="AI1026" s="147">
        <f t="shared" si="399"/>
        <v>0</v>
      </c>
      <c r="AJ1026" s="148" t="str">
        <f t="shared" si="400"/>
        <v>nee</v>
      </c>
      <c r="AK1026" s="149">
        <f t="shared" si="382"/>
        <v>0</v>
      </c>
      <c r="AL1026" s="149">
        <f t="shared" si="383"/>
        <v>0</v>
      </c>
      <c r="AM1026" s="149">
        <f t="shared" si="384"/>
        <v>0</v>
      </c>
      <c r="AN1026" s="149">
        <f t="shared" si="385"/>
        <v>0</v>
      </c>
      <c r="AO1026" s="150" t="str">
        <f t="shared" si="401"/>
        <v>V</v>
      </c>
      <c r="AQ1026" s="151">
        <f t="shared" si="402"/>
        <v>20</v>
      </c>
    </row>
    <row r="1027" spans="1:43" ht="15" customHeight="1">
      <c r="A1027" s="82" t="e">
        <f t="shared" si="387"/>
        <v>#REF!</v>
      </c>
      <c r="B1027" s="134">
        <v>120</v>
      </c>
      <c r="C1027" s="135" t="s">
        <v>459</v>
      </c>
      <c r="D1027" s="136" t="s">
        <v>39</v>
      </c>
      <c r="E1027" s="137"/>
      <c r="F1027" s="138" t="s">
        <v>263</v>
      </c>
      <c r="G1027" s="139" t="s">
        <v>24</v>
      </c>
      <c r="H1027" s="140" t="str">
        <f t="shared" si="388"/>
        <v>Niet van toepassing</v>
      </c>
      <c r="I1027" s="138" t="s">
        <v>254</v>
      </c>
      <c r="J1027" s="138" t="s">
        <v>1172</v>
      </c>
      <c r="K1027" s="141" t="str">
        <f t="shared" si="389"/>
        <v>NVT</v>
      </c>
      <c r="L1027" s="141" t="str">
        <f t="shared" si="390"/>
        <v>NVT</v>
      </c>
      <c r="M1027" s="141" t="str">
        <f t="shared" si="391"/>
        <v>NVT</v>
      </c>
      <c r="N1027" s="141" t="str">
        <f t="shared" si="392"/>
        <v>NVT</v>
      </c>
      <c r="O1027" s="141" t="str">
        <f t="shared" si="393"/>
        <v>NVT</v>
      </c>
      <c r="P1027" s="141" t="str">
        <f t="shared" si="394"/>
        <v>NVT</v>
      </c>
      <c r="Q1027" s="141" t="str">
        <f t="shared" si="395"/>
        <v>NVT</v>
      </c>
      <c r="R1027" s="63" t="s">
        <v>1221</v>
      </c>
      <c r="S1027" s="142">
        <f t="shared" si="380"/>
        <v>0</v>
      </c>
      <c r="T1027" s="143">
        <v>50</v>
      </c>
      <c r="U1027" s="144"/>
      <c r="V1027" s="144"/>
      <c r="W1027" s="144">
        <v>71</v>
      </c>
      <c r="X1027" s="144"/>
      <c r="Y1027" s="144"/>
      <c r="Z1027" s="145"/>
      <c r="AA1027" s="145">
        <f t="shared" si="403"/>
        <v>50</v>
      </c>
      <c r="AB1027" s="145"/>
      <c r="AC1027" s="145"/>
      <c r="AD1027" s="146"/>
      <c r="AE1027" s="171">
        <v>1</v>
      </c>
      <c r="AF1027" s="147">
        <f t="shared" si="396"/>
        <v>0</v>
      </c>
      <c r="AG1027" s="147">
        <f t="shared" si="397"/>
        <v>0</v>
      </c>
      <c r="AH1027" s="147">
        <f t="shared" si="398"/>
        <v>0</v>
      </c>
      <c r="AI1027" s="147">
        <f t="shared" si="399"/>
        <v>0</v>
      </c>
      <c r="AJ1027" s="148">
        <f t="shared" si="400"/>
        <v>0</v>
      </c>
      <c r="AK1027" s="149">
        <f t="shared" si="382"/>
        <v>0</v>
      </c>
      <c r="AL1027" s="149">
        <f t="shared" si="383"/>
        <v>0</v>
      </c>
      <c r="AM1027" s="149">
        <f t="shared" si="384"/>
        <v>0</v>
      </c>
      <c r="AN1027" s="149">
        <f t="shared" si="385"/>
        <v>0</v>
      </c>
      <c r="AO1027" s="150">
        <f t="shared" si="401"/>
        <v>0</v>
      </c>
      <c r="AQ1027" s="151">
        <f t="shared" si="402"/>
        <v>0</v>
      </c>
    </row>
    <row r="1028" spans="1:43" ht="15" customHeight="1">
      <c r="A1028" s="82" t="e">
        <f t="shared" si="387"/>
        <v>#REF!</v>
      </c>
      <c r="B1028" s="134">
        <v>120</v>
      </c>
      <c r="C1028" s="135" t="s">
        <v>459</v>
      </c>
      <c r="D1028" s="136" t="s">
        <v>39</v>
      </c>
      <c r="E1028" s="137"/>
      <c r="F1028" s="138" t="s">
        <v>212</v>
      </c>
      <c r="G1028" s="139" t="s">
        <v>116</v>
      </c>
      <c r="H1028" s="140" t="str">
        <f t="shared" si="388"/>
        <v>Liften</v>
      </c>
      <c r="I1028" s="138" t="s">
        <v>1109</v>
      </c>
      <c r="J1028" s="138" t="s">
        <v>1170</v>
      </c>
      <c r="K1028" s="141" t="str">
        <f t="shared" si="389"/>
        <v>Volledig</v>
      </c>
      <c r="L1028" s="141" t="str">
        <f t="shared" si="390"/>
        <v>naloop</v>
      </c>
      <c r="M1028" s="141" t="str">
        <f t="shared" si="391"/>
        <v>naloop</v>
      </c>
      <c r="N1028" s="141" t="str">
        <f t="shared" si="392"/>
        <v>Volledig</v>
      </c>
      <c r="O1028" s="141" t="str">
        <f t="shared" si="393"/>
        <v>naloop</v>
      </c>
      <c r="P1028" s="141" t="str">
        <f t="shared" si="394"/>
        <v>naloop</v>
      </c>
      <c r="Q1028" s="141" t="str">
        <f t="shared" si="395"/>
        <v>naloop</v>
      </c>
      <c r="R1028" s="63" t="s">
        <v>1474</v>
      </c>
      <c r="S1028" s="142">
        <f t="shared" si="380"/>
        <v>365</v>
      </c>
      <c r="T1028" s="143">
        <v>4</v>
      </c>
      <c r="U1028" s="144"/>
      <c r="V1028" s="144"/>
      <c r="W1028" s="144"/>
      <c r="X1028" s="144"/>
      <c r="Y1028" s="144"/>
      <c r="Z1028" s="145"/>
      <c r="AA1028" s="145"/>
      <c r="AB1028" s="145"/>
      <c r="AC1028" s="145">
        <f>T1028</f>
        <v>4</v>
      </c>
      <c r="AD1028" s="146"/>
      <c r="AE1028" s="171">
        <v>1</v>
      </c>
      <c r="AF1028" s="147">
        <f t="shared" si="396"/>
        <v>0</v>
      </c>
      <c r="AG1028" s="147">
        <f t="shared" si="397"/>
        <v>0</v>
      </c>
      <c r="AH1028" s="147">
        <f t="shared" si="398"/>
        <v>0</v>
      </c>
      <c r="AI1028" s="147">
        <f t="shared" si="399"/>
        <v>0</v>
      </c>
      <c r="AJ1028" s="148" t="str">
        <f t="shared" si="400"/>
        <v>ja</v>
      </c>
      <c r="AK1028" s="149">
        <f t="shared" si="382"/>
        <v>0</v>
      </c>
      <c r="AL1028" s="149">
        <f t="shared" si="383"/>
        <v>0</v>
      </c>
      <c r="AM1028" s="149">
        <f t="shared" si="384"/>
        <v>0</v>
      </c>
      <c r="AN1028" s="149">
        <f t="shared" si="385"/>
        <v>0</v>
      </c>
      <c r="AO1028" s="150" t="str">
        <f t="shared" si="401"/>
        <v>V</v>
      </c>
      <c r="AQ1028" s="151">
        <f t="shared" si="402"/>
        <v>1460</v>
      </c>
    </row>
    <row r="1029" spans="1:43" ht="15" customHeight="1">
      <c r="A1029" s="82" t="e">
        <f t="shared" si="387"/>
        <v>#REF!</v>
      </c>
      <c r="B1029" s="134">
        <v>120</v>
      </c>
      <c r="C1029" s="135" t="s">
        <v>459</v>
      </c>
      <c r="D1029" s="136" t="s">
        <v>39</v>
      </c>
      <c r="E1029" s="137"/>
      <c r="F1029" s="138" t="s">
        <v>467</v>
      </c>
      <c r="G1029" s="139" t="s">
        <v>468</v>
      </c>
      <c r="H1029" s="140" t="str">
        <f t="shared" si="388"/>
        <v>Niet van toepassing</v>
      </c>
      <c r="I1029" s="138" t="s">
        <v>254</v>
      </c>
      <c r="J1029" s="138" t="s">
        <v>1172</v>
      </c>
      <c r="K1029" s="141" t="str">
        <f t="shared" si="389"/>
        <v>NVT</v>
      </c>
      <c r="L1029" s="141" t="str">
        <f t="shared" si="390"/>
        <v>NVT</v>
      </c>
      <c r="M1029" s="141" t="str">
        <f t="shared" si="391"/>
        <v>NVT</v>
      </c>
      <c r="N1029" s="141" t="str">
        <f t="shared" si="392"/>
        <v>NVT</v>
      </c>
      <c r="O1029" s="141" t="str">
        <f t="shared" si="393"/>
        <v>NVT</v>
      </c>
      <c r="P1029" s="141" t="str">
        <f t="shared" si="394"/>
        <v>NVT</v>
      </c>
      <c r="Q1029" s="141" t="str">
        <f t="shared" si="395"/>
        <v>NVT</v>
      </c>
      <c r="R1029" s="63" t="s">
        <v>1221</v>
      </c>
      <c r="S1029" s="142">
        <f t="shared" si="380"/>
        <v>0</v>
      </c>
      <c r="T1029" s="143">
        <v>3</v>
      </c>
      <c r="U1029" s="144"/>
      <c r="V1029" s="144"/>
      <c r="W1029" s="144">
        <v>20</v>
      </c>
      <c r="X1029" s="144"/>
      <c r="Y1029" s="144"/>
      <c r="Z1029" s="145"/>
      <c r="AA1029" s="145">
        <f>T1029</f>
        <v>3</v>
      </c>
      <c r="AB1029" s="145"/>
      <c r="AC1029" s="145"/>
      <c r="AD1029" s="146"/>
      <c r="AE1029" s="171">
        <v>1</v>
      </c>
      <c r="AF1029" s="147">
        <f t="shared" si="396"/>
        <v>0</v>
      </c>
      <c r="AG1029" s="147">
        <f t="shared" si="397"/>
        <v>0</v>
      </c>
      <c r="AH1029" s="147">
        <f t="shared" si="398"/>
        <v>0</v>
      </c>
      <c r="AI1029" s="147">
        <f t="shared" si="399"/>
        <v>0</v>
      </c>
      <c r="AJ1029" s="148">
        <f t="shared" si="400"/>
        <v>0</v>
      </c>
      <c r="AK1029" s="149">
        <f t="shared" si="382"/>
        <v>0</v>
      </c>
      <c r="AL1029" s="149">
        <f t="shared" si="383"/>
        <v>0</v>
      </c>
      <c r="AM1029" s="149">
        <f t="shared" si="384"/>
        <v>0</v>
      </c>
      <c r="AN1029" s="149">
        <f t="shared" si="385"/>
        <v>0</v>
      </c>
      <c r="AO1029" s="150">
        <f t="shared" si="401"/>
        <v>0</v>
      </c>
      <c r="AQ1029" s="151">
        <f t="shared" si="402"/>
        <v>0</v>
      </c>
    </row>
    <row r="1030" spans="1:43" ht="15" customHeight="1">
      <c r="A1030" s="82" t="e">
        <f>1+#REF!</f>
        <v>#REF!</v>
      </c>
      <c r="B1030" s="134">
        <v>120</v>
      </c>
      <c r="C1030" s="135" t="s">
        <v>459</v>
      </c>
      <c r="D1030" s="136" t="s">
        <v>39</v>
      </c>
      <c r="E1030" s="137"/>
      <c r="F1030" s="138" t="s">
        <v>319</v>
      </c>
      <c r="G1030" s="139" t="s">
        <v>469</v>
      </c>
      <c r="H1030" s="140" t="str">
        <f t="shared" si="388"/>
        <v>Niet van toepassing</v>
      </c>
      <c r="I1030" s="138" t="s">
        <v>254</v>
      </c>
      <c r="J1030" s="138" t="s">
        <v>1172</v>
      </c>
      <c r="K1030" s="141" t="str">
        <f t="shared" si="389"/>
        <v>NVT</v>
      </c>
      <c r="L1030" s="141" t="str">
        <f t="shared" si="390"/>
        <v>NVT</v>
      </c>
      <c r="M1030" s="141" t="str">
        <f t="shared" si="391"/>
        <v>NVT</v>
      </c>
      <c r="N1030" s="141" t="str">
        <f t="shared" si="392"/>
        <v>NVT</v>
      </c>
      <c r="O1030" s="141" t="str">
        <f t="shared" si="393"/>
        <v>NVT</v>
      </c>
      <c r="P1030" s="141" t="str">
        <f t="shared" si="394"/>
        <v>NVT</v>
      </c>
      <c r="Q1030" s="141" t="str">
        <f t="shared" si="395"/>
        <v>NVT</v>
      </c>
      <c r="R1030" s="63" t="s">
        <v>1221</v>
      </c>
      <c r="S1030" s="142">
        <f t="shared" si="380"/>
        <v>0</v>
      </c>
      <c r="T1030" s="143">
        <v>34</v>
      </c>
      <c r="U1030" s="144"/>
      <c r="V1030" s="144"/>
      <c r="W1030" s="144">
        <v>71</v>
      </c>
      <c r="X1030" s="144"/>
      <c r="Y1030" s="144"/>
      <c r="Z1030" s="145"/>
      <c r="AA1030" s="145">
        <f>T1030</f>
        <v>34</v>
      </c>
      <c r="AB1030" s="145"/>
      <c r="AC1030" s="145"/>
      <c r="AD1030" s="146"/>
      <c r="AE1030" s="171">
        <v>1</v>
      </c>
      <c r="AF1030" s="147">
        <f t="shared" si="396"/>
        <v>0</v>
      </c>
      <c r="AG1030" s="147">
        <f t="shared" si="397"/>
        <v>0</v>
      </c>
      <c r="AH1030" s="147">
        <f t="shared" si="398"/>
        <v>0</v>
      </c>
      <c r="AI1030" s="147">
        <f t="shared" si="399"/>
        <v>0</v>
      </c>
      <c r="AJ1030" s="148">
        <f t="shared" si="400"/>
        <v>0</v>
      </c>
      <c r="AK1030" s="149">
        <f t="shared" si="382"/>
        <v>0</v>
      </c>
      <c r="AL1030" s="149">
        <f t="shared" si="383"/>
        <v>0</v>
      </c>
      <c r="AM1030" s="149">
        <f t="shared" si="384"/>
        <v>0</v>
      </c>
      <c r="AN1030" s="149">
        <f t="shared" si="385"/>
        <v>0</v>
      </c>
      <c r="AO1030" s="150">
        <f t="shared" si="401"/>
        <v>0</v>
      </c>
      <c r="AQ1030" s="151">
        <f t="shared" si="402"/>
        <v>0</v>
      </c>
    </row>
    <row r="1031" spans="1:43" ht="15" customHeight="1">
      <c r="A1031" s="82" t="e">
        <f t="shared" si="387"/>
        <v>#REF!</v>
      </c>
      <c r="B1031" s="134">
        <v>120</v>
      </c>
      <c r="C1031" s="135" t="s">
        <v>459</v>
      </c>
      <c r="D1031" s="136" t="s">
        <v>39</v>
      </c>
      <c r="E1031" s="137"/>
      <c r="F1031" s="138" t="s">
        <v>470</v>
      </c>
      <c r="G1031" s="139" t="s">
        <v>471</v>
      </c>
      <c r="H1031" s="140" t="str">
        <f t="shared" si="388"/>
        <v>Niet van toepassing</v>
      </c>
      <c r="I1031" s="138" t="s">
        <v>254</v>
      </c>
      <c r="J1031" s="138" t="s">
        <v>1172</v>
      </c>
      <c r="K1031" s="141" t="str">
        <f t="shared" si="389"/>
        <v>NVT</v>
      </c>
      <c r="L1031" s="141" t="str">
        <f t="shared" si="390"/>
        <v>NVT</v>
      </c>
      <c r="M1031" s="141" t="str">
        <f t="shared" si="391"/>
        <v>NVT</v>
      </c>
      <c r="N1031" s="141" t="str">
        <f t="shared" si="392"/>
        <v>NVT</v>
      </c>
      <c r="O1031" s="141" t="str">
        <f t="shared" si="393"/>
        <v>NVT</v>
      </c>
      <c r="P1031" s="141" t="str">
        <f t="shared" si="394"/>
        <v>NVT</v>
      </c>
      <c r="Q1031" s="141" t="str">
        <f t="shared" si="395"/>
        <v>NVT</v>
      </c>
      <c r="R1031" s="63" t="s">
        <v>1221</v>
      </c>
      <c r="S1031" s="142">
        <f t="shared" si="380"/>
        <v>0</v>
      </c>
      <c r="T1031" s="143">
        <v>26</v>
      </c>
      <c r="U1031" s="144"/>
      <c r="V1031" s="144"/>
      <c r="W1031" s="144">
        <v>37</v>
      </c>
      <c r="X1031" s="144"/>
      <c r="Y1031" s="144"/>
      <c r="Z1031" s="145"/>
      <c r="AA1031" s="145"/>
      <c r="AB1031" s="145">
        <f>T1031</f>
        <v>26</v>
      </c>
      <c r="AC1031" s="145"/>
      <c r="AD1031" s="146"/>
      <c r="AE1031" s="171">
        <v>1</v>
      </c>
      <c r="AF1031" s="147">
        <f t="shared" si="396"/>
        <v>0</v>
      </c>
      <c r="AG1031" s="147">
        <f t="shared" si="397"/>
        <v>0</v>
      </c>
      <c r="AH1031" s="147">
        <f t="shared" si="398"/>
        <v>0</v>
      </c>
      <c r="AI1031" s="147">
        <f t="shared" si="399"/>
        <v>0</v>
      </c>
      <c r="AJ1031" s="148">
        <f t="shared" si="400"/>
        <v>0</v>
      </c>
      <c r="AK1031" s="149">
        <f t="shared" si="382"/>
        <v>0</v>
      </c>
      <c r="AL1031" s="149">
        <f t="shared" si="383"/>
        <v>0</v>
      </c>
      <c r="AM1031" s="149">
        <f t="shared" si="384"/>
        <v>0</v>
      </c>
      <c r="AN1031" s="149">
        <f t="shared" si="385"/>
        <v>0</v>
      </c>
      <c r="AO1031" s="150">
        <f t="shared" si="401"/>
        <v>0</v>
      </c>
      <c r="AQ1031" s="151">
        <f t="shared" si="402"/>
        <v>0</v>
      </c>
    </row>
    <row r="1032" spans="1:43" ht="15" customHeight="1">
      <c r="A1032" s="82" t="e">
        <f>1+#REF!</f>
        <v>#REF!</v>
      </c>
      <c r="B1032" s="134">
        <v>120</v>
      </c>
      <c r="C1032" s="135" t="s">
        <v>459</v>
      </c>
      <c r="D1032" s="136" t="s">
        <v>39</v>
      </c>
      <c r="E1032" s="137"/>
      <c r="F1032" s="138" t="s">
        <v>341</v>
      </c>
      <c r="G1032" s="139" t="s">
        <v>473</v>
      </c>
      <c r="H1032" s="140" t="str">
        <f t="shared" si="388"/>
        <v>Kantoren/spreekkamers</v>
      </c>
      <c r="I1032" s="138" t="s">
        <v>254</v>
      </c>
      <c r="J1032" s="138" t="s">
        <v>1170</v>
      </c>
      <c r="K1032" s="141" t="str">
        <f t="shared" si="389"/>
        <v>Volledig</v>
      </c>
      <c r="L1032" s="141" t="str">
        <f t="shared" si="390"/>
        <v>naloop</v>
      </c>
      <c r="M1032" s="141" t="str">
        <f t="shared" si="391"/>
        <v>naloop</v>
      </c>
      <c r="N1032" s="141" t="str">
        <f t="shared" si="392"/>
        <v>Volledig</v>
      </c>
      <c r="O1032" s="141" t="str">
        <f t="shared" si="393"/>
        <v>naloop</v>
      </c>
      <c r="P1032" s="141" t="str">
        <f t="shared" si="394"/>
        <v>naloop</v>
      </c>
      <c r="Q1032" s="141" t="str">
        <f t="shared" si="395"/>
        <v>naloop</v>
      </c>
      <c r="R1032" s="63" t="s">
        <v>1219</v>
      </c>
      <c r="S1032" s="142">
        <f t="shared" si="380"/>
        <v>365</v>
      </c>
      <c r="T1032" s="143">
        <v>21</v>
      </c>
      <c r="U1032" s="144"/>
      <c r="V1032" s="144"/>
      <c r="W1032" s="144">
        <v>55</v>
      </c>
      <c r="X1032" s="144"/>
      <c r="Y1032" s="144"/>
      <c r="Z1032" s="145"/>
      <c r="AA1032" s="145"/>
      <c r="AB1032" s="145">
        <f>T1032</f>
        <v>21</v>
      </c>
      <c r="AC1032" s="145"/>
      <c r="AD1032" s="146"/>
      <c r="AE1032" s="171">
        <v>1</v>
      </c>
      <c r="AF1032" s="147">
        <f t="shared" si="396"/>
        <v>0</v>
      </c>
      <c r="AG1032" s="147">
        <f t="shared" si="397"/>
        <v>0</v>
      </c>
      <c r="AH1032" s="147">
        <f t="shared" si="398"/>
        <v>0</v>
      </c>
      <c r="AI1032" s="147">
        <f t="shared" si="399"/>
        <v>0</v>
      </c>
      <c r="AJ1032" s="148" t="str">
        <f t="shared" si="400"/>
        <v>nee</v>
      </c>
      <c r="AK1032" s="149">
        <f t="shared" si="382"/>
        <v>0</v>
      </c>
      <c r="AL1032" s="149">
        <f t="shared" si="383"/>
        <v>0</v>
      </c>
      <c r="AM1032" s="149">
        <f t="shared" si="384"/>
        <v>0</v>
      </c>
      <c r="AN1032" s="149">
        <f t="shared" si="385"/>
        <v>0</v>
      </c>
      <c r="AO1032" s="150" t="str">
        <f t="shared" si="401"/>
        <v>B</v>
      </c>
      <c r="AQ1032" s="151">
        <f t="shared" si="402"/>
        <v>7665</v>
      </c>
    </row>
    <row r="1033" spans="1:43" ht="15" customHeight="1">
      <c r="A1033" s="82" t="e">
        <f t="shared" si="387"/>
        <v>#REF!</v>
      </c>
      <c r="B1033" s="134">
        <v>120</v>
      </c>
      <c r="C1033" s="135" t="s">
        <v>459</v>
      </c>
      <c r="D1033" s="136" t="s">
        <v>39</v>
      </c>
      <c r="E1033" s="137"/>
      <c r="F1033" s="138" t="s">
        <v>474</v>
      </c>
      <c r="G1033" s="139" t="s">
        <v>475</v>
      </c>
      <c r="H1033" s="140" t="str">
        <f t="shared" si="388"/>
        <v>Sanitair</v>
      </c>
      <c r="I1033" s="138" t="s">
        <v>254</v>
      </c>
      <c r="J1033" s="138" t="s">
        <v>1170</v>
      </c>
      <c r="K1033" s="141" t="str">
        <f t="shared" si="389"/>
        <v>Volledig</v>
      </c>
      <c r="L1033" s="141" t="str">
        <f t="shared" si="390"/>
        <v>naloop</v>
      </c>
      <c r="M1033" s="141" t="str">
        <f t="shared" si="391"/>
        <v>naloop</v>
      </c>
      <c r="N1033" s="141" t="str">
        <f t="shared" si="392"/>
        <v>Volledig</v>
      </c>
      <c r="O1033" s="141" t="str">
        <f t="shared" si="393"/>
        <v>naloop</v>
      </c>
      <c r="P1033" s="141" t="str">
        <f t="shared" si="394"/>
        <v>naloop</v>
      </c>
      <c r="Q1033" s="141" t="str">
        <f t="shared" si="395"/>
        <v>naloop</v>
      </c>
      <c r="R1033" s="63" t="s">
        <v>1210</v>
      </c>
      <c r="S1033" s="142">
        <f t="shared" si="380"/>
        <v>365</v>
      </c>
      <c r="T1033" s="143">
        <v>2</v>
      </c>
      <c r="U1033" s="144"/>
      <c r="V1033" s="144">
        <v>14</v>
      </c>
      <c r="W1033" s="144"/>
      <c r="X1033" s="144"/>
      <c r="Y1033" s="144"/>
      <c r="Z1033" s="145"/>
      <c r="AA1033" s="145"/>
      <c r="AB1033" s="145">
        <f>T1033</f>
        <v>2</v>
      </c>
      <c r="AC1033" s="145"/>
      <c r="AD1033" s="146"/>
      <c r="AE1033" s="171">
        <v>1</v>
      </c>
      <c r="AF1033" s="147">
        <f t="shared" si="396"/>
        <v>0</v>
      </c>
      <c r="AG1033" s="147">
        <f t="shared" si="397"/>
        <v>0</v>
      </c>
      <c r="AH1033" s="147">
        <f t="shared" si="398"/>
        <v>0</v>
      </c>
      <c r="AI1033" s="147">
        <f t="shared" si="399"/>
        <v>0</v>
      </c>
      <c r="AJ1033" s="148" t="str">
        <f t="shared" si="400"/>
        <v>ja</v>
      </c>
      <c r="AK1033" s="149">
        <f t="shared" si="382"/>
        <v>0</v>
      </c>
      <c r="AL1033" s="149">
        <f t="shared" si="383"/>
        <v>0</v>
      </c>
      <c r="AM1033" s="149">
        <f t="shared" si="384"/>
        <v>0</v>
      </c>
      <c r="AN1033" s="149">
        <f t="shared" si="385"/>
        <v>0</v>
      </c>
      <c r="AO1033" s="150" t="str">
        <f t="shared" si="401"/>
        <v>S</v>
      </c>
      <c r="AQ1033" s="151">
        <f t="shared" si="402"/>
        <v>730</v>
      </c>
    </row>
    <row r="1034" spans="1:43" ht="15" customHeight="1">
      <c r="A1034" s="82" t="e">
        <f t="shared" si="387"/>
        <v>#REF!</v>
      </c>
      <c r="B1034" s="134">
        <v>120</v>
      </c>
      <c r="C1034" s="135" t="s">
        <v>459</v>
      </c>
      <c r="D1034" s="136" t="s">
        <v>39</v>
      </c>
      <c r="E1034" s="137"/>
      <c r="F1034" s="138" t="s">
        <v>101</v>
      </c>
      <c r="G1034" s="139" t="s">
        <v>476</v>
      </c>
      <c r="H1034" s="140" t="str">
        <f t="shared" si="388"/>
        <v>Perrons</v>
      </c>
      <c r="I1034" s="138" t="s">
        <v>1257</v>
      </c>
      <c r="J1034" s="138" t="s">
        <v>1170</v>
      </c>
      <c r="K1034" s="141" t="str">
        <f t="shared" si="389"/>
        <v>Volledig</v>
      </c>
      <c r="L1034" s="141" t="str">
        <f t="shared" si="390"/>
        <v>naloop</v>
      </c>
      <c r="M1034" s="141" t="str">
        <f t="shared" si="391"/>
        <v>naloop</v>
      </c>
      <c r="N1034" s="141" t="str">
        <f t="shared" si="392"/>
        <v>Volledig</v>
      </c>
      <c r="O1034" s="141" t="str">
        <f t="shared" si="393"/>
        <v>naloop</v>
      </c>
      <c r="P1034" s="141" t="str">
        <f t="shared" si="394"/>
        <v>naloop</v>
      </c>
      <c r="Q1034" s="141" t="str">
        <f t="shared" si="395"/>
        <v>naloop</v>
      </c>
      <c r="R1034" s="63" t="s">
        <v>1472</v>
      </c>
      <c r="S1034" s="142">
        <f t="shared" si="380"/>
        <v>365</v>
      </c>
      <c r="T1034" s="143">
        <v>1881</v>
      </c>
      <c r="U1034" s="144"/>
      <c r="V1034" s="144"/>
      <c r="W1034" s="144"/>
      <c r="X1034" s="144"/>
      <c r="Y1034" s="144"/>
      <c r="Z1034" s="145">
        <v>1023</v>
      </c>
      <c r="AA1034" s="145"/>
      <c r="AB1034" s="145"/>
      <c r="AC1034" s="145"/>
      <c r="AD1034" s="146"/>
      <c r="AE1034" s="171">
        <v>1</v>
      </c>
      <c r="AF1034" s="147">
        <f t="shared" si="396"/>
        <v>0</v>
      </c>
      <c r="AG1034" s="147">
        <f t="shared" si="397"/>
        <v>0</v>
      </c>
      <c r="AH1034" s="147">
        <f t="shared" si="398"/>
        <v>0</v>
      </c>
      <c r="AI1034" s="147">
        <f t="shared" si="399"/>
        <v>0</v>
      </c>
      <c r="AJ1034" s="148" t="str">
        <f t="shared" si="400"/>
        <v>ja</v>
      </c>
      <c r="AK1034" s="149">
        <f t="shared" si="382"/>
        <v>0</v>
      </c>
      <c r="AL1034" s="149">
        <f t="shared" si="383"/>
        <v>0</v>
      </c>
      <c r="AM1034" s="149">
        <f t="shared" si="384"/>
        <v>0</v>
      </c>
      <c r="AN1034" s="149">
        <f t="shared" si="385"/>
        <v>0</v>
      </c>
      <c r="AO1034" s="150" t="str">
        <f t="shared" si="401"/>
        <v>V</v>
      </c>
      <c r="AQ1034" s="151">
        <f t="shared" si="402"/>
        <v>686565</v>
      </c>
    </row>
    <row r="1035" spans="1:43" ht="15" customHeight="1">
      <c r="A1035" s="82" t="e">
        <f t="shared" si="387"/>
        <v>#REF!</v>
      </c>
      <c r="B1035" s="134">
        <v>120</v>
      </c>
      <c r="C1035" s="135" t="s">
        <v>459</v>
      </c>
      <c r="D1035" s="136" t="s">
        <v>39</v>
      </c>
      <c r="E1035" s="137"/>
      <c r="F1035" s="138" t="s">
        <v>258</v>
      </c>
      <c r="G1035" s="139" t="s">
        <v>477</v>
      </c>
      <c r="H1035" s="140" t="str">
        <f t="shared" si="388"/>
        <v>Roltrappen(inclusief aangrenzende bouwdelen)</v>
      </c>
      <c r="I1035" s="138" t="s">
        <v>1251</v>
      </c>
      <c r="J1035" s="138" t="s">
        <v>1170</v>
      </c>
      <c r="K1035" s="141" t="str">
        <f t="shared" si="389"/>
        <v>Volledig</v>
      </c>
      <c r="L1035" s="141" t="str">
        <f t="shared" si="390"/>
        <v>naloop</v>
      </c>
      <c r="M1035" s="141" t="str">
        <f t="shared" si="391"/>
        <v>naloop</v>
      </c>
      <c r="N1035" s="141" t="str">
        <f t="shared" si="392"/>
        <v>Volledig</v>
      </c>
      <c r="O1035" s="141" t="str">
        <f t="shared" si="393"/>
        <v>naloop</v>
      </c>
      <c r="P1035" s="141" t="str">
        <f t="shared" si="394"/>
        <v>naloop</v>
      </c>
      <c r="Q1035" s="141" t="str">
        <f t="shared" si="395"/>
        <v>naloop</v>
      </c>
      <c r="R1035" s="63" t="s">
        <v>1480</v>
      </c>
      <c r="S1035" s="142">
        <f t="shared" si="380"/>
        <v>365</v>
      </c>
      <c r="T1035" s="143">
        <v>41</v>
      </c>
      <c r="U1035" s="144" t="s">
        <v>489</v>
      </c>
      <c r="V1035" s="144"/>
      <c r="W1035" s="144"/>
      <c r="X1035" s="144"/>
      <c r="Y1035" s="144"/>
      <c r="Z1035" s="145"/>
      <c r="AA1035" s="145"/>
      <c r="AB1035" s="145"/>
      <c r="AC1035" s="145"/>
      <c r="AD1035" s="146"/>
      <c r="AE1035" s="171">
        <v>1</v>
      </c>
      <c r="AF1035" s="147">
        <f t="shared" si="396"/>
        <v>0</v>
      </c>
      <c r="AG1035" s="147">
        <f t="shared" si="397"/>
        <v>0</v>
      </c>
      <c r="AH1035" s="147">
        <f t="shared" si="398"/>
        <v>0</v>
      </c>
      <c r="AI1035" s="147">
        <f t="shared" si="399"/>
        <v>0</v>
      </c>
      <c r="AJ1035" s="148" t="str">
        <f t="shared" si="400"/>
        <v>ja</v>
      </c>
      <c r="AK1035" s="149">
        <f t="shared" si="382"/>
        <v>0</v>
      </c>
      <c r="AL1035" s="149">
        <f t="shared" si="383"/>
        <v>0</v>
      </c>
      <c r="AM1035" s="149">
        <f t="shared" si="384"/>
        <v>0</v>
      </c>
      <c r="AN1035" s="149">
        <f t="shared" si="385"/>
        <v>0</v>
      </c>
      <c r="AO1035" s="150" t="str">
        <f t="shared" si="401"/>
        <v>V</v>
      </c>
      <c r="AQ1035" s="151">
        <f t="shared" si="402"/>
        <v>14965</v>
      </c>
    </row>
    <row r="1036" spans="1:43" ht="15" customHeight="1">
      <c r="A1036" s="82" t="e">
        <f t="shared" si="387"/>
        <v>#REF!</v>
      </c>
      <c r="B1036" s="134">
        <v>120</v>
      </c>
      <c r="C1036" s="135" t="s">
        <v>459</v>
      </c>
      <c r="D1036" s="136" t="s">
        <v>39</v>
      </c>
      <c r="E1036" s="137"/>
      <c r="F1036" s="138" t="s">
        <v>258</v>
      </c>
      <c r="G1036" s="139" t="s">
        <v>478</v>
      </c>
      <c r="H1036" s="140" t="str">
        <f t="shared" si="388"/>
        <v>Roltrappen(inclusief aangrenzende bouwdelen)</v>
      </c>
      <c r="I1036" s="138" t="s">
        <v>1251</v>
      </c>
      <c r="J1036" s="138" t="s">
        <v>1170</v>
      </c>
      <c r="K1036" s="141" t="str">
        <f t="shared" si="389"/>
        <v>Volledig</v>
      </c>
      <c r="L1036" s="141" t="str">
        <f t="shared" si="390"/>
        <v>naloop</v>
      </c>
      <c r="M1036" s="141" t="str">
        <f t="shared" si="391"/>
        <v>naloop</v>
      </c>
      <c r="N1036" s="141" t="str">
        <f t="shared" si="392"/>
        <v>Volledig</v>
      </c>
      <c r="O1036" s="141" t="str">
        <f t="shared" si="393"/>
        <v>naloop</v>
      </c>
      <c r="P1036" s="141" t="str">
        <f t="shared" si="394"/>
        <v>naloop</v>
      </c>
      <c r="Q1036" s="141" t="str">
        <f t="shared" si="395"/>
        <v>naloop</v>
      </c>
      <c r="R1036" s="63" t="s">
        <v>1480</v>
      </c>
      <c r="S1036" s="142">
        <f t="shared" ref="S1036:S1099" si="404">VLOOKUP(R1036,Kengetal,2,FALSE)</f>
        <v>365</v>
      </c>
      <c r="T1036" s="143">
        <v>41</v>
      </c>
      <c r="U1036" s="144" t="s">
        <v>489</v>
      </c>
      <c r="V1036" s="144"/>
      <c r="W1036" s="144"/>
      <c r="X1036" s="144"/>
      <c r="Y1036" s="144"/>
      <c r="Z1036" s="145"/>
      <c r="AA1036" s="145"/>
      <c r="AB1036" s="145"/>
      <c r="AC1036" s="145"/>
      <c r="AD1036" s="146"/>
      <c r="AE1036" s="171">
        <v>1</v>
      </c>
      <c r="AF1036" s="147">
        <f t="shared" si="396"/>
        <v>0</v>
      </c>
      <c r="AG1036" s="147">
        <f t="shared" si="397"/>
        <v>0</v>
      </c>
      <c r="AH1036" s="147">
        <f t="shared" si="398"/>
        <v>0</v>
      </c>
      <c r="AI1036" s="147">
        <f t="shared" si="399"/>
        <v>0</v>
      </c>
      <c r="AJ1036" s="148" t="str">
        <f t="shared" si="400"/>
        <v>ja</v>
      </c>
      <c r="AK1036" s="149">
        <f t="shared" si="382"/>
        <v>0</v>
      </c>
      <c r="AL1036" s="149">
        <f t="shared" si="383"/>
        <v>0</v>
      </c>
      <c r="AM1036" s="149">
        <f t="shared" si="384"/>
        <v>0</v>
      </c>
      <c r="AN1036" s="149">
        <f t="shared" si="385"/>
        <v>0</v>
      </c>
      <c r="AO1036" s="150" t="str">
        <f t="shared" si="401"/>
        <v>V</v>
      </c>
      <c r="AQ1036" s="151">
        <f t="shared" si="402"/>
        <v>14965</v>
      </c>
    </row>
    <row r="1037" spans="1:43" ht="15" customHeight="1">
      <c r="A1037" s="82" t="e">
        <f t="shared" si="387"/>
        <v>#REF!</v>
      </c>
      <c r="B1037" s="134">
        <v>120</v>
      </c>
      <c r="C1037" s="135" t="s">
        <v>459</v>
      </c>
      <c r="D1037" s="136" t="s">
        <v>39</v>
      </c>
      <c r="E1037" s="137"/>
      <c r="F1037" s="138" t="s">
        <v>258</v>
      </c>
      <c r="G1037" s="139" t="s">
        <v>451</v>
      </c>
      <c r="H1037" s="140" t="str">
        <f t="shared" si="388"/>
        <v>Roltrappen(inclusief aangrenzende bouwdelen)</v>
      </c>
      <c r="I1037" s="138" t="s">
        <v>1251</v>
      </c>
      <c r="J1037" s="138" t="s">
        <v>1170</v>
      </c>
      <c r="K1037" s="141" t="str">
        <f t="shared" si="389"/>
        <v>Volledig</v>
      </c>
      <c r="L1037" s="141" t="str">
        <f t="shared" si="390"/>
        <v>naloop</v>
      </c>
      <c r="M1037" s="141" t="str">
        <f t="shared" si="391"/>
        <v>naloop</v>
      </c>
      <c r="N1037" s="141" t="str">
        <f t="shared" si="392"/>
        <v>Volledig</v>
      </c>
      <c r="O1037" s="141" t="str">
        <f t="shared" si="393"/>
        <v>naloop</v>
      </c>
      <c r="P1037" s="141" t="str">
        <f t="shared" si="394"/>
        <v>naloop</v>
      </c>
      <c r="Q1037" s="141" t="str">
        <f t="shared" si="395"/>
        <v>naloop</v>
      </c>
      <c r="R1037" s="63" t="s">
        <v>1480</v>
      </c>
      <c r="S1037" s="142">
        <f t="shared" si="404"/>
        <v>365</v>
      </c>
      <c r="T1037" s="143">
        <v>41</v>
      </c>
      <c r="U1037" s="144" t="s">
        <v>489</v>
      </c>
      <c r="V1037" s="144"/>
      <c r="W1037" s="144"/>
      <c r="X1037" s="144"/>
      <c r="Y1037" s="144"/>
      <c r="Z1037" s="145"/>
      <c r="AA1037" s="145"/>
      <c r="AB1037" s="145"/>
      <c r="AC1037" s="145"/>
      <c r="AD1037" s="146"/>
      <c r="AE1037" s="171">
        <v>1</v>
      </c>
      <c r="AF1037" s="147">
        <f t="shared" si="396"/>
        <v>0</v>
      </c>
      <c r="AG1037" s="147">
        <f t="shared" si="397"/>
        <v>0</v>
      </c>
      <c r="AH1037" s="147">
        <f t="shared" si="398"/>
        <v>0</v>
      </c>
      <c r="AI1037" s="147">
        <f t="shared" si="399"/>
        <v>0</v>
      </c>
      <c r="AJ1037" s="148" t="str">
        <f t="shared" si="400"/>
        <v>ja</v>
      </c>
      <c r="AK1037" s="149">
        <f t="shared" si="382"/>
        <v>0</v>
      </c>
      <c r="AL1037" s="149">
        <f t="shared" si="383"/>
        <v>0</v>
      </c>
      <c r="AM1037" s="149">
        <f t="shared" si="384"/>
        <v>0</v>
      </c>
      <c r="AN1037" s="149">
        <f t="shared" si="385"/>
        <v>0</v>
      </c>
      <c r="AO1037" s="150" t="str">
        <f t="shared" si="401"/>
        <v>V</v>
      </c>
      <c r="AQ1037" s="151">
        <f t="shared" si="402"/>
        <v>14965</v>
      </c>
    </row>
    <row r="1038" spans="1:43" ht="15" customHeight="1">
      <c r="A1038" s="82" t="e">
        <f t="shared" si="387"/>
        <v>#REF!</v>
      </c>
      <c r="B1038" s="134">
        <v>121</v>
      </c>
      <c r="C1038" s="135" t="s">
        <v>275</v>
      </c>
      <c r="D1038" s="136" t="s">
        <v>39</v>
      </c>
      <c r="E1038" s="137"/>
      <c r="F1038" s="138" t="s">
        <v>232</v>
      </c>
      <c r="G1038" s="139" t="s">
        <v>113</v>
      </c>
      <c r="H1038" s="140" t="str">
        <f t="shared" si="388"/>
        <v>Hallen</v>
      </c>
      <c r="I1038" s="138" t="s">
        <v>195</v>
      </c>
      <c r="J1038" s="138" t="s">
        <v>1170</v>
      </c>
      <c r="K1038" s="141" t="str">
        <f t="shared" si="389"/>
        <v>Volledig</v>
      </c>
      <c r="L1038" s="141" t="str">
        <f t="shared" si="390"/>
        <v>naloop</v>
      </c>
      <c r="M1038" s="141" t="str">
        <f t="shared" si="391"/>
        <v>naloop</v>
      </c>
      <c r="N1038" s="141" t="str">
        <f t="shared" si="392"/>
        <v>Volledig</v>
      </c>
      <c r="O1038" s="141" t="str">
        <f t="shared" si="393"/>
        <v>naloop</v>
      </c>
      <c r="P1038" s="141" t="str">
        <f t="shared" si="394"/>
        <v>naloop</v>
      </c>
      <c r="Q1038" s="141" t="str">
        <f t="shared" si="395"/>
        <v>naloop</v>
      </c>
      <c r="R1038" s="63" t="s">
        <v>1478</v>
      </c>
      <c r="S1038" s="142">
        <f t="shared" si="404"/>
        <v>365</v>
      </c>
      <c r="T1038" s="143">
        <v>170</v>
      </c>
      <c r="U1038" s="144"/>
      <c r="V1038" s="144">
        <v>470</v>
      </c>
      <c r="W1038" s="144"/>
      <c r="X1038" s="144"/>
      <c r="Y1038" s="144"/>
      <c r="Z1038" s="145"/>
      <c r="AA1038" s="145"/>
      <c r="AB1038" s="145">
        <v>170</v>
      </c>
      <c r="AC1038" s="145"/>
      <c r="AD1038" s="146"/>
      <c r="AE1038" s="171">
        <v>1</v>
      </c>
      <c r="AF1038" s="147">
        <f t="shared" si="396"/>
        <v>0</v>
      </c>
      <c r="AG1038" s="147">
        <f t="shared" si="397"/>
        <v>0</v>
      </c>
      <c r="AH1038" s="147">
        <f t="shared" si="398"/>
        <v>0</v>
      </c>
      <c r="AI1038" s="147">
        <f t="shared" si="399"/>
        <v>0</v>
      </c>
      <c r="AJ1038" s="148" t="str">
        <f t="shared" si="400"/>
        <v>ja</v>
      </c>
      <c r="AK1038" s="149">
        <f t="shared" si="382"/>
        <v>0</v>
      </c>
      <c r="AL1038" s="149">
        <f t="shared" si="383"/>
        <v>0</v>
      </c>
      <c r="AM1038" s="149">
        <f t="shared" si="384"/>
        <v>0</v>
      </c>
      <c r="AN1038" s="149">
        <f t="shared" si="385"/>
        <v>0</v>
      </c>
      <c r="AO1038" s="150" t="str">
        <f t="shared" si="401"/>
        <v>V</v>
      </c>
      <c r="AQ1038" s="151">
        <f t="shared" si="402"/>
        <v>62050</v>
      </c>
    </row>
    <row r="1039" spans="1:43" ht="15" customHeight="1">
      <c r="A1039" s="82" t="e">
        <f>1+#REF!</f>
        <v>#REF!</v>
      </c>
      <c r="B1039" s="134">
        <v>121</v>
      </c>
      <c r="C1039" s="135" t="s">
        <v>275</v>
      </c>
      <c r="D1039" s="136" t="s">
        <v>39</v>
      </c>
      <c r="E1039" s="137"/>
      <c r="F1039" s="138" t="s">
        <v>248</v>
      </c>
      <c r="G1039" s="139" t="s">
        <v>277</v>
      </c>
      <c r="H1039" s="140" t="str">
        <f t="shared" si="388"/>
        <v>Niet van toepassing</v>
      </c>
      <c r="I1039" s="138" t="s">
        <v>270</v>
      </c>
      <c r="J1039" s="138" t="s">
        <v>1172</v>
      </c>
      <c r="K1039" s="141" t="str">
        <f t="shared" si="389"/>
        <v>NVT</v>
      </c>
      <c r="L1039" s="141" t="str">
        <f t="shared" si="390"/>
        <v>NVT</v>
      </c>
      <c r="M1039" s="141" t="str">
        <f t="shared" si="391"/>
        <v>NVT</v>
      </c>
      <c r="N1039" s="141" t="str">
        <f t="shared" si="392"/>
        <v>NVT</v>
      </c>
      <c r="O1039" s="141" t="str">
        <f t="shared" si="393"/>
        <v>NVT</v>
      </c>
      <c r="P1039" s="141" t="str">
        <f t="shared" si="394"/>
        <v>NVT</v>
      </c>
      <c r="Q1039" s="141" t="str">
        <f t="shared" si="395"/>
        <v>NVT</v>
      </c>
      <c r="R1039" s="63" t="s">
        <v>1221</v>
      </c>
      <c r="S1039" s="142">
        <f t="shared" si="404"/>
        <v>0</v>
      </c>
      <c r="T1039" s="143">
        <v>41</v>
      </c>
      <c r="U1039" s="144"/>
      <c r="V1039" s="144">
        <v>110</v>
      </c>
      <c r="W1039" s="144"/>
      <c r="X1039" s="144"/>
      <c r="Y1039" s="144"/>
      <c r="Z1039" s="145"/>
      <c r="AA1039" s="145"/>
      <c r="AB1039" s="145">
        <f t="shared" ref="AB1039:AB1043" si="405">T1039</f>
        <v>41</v>
      </c>
      <c r="AC1039" s="145"/>
      <c r="AD1039" s="146"/>
      <c r="AE1039" s="171">
        <v>1</v>
      </c>
      <c r="AF1039" s="147">
        <f t="shared" si="396"/>
        <v>0</v>
      </c>
      <c r="AG1039" s="147">
        <f t="shared" si="397"/>
        <v>0</v>
      </c>
      <c r="AH1039" s="147">
        <f t="shared" si="398"/>
        <v>0</v>
      </c>
      <c r="AI1039" s="147">
        <f t="shared" si="399"/>
        <v>0</v>
      </c>
      <c r="AJ1039" s="148">
        <f t="shared" si="400"/>
        <v>0</v>
      </c>
      <c r="AK1039" s="149">
        <f t="shared" si="382"/>
        <v>0</v>
      </c>
      <c r="AL1039" s="149">
        <f t="shared" si="383"/>
        <v>0</v>
      </c>
      <c r="AM1039" s="149">
        <f t="shared" si="384"/>
        <v>0</v>
      </c>
      <c r="AN1039" s="149">
        <f t="shared" si="385"/>
        <v>0</v>
      </c>
      <c r="AO1039" s="150">
        <f t="shared" si="401"/>
        <v>0</v>
      </c>
      <c r="AQ1039" s="151">
        <f t="shared" si="402"/>
        <v>0</v>
      </c>
    </row>
    <row r="1040" spans="1:43" ht="15" customHeight="1">
      <c r="A1040" s="82" t="e">
        <f t="shared" si="387"/>
        <v>#REF!</v>
      </c>
      <c r="B1040" s="134">
        <v>121</v>
      </c>
      <c r="C1040" s="135" t="s">
        <v>275</v>
      </c>
      <c r="D1040" s="136" t="s">
        <v>39</v>
      </c>
      <c r="E1040" s="137"/>
      <c r="F1040" s="138" t="s">
        <v>272</v>
      </c>
      <c r="G1040" s="139" t="s">
        <v>278</v>
      </c>
      <c r="H1040" s="140" t="str">
        <f t="shared" si="388"/>
        <v>Niet van toepassing</v>
      </c>
      <c r="I1040" s="138" t="s">
        <v>270</v>
      </c>
      <c r="J1040" s="138" t="s">
        <v>1172</v>
      </c>
      <c r="K1040" s="141" t="str">
        <f t="shared" si="389"/>
        <v>NVT</v>
      </c>
      <c r="L1040" s="141" t="str">
        <f t="shared" si="390"/>
        <v>NVT</v>
      </c>
      <c r="M1040" s="141" t="str">
        <f t="shared" si="391"/>
        <v>NVT</v>
      </c>
      <c r="N1040" s="141" t="str">
        <f t="shared" si="392"/>
        <v>NVT</v>
      </c>
      <c r="O1040" s="141" t="str">
        <f t="shared" si="393"/>
        <v>NVT</v>
      </c>
      <c r="P1040" s="141" t="str">
        <f t="shared" si="394"/>
        <v>NVT</v>
      </c>
      <c r="Q1040" s="141" t="str">
        <f t="shared" si="395"/>
        <v>NVT</v>
      </c>
      <c r="R1040" s="63" t="s">
        <v>1221</v>
      </c>
      <c r="S1040" s="142">
        <f t="shared" si="404"/>
        <v>0</v>
      </c>
      <c r="T1040" s="143">
        <v>13.66</v>
      </c>
      <c r="U1040" s="144"/>
      <c r="V1040" s="144">
        <v>37</v>
      </c>
      <c r="W1040" s="144"/>
      <c r="X1040" s="144"/>
      <c r="Y1040" s="144"/>
      <c r="Z1040" s="145"/>
      <c r="AA1040" s="145"/>
      <c r="AB1040" s="145">
        <f t="shared" si="405"/>
        <v>13.66</v>
      </c>
      <c r="AC1040" s="145"/>
      <c r="AD1040" s="146"/>
      <c r="AE1040" s="171">
        <v>1</v>
      </c>
      <c r="AF1040" s="147">
        <f t="shared" si="396"/>
        <v>0</v>
      </c>
      <c r="AG1040" s="147">
        <f t="shared" si="397"/>
        <v>0</v>
      </c>
      <c r="AH1040" s="147">
        <f t="shared" si="398"/>
        <v>0</v>
      </c>
      <c r="AI1040" s="147">
        <f t="shared" si="399"/>
        <v>0</v>
      </c>
      <c r="AJ1040" s="148">
        <f t="shared" si="400"/>
        <v>0</v>
      </c>
      <c r="AK1040" s="149">
        <f t="shared" si="382"/>
        <v>0</v>
      </c>
      <c r="AL1040" s="149">
        <f t="shared" si="383"/>
        <v>0</v>
      </c>
      <c r="AM1040" s="149">
        <f t="shared" si="384"/>
        <v>0</v>
      </c>
      <c r="AN1040" s="149">
        <f t="shared" si="385"/>
        <v>0</v>
      </c>
      <c r="AO1040" s="150">
        <f t="shared" si="401"/>
        <v>0</v>
      </c>
      <c r="AQ1040" s="151">
        <f t="shared" si="402"/>
        <v>0</v>
      </c>
    </row>
    <row r="1041" spans="1:43" ht="15" customHeight="1">
      <c r="A1041" s="82" t="e">
        <f t="shared" si="387"/>
        <v>#REF!</v>
      </c>
      <c r="B1041" s="134">
        <v>121</v>
      </c>
      <c r="C1041" s="135" t="s">
        <v>275</v>
      </c>
      <c r="D1041" s="136" t="s">
        <v>39</v>
      </c>
      <c r="E1041" s="137"/>
      <c r="F1041" s="138" t="s">
        <v>279</v>
      </c>
      <c r="G1041" s="139" t="s">
        <v>280</v>
      </c>
      <c r="H1041" s="140" t="str">
        <f t="shared" si="388"/>
        <v>Niet van toepassing</v>
      </c>
      <c r="I1041" s="138" t="s">
        <v>254</v>
      </c>
      <c r="J1041" s="138" t="s">
        <v>1172</v>
      </c>
      <c r="K1041" s="141" t="str">
        <f t="shared" si="389"/>
        <v>NVT</v>
      </c>
      <c r="L1041" s="141" t="str">
        <f t="shared" si="390"/>
        <v>NVT</v>
      </c>
      <c r="M1041" s="141" t="str">
        <f t="shared" si="391"/>
        <v>NVT</v>
      </c>
      <c r="N1041" s="141" t="str">
        <f t="shared" si="392"/>
        <v>NVT</v>
      </c>
      <c r="O1041" s="141" t="str">
        <f t="shared" si="393"/>
        <v>NVT</v>
      </c>
      <c r="P1041" s="141" t="str">
        <f t="shared" si="394"/>
        <v>NVT</v>
      </c>
      <c r="Q1041" s="141" t="str">
        <f t="shared" si="395"/>
        <v>NVT</v>
      </c>
      <c r="R1041" s="63" t="s">
        <v>1221</v>
      </c>
      <c r="S1041" s="142">
        <f t="shared" si="404"/>
        <v>0</v>
      </c>
      <c r="T1041" s="143">
        <v>13</v>
      </c>
      <c r="U1041" s="144"/>
      <c r="V1041" s="144">
        <v>37</v>
      </c>
      <c r="W1041" s="144"/>
      <c r="X1041" s="144"/>
      <c r="Y1041" s="144"/>
      <c r="Z1041" s="145"/>
      <c r="AA1041" s="145"/>
      <c r="AB1041" s="145">
        <f t="shared" si="405"/>
        <v>13</v>
      </c>
      <c r="AC1041" s="145"/>
      <c r="AD1041" s="146"/>
      <c r="AE1041" s="171">
        <v>1</v>
      </c>
      <c r="AF1041" s="147">
        <f t="shared" si="396"/>
        <v>0</v>
      </c>
      <c r="AG1041" s="147">
        <f t="shared" si="397"/>
        <v>0</v>
      </c>
      <c r="AH1041" s="147">
        <f t="shared" si="398"/>
        <v>0</v>
      </c>
      <c r="AI1041" s="147">
        <f t="shared" si="399"/>
        <v>0</v>
      </c>
      <c r="AJ1041" s="148">
        <f t="shared" si="400"/>
        <v>0</v>
      </c>
      <c r="AK1041" s="149">
        <f t="shared" si="382"/>
        <v>0</v>
      </c>
      <c r="AL1041" s="149">
        <f t="shared" si="383"/>
        <v>0</v>
      </c>
      <c r="AM1041" s="149">
        <f t="shared" si="384"/>
        <v>0</v>
      </c>
      <c r="AN1041" s="149">
        <f t="shared" si="385"/>
        <v>0</v>
      </c>
      <c r="AO1041" s="150">
        <f t="shared" si="401"/>
        <v>0</v>
      </c>
      <c r="AQ1041" s="151">
        <f t="shared" si="402"/>
        <v>0</v>
      </c>
    </row>
    <row r="1042" spans="1:43" ht="15" customHeight="1">
      <c r="A1042" s="82" t="e">
        <f t="shared" si="387"/>
        <v>#REF!</v>
      </c>
      <c r="B1042" s="134">
        <v>121</v>
      </c>
      <c r="C1042" s="135" t="s">
        <v>275</v>
      </c>
      <c r="D1042" s="136" t="s">
        <v>39</v>
      </c>
      <c r="E1042" s="137"/>
      <c r="F1042" s="138" t="s">
        <v>201</v>
      </c>
      <c r="G1042" s="139" t="s">
        <v>28</v>
      </c>
      <c r="H1042" s="140" t="str">
        <f t="shared" si="388"/>
        <v>Niet van toepassing</v>
      </c>
      <c r="I1042" s="138" t="s">
        <v>270</v>
      </c>
      <c r="J1042" s="138" t="s">
        <v>1172</v>
      </c>
      <c r="K1042" s="141" t="str">
        <f t="shared" si="389"/>
        <v>NVT</v>
      </c>
      <c r="L1042" s="141" t="str">
        <f t="shared" si="390"/>
        <v>NVT</v>
      </c>
      <c r="M1042" s="141" t="str">
        <f t="shared" si="391"/>
        <v>NVT</v>
      </c>
      <c r="N1042" s="141" t="str">
        <f t="shared" si="392"/>
        <v>NVT</v>
      </c>
      <c r="O1042" s="141" t="str">
        <f t="shared" si="393"/>
        <v>NVT</v>
      </c>
      <c r="P1042" s="141" t="str">
        <f t="shared" si="394"/>
        <v>NVT</v>
      </c>
      <c r="Q1042" s="141" t="str">
        <f t="shared" si="395"/>
        <v>NVT</v>
      </c>
      <c r="R1042" s="63" t="s">
        <v>1221</v>
      </c>
      <c r="S1042" s="142">
        <f t="shared" si="404"/>
        <v>0</v>
      </c>
      <c r="T1042" s="143">
        <v>16</v>
      </c>
      <c r="U1042" s="144"/>
      <c r="V1042" s="144">
        <v>39</v>
      </c>
      <c r="W1042" s="144"/>
      <c r="X1042" s="144"/>
      <c r="Y1042" s="144"/>
      <c r="Z1042" s="145"/>
      <c r="AA1042" s="145"/>
      <c r="AB1042" s="145">
        <f t="shared" si="405"/>
        <v>16</v>
      </c>
      <c r="AC1042" s="145"/>
      <c r="AD1042" s="146"/>
      <c r="AE1042" s="171">
        <v>1</v>
      </c>
      <c r="AF1042" s="147">
        <f t="shared" si="396"/>
        <v>0</v>
      </c>
      <c r="AG1042" s="147">
        <f t="shared" si="397"/>
        <v>0</v>
      </c>
      <c r="AH1042" s="147">
        <f t="shared" si="398"/>
        <v>0</v>
      </c>
      <c r="AI1042" s="147">
        <f t="shared" si="399"/>
        <v>0</v>
      </c>
      <c r="AJ1042" s="148">
        <f t="shared" si="400"/>
        <v>0</v>
      </c>
      <c r="AK1042" s="149">
        <f t="shared" si="382"/>
        <v>0</v>
      </c>
      <c r="AL1042" s="149">
        <f t="shared" si="383"/>
        <v>0</v>
      </c>
      <c r="AM1042" s="149">
        <f t="shared" si="384"/>
        <v>0</v>
      </c>
      <c r="AN1042" s="149">
        <f t="shared" si="385"/>
        <v>0</v>
      </c>
      <c r="AO1042" s="150">
        <f t="shared" si="401"/>
        <v>0</v>
      </c>
      <c r="AQ1042" s="151">
        <f t="shared" si="402"/>
        <v>0</v>
      </c>
    </row>
    <row r="1043" spans="1:43" ht="15" customHeight="1">
      <c r="A1043" s="82" t="e">
        <f t="shared" si="387"/>
        <v>#REF!</v>
      </c>
      <c r="B1043" s="134">
        <v>121</v>
      </c>
      <c r="C1043" s="135" t="s">
        <v>275</v>
      </c>
      <c r="D1043" s="136" t="s">
        <v>39</v>
      </c>
      <c r="E1043" s="137"/>
      <c r="F1043" s="138" t="s">
        <v>57</v>
      </c>
      <c r="G1043" s="139" t="s">
        <v>446</v>
      </c>
      <c r="H1043" s="140" t="str">
        <f t="shared" si="388"/>
        <v>Niet van toepassing</v>
      </c>
      <c r="I1043" s="138" t="s">
        <v>270</v>
      </c>
      <c r="J1043" s="138" t="s">
        <v>1172</v>
      </c>
      <c r="K1043" s="141" t="str">
        <f t="shared" si="389"/>
        <v>NVT</v>
      </c>
      <c r="L1043" s="141" t="str">
        <f t="shared" si="390"/>
        <v>NVT</v>
      </c>
      <c r="M1043" s="141" t="str">
        <f t="shared" si="391"/>
        <v>NVT</v>
      </c>
      <c r="N1043" s="141" t="str">
        <f t="shared" si="392"/>
        <v>NVT</v>
      </c>
      <c r="O1043" s="141" t="str">
        <f t="shared" si="393"/>
        <v>NVT</v>
      </c>
      <c r="P1043" s="141" t="str">
        <f t="shared" si="394"/>
        <v>NVT</v>
      </c>
      <c r="Q1043" s="141" t="str">
        <f t="shared" si="395"/>
        <v>NVT</v>
      </c>
      <c r="R1043" s="63" t="s">
        <v>1221</v>
      </c>
      <c r="S1043" s="142">
        <f t="shared" si="404"/>
        <v>0</v>
      </c>
      <c r="T1043" s="143">
        <v>32.47</v>
      </c>
      <c r="U1043" s="144"/>
      <c r="V1043" s="144">
        <v>70</v>
      </c>
      <c r="W1043" s="144"/>
      <c r="X1043" s="144"/>
      <c r="Y1043" s="144"/>
      <c r="Z1043" s="145"/>
      <c r="AA1043" s="145"/>
      <c r="AB1043" s="145">
        <f t="shared" si="405"/>
        <v>32.47</v>
      </c>
      <c r="AC1043" s="145"/>
      <c r="AD1043" s="146"/>
      <c r="AE1043" s="171">
        <v>1</v>
      </c>
      <c r="AF1043" s="147">
        <f t="shared" si="396"/>
        <v>0</v>
      </c>
      <c r="AG1043" s="147">
        <f t="shared" si="397"/>
        <v>0</v>
      </c>
      <c r="AH1043" s="147">
        <f t="shared" si="398"/>
        <v>0</v>
      </c>
      <c r="AI1043" s="147">
        <f t="shared" si="399"/>
        <v>0</v>
      </c>
      <c r="AJ1043" s="148">
        <f t="shared" si="400"/>
        <v>0</v>
      </c>
      <c r="AK1043" s="149">
        <f t="shared" si="382"/>
        <v>0</v>
      </c>
      <c r="AL1043" s="149">
        <f t="shared" si="383"/>
        <v>0</v>
      </c>
      <c r="AM1043" s="149">
        <f t="shared" si="384"/>
        <v>0</v>
      </c>
      <c r="AN1043" s="149">
        <f t="shared" si="385"/>
        <v>0</v>
      </c>
      <c r="AO1043" s="150">
        <f t="shared" si="401"/>
        <v>0</v>
      </c>
      <c r="AQ1043" s="151">
        <f t="shared" si="402"/>
        <v>0</v>
      </c>
    </row>
    <row r="1044" spans="1:43" ht="15" customHeight="1">
      <c r="A1044" s="82" t="e">
        <f t="shared" si="387"/>
        <v>#REF!</v>
      </c>
      <c r="B1044" s="134">
        <v>121</v>
      </c>
      <c r="C1044" s="135" t="s">
        <v>275</v>
      </c>
      <c r="D1044" s="136" t="s">
        <v>39</v>
      </c>
      <c r="E1044" s="137"/>
      <c r="F1044" s="138" t="s">
        <v>281</v>
      </c>
      <c r="G1044" s="139" t="s">
        <v>29</v>
      </c>
      <c r="H1044" s="140" t="str">
        <f t="shared" si="388"/>
        <v>Niet van toepassing</v>
      </c>
      <c r="I1044" s="138" t="s">
        <v>254</v>
      </c>
      <c r="J1044" s="138" t="s">
        <v>1172</v>
      </c>
      <c r="K1044" s="141" t="str">
        <f t="shared" si="389"/>
        <v>NVT</v>
      </c>
      <c r="L1044" s="141" t="str">
        <f t="shared" si="390"/>
        <v>NVT</v>
      </c>
      <c r="M1044" s="141" t="str">
        <f t="shared" si="391"/>
        <v>NVT</v>
      </c>
      <c r="N1044" s="141" t="str">
        <f t="shared" si="392"/>
        <v>NVT</v>
      </c>
      <c r="O1044" s="141" t="str">
        <f t="shared" si="393"/>
        <v>NVT</v>
      </c>
      <c r="P1044" s="141" t="str">
        <f t="shared" si="394"/>
        <v>NVT</v>
      </c>
      <c r="Q1044" s="141" t="str">
        <f t="shared" si="395"/>
        <v>NVT</v>
      </c>
      <c r="R1044" s="63" t="s">
        <v>1221</v>
      </c>
      <c r="S1044" s="142">
        <f t="shared" si="404"/>
        <v>0</v>
      </c>
      <c r="T1044" s="143">
        <v>20</v>
      </c>
      <c r="U1044" s="144"/>
      <c r="V1044" s="144"/>
      <c r="W1044" s="144">
        <v>56</v>
      </c>
      <c r="X1044" s="144"/>
      <c r="Y1044" s="144"/>
      <c r="Z1044" s="145"/>
      <c r="AA1044" s="145">
        <f>T1044</f>
        <v>20</v>
      </c>
      <c r="AB1044" s="145"/>
      <c r="AC1044" s="145"/>
      <c r="AD1044" s="146"/>
      <c r="AE1044" s="171">
        <v>1</v>
      </c>
      <c r="AF1044" s="147">
        <f t="shared" si="396"/>
        <v>0</v>
      </c>
      <c r="AG1044" s="147">
        <f t="shared" si="397"/>
        <v>0</v>
      </c>
      <c r="AH1044" s="147">
        <f t="shared" si="398"/>
        <v>0</v>
      </c>
      <c r="AI1044" s="147">
        <f t="shared" si="399"/>
        <v>0</v>
      </c>
      <c r="AJ1044" s="148">
        <f t="shared" si="400"/>
        <v>0</v>
      </c>
      <c r="AK1044" s="149">
        <f t="shared" ref="AK1044:AK1063" si="406">IF($R1044="",0,VLOOKUP($R1044,Kengetal,5,FALSE))</f>
        <v>0</v>
      </c>
      <c r="AL1044" s="149">
        <f t="shared" ref="AL1044:AL1063" si="407">IF($R1044="",0,VLOOKUP($R1044,Kengetal,6,FALSE))</f>
        <v>0</v>
      </c>
      <c r="AM1044" s="149">
        <f t="shared" ref="AM1044:AM1063" si="408">IF($R1044="",0,VLOOKUP($R1044,Kengetal,7,FALSE))</f>
        <v>0</v>
      </c>
      <c r="AN1044" s="149">
        <f t="shared" ref="AN1044:AN1063" si="409">IF($R1044="",0,VLOOKUP($R1044,Kengetal,8,FALSE))</f>
        <v>0</v>
      </c>
      <c r="AO1044" s="150">
        <f t="shared" si="401"/>
        <v>0</v>
      </c>
      <c r="AQ1044" s="151">
        <f t="shared" si="402"/>
        <v>0</v>
      </c>
    </row>
    <row r="1045" spans="1:43" ht="15" customHeight="1">
      <c r="A1045" s="82" t="e">
        <f t="shared" si="387"/>
        <v>#REF!</v>
      </c>
      <c r="B1045" s="134">
        <v>121</v>
      </c>
      <c r="C1045" s="135" t="s">
        <v>275</v>
      </c>
      <c r="D1045" s="136" t="s">
        <v>39</v>
      </c>
      <c r="E1045" s="137"/>
      <c r="F1045" s="138" t="s">
        <v>66</v>
      </c>
      <c r="G1045" s="139" t="s">
        <v>282</v>
      </c>
      <c r="H1045" s="140" t="str">
        <f t="shared" si="388"/>
        <v>Niet van toepassing</v>
      </c>
      <c r="I1045" s="138" t="s">
        <v>254</v>
      </c>
      <c r="J1045" s="138" t="s">
        <v>1172</v>
      </c>
      <c r="K1045" s="141" t="str">
        <f t="shared" si="389"/>
        <v>NVT</v>
      </c>
      <c r="L1045" s="141" t="str">
        <f t="shared" si="390"/>
        <v>NVT</v>
      </c>
      <c r="M1045" s="141" t="str">
        <f t="shared" si="391"/>
        <v>NVT</v>
      </c>
      <c r="N1045" s="141" t="str">
        <f t="shared" si="392"/>
        <v>NVT</v>
      </c>
      <c r="O1045" s="141" t="str">
        <f t="shared" si="393"/>
        <v>NVT</v>
      </c>
      <c r="P1045" s="141" t="str">
        <f t="shared" si="394"/>
        <v>NVT</v>
      </c>
      <c r="Q1045" s="141" t="str">
        <f t="shared" si="395"/>
        <v>NVT</v>
      </c>
      <c r="R1045" s="63" t="s">
        <v>1221</v>
      </c>
      <c r="S1045" s="142">
        <f t="shared" si="404"/>
        <v>0</v>
      </c>
      <c r="T1045" s="143">
        <v>13</v>
      </c>
      <c r="U1045" s="144"/>
      <c r="V1045" s="144"/>
      <c r="W1045" s="144">
        <v>49</v>
      </c>
      <c r="X1045" s="144"/>
      <c r="Y1045" s="144"/>
      <c r="Z1045" s="145"/>
      <c r="AA1045" s="145">
        <f>T1045</f>
        <v>13</v>
      </c>
      <c r="AB1045" s="145"/>
      <c r="AC1045" s="145"/>
      <c r="AD1045" s="146"/>
      <c r="AE1045" s="171">
        <v>1</v>
      </c>
      <c r="AF1045" s="147">
        <f t="shared" si="396"/>
        <v>0</v>
      </c>
      <c r="AG1045" s="147">
        <f t="shared" si="397"/>
        <v>0</v>
      </c>
      <c r="AH1045" s="147">
        <f t="shared" si="398"/>
        <v>0</v>
      </c>
      <c r="AI1045" s="147">
        <f t="shared" si="399"/>
        <v>0</v>
      </c>
      <c r="AJ1045" s="148">
        <f t="shared" si="400"/>
        <v>0</v>
      </c>
      <c r="AK1045" s="149">
        <f t="shared" si="406"/>
        <v>0</v>
      </c>
      <c r="AL1045" s="149">
        <f t="shared" si="407"/>
        <v>0</v>
      </c>
      <c r="AM1045" s="149">
        <f t="shared" si="408"/>
        <v>0</v>
      </c>
      <c r="AN1045" s="149">
        <f t="shared" si="409"/>
        <v>0</v>
      </c>
      <c r="AO1045" s="150">
        <f t="shared" si="401"/>
        <v>0</v>
      </c>
      <c r="AQ1045" s="151">
        <f t="shared" si="402"/>
        <v>0</v>
      </c>
    </row>
    <row r="1046" spans="1:43" ht="15" customHeight="1">
      <c r="A1046" s="82" t="e">
        <f t="shared" si="387"/>
        <v>#REF!</v>
      </c>
      <c r="B1046" s="134">
        <v>121</v>
      </c>
      <c r="C1046" s="135" t="s">
        <v>275</v>
      </c>
      <c r="D1046" s="136" t="s">
        <v>39</v>
      </c>
      <c r="E1046" s="137"/>
      <c r="F1046" s="138" t="s">
        <v>202</v>
      </c>
      <c r="G1046" s="139" t="s">
        <v>447</v>
      </c>
      <c r="H1046" s="140" t="str">
        <f t="shared" si="388"/>
        <v>Niet van toepassing</v>
      </c>
      <c r="I1046" s="138" t="s">
        <v>254</v>
      </c>
      <c r="J1046" s="138" t="s">
        <v>1172</v>
      </c>
      <c r="K1046" s="141" t="str">
        <f t="shared" si="389"/>
        <v>NVT</v>
      </c>
      <c r="L1046" s="141" t="str">
        <f t="shared" si="390"/>
        <v>NVT</v>
      </c>
      <c r="M1046" s="141" t="str">
        <f t="shared" si="391"/>
        <v>NVT</v>
      </c>
      <c r="N1046" s="141" t="str">
        <f t="shared" si="392"/>
        <v>NVT</v>
      </c>
      <c r="O1046" s="141" t="str">
        <f t="shared" si="393"/>
        <v>NVT</v>
      </c>
      <c r="P1046" s="141" t="str">
        <f t="shared" si="394"/>
        <v>NVT</v>
      </c>
      <c r="Q1046" s="141" t="str">
        <f t="shared" si="395"/>
        <v>NVT</v>
      </c>
      <c r="R1046" s="63" t="s">
        <v>1221</v>
      </c>
      <c r="S1046" s="142">
        <f t="shared" si="404"/>
        <v>0</v>
      </c>
      <c r="T1046" s="143">
        <v>9</v>
      </c>
      <c r="U1046" s="144"/>
      <c r="V1046" s="144"/>
      <c r="W1046" s="144">
        <v>29</v>
      </c>
      <c r="X1046" s="144"/>
      <c r="Y1046" s="144"/>
      <c r="Z1046" s="145"/>
      <c r="AA1046" s="145">
        <f>T1046</f>
        <v>9</v>
      </c>
      <c r="AB1046" s="145"/>
      <c r="AC1046" s="145"/>
      <c r="AD1046" s="146"/>
      <c r="AE1046" s="171">
        <v>1</v>
      </c>
      <c r="AF1046" s="147">
        <f t="shared" si="396"/>
        <v>0</v>
      </c>
      <c r="AG1046" s="147">
        <f t="shared" si="397"/>
        <v>0</v>
      </c>
      <c r="AH1046" s="147">
        <f t="shared" si="398"/>
        <v>0</v>
      </c>
      <c r="AI1046" s="147">
        <f t="shared" si="399"/>
        <v>0</v>
      </c>
      <c r="AJ1046" s="148">
        <f t="shared" si="400"/>
        <v>0</v>
      </c>
      <c r="AK1046" s="149">
        <f t="shared" si="406"/>
        <v>0</v>
      </c>
      <c r="AL1046" s="149">
        <f t="shared" si="407"/>
        <v>0</v>
      </c>
      <c r="AM1046" s="149">
        <f t="shared" si="408"/>
        <v>0</v>
      </c>
      <c r="AN1046" s="149">
        <f t="shared" si="409"/>
        <v>0</v>
      </c>
      <c r="AO1046" s="150">
        <f t="shared" si="401"/>
        <v>0</v>
      </c>
      <c r="AQ1046" s="151">
        <f t="shared" si="402"/>
        <v>0</v>
      </c>
    </row>
    <row r="1047" spans="1:43" ht="15" customHeight="1">
      <c r="A1047" s="82" t="e">
        <f t="shared" si="387"/>
        <v>#REF!</v>
      </c>
      <c r="B1047" s="134">
        <v>121</v>
      </c>
      <c r="C1047" s="135" t="s">
        <v>275</v>
      </c>
      <c r="D1047" s="136" t="s">
        <v>39</v>
      </c>
      <c r="E1047" s="137"/>
      <c r="F1047" s="138" t="s">
        <v>68</v>
      </c>
      <c r="G1047" s="139" t="s">
        <v>30</v>
      </c>
      <c r="H1047" s="140" t="str">
        <f t="shared" si="388"/>
        <v>Niet van toepassing</v>
      </c>
      <c r="I1047" s="138" t="s">
        <v>254</v>
      </c>
      <c r="J1047" s="138" t="s">
        <v>1172</v>
      </c>
      <c r="K1047" s="141" t="str">
        <f t="shared" si="389"/>
        <v>NVT</v>
      </c>
      <c r="L1047" s="141" t="str">
        <f t="shared" si="390"/>
        <v>NVT</v>
      </c>
      <c r="M1047" s="141" t="str">
        <f t="shared" si="391"/>
        <v>NVT</v>
      </c>
      <c r="N1047" s="141" t="str">
        <f t="shared" si="392"/>
        <v>NVT</v>
      </c>
      <c r="O1047" s="141" t="str">
        <f t="shared" si="393"/>
        <v>NVT</v>
      </c>
      <c r="P1047" s="141" t="str">
        <f t="shared" si="394"/>
        <v>NVT</v>
      </c>
      <c r="Q1047" s="141" t="str">
        <f t="shared" si="395"/>
        <v>NVT</v>
      </c>
      <c r="R1047" s="63" t="s">
        <v>1221</v>
      </c>
      <c r="S1047" s="142">
        <f t="shared" si="404"/>
        <v>0</v>
      </c>
      <c r="T1047" s="143">
        <v>18</v>
      </c>
      <c r="U1047" s="144"/>
      <c r="V1047" s="144"/>
      <c r="W1047" s="144">
        <v>44</v>
      </c>
      <c r="X1047" s="144"/>
      <c r="Y1047" s="144"/>
      <c r="Z1047" s="145"/>
      <c r="AA1047" s="145">
        <f>T1047</f>
        <v>18</v>
      </c>
      <c r="AB1047" s="145"/>
      <c r="AC1047" s="145"/>
      <c r="AD1047" s="146"/>
      <c r="AE1047" s="171">
        <v>1</v>
      </c>
      <c r="AF1047" s="147">
        <f t="shared" si="396"/>
        <v>0</v>
      </c>
      <c r="AG1047" s="147">
        <f t="shared" si="397"/>
        <v>0</v>
      </c>
      <c r="AH1047" s="147">
        <f t="shared" si="398"/>
        <v>0</v>
      </c>
      <c r="AI1047" s="147">
        <f t="shared" si="399"/>
        <v>0</v>
      </c>
      <c r="AJ1047" s="148">
        <f t="shared" si="400"/>
        <v>0</v>
      </c>
      <c r="AK1047" s="149">
        <f t="shared" si="406"/>
        <v>0</v>
      </c>
      <c r="AL1047" s="149">
        <f t="shared" si="407"/>
        <v>0</v>
      </c>
      <c r="AM1047" s="149">
        <f t="shared" si="408"/>
        <v>0</v>
      </c>
      <c r="AN1047" s="149">
        <f t="shared" si="409"/>
        <v>0</v>
      </c>
      <c r="AO1047" s="150">
        <f t="shared" si="401"/>
        <v>0</v>
      </c>
      <c r="AQ1047" s="151">
        <f t="shared" si="402"/>
        <v>0</v>
      </c>
    </row>
    <row r="1048" spans="1:43" ht="15" customHeight="1">
      <c r="A1048" s="82" t="e">
        <f t="shared" si="387"/>
        <v>#REF!</v>
      </c>
      <c r="B1048" s="134">
        <v>121</v>
      </c>
      <c r="C1048" s="135" t="s">
        <v>275</v>
      </c>
      <c r="D1048" s="136" t="s">
        <v>39</v>
      </c>
      <c r="E1048" s="137"/>
      <c r="F1048" s="138" t="s">
        <v>283</v>
      </c>
      <c r="G1048" s="139" t="s">
        <v>448</v>
      </c>
      <c r="H1048" s="140" t="str">
        <f t="shared" si="388"/>
        <v>Niet van toepassing</v>
      </c>
      <c r="I1048" s="138" t="s">
        <v>254</v>
      </c>
      <c r="J1048" s="138" t="s">
        <v>1172</v>
      </c>
      <c r="K1048" s="141" t="str">
        <f t="shared" si="389"/>
        <v>NVT</v>
      </c>
      <c r="L1048" s="141" t="str">
        <f t="shared" si="390"/>
        <v>NVT</v>
      </c>
      <c r="M1048" s="141" t="str">
        <f t="shared" si="391"/>
        <v>NVT</v>
      </c>
      <c r="N1048" s="141" t="str">
        <f t="shared" si="392"/>
        <v>NVT</v>
      </c>
      <c r="O1048" s="141" t="str">
        <f t="shared" si="393"/>
        <v>NVT</v>
      </c>
      <c r="P1048" s="141" t="str">
        <f t="shared" si="394"/>
        <v>NVT</v>
      </c>
      <c r="Q1048" s="141" t="str">
        <f t="shared" si="395"/>
        <v>NVT</v>
      </c>
      <c r="R1048" s="63" t="s">
        <v>1221</v>
      </c>
      <c r="S1048" s="142">
        <f t="shared" si="404"/>
        <v>0</v>
      </c>
      <c r="T1048" s="143">
        <v>8</v>
      </c>
      <c r="U1048" s="144"/>
      <c r="V1048" s="144"/>
      <c r="W1048" s="144">
        <v>27</v>
      </c>
      <c r="X1048" s="144"/>
      <c r="Y1048" s="144"/>
      <c r="Z1048" s="145"/>
      <c r="AA1048" s="145">
        <f>T1048</f>
        <v>8</v>
      </c>
      <c r="AB1048" s="145"/>
      <c r="AC1048" s="145"/>
      <c r="AD1048" s="146"/>
      <c r="AE1048" s="171">
        <v>1</v>
      </c>
      <c r="AF1048" s="147">
        <f t="shared" si="396"/>
        <v>0</v>
      </c>
      <c r="AG1048" s="147">
        <f t="shared" si="397"/>
        <v>0</v>
      </c>
      <c r="AH1048" s="147">
        <f t="shared" si="398"/>
        <v>0</v>
      </c>
      <c r="AI1048" s="147">
        <f t="shared" si="399"/>
        <v>0</v>
      </c>
      <c r="AJ1048" s="148">
        <f t="shared" si="400"/>
        <v>0</v>
      </c>
      <c r="AK1048" s="149">
        <f t="shared" si="406"/>
        <v>0</v>
      </c>
      <c r="AL1048" s="149">
        <f t="shared" si="407"/>
        <v>0</v>
      </c>
      <c r="AM1048" s="149">
        <f t="shared" si="408"/>
        <v>0</v>
      </c>
      <c r="AN1048" s="149">
        <f t="shared" si="409"/>
        <v>0</v>
      </c>
      <c r="AO1048" s="150">
        <f t="shared" si="401"/>
        <v>0</v>
      </c>
      <c r="AQ1048" s="151">
        <f t="shared" si="402"/>
        <v>0</v>
      </c>
    </row>
    <row r="1049" spans="1:43" ht="15" customHeight="1">
      <c r="A1049" s="82" t="e">
        <f t="shared" si="387"/>
        <v>#REF!</v>
      </c>
      <c r="B1049" s="134">
        <v>121</v>
      </c>
      <c r="C1049" s="135" t="s">
        <v>275</v>
      </c>
      <c r="D1049" s="136" t="s">
        <v>39</v>
      </c>
      <c r="E1049" s="137"/>
      <c r="F1049" s="138" t="s">
        <v>74</v>
      </c>
      <c r="G1049" s="139" t="s">
        <v>32</v>
      </c>
      <c r="H1049" s="140" t="str">
        <f t="shared" si="388"/>
        <v>Berging/opslag/magazijn</v>
      </c>
      <c r="I1049" s="138" t="s">
        <v>254</v>
      </c>
      <c r="J1049" s="138" t="s">
        <v>1207</v>
      </c>
      <c r="K1049" s="141" t="str">
        <f t="shared" si="389"/>
        <v>Zie Freq</v>
      </c>
      <c r="L1049" s="141" t="str">
        <f t="shared" si="390"/>
        <v>Zie Freq</v>
      </c>
      <c r="M1049" s="141" t="str">
        <f t="shared" si="391"/>
        <v>Zie Freq</v>
      </c>
      <c r="N1049" s="141" t="str">
        <f t="shared" si="392"/>
        <v>Zie Freq</v>
      </c>
      <c r="O1049" s="141" t="str">
        <f t="shared" si="393"/>
        <v>Zie Freq</v>
      </c>
      <c r="P1049" s="141" t="str">
        <f t="shared" si="394"/>
        <v>NVT</v>
      </c>
      <c r="Q1049" s="141" t="str">
        <f t="shared" si="395"/>
        <v>NVT</v>
      </c>
      <c r="R1049" s="63" t="s">
        <v>1264</v>
      </c>
      <c r="S1049" s="142">
        <f t="shared" si="404"/>
        <v>2</v>
      </c>
      <c r="T1049" s="143">
        <v>10</v>
      </c>
      <c r="U1049" s="144"/>
      <c r="V1049" s="144">
        <v>29</v>
      </c>
      <c r="W1049" s="144"/>
      <c r="X1049" s="144"/>
      <c r="Y1049" s="144"/>
      <c r="Z1049" s="145"/>
      <c r="AA1049" s="145"/>
      <c r="AB1049" s="145">
        <f>T1049</f>
        <v>10</v>
      </c>
      <c r="AC1049" s="145"/>
      <c r="AD1049" s="146"/>
      <c r="AE1049" s="171">
        <v>1</v>
      </c>
      <c r="AF1049" s="147">
        <f t="shared" si="396"/>
        <v>0</v>
      </c>
      <c r="AG1049" s="147">
        <f t="shared" si="397"/>
        <v>0</v>
      </c>
      <c r="AH1049" s="147">
        <f t="shared" si="398"/>
        <v>0</v>
      </c>
      <c r="AI1049" s="147">
        <f t="shared" si="399"/>
        <v>0</v>
      </c>
      <c r="AJ1049" s="148" t="str">
        <f t="shared" si="400"/>
        <v>nee</v>
      </c>
      <c r="AK1049" s="149">
        <f t="shared" si="406"/>
        <v>0</v>
      </c>
      <c r="AL1049" s="149">
        <f t="shared" si="407"/>
        <v>0</v>
      </c>
      <c r="AM1049" s="149">
        <f t="shared" si="408"/>
        <v>0</v>
      </c>
      <c r="AN1049" s="149">
        <f t="shared" si="409"/>
        <v>0</v>
      </c>
      <c r="AO1049" s="150" t="str">
        <f t="shared" si="401"/>
        <v>V</v>
      </c>
      <c r="AQ1049" s="151">
        <f t="shared" si="402"/>
        <v>20</v>
      </c>
    </row>
    <row r="1050" spans="1:43" ht="15" customHeight="1">
      <c r="A1050" s="82" t="e">
        <f t="shared" si="387"/>
        <v>#REF!</v>
      </c>
      <c r="B1050" s="134">
        <v>121</v>
      </c>
      <c r="C1050" s="135" t="s">
        <v>275</v>
      </c>
      <c r="D1050" s="136" t="s">
        <v>39</v>
      </c>
      <c r="E1050" s="137"/>
      <c r="F1050" s="138" t="s">
        <v>284</v>
      </c>
      <c r="G1050" s="139" t="s">
        <v>285</v>
      </c>
      <c r="H1050" s="140" t="str">
        <f t="shared" si="388"/>
        <v>Niet van toepassing</v>
      </c>
      <c r="I1050" s="138" t="s">
        <v>254</v>
      </c>
      <c r="J1050" s="138" t="s">
        <v>1172</v>
      </c>
      <c r="K1050" s="141" t="str">
        <f t="shared" si="389"/>
        <v>NVT</v>
      </c>
      <c r="L1050" s="141" t="str">
        <f t="shared" si="390"/>
        <v>NVT</v>
      </c>
      <c r="M1050" s="141" t="str">
        <f t="shared" si="391"/>
        <v>NVT</v>
      </c>
      <c r="N1050" s="141" t="str">
        <f t="shared" si="392"/>
        <v>NVT</v>
      </c>
      <c r="O1050" s="141" t="str">
        <f t="shared" si="393"/>
        <v>NVT</v>
      </c>
      <c r="P1050" s="141" t="str">
        <f t="shared" si="394"/>
        <v>NVT</v>
      </c>
      <c r="Q1050" s="141" t="str">
        <f t="shared" si="395"/>
        <v>NVT</v>
      </c>
      <c r="R1050" s="63" t="s">
        <v>1221</v>
      </c>
      <c r="S1050" s="142">
        <f t="shared" si="404"/>
        <v>0</v>
      </c>
      <c r="T1050" s="143">
        <v>7</v>
      </c>
      <c r="U1050" s="144"/>
      <c r="V1050" s="144"/>
      <c r="W1050" s="144">
        <v>26</v>
      </c>
      <c r="X1050" s="144"/>
      <c r="Y1050" s="144"/>
      <c r="Z1050" s="145"/>
      <c r="AA1050" s="145">
        <f>T1050</f>
        <v>7</v>
      </c>
      <c r="AB1050" s="145"/>
      <c r="AC1050" s="145"/>
      <c r="AD1050" s="146"/>
      <c r="AE1050" s="171">
        <v>1</v>
      </c>
      <c r="AF1050" s="147">
        <f t="shared" si="396"/>
        <v>0</v>
      </c>
      <c r="AG1050" s="147">
        <f t="shared" si="397"/>
        <v>0</v>
      </c>
      <c r="AH1050" s="147">
        <f t="shared" si="398"/>
        <v>0</v>
      </c>
      <c r="AI1050" s="147">
        <f t="shared" si="399"/>
        <v>0</v>
      </c>
      <c r="AJ1050" s="148">
        <f t="shared" si="400"/>
        <v>0</v>
      </c>
      <c r="AK1050" s="149">
        <f t="shared" si="406"/>
        <v>0</v>
      </c>
      <c r="AL1050" s="149">
        <f t="shared" si="407"/>
        <v>0</v>
      </c>
      <c r="AM1050" s="149">
        <f t="shared" si="408"/>
        <v>0</v>
      </c>
      <c r="AN1050" s="149">
        <f t="shared" si="409"/>
        <v>0</v>
      </c>
      <c r="AO1050" s="150">
        <f t="shared" si="401"/>
        <v>0</v>
      </c>
      <c r="AQ1050" s="151">
        <f t="shared" si="402"/>
        <v>0</v>
      </c>
    </row>
    <row r="1051" spans="1:43" ht="15" customHeight="1">
      <c r="A1051" s="82" t="e">
        <f t="shared" si="387"/>
        <v>#REF!</v>
      </c>
      <c r="B1051" s="134">
        <v>121</v>
      </c>
      <c r="C1051" s="135" t="s">
        <v>275</v>
      </c>
      <c r="D1051" s="136" t="s">
        <v>39</v>
      </c>
      <c r="E1051" s="137"/>
      <c r="F1051" s="138" t="s">
        <v>76</v>
      </c>
      <c r="G1051" s="139" t="s">
        <v>286</v>
      </c>
      <c r="H1051" s="140" t="str">
        <f t="shared" si="388"/>
        <v>Niet van toepassing</v>
      </c>
      <c r="I1051" s="138" t="s">
        <v>254</v>
      </c>
      <c r="J1051" s="138" t="s">
        <v>1172</v>
      </c>
      <c r="K1051" s="141" t="str">
        <f t="shared" si="389"/>
        <v>NVT</v>
      </c>
      <c r="L1051" s="141" t="str">
        <f t="shared" si="390"/>
        <v>NVT</v>
      </c>
      <c r="M1051" s="141" t="str">
        <f t="shared" si="391"/>
        <v>NVT</v>
      </c>
      <c r="N1051" s="141" t="str">
        <f t="shared" si="392"/>
        <v>NVT</v>
      </c>
      <c r="O1051" s="141" t="str">
        <f t="shared" si="393"/>
        <v>NVT</v>
      </c>
      <c r="P1051" s="141" t="str">
        <f t="shared" si="394"/>
        <v>NVT</v>
      </c>
      <c r="Q1051" s="141" t="str">
        <f t="shared" si="395"/>
        <v>NVT</v>
      </c>
      <c r="R1051" s="63" t="s">
        <v>1221</v>
      </c>
      <c r="S1051" s="142">
        <f t="shared" si="404"/>
        <v>0</v>
      </c>
      <c r="T1051" s="143">
        <v>16</v>
      </c>
      <c r="U1051" s="144"/>
      <c r="V1051" s="144">
        <v>39</v>
      </c>
      <c r="W1051" s="144"/>
      <c r="X1051" s="144"/>
      <c r="Y1051" s="144"/>
      <c r="Z1051" s="145"/>
      <c r="AA1051" s="145"/>
      <c r="AB1051" s="145">
        <f>T1051</f>
        <v>16</v>
      </c>
      <c r="AC1051" s="145"/>
      <c r="AD1051" s="146"/>
      <c r="AE1051" s="171">
        <v>1</v>
      </c>
      <c r="AF1051" s="147">
        <f t="shared" si="396"/>
        <v>0</v>
      </c>
      <c r="AG1051" s="147">
        <f t="shared" si="397"/>
        <v>0</v>
      </c>
      <c r="AH1051" s="147">
        <f t="shared" si="398"/>
        <v>0</v>
      </c>
      <c r="AI1051" s="147">
        <f t="shared" si="399"/>
        <v>0</v>
      </c>
      <c r="AJ1051" s="148">
        <f t="shared" si="400"/>
        <v>0</v>
      </c>
      <c r="AK1051" s="149">
        <f t="shared" si="406"/>
        <v>0</v>
      </c>
      <c r="AL1051" s="149">
        <f t="shared" si="407"/>
        <v>0</v>
      </c>
      <c r="AM1051" s="149">
        <f t="shared" si="408"/>
        <v>0</v>
      </c>
      <c r="AN1051" s="149">
        <f t="shared" si="409"/>
        <v>0</v>
      </c>
      <c r="AO1051" s="150">
        <f t="shared" si="401"/>
        <v>0</v>
      </c>
      <c r="AQ1051" s="151">
        <f t="shared" si="402"/>
        <v>0</v>
      </c>
    </row>
    <row r="1052" spans="1:43" ht="15" customHeight="1">
      <c r="A1052" s="82" t="e">
        <f t="shared" si="387"/>
        <v>#REF!</v>
      </c>
      <c r="B1052" s="134">
        <v>121</v>
      </c>
      <c r="C1052" s="135" t="s">
        <v>275</v>
      </c>
      <c r="D1052" s="136" t="s">
        <v>39</v>
      </c>
      <c r="E1052" s="137"/>
      <c r="F1052" s="138" t="s">
        <v>208</v>
      </c>
      <c r="G1052" s="139" t="s">
        <v>287</v>
      </c>
      <c r="H1052" s="140" t="str">
        <f t="shared" si="388"/>
        <v>Sanitair</v>
      </c>
      <c r="I1052" s="138" t="s">
        <v>237</v>
      </c>
      <c r="J1052" s="138" t="s">
        <v>1170</v>
      </c>
      <c r="K1052" s="141" t="str">
        <f t="shared" si="389"/>
        <v>Volledig</v>
      </c>
      <c r="L1052" s="141" t="str">
        <f t="shared" si="390"/>
        <v>naloop</v>
      </c>
      <c r="M1052" s="141" t="str">
        <f t="shared" si="391"/>
        <v>naloop</v>
      </c>
      <c r="N1052" s="141" t="str">
        <f t="shared" si="392"/>
        <v>Volledig</v>
      </c>
      <c r="O1052" s="141" t="str">
        <f t="shared" si="393"/>
        <v>naloop</v>
      </c>
      <c r="P1052" s="141" t="str">
        <f t="shared" si="394"/>
        <v>naloop</v>
      </c>
      <c r="Q1052" s="141" t="str">
        <f t="shared" si="395"/>
        <v>naloop</v>
      </c>
      <c r="R1052" s="63" t="s">
        <v>1210</v>
      </c>
      <c r="S1052" s="142">
        <f t="shared" si="404"/>
        <v>365</v>
      </c>
      <c r="T1052" s="143">
        <v>4</v>
      </c>
      <c r="U1052" s="144">
        <v>24</v>
      </c>
      <c r="V1052" s="144"/>
      <c r="W1052" s="144"/>
      <c r="X1052" s="144"/>
      <c r="Y1052" s="144"/>
      <c r="Z1052" s="145"/>
      <c r="AA1052" s="145"/>
      <c r="AB1052" s="145"/>
      <c r="AC1052" s="145">
        <f>T1052</f>
        <v>4</v>
      </c>
      <c r="AD1052" s="146"/>
      <c r="AE1052" s="171">
        <v>1</v>
      </c>
      <c r="AF1052" s="147">
        <f t="shared" si="396"/>
        <v>0</v>
      </c>
      <c r="AG1052" s="147">
        <f t="shared" si="397"/>
        <v>0</v>
      </c>
      <c r="AH1052" s="147">
        <f t="shared" si="398"/>
        <v>0</v>
      </c>
      <c r="AI1052" s="147">
        <f t="shared" si="399"/>
        <v>0</v>
      </c>
      <c r="AJ1052" s="148" t="str">
        <f t="shared" si="400"/>
        <v>ja</v>
      </c>
      <c r="AK1052" s="149">
        <f t="shared" si="406"/>
        <v>0</v>
      </c>
      <c r="AL1052" s="149">
        <f t="shared" si="407"/>
        <v>0</v>
      </c>
      <c r="AM1052" s="149">
        <f t="shared" si="408"/>
        <v>0</v>
      </c>
      <c r="AN1052" s="149">
        <f t="shared" si="409"/>
        <v>0</v>
      </c>
      <c r="AO1052" s="150" t="str">
        <f t="shared" si="401"/>
        <v>S</v>
      </c>
      <c r="AQ1052" s="151">
        <f t="shared" si="402"/>
        <v>1460</v>
      </c>
    </row>
    <row r="1053" spans="1:43" ht="15" customHeight="1">
      <c r="A1053" s="82" t="e">
        <f t="shared" si="387"/>
        <v>#REF!</v>
      </c>
      <c r="B1053" s="134">
        <v>121</v>
      </c>
      <c r="C1053" s="135" t="s">
        <v>275</v>
      </c>
      <c r="D1053" s="136" t="s">
        <v>39</v>
      </c>
      <c r="E1053" s="137"/>
      <c r="F1053" s="138" t="s">
        <v>207</v>
      </c>
      <c r="G1053" s="139" t="s">
        <v>288</v>
      </c>
      <c r="H1053" s="140" t="str">
        <f t="shared" si="388"/>
        <v>Sanitair</v>
      </c>
      <c r="I1053" s="138" t="s">
        <v>237</v>
      </c>
      <c r="J1053" s="138" t="s">
        <v>1170</v>
      </c>
      <c r="K1053" s="141" t="str">
        <f t="shared" si="389"/>
        <v>Volledig</v>
      </c>
      <c r="L1053" s="141" t="str">
        <f t="shared" si="390"/>
        <v>naloop</v>
      </c>
      <c r="M1053" s="141" t="str">
        <f t="shared" si="391"/>
        <v>naloop</v>
      </c>
      <c r="N1053" s="141" t="str">
        <f t="shared" si="392"/>
        <v>Volledig</v>
      </c>
      <c r="O1053" s="141" t="str">
        <f t="shared" si="393"/>
        <v>naloop</v>
      </c>
      <c r="P1053" s="141" t="str">
        <f t="shared" si="394"/>
        <v>naloop</v>
      </c>
      <c r="Q1053" s="141" t="str">
        <f t="shared" si="395"/>
        <v>naloop</v>
      </c>
      <c r="R1053" s="63" t="s">
        <v>1210</v>
      </c>
      <c r="S1053" s="142">
        <f t="shared" si="404"/>
        <v>365</v>
      </c>
      <c r="T1053" s="143">
        <v>4</v>
      </c>
      <c r="U1053" s="144">
        <v>24</v>
      </c>
      <c r="V1053" s="144"/>
      <c r="W1053" s="144"/>
      <c r="X1053" s="144"/>
      <c r="Y1053" s="144"/>
      <c r="Z1053" s="145"/>
      <c r="AA1053" s="145"/>
      <c r="AB1053" s="145"/>
      <c r="AC1053" s="145">
        <f>T1053</f>
        <v>4</v>
      </c>
      <c r="AD1053" s="146"/>
      <c r="AE1053" s="171">
        <v>1</v>
      </c>
      <c r="AF1053" s="147">
        <f t="shared" si="396"/>
        <v>0</v>
      </c>
      <c r="AG1053" s="147">
        <f t="shared" si="397"/>
        <v>0</v>
      </c>
      <c r="AH1053" s="147">
        <f t="shared" si="398"/>
        <v>0</v>
      </c>
      <c r="AI1053" s="147">
        <f t="shared" si="399"/>
        <v>0</v>
      </c>
      <c r="AJ1053" s="148" t="str">
        <f t="shared" si="400"/>
        <v>ja</v>
      </c>
      <c r="AK1053" s="149">
        <f t="shared" si="406"/>
        <v>0</v>
      </c>
      <c r="AL1053" s="149">
        <f t="shared" si="407"/>
        <v>0</v>
      </c>
      <c r="AM1053" s="149">
        <f t="shared" si="408"/>
        <v>0</v>
      </c>
      <c r="AN1053" s="149">
        <f t="shared" si="409"/>
        <v>0</v>
      </c>
      <c r="AO1053" s="150" t="str">
        <f t="shared" si="401"/>
        <v>S</v>
      </c>
      <c r="AQ1053" s="151">
        <f t="shared" si="402"/>
        <v>1460</v>
      </c>
    </row>
    <row r="1054" spans="1:43" ht="15" customHeight="1">
      <c r="A1054" s="82" t="e">
        <f t="shared" si="387"/>
        <v>#REF!</v>
      </c>
      <c r="B1054" s="134">
        <v>121</v>
      </c>
      <c r="C1054" s="135" t="s">
        <v>275</v>
      </c>
      <c r="D1054" s="136" t="s">
        <v>39</v>
      </c>
      <c r="E1054" s="137"/>
      <c r="F1054" s="138" t="s">
        <v>289</v>
      </c>
      <c r="G1054" s="139" t="s">
        <v>24</v>
      </c>
      <c r="H1054" s="140" t="str">
        <f t="shared" si="388"/>
        <v>Niet van toepassing</v>
      </c>
      <c r="I1054" s="138" t="s">
        <v>254</v>
      </c>
      <c r="J1054" s="138" t="s">
        <v>1172</v>
      </c>
      <c r="K1054" s="141" t="str">
        <f t="shared" si="389"/>
        <v>NVT</v>
      </c>
      <c r="L1054" s="141" t="str">
        <f t="shared" si="390"/>
        <v>NVT</v>
      </c>
      <c r="M1054" s="141" t="str">
        <f t="shared" si="391"/>
        <v>NVT</v>
      </c>
      <c r="N1054" s="141" t="str">
        <f t="shared" si="392"/>
        <v>NVT</v>
      </c>
      <c r="O1054" s="141" t="str">
        <f t="shared" si="393"/>
        <v>NVT</v>
      </c>
      <c r="P1054" s="141" t="str">
        <f t="shared" si="394"/>
        <v>NVT</v>
      </c>
      <c r="Q1054" s="141" t="str">
        <f t="shared" si="395"/>
        <v>NVT</v>
      </c>
      <c r="R1054" s="63" t="s">
        <v>1221</v>
      </c>
      <c r="S1054" s="142">
        <f t="shared" si="404"/>
        <v>0</v>
      </c>
      <c r="T1054" s="143">
        <v>45</v>
      </c>
      <c r="U1054" s="144"/>
      <c r="V1054" s="144">
        <v>193</v>
      </c>
      <c r="W1054" s="144"/>
      <c r="X1054" s="144"/>
      <c r="Y1054" s="144"/>
      <c r="Z1054" s="145"/>
      <c r="AA1054" s="145"/>
      <c r="AB1054" s="145">
        <f>T1054</f>
        <v>45</v>
      </c>
      <c r="AC1054" s="145"/>
      <c r="AD1054" s="146"/>
      <c r="AE1054" s="171">
        <v>1</v>
      </c>
      <c r="AF1054" s="147">
        <f t="shared" si="396"/>
        <v>0</v>
      </c>
      <c r="AG1054" s="147">
        <f t="shared" si="397"/>
        <v>0</v>
      </c>
      <c r="AH1054" s="147">
        <f t="shared" si="398"/>
        <v>0</v>
      </c>
      <c r="AI1054" s="147">
        <f t="shared" si="399"/>
        <v>0</v>
      </c>
      <c r="AJ1054" s="148">
        <f t="shared" si="400"/>
        <v>0</v>
      </c>
      <c r="AK1054" s="149">
        <f t="shared" si="406"/>
        <v>0</v>
      </c>
      <c r="AL1054" s="149">
        <f t="shared" si="407"/>
        <v>0</v>
      </c>
      <c r="AM1054" s="149">
        <f t="shared" si="408"/>
        <v>0</v>
      </c>
      <c r="AN1054" s="149">
        <f t="shared" si="409"/>
        <v>0</v>
      </c>
      <c r="AO1054" s="150">
        <f t="shared" si="401"/>
        <v>0</v>
      </c>
      <c r="AQ1054" s="151">
        <f t="shared" si="402"/>
        <v>0</v>
      </c>
    </row>
    <row r="1055" spans="1:43" ht="15" customHeight="1">
      <c r="A1055" s="82" t="e">
        <f t="shared" si="387"/>
        <v>#REF!</v>
      </c>
      <c r="B1055" s="134">
        <v>121</v>
      </c>
      <c r="C1055" s="135" t="s">
        <v>275</v>
      </c>
      <c r="D1055" s="136" t="s">
        <v>39</v>
      </c>
      <c r="E1055" s="137"/>
      <c r="F1055" s="138" t="s">
        <v>211</v>
      </c>
      <c r="G1055" s="139" t="s">
        <v>116</v>
      </c>
      <c r="H1055" s="140" t="str">
        <f t="shared" si="388"/>
        <v>Liften</v>
      </c>
      <c r="I1055" s="138" t="s">
        <v>457</v>
      </c>
      <c r="J1055" s="138" t="s">
        <v>1170</v>
      </c>
      <c r="K1055" s="141" t="str">
        <f t="shared" si="389"/>
        <v>Volledig</v>
      </c>
      <c r="L1055" s="141" t="str">
        <f t="shared" si="390"/>
        <v>naloop</v>
      </c>
      <c r="M1055" s="141" t="str">
        <f t="shared" si="391"/>
        <v>naloop</v>
      </c>
      <c r="N1055" s="141" t="str">
        <f t="shared" si="392"/>
        <v>Volledig</v>
      </c>
      <c r="O1055" s="141" t="str">
        <f t="shared" si="393"/>
        <v>naloop</v>
      </c>
      <c r="P1055" s="141" t="str">
        <f t="shared" si="394"/>
        <v>naloop</v>
      </c>
      <c r="Q1055" s="141" t="str">
        <f t="shared" si="395"/>
        <v>naloop</v>
      </c>
      <c r="R1055" s="63" t="s">
        <v>1474</v>
      </c>
      <c r="S1055" s="142">
        <f t="shared" si="404"/>
        <v>365</v>
      </c>
      <c r="T1055" s="143">
        <v>6</v>
      </c>
      <c r="U1055" s="144"/>
      <c r="V1055" s="144"/>
      <c r="W1055" s="144"/>
      <c r="X1055" s="144">
        <v>15</v>
      </c>
      <c r="Y1055" s="144"/>
      <c r="Z1055" s="145"/>
      <c r="AA1055" s="145"/>
      <c r="AB1055" s="145"/>
      <c r="AC1055" s="145">
        <f>T1055</f>
        <v>6</v>
      </c>
      <c r="AD1055" s="146"/>
      <c r="AE1055" s="171">
        <v>1</v>
      </c>
      <c r="AF1055" s="147">
        <f t="shared" si="396"/>
        <v>0</v>
      </c>
      <c r="AG1055" s="147">
        <f t="shared" si="397"/>
        <v>0</v>
      </c>
      <c r="AH1055" s="147">
        <f t="shared" si="398"/>
        <v>0</v>
      </c>
      <c r="AI1055" s="147">
        <f t="shared" si="399"/>
        <v>0</v>
      </c>
      <c r="AJ1055" s="148" t="str">
        <f t="shared" si="400"/>
        <v>ja</v>
      </c>
      <c r="AK1055" s="149">
        <f t="shared" si="406"/>
        <v>0</v>
      </c>
      <c r="AL1055" s="149">
        <f t="shared" si="407"/>
        <v>0</v>
      </c>
      <c r="AM1055" s="149">
        <f t="shared" si="408"/>
        <v>0</v>
      </c>
      <c r="AN1055" s="149">
        <f t="shared" si="409"/>
        <v>0</v>
      </c>
      <c r="AO1055" s="150" t="str">
        <f t="shared" si="401"/>
        <v>V</v>
      </c>
      <c r="AQ1055" s="151">
        <f t="shared" si="402"/>
        <v>2190</v>
      </c>
    </row>
    <row r="1056" spans="1:43" ht="15" customHeight="1">
      <c r="A1056" s="82" t="e">
        <f t="shared" si="387"/>
        <v>#REF!</v>
      </c>
      <c r="B1056" s="134">
        <v>121</v>
      </c>
      <c r="C1056" s="135" t="s">
        <v>275</v>
      </c>
      <c r="D1056" s="136" t="s">
        <v>39</v>
      </c>
      <c r="E1056" s="137"/>
      <c r="F1056" s="138" t="s">
        <v>252</v>
      </c>
      <c r="G1056" s="139" t="s">
        <v>36</v>
      </c>
      <c r="H1056" s="140" t="str">
        <f t="shared" si="388"/>
        <v>Niet van toepassing</v>
      </c>
      <c r="I1056" s="138" t="s">
        <v>270</v>
      </c>
      <c r="J1056" s="138" t="s">
        <v>1172</v>
      </c>
      <c r="K1056" s="141" t="str">
        <f t="shared" si="389"/>
        <v>NVT</v>
      </c>
      <c r="L1056" s="141" t="str">
        <f t="shared" si="390"/>
        <v>NVT</v>
      </c>
      <c r="M1056" s="141" t="str">
        <f t="shared" si="391"/>
        <v>NVT</v>
      </c>
      <c r="N1056" s="141" t="str">
        <f t="shared" si="392"/>
        <v>NVT</v>
      </c>
      <c r="O1056" s="141" t="str">
        <f t="shared" si="393"/>
        <v>NVT</v>
      </c>
      <c r="P1056" s="141" t="str">
        <f t="shared" si="394"/>
        <v>NVT</v>
      </c>
      <c r="Q1056" s="141" t="str">
        <f t="shared" si="395"/>
        <v>NVT</v>
      </c>
      <c r="R1056" s="63" t="s">
        <v>1221</v>
      </c>
      <c r="S1056" s="142">
        <f t="shared" si="404"/>
        <v>0</v>
      </c>
      <c r="T1056" s="143">
        <v>6</v>
      </c>
      <c r="U1056" s="144"/>
      <c r="V1056" s="144">
        <v>77</v>
      </c>
      <c r="W1056" s="144"/>
      <c r="X1056" s="144"/>
      <c r="Y1056" s="144"/>
      <c r="Z1056" s="145"/>
      <c r="AA1056" s="145"/>
      <c r="AB1056" s="145">
        <f>T1056</f>
        <v>6</v>
      </c>
      <c r="AC1056" s="145"/>
      <c r="AD1056" s="146"/>
      <c r="AE1056" s="171">
        <v>1</v>
      </c>
      <c r="AF1056" s="147">
        <f t="shared" si="396"/>
        <v>0</v>
      </c>
      <c r="AG1056" s="147">
        <f t="shared" si="397"/>
        <v>0</v>
      </c>
      <c r="AH1056" s="147">
        <f t="shared" si="398"/>
        <v>0</v>
      </c>
      <c r="AI1056" s="147">
        <f t="shared" si="399"/>
        <v>0</v>
      </c>
      <c r="AJ1056" s="148">
        <f t="shared" si="400"/>
        <v>0</v>
      </c>
      <c r="AK1056" s="149">
        <f t="shared" si="406"/>
        <v>0</v>
      </c>
      <c r="AL1056" s="149">
        <f t="shared" si="407"/>
        <v>0</v>
      </c>
      <c r="AM1056" s="149">
        <f t="shared" si="408"/>
        <v>0</v>
      </c>
      <c r="AN1056" s="149">
        <f t="shared" si="409"/>
        <v>0</v>
      </c>
      <c r="AO1056" s="150">
        <f t="shared" si="401"/>
        <v>0</v>
      </c>
      <c r="AQ1056" s="151">
        <f t="shared" si="402"/>
        <v>0</v>
      </c>
    </row>
    <row r="1057" spans="1:43" ht="15" customHeight="1">
      <c r="A1057" s="82" t="e">
        <f t="shared" si="387"/>
        <v>#REF!</v>
      </c>
      <c r="B1057" s="134">
        <v>121</v>
      </c>
      <c r="C1057" s="135" t="s">
        <v>275</v>
      </c>
      <c r="D1057" s="136" t="s">
        <v>39</v>
      </c>
      <c r="E1057" s="137"/>
      <c r="F1057" s="138" t="s">
        <v>290</v>
      </c>
      <c r="G1057" s="139" t="s">
        <v>449</v>
      </c>
      <c r="H1057" s="140" t="str">
        <f t="shared" si="388"/>
        <v>Niet van toepassing</v>
      </c>
      <c r="I1057" s="138" t="s">
        <v>195</v>
      </c>
      <c r="J1057" s="138" t="s">
        <v>1172</v>
      </c>
      <c r="K1057" s="141" t="str">
        <f t="shared" si="389"/>
        <v>NVT</v>
      </c>
      <c r="L1057" s="141" t="str">
        <f t="shared" si="390"/>
        <v>NVT</v>
      </c>
      <c r="M1057" s="141" t="str">
        <f t="shared" si="391"/>
        <v>NVT</v>
      </c>
      <c r="N1057" s="141" t="str">
        <f t="shared" si="392"/>
        <v>NVT</v>
      </c>
      <c r="O1057" s="141" t="str">
        <f t="shared" si="393"/>
        <v>NVT</v>
      </c>
      <c r="P1057" s="141" t="str">
        <f t="shared" si="394"/>
        <v>NVT</v>
      </c>
      <c r="Q1057" s="141" t="str">
        <f t="shared" si="395"/>
        <v>NVT</v>
      </c>
      <c r="R1057" s="63" t="s">
        <v>1221</v>
      </c>
      <c r="S1057" s="142">
        <f t="shared" si="404"/>
        <v>0</v>
      </c>
      <c r="T1057" s="143">
        <v>6</v>
      </c>
      <c r="U1057" s="144"/>
      <c r="V1057" s="144">
        <v>35</v>
      </c>
      <c r="W1057" s="144"/>
      <c r="X1057" s="144"/>
      <c r="Y1057" s="144"/>
      <c r="Z1057" s="145"/>
      <c r="AA1057" s="145"/>
      <c r="AB1057" s="145">
        <f>T1057</f>
        <v>6</v>
      </c>
      <c r="AC1057" s="145"/>
      <c r="AD1057" s="146"/>
      <c r="AE1057" s="171">
        <v>1</v>
      </c>
      <c r="AF1057" s="147">
        <f t="shared" si="396"/>
        <v>0</v>
      </c>
      <c r="AG1057" s="147">
        <f t="shared" si="397"/>
        <v>0</v>
      </c>
      <c r="AH1057" s="147">
        <f t="shared" si="398"/>
        <v>0</v>
      </c>
      <c r="AI1057" s="147">
        <f t="shared" si="399"/>
        <v>0</v>
      </c>
      <c r="AJ1057" s="148">
        <f t="shared" si="400"/>
        <v>0</v>
      </c>
      <c r="AK1057" s="149">
        <f t="shared" si="406"/>
        <v>0</v>
      </c>
      <c r="AL1057" s="149">
        <f t="shared" si="407"/>
        <v>0</v>
      </c>
      <c r="AM1057" s="149">
        <f t="shared" si="408"/>
        <v>0</v>
      </c>
      <c r="AN1057" s="149">
        <f t="shared" si="409"/>
        <v>0</v>
      </c>
      <c r="AO1057" s="150">
        <f t="shared" si="401"/>
        <v>0</v>
      </c>
      <c r="AQ1057" s="151">
        <f t="shared" si="402"/>
        <v>0</v>
      </c>
    </row>
    <row r="1058" spans="1:43" ht="15" customHeight="1">
      <c r="A1058" s="82" t="e">
        <f t="shared" si="387"/>
        <v>#REF!</v>
      </c>
      <c r="B1058" s="134">
        <v>121</v>
      </c>
      <c r="C1058" s="135" t="s">
        <v>275</v>
      </c>
      <c r="D1058" s="136" t="s">
        <v>39</v>
      </c>
      <c r="E1058" s="137"/>
      <c r="F1058" s="138" t="s">
        <v>292</v>
      </c>
      <c r="G1058" s="139" t="s">
        <v>293</v>
      </c>
      <c r="H1058" s="140" t="str">
        <f t="shared" si="388"/>
        <v>Niet van toepassing</v>
      </c>
      <c r="I1058" s="138" t="s">
        <v>254</v>
      </c>
      <c r="J1058" s="138" t="s">
        <v>1172</v>
      </c>
      <c r="K1058" s="141" t="str">
        <f t="shared" si="389"/>
        <v>NVT</v>
      </c>
      <c r="L1058" s="141" t="str">
        <f t="shared" si="390"/>
        <v>NVT</v>
      </c>
      <c r="M1058" s="141" t="str">
        <f t="shared" si="391"/>
        <v>NVT</v>
      </c>
      <c r="N1058" s="141" t="str">
        <f t="shared" si="392"/>
        <v>NVT</v>
      </c>
      <c r="O1058" s="141" t="str">
        <f t="shared" si="393"/>
        <v>NVT</v>
      </c>
      <c r="P1058" s="141" t="str">
        <f t="shared" si="394"/>
        <v>NVT</v>
      </c>
      <c r="Q1058" s="141" t="str">
        <f t="shared" si="395"/>
        <v>NVT</v>
      </c>
      <c r="R1058" s="63" t="s">
        <v>1221</v>
      </c>
      <c r="S1058" s="142">
        <f t="shared" si="404"/>
        <v>0</v>
      </c>
      <c r="T1058" s="143">
        <v>26</v>
      </c>
      <c r="U1058" s="144"/>
      <c r="V1058" s="144">
        <v>58</v>
      </c>
      <c r="W1058" s="144"/>
      <c r="X1058" s="144"/>
      <c r="Y1058" s="144"/>
      <c r="Z1058" s="145"/>
      <c r="AA1058" s="145"/>
      <c r="AB1058" s="145">
        <f>T1058</f>
        <v>26</v>
      </c>
      <c r="AC1058" s="145"/>
      <c r="AD1058" s="146"/>
      <c r="AE1058" s="171">
        <v>1</v>
      </c>
      <c r="AF1058" s="147">
        <f t="shared" si="396"/>
        <v>0</v>
      </c>
      <c r="AG1058" s="147">
        <f t="shared" si="397"/>
        <v>0</v>
      </c>
      <c r="AH1058" s="147">
        <f t="shared" si="398"/>
        <v>0</v>
      </c>
      <c r="AI1058" s="147">
        <f t="shared" si="399"/>
        <v>0</v>
      </c>
      <c r="AJ1058" s="148">
        <f t="shared" si="400"/>
        <v>0</v>
      </c>
      <c r="AK1058" s="149">
        <f t="shared" si="406"/>
        <v>0</v>
      </c>
      <c r="AL1058" s="149">
        <f t="shared" si="407"/>
        <v>0</v>
      </c>
      <c r="AM1058" s="149">
        <f t="shared" si="408"/>
        <v>0</v>
      </c>
      <c r="AN1058" s="149">
        <f t="shared" si="409"/>
        <v>0</v>
      </c>
      <c r="AO1058" s="150">
        <f t="shared" si="401"/>
        <v>0</v>
      </c>
      <c r="AQ1058" s="151">
        <f t="shared" si="402"/>
        <v>0</v>
      </c>
    </row>
    <row r="1059" spans="1:43" ht="15" customHeight="1">
      <c r="A1059" s="82" t="e">
        <f t="shared" si="387"/>
        <v>#REF!</v>
      </c>
      <c r="B1059" s="134">
        <v>121</v>
      </c>
      <c r="C1059" s="135" t="s">
        <v>275</v>
      </c>
      <c r="D1059" s="136" t="s">
        <v>39</v>
      </c>
      <c r="E1059" s="137"/>
      <c r="F1059" s="138" t="s">
        <v>294</v>
      </c>
      <c r="G1059" s="139" t="s">
        <v>295</v>
      </c>
      <c r="H1059" s="140" t="str">
        <f t="shared" si="388"/>
        <v>Kantoren/spreekkamers</v>
      </c>
      <c r="I1059" s="138" t="s">
        <v>270</v>
      </c>
      <c r="J1059" s="138" t="s">
        <v>1170</v>
      </c>
      <c r="K1059" s="141" t="str">
        <f t="shared" si="389"/>
        <v>Volledig</v>
      </c>
      <c r="L1059" s="141" t="str">
        <f t="shared" si="390"/>
        <v>naloop</v>
      </c>
      <c r="M1059" s="141" t="str">
        <f t="shared" si="391"/>
        <v>naloop</v>
      </c>
      <c r="N1059" s="141" t="str">
        <f t="shared" si="392"/>
        <v>Volledig</v>
      </c>
      <c r="O1059" s="141" t="str">
        <f t="shared" si="393"/>
        <v>naloop</v>
      </c>
      <c r="P1059" s="141" t="str">
        <f t="shared" si="394"/>
        <v>naloop</v>
      </c>
      <c r="Q1059" s="141" t="str">
        <f t="shared" si="395"/>
        <v>naloop</v>
      </c>
      <c r="R1059" s="63" t="s">
        <v>1219</v>
      </c>
      <c r="S1059" s="142">
        <f t="shared" si="404"/>
        <v>365</v>
      </c>
      <c r="T1059" s="143">
        <v>25</v>
      </c>
      <c r="U1059" s="144"/>
      <c r="V1059" s="144">
        <v>75</v>
      </c>
      <c r="W1059" s="144"/>
      <c r="X1059" s="144"/>
      <c r="Y1059" s="144"/>
      <c r="Z1059" s="145"/>
      <c r="AA1059" s="145"/>
      <c r="AB1059" s="145">
        <f>T1059</f>
        <v>25</v>
      </c>
      <c r="AC1059" s="145"/>
      <c r="AD1059" s="146"/>
      <c r="AE1059" s="171">
        <v>1</v>
      </c>
      <c r="AF1059" s="147">
        <f t="shared" si="396"/>
        <v>0</v>
      </c>
      <c r="AG1059" s="147">
        <f t="shared" si="397"/>
        <v>0</v>
      </c>
      <c r="AH1059" s="147">
        <f t="shared" si="398"/>
        <v>0</v>
      </c>
      <c r="AI1059" s="147">
        <f t="shared" si="399"/>
        <v>0</v>
      </c>
      <c r="AJ1059" s="148" t="str">
        <f t="shared" si="400"/>
        <v>nee</v>
      </c>
      <c r="AK1059" s="149">
        <f t="shared" si="406"/>
        <v>0</v>
      </c>
      <c r="AL1059" s="149">
        <f t="shared" si="407"/>
        <v>0</v>
      </c>
      <c r="AM1059" s="149">
        <f t="shared" si="408"/>
        <v>0</v>
      </c>
      <c r="AN1059" s="149">
        <f t="shared" si="409"/>
        <v>0</v>
      </c>
      <c r="AO1059" s="150" t="str">
        <f t="shared" si="401"/>
        <v>B</v>
      </c>
      <c r="AQ1059" s="151">
        <f t="shared" si="402"/>
        <v>9125</v>
      </c>
    </row>
    <row r="1060" spans="1:43" ht="15" customHeight="1">
      <c r="A1060" s="82" t="e">
        <f t="shared" si="387"/>
        <v>#REF!</v>
      </c>
      <c r="B1060" s="134">
        <v>121</v>
      </c>
      <c r="C1060" s="135" t="s">
        <v>275</v>
      </c>
      <c r="D1060" s="136" t="s">
        <v>39</v>
      </c>
      <c r="E1060" s="137"/>
      <c r="F1060" s="138" t="s">
        <v>296</v>
      </c>
      <c r="G1060" s="139" t="s">
        <v>450</v>
      </c>
      <c r="H1060" s="140" t="str">
        <f t="shared" si="388"/>
        <v>Niet van toepassing</v>
      </c>
      <c r="I1060" s="138" t="s">
        <v>270</v>
      </c>
      <c r="J1060" s="138" t="s">
        <v>1172</v>
      </c>
      <c r="K1060" s="141" t="str">
        <f t="shared" si="389"/>
        <v>NVT</v>
      </c>
      <c r="L1060" s="141" t="str">
        <f t="shared" si="390"/>
        <v>NVT</v>
      </c>
      <c r="M1060" s="141" t="str">
        <f t="shared" si="391"/>
        <v>NVT</v>
      </c>
      <c r="N1060" s="141" t="str">
        <f t="shared" si="392"/>
        <v>NVT</v>
      </c>
      <c r="O1060" s="141" t="str">
        <f t="shared" si="393"/>
        <v>NVT</v>
      </c>
      <c r="P1060" s="141" t="str">
        <f t="shared" si="394"/>
        <v>NVT</v>
      </c>
      <c r="Q1060" s="141" t="str">
        <f t="shared" si="395"/>
        <v>NVT</v>
      </c>
      <c r="R1060" s="63" t="s">
        <v>1221</v>
      </c>
      <c r="S1060" s="142">
        <f t="shared" si="404"/>
        <v>0</v>
      </c>
      <c r="T1060" s="143">
        <v>14</v>
      </c>
      <c r="U1060" s="144"/>
      <c r="V1060" s="144">
        <v>35</v>
      </c>
      <c r="W1060" s="144"/>
      <c r="X1060" s="144"/>
      <c r="Y1060" s="144"/>
      <c r="Z1060" s="145"/>
      <c r="AA1060" s="145"/>
      <c r="AB1060" s="145">
        <f>T1060</f>
        <v>14</v>
      </c>
      <c r="AC1060" s="145"/>
      <c r="AD1060" s="146"/>
      <c r="AE1060" s="171">
        <v>1</v>
      </c>
      <c r="AF1060" s="147">
        <f t="shared" si="396"/>
        <v>0</v>
      </c>
      <c r="AG1060" s="147">
        <f t="shared" si="397"/>
        <v>0</v>
      </c>
      <c r="AH1060" s="147">
        <f t="shared" si="398"/>
        <v>0</v>
      </c>
      <c r="AI1060" s="147">
        <f t="shared" si="399"/>
        <v>0</v>
      </c>
      <c r="AJ1060" s="148">
        <f t="shared" si="400"/>
        <v>0</v>
      </c>
      <c r="AK1060" s="149">
        <f t="shared" si="406"/>
        <v>0</v>
      </c>
      <c r="AL1060" s="149">
        <f t="shared" si="407"/>
        <v>0</v>
      </c>
      <c r="AM1060" s="149">
        <f t="shared" si="408"/>
        <v>0</v>
      </c>
      <c r="AN1060" s="149">
        <f t="shared" si="409"/>
        <v>0</v>
      </c>
      <c r="AO1060" s="150">
        <f t="shared" si="401"/>
        <v>0</v>
      </c>
      <c r="AQ1060" s="151">
        <f t="shared" si="402"/>
        <v>0</v>
      </c>
    </row>
    <row r="1061" spans="1:43" ht="15" customHeight="1">
      <c r="A1061" s="82" t="e">
        <f t="shared" si="387"/>
        <v>#REF!</v>
      </c>
      <c r="B1061" s="134">
        <v>121</v>
      </c>
      <c r="C1061" s="135" t="s">
        <v>275</v>
      </c>
      <c r="D1061" s="136" t="s">
        <v>39</v>
      </c>
      <c r="E1061" s="137"/>
      <c r="F1061" s="138" t="s">
        <v>101</v>
      </c>
      <c r="G1061" s="139" t="s">
        <v>25</v>
      </c>
      <c r="H1061" s="140" t="str">
        <f t="shared" si="388"/>
        <v>Perrons</v>
      </c>
      <c r="I1061" s="138" t="s">
        <v>199</v>
      </c>
      <c r="J1061" s="138" t="s">
        <v>1170</v>
      </c>
      <c r="K1061" s="141" t="str">
        <f t="shared" si="389"/>
        <v>Volledig</v>
      </c>
      <c r="L1061" s="141" t="str">
        <f t="shared" si="390"/>
        <v>naloop</v>
      </c>
      <c r="M1061" s="141" t="str">
        <f t="shared" si="391"/>
        <v>naloop</v>
      </c>
      <c r="N1061" s="141" t="str">
        <f t="shared" si="392"/>
        <v>Volledig</v>
      </c>
      <c r="O1061" s="141" t="str">
        <f t="shared" si="393"/>
        <v>naloop</v>
      </c>
      <c r="P1061" s="141" t="str">
        <f t="shared" si="394"/>
        <v>naloop</v>
      </c>
      <c r="Q1061" s="141" t="str">
        <f t="shared" si="395"/>
        <v>naloop</v>
      </c>
      <c r="R1061" s="63" t="s">
        <v>1472</v>
      </c>
      <c r="S1061" s="142">
        <f t="shared" si="404"/>
        <v>365</v>
      </c>
      <c r="T1061" s="143">
        <v>1428</v>
      </c>
      <c r="U1061" s="144"/>
      <c r="V1061" s="144"/>
      <c r="W1061" s="144"/>
      <c r="X1061" s="144"/>
      <c r="Y1061" s="144"/>
      <c r="Z1061" s="145">
        <v>513</v>
      </c>
      <c r="AA1061" s="145"/>
      <c r="AB1061" s="145"/>
      <c r="AC1061" s="145"/>
      <c r="AD1061" s="146"/>
      <c r="AE1061" s="171">
        <v>1</v>
      </c>
      <c r="AF1061" s="147">
        <f t="shared" si="396"/>
        <v>0</v>
      </c>
      <c r="AG1061" s="147">
        <f t="shared" si="397"/>
        <v>0</v>
      </c>
      <c r="AH1061" s="147">
        <f t="shared" si="398"/>
        <v>0</v>
      </c>
      <c r="AI1061" s="147">
        <f t="shared" si="399"/>
        <v>0</v>
      </c>
      <c r="AJ1061" s="148" t="str">
        <f t="shared" si="400"/>
        <v>ja</v>
      </c>
      <c r="AK1061" s="149">
        <f t="shared" si="406"/>
        <v>0</v>
      </c>
      <c r="AL1061" s="149">
        <f t="shared" si="407"/>
        <v>0</v>
      </c>
      <c r="AM1061" s="149">
        <f t="shared" si="408"/>
        <v>0</v>
      </c>
      <c r="AN1061" s="149">
        <f t="shared" si="409"/>
        <v>0</v>
      </c>
      <c r="AO1061" s="150" t="str">
        <f t="shared" si="401"/>
        <v>V</v>
      </c>
      <c r="AQ1061" s="151">
        <f t="shared" si="402"/>
        <v>521220</v>
      </c>
    </row>
    <row r="1062" spans="1:43" ht="15" customHeight="1">
      <c r="A1062" s="82" t="e">
        <f t="shared" si="387"/>
        <v>#REF!</v>
      </c>
      <c r="B1062" s="134">
        <v>121</v>
      </c>
      <c r="C1062" s="135" t="s">
        <v>275</v>
      </c>
      <c r="D1062" s="136" t="s">
        <v>39</v>
      </c>
      <c r="E1062" s="137"/>
      <c r="F1062" s="138" t="s">
        <v>114</v>
      </c>
      <c r="G1062" s="139" t="s">
        <v>298</v>
      </c>
      <c r="H1062" s="140" t="str">
        <f t="shared" si="388"/>
        <v>Trappen</v>
      </c>
      <c r="I1062" s="138" t="s">
        <v>118</v>
      </c>
      <c r="J1062" s="138" t="s">
        <v>1170</v>
      </c>
      <c r="K1062" s="141" t="str">
        <f t="shared" si="389"/>
        <v>Volledig</v>
      </c>
      <c r="L1062" s="141" t="str">
        <f t="shared" si="390"/>
        <v>naloop</v>
      </c>
      <c r="M1062" s="141" t="str">
        <f t="shared" si="391"/>
        <v>naloop</v>
      </c>
      <c r="N1062" s="141" t="str">
        <f t="shared" si="392"/>
        <v>Volledig</v>
      </c>
      <c r="O1062" s="141" t="str">
        <f t="shared" si="393"/>
        <v>naloop</v>
      </c>
      <c r="P1062" s="141" t="str">
        <f t="shared" si="394"/>
        <v>naloop</v>
      </c>
      <c r="Q1062" s="141" t="str">
        <f t="shared" si="395"/>
        <v>naloop</v>
      </c>
      <c r="R1062" s="63" t="s">
        <v>1476</v>
      </c>
      <c r="S1062" s="142">
        <f t="shared" si="404"/>
        <v>365</v>
      </c>
      <c r="T1062" s="143">
        <v>35</v>
      </c>
      <c r="U1062" s="144" t="s">
        <v>489</v>
      </c>
      <c r="V1062" s="144"/>
      <c r="W1062" s="144"/>
      <c r="X1062" s="144"/>
      <c r="Y1062" s="144"/>
      <c r="Z1062" s="145"/>
      <c r="AA1062" s="145"/>
      <c r="AB1062" s="145">
        <f>T1062</f>
        <v>35</v>
      </c>
      <c r="AC1062" s="145"/>
      <c r="AD1062" s="146"/>
      <c r="AE1062" s="171">
        <v>1</v>
      </c>
      <c r="AF1062" s="147">
        <f t="shared" si="396"/>
        <v>0</v>
      </c>
      <c r="AG1062" s="147">
        <f t="shared" si="397"/>
        <v>0</v>
      </c>
      <c r="AH1062" s="147">
        <f t="shared" si="398"/>
        <v>0</v>
      </c>
      <c r="AI1062" s="147">
        <f t="shared" si="399"/>
        <v>0</v>
      </c>
      <c r="AJ1062" s="148" t="str">
        <f t="shared" si="400"/>
        <v>ja</v>
      </c>
      <c r="AK1062" s="149">
        <f t="shared" si="406"/>
        <v>0</v>
      </c>
      <c r="AL1062" s="149">
        <f t="shared" si="407"/>
        <v>0</v>
      </c>
      <c r="AM1062" s="149">
        <f t="shared" si="408"/>
        <v>0</v>
      </c>
      <c r="AN1062" s="149">
        <f t="shared" si="409"/>
        <v>0</v>
      </c>
      <c r="AO1062" s="150" t="str">
        <f t="shared" si="401"/>
        <v>V</v>
      </c>
      <c r="AQ1062" s="151">
        <f t="shared" si="402"/>
        <v>12775</v>
      </c>
    </row>
    <row r="1063" spans="1:43" ht="15" customHeight="1">
      <c r="A1063" s="82" t="e">
        <f t="shared" si="387"/>
        <v>#REF!</v>
      </c>
      <c r="B1063" s="134">
        <v>121</v>
      </c>
      <c r="C1063" s="135" t="s">
        <v>275</v>
      </c>
      <c r="D1063" s="136" t="s">
        <v>39</v>
      </c>
      <c r="E1063" s="137"/>
      <c r="F1063" s="138" t="s">
        <v>257</v>
      </c>
      <c r="G1063" s="139" t="s">
        <v>451</v>
      </c>
      <c r="H1063" s="140" t="str">
        <f t="shared" si="388"/>
        <v>Roltrappen(inclusief aangrenzende bouwdelen)</v>
      </c>
      <c r="I1063" s="138" t="s">
        <v>920</v>
      </c>
      <c r="J1063" s="138" t="s">
        <v>1170</v>
      </c>
      <c r="K1063" s="141" t="str">
        <f t="shared" si="389"/>
        <v>Volledig</v>
      </c>
      <c r="L1063" s="141" t="str">
        <f t="shared" si="390"/>
        <v>naloop</v>
      </c>
      <c r="M1063" s="141" t="str">
        <f t="shared" si="391"/>
        <v>naloop</v>
      </c>
      <c r="N1063" s="141" t="str">
        <f t="shared" si="392"/>
        <v>Volledig</v>
      </c>
      <c r="O1063" s="141" t="str">
        <f t="shared" si="393"/>
        <v>naloop</v>
      </c>
      <c r="P1063" s="141" t="str">
        <f t="shared" si="394"/>
        <v>naloop</v>
      </c>
      <c r="Q1063" s="141" t="str">
        <f t="shared" si="395"/>
        <v>naloop</v>
      </c>
      <c r="R1063" s="63" t="s">
        <v>1480</v>
      </c>
      <c r="S1063" s="142">
        <f t="shared" si="404"/>
        <v>365</v>
      </c>
      <c r="T1063" s="143">
        <v>27</v>
      </c>
      <c r="U1063" s="144" t="s">
        <v>489</v>
      </c>
      <c r="V1063" s="144"/>
      <c r="W1063" s="144"/>
      <c r="X1063" s="144"/>
      <c r="Y1063" s="144"/>
      <c r="Z1063" s="145"/>
      <c r="AA1063" s="145"/>
      <c r="AB1063" s="145">
        <f>T1063</f>
        <v>27</v>
      </c>
      <c r="AC1063" s="145"/>
      <c r="AD1063" s="146"/>
      <c r="AE1063" s="171">
        <v>1</v>
      </c>
      <c r="AF1063" s="147">
        <f t="shared" si="396"/>
        <v>0</v>
      </c>
      <c r="AG1063" s="147">
        <f t="shared" si="397"/>
        <v>0</v>
      </c>
      <c r="AH1063" s="147">
        <f t="shared" si="398"/>
        <v>0</v>
      </c>
      <c r="AI1063" s="147">
        <f t="shared" si="399"/>
        <v>0</v>
      </c>
      <c r="AJ1063" s="148" t="str">
        <f t="shared" si="400"/>
        <v>ja</v>
      </c>
      <c r="AK1063" s="149">
        <f t="shared" si="406"/>
        <v>0</v>
      </c>
      <c r="AL1063" s="149">
        <f t="shared" si="407"/>
        <v>0</v>
      </c>
      <c r="AM1063" s="149">
        <f t="shared" si="408"/>
        <v>0</v>
      </c>
      <c r="AN1063" s="149">
        <f t="shared" si="409"/>
        <v>0</v>
      </c>
      <c r="AO1063" s="150" t="str">
        <f t="shared" si="401"/>
        <v>V</v>
      </c>
      <c r="AQ1063" s="151">
        <f t="shared" si="402"/>
        <v>9855</v>
      </c>
    </row>
    <row r="1064" spans="1:43" ht="15" customHeight="1">
      <c r="A1064" s="82" t="e">
        <f t="shared" ref="A1064:A1126" si="410">1+A1063</f>
        <v>#REF!</v>
      </c>
      <c r="B1064" s="134">
        <v>1001</v>
      </c>
      <c r="C1064" s="135" t="s">
        <v>1087</v>
      </c>
      <c r="D1064" s="136" t="s">
        <v>1092</v>
      </c>
      <c r="E1064" s="137"/>
      <c r="F1064" s="138" t="s">
        <v>6</v>
      </c>
      <c r="G1064" s="139"/>
      <c r="H1064" s="140" t="str">
        <f t="shared" si="388"/>
        <v>Liften</v>
      </c>
      <c r="I1064" s="138" t="s">
        <v>1109</v>
      </c>
      <c r="J1064" s="138" t="s">
        <v>1255</v>
      </c>
      <c r="K1064" s="141" t="str">
        <f t="shared" si="389"/>
        <v>Volledig</v>
      </c>
      <c r="L1064" s="141" t="str">
        <f t="shared" si="390"/>
        <v>naloop</v>
      </c>
      <c r="M1064" s="141" t="str">
        <f t="shared" si="391"/>
        <v>naloop</v>
      </c>
      <c r="N1064" s="141" t="str">
        <f t="shared" si="392"/>
        <v>Volledig</v>
      </c>
      <c r="O1064" s="141" t="str">
        <f t="shared" si="393"/>
        <v>naloop</v>
      </c>
      <c r="P1064" s="141" t="str">
        <f t="shared" si="394"/>
        <v>naloop</v>
      </c>
      <c r="Q1064" s="141" t="str">
        <f t="shared" si="395"/>
        <v>naloop</v>
      </c>
      <c r="R1064" s="63" t="s">
        <v>1212</v>
      </c>
      <c r="S1064" s="142">
        <f t="shared" si="404"/>
        <v>365</v>
      </c>
      <c r="T1064" s="143">
        <v>5</v>
      </c>
      <c r="U1064" s="144"/>
      <c r="V1064" s="144"/>
      <c r="W1064" s="144"/>
      <c r="X1064" s="144"/>
      <c r="Y1064" s="144"/>
      <c r="Z1064" s="145"/>
      <c r="AA1064" s="145"/>
      <c r="AB1064" s="145"/>
      <c r="AC1064" s="145"/>
      <c r="AD1064" s="146"/>
      <c r="AE1064" s="171">
        <v>1</v>
      </c>
      <c r="AF1064" s="147">
        <f t="shared" si="396"/>
        <v>0</v>
      </c>
      <c r="AG1064" s="147">
        <f t="shared" si="397"/>
        <v>0</v>
      </c>
      <c r="AH1064" s="147">
        <f t="shared" si="398"/>
        <v>0</v>
      </c>
      <c r="AI1064" s="147">
        <f t="shared" si="399"/>
        <v>0</v>
      </c>
      <c r="AJ1064" s="148" t="str">
        <f t="shared" si="400"/>
        <v>ja</v>
      </c>
      <c r="AK1064" s="149">
        <f t="shared" ref="AK1064:AK1126" si="411">IF($R1064="",0,VLOOKUP($R1064,Kengetal,5,FALSE))</f>
        <v>0</v>
      </c>
      <c r="AL1064" s="149">
        <f t="shared" ref="AL1064:AL1126" si="412">IF($R1064="",0,VLOOKUP($R1064,Kengetal,6,FALSE))</f>
        <v>0</v>
      </c>
      <c r="AM1064" s="149">
        <f t="shared" ref="AM1064:AM1126" si="413">IF($R1064="",0,VLOOKUP($R1064,Kengetal,7,FALSE))</f>
        <v>0</v>
      </c>
      <c r="AN1064" s="149">
        <f t="shared" ref="AN1064:AN1126" si="414">IF($R1064="",0,VLOOKUP($R1064,Kengetal,8,FALSE))</f>
        <v>0</v>
      </c>
      <c r="AO1064" s="150" t="str">
        <f t="shared" si="401"/>
        <v>V</v>
      </c>
      <c r="AQ1064" s="151">
        <f t="shared" si="402"/>
        <v>1825</v>
      </c>
    </row>
    <row r="1065" spans="1:43" ht="15" customHeight="1">
      <c r="A1065" s="82" t="e">
        <f t="shared" si="410"/>
        <v>#REF!</v>
      </c>
      <c r="B1065" s="134">
        <v>1001</v>
      </c>
      <c r="C1065" s="135" t="s">
        <v>1087</v>
      </c>
      <c r="D1065" s="136" t="s">
        <v>1092</v>
      </c>
      <c r="E1065" s="137"/>
      <c r="F1065" s="138" t="s">
        <v>115</v>
      </c>
      <c r="G1065" s="139"/>
      <c r="H1065" s="140" t="str">
        <f t="shared" si="388"/>
        <v>Niet van toepassing</v>
      </c>
      <c r="I1065" s="138" t="s">
        <v>118</v>
      </c>
      <c r="J1065" s="138" t="s">
        <v>1172</v>
      </c>
      <c r="K1065" s="141" t="str">
        <f t="shared" si="389"/>
        <v>NVT</v>
      </c>
      <c r="L1065" s="141" t="str">
        <f t="shared" si="390"/>
        <v>NVT</v>
      </c>
      <c r="M1065" s="141" t="str">
        <f t="shared" si="391"/>
        <v>NVT</v>
      </c>
      <c r="N1065" s="141" t="str">
        <f t="shared" si="392"/>
        <v>NVT</v>
      </c>
      <c r="O1065" s="141" t="str">
        <f t="shared" si="393"/>
        <v>NVT</v>
      </c>
      <c r="P1065" s="141" t="str">
        <f t="shared" si="394"/>
        <v>NVT</v>
      </c>
      <c r="Q1065" s="141" t="str">
        <f t="shared" si="395"/>
        <v>NVT</v>
      </c>
      <c r="R1065" s="63" t="s">
        <v>1221</v>
      </c>
      <c r="S1065" s="142">
        <f t="shared" si="404"/>
        <v>0</v>
      </c>
      <c r="T1065" s="143">
        <v>6</v>
      </c>
      <c r="U1065" s="144"/>
      <c r="V1065" s="144"/>
      <c r="W1065" s="144">
        <v>23</v>
      </c>
      <c r="X1065" s="144"/>
      <c r="Y1065" s="144"/>
      <c r="Z1065" s="145"/>
      <c r="AA1065" s="145">
        <v>6</v>
      </c>
      <c r="AB1065" s="145"/>
      <c r="AC1065" s="145"/>
      <c r="AD1065" s="146"/>
      <c r="AE1065" s="171">
        <v>1</v>
      </c>
      <c r="AF1065" s="147">
        <f t="shared" si="396"/>
        <v>0</v>
      </c>
      <c r="AG1065" s="147">
        <f t="shared" si="397"/>
        <v>0</v>
      </c>
      <c r="AH1065" s="147">
        <f t="shared" si="398"/>
        <v>0</v>
      </c>
      <c r="AI1065" s="147">
        <f t="shared" si="399"/>
        <v>0</v>
      </c>
      <c r="AJ1065" s="148">
        <f t="shared" si="400"/>
        <v>0</v>
      </c>
      <c r="AK1065" s="149">
        <f t="shared" si="411"/>
        <v>0</v>
      </c>
      <c r="AL1065" s="149">
        <f t="shared" si="412"/>
        <v>0</v>
      </c>
      <c r="AM1065" s="149">
        <f t="shared" si="413"/>
        <v>0</v>
      </c>
      <c r="AN1065" s="149">
        <f t="shared" si="414"/>
        <v>0</v>
      </c>
      <c r="AO1065" s="150">
        <f t="shared" si="401"/>
        <v>0</v>
      </c>
      <c r="AQ1065" s="151">
        <f t="shared" si="402"/>
        <v>0</v>
      </c>
    </row>
    <row r="1066" spans="1:43" ht="15" customHeight="1">
      <c r="A1066" s="82" t="e">
        <f t="shared" si="410"/>
        <v>#REF!</v>
      </c>
      <c r="B1066" s="134">
        <v>1001</v>
      </c>
      <c r="C1066" s="135" t="s">
        <v>1087</v>
      </c>
      <c r="D1066" s="136" t="s">
        <v>1092</v>
      </c>
      <c r="E1066" s="137"/>
      <c r="F1066" s="138" t="s">
        <v>1282</v>
      </c>
      <c r="G1066" s="139"/>
      <c r="H1066" s="140" t="str">
        <f t="shared" si="388"/>
        <v>Perrons</v>
      </c>
      <c r="I1066" s="138" t="s">
        <v>1283</v>
      </c>
      <c r="J1066" s="138" t="s">
        <v>1255</v>
      </c>
      <c r="K1066" s="141" t="str">
        <f t="shared" si="389"/>
        <v>Volledig</v>
      </c>
      <c r="L1066" s="141" t="str">
        <f t="shared" si="390"/>
        <v>naloop</v>
      </c>
      <c r="M1066" s="141" t="str">
        <f t="shared" si="391"/>
        <v>naloop</v>
      </c>
      <c r="N1066" s="141" t="str">
        <f t="shared" si="392"/>
        <v>Volledig</v>
      </c>
      <c r="O1066" s="141" t="str">
        <f t="shared" si="393"/>
        <v>naloop</v>
      </c>
      <c r="P1066" s="141" t="str">
        <f t="shared" si="394"/>
        <v>naloop</v>
      </c>
      <c r="Q1066" s="141" t="str">
        <f t="shared" si="395"/>
        <v>naloop</v>
      </c>
      <c r="R1066" s="63" t="s">
        <v>1208</v>
      </c>
      <c r="S1066" s="142">
        <f t="shared" si="404"/>
        <v>365</v>
      </c>
      <c r="T1066" s="143">
        <v>420</v>
      </c>
      <c r="U1066" s="144"/>
      <c r="V1066" s="144"/>
      <c r="W1066" s="144"/>
      <c r="X1066" s="144"/>
      <c r="Y1066" s="144"/>
      <c r="Z1066" s="145"/>
      <c r="AA1066" s="145"/>
      <c r="AB1066" s="145"/>
      <c r="AC1066" s="145"/>
      <c r="AD1066" s="146"/>
      <c r="AE1066" s="171">
        <v>1</v>
      </c>
      <c r="AF1066" s="147">
        <f t="shared" si="396"/>
        <v>0</v>
      </c>
      <c r="AG1066" s="147">
        <f t="shared" si="397"/>
        <v>0</v>
      </c>
      <c r="AH1066" s="147">
        <f t="shared" si="398"/>
        <v>0</v>
      </c>
      <c r="AI1066" s="147">
        <f t="shared" si="399"/>
        <v>0</v>
      </c>
      <c r="AJ1066" s="148" t="str">
        <f t="shared" si="400"/>
        <v>ja</v>
      </c>
      <c r="AK1066" s="149">
        <f t="shared" si="411"/>
        <v>0</v>
      </c>
      <c r="AL1066" s="149">
        <f t="shared" si="412"/>
        <v>0</v>
      </c>
      <c r="AM1066" s="149">
        <f t="shared" si="413"/>
        <v>0</v>
      </c>
      <c r="AN1066" s="149">
        <f t="shared" si="414"/>
        <v>0</v>
      </c>
      <c r="AO1066" s="150" t="str">
        <f t="shared" si="401"/>
        <v>V</v>
      </c>
      <c r="AQ1066" s="151">
        <f t="shared" si="402"/>
        <v>153300</v>
      </c>
    </row>
    <row r="1067" spans="1:43" ht="15" customHeight="1">
      <c r="A1067" s="82" t="e">
        <f t="shared" si="410"/>
        <v>#REF!</v>
      </c>
      <c r="B1067" s="134">
        <v>1001</v>
      </c>
      <c r="C1067" s="135" t="s">
        <v>1087</v>
      </c>
      <c r="D1067" s="136" t="s">
        <v>1092</v>
      </c>
      <c r="E1067" s="137"/>
      <c r="F1067" s="138" t="s">
        <v>169</v>
      </c>
      <c r="G1067" s="139"/>
      <c r="H1067" s="140" t="str">
        <f t="shared" si="388"/>
        <v>Trappen</v>
      </c>
      <c r="I1067" s="138" t="s">
        <v>1284</v>
      </c>
      <c r="J1067" s="138" t="s">
        <v>1255</v>
      </c>
      <c r="K1067" s="141" t="str">
        <f t="shared" si="389"/>
        <v>Volledig</v>
      </c>
      <c r="L1067" s="141" t="str">
        <f t="shared" si="390"/>
        <v>naloop</v>
      </c>
      <c r="M1067" s="141" t="str">
        <f t="shared" si="391"/>
        <v>naloop</v>
      </c>
      <c r="N1067" s="141" t="str">
        <f t="shared" si="392"/>
        <v>Volledig</v>
      </c>
      <c r="O1067" s="141" t="str">
        <f t="shared" si="393"/>
        <v>naloop</v>
      </c>
      <c r="P1067" s="141" t="str">
        <f t="shared" si="394"/>
        <v>naloop</v>
      </c>
      <c r="Q1067" s="141" t="str">
        <f t="shared" si="395"/>
        <v>naloop</v>
      </c>
      <c r="R1067" s="63" t="s">
        <v>1214</v>
      </c>
      <c r="S1067" s="142">
        <f t="shared" si="404"/>
        <v>365</v>
      </c>
      <c r="T1067" s="143">
        <v>27</v>
      </c>
      <c r="U1067" s="144"/>
      <c r="V1067" s="144"/>
      <c r="W1067" s="144"/>
      <c r="X1067" s="144"/>
      <c r="Y1067" s="144"/>
      <c r="Z1067" s="145"/>
      <c r="AA1067" s="145"/>
      <c r="AB1067" s="145"/>
      <c r="AC1067" s="145"/>
      <c r="AD1067" s="146"/>
      <c r="AE1067" s="171">
        <v>1</v>
      </c>
      <c r="AF1067" s="147">
        <f t="shared" si="396"/>
        <v>0</v>
      </c>
      <c r="AG1067" s="147">
        <f t="shared" si="397"/>
        <v>0</v>
      </c>
      <c r="AH1067" s="147">
        <f t="shared" si="398"/>
        <v>0</v>
      </c>
      <c r="AI1067" s="147">
        <f t="shared" si="399"/>
        <v>0</v>
      </c>
      <c r="AJ1067" s="148" t="str">
        <f t="shared" si="400"/>
        <v>ja</v>
      </c>
      <c r="AK1067" s="149">
        <f t="shared" si="411"/>
        <v>0</v>
      </c>
      <c r="AL1067" s="149">
        <f t="shared" si="412"/>
        <v>0</v>
      </c>
      <c r="AM1067" s="149">
        <f t="shared" si="413"/>
        <v>0</v>
      </c>
      <c r="AN1067" s="149">
        <f t="shared" si="414"/>
        <v>0</v>
      </c>
      <c r="AO1067" s="150" t="str">
        <f t="shared" si="401"/>
        <v>V</v>
      </c>
      <c r="AQ1067" s="151">
        <f t="shared" si="402"/>
        <v>9855</v>
      </c>
    </row>
    <row r="1068" spans="1:43" ht="15" customHeight="1">
      <c r="A1068" s="82" t="e">
        <f>1+#REF!</f>
        <v>#REF!</v>
      </c>
      <c r="B1068" s="134">
        <v>1002</v>
      </c>
      <c r="C1068" s="135" t="s">
        <v>1123</v>
      </c>
      <c r="D1068" s="136" t="s">
        <v>1092</v>
      </c>
      <c r="E1068" s="137"/>
      <c r="F1068" s="138" t="s">
        <v>1124</v>
      </c>
      <c r="G1068" s="139" t="s">
        <v>301</v>
      </c>
      <c r="H1068" s="140" t="str">
        <f t="shared" si="388"/>
        <v>Niet van toepassing</v>
      </c>
      <c r="I1068" s="138" t="s">
        <v>195</v>
      </c>
      <c r="J1068" s="138" t="s">
        <v>1172</v>
      </c>
      <c r="K1068" s="141" t="str">
        <f t="shared" si="389"/>
        <v>NVT</v>
      </c>
      <c r="L1068" s="141" t="str">
        <f t="shared" si="390"/>
        <v>NVT</v>
      </c>
      <c r="M1068" s="141" t="str">
        <f t="shared" si="391"/>
        <v>NVT</v>
      </c>
      <c r="N1068" s="141" t="str">
        <f t="shared" si="392"/>
        <v>NVT</v>
      </c>
      <c r="O1068" s="141" t="str">
        <f t="shared" si="393"/>
        <v>NVT</v>
      </c>
      <c r="P1068" s="141" t="str">
        <f t="shared" si="394"/>
        <v>NVT</v>
      </c>
      <c r="Q1068" s="141" t="str">
        <f t="shared" si="395"/>
        <v>NVT</v>
      </c>
      <c r="R1068" s="63" t="s">
        <v>1221</v>
      </c>
      <c r="S1068" s="142">
        <f t="shared" si="404"/>
        <v>0</v>
      </c>
      <c r="T1068" s="143">
        <v>14.4</v>
      </c>
      <c r="U1068" s="144">
        <v>3</v>
      </c>
      <c r="V1068" s="144"/>
      <c r="W1068" s="144"/>
      <c r="X1068" s="144"/>
      <c r="Y1068" s="144"/>
      <c r="Z1068" s="145"/>
      <c r="AA1068" s="145">
        <v>14.4</v>
      </c>
      <c r="AB1068" s="145"/>
      <c r="AC1068" s="145"/>
      <c r="AD1068" s="146"/>
      <c r="AE1068" s="171">
        <v>1</v>
      </c>
      <c r="AF1068" s="147">
        <f t="shared" si="396"/>
        <v>0</v>
      </c>
      <c r="AG1068" s="147">
        <f t="shared" si="397"/>
        <v>0</v>
      </c>
      <c r="AH1068" s="147">
        <f t="shared" si="398"/>
        <v>0</v>
      </c>
      <c r="AI1068" s="147">
        <f t="shared" si="399"/>
        <v>0</v>
      </c>
      <c r="AJ1068" s="148">
        <f t="shared" si="400"/>
        <v>0</v>
      </c>
      <c r="AK1068" s="149">
        <f t="shared" si="411"/>
        <v>0</v>
      </c>
      <c r="AL1068" s="149">
        <f t="shared" si="412"/>
        <v>0</v>
      </c>
      <c r="AM1068" s="149">
        <f t="shared" si="413"/>
        <v>0</v>
      </c>
      <c r="AN1068" s="149">
        <f t="shared" si="414"/>
        <v>0</v>
      </c>
      <c r="AO1068" s="150">
        <f t="shared" si="401"/>
        <v>0</v>
      </c>
      <c r="AQ1068" s="151">
        <f t="shared" si="402"/>
        <v>0</v>
      </c>
    </row>
    <row r="1069" spans="1:43" ht="15" customHeight="1">
      <c r="A1069" s="82" t="e">
        <f t="shared" si="410"/>
        <v>#REF!</v>
      </c>
      <c r="B1069" s="134">
        <v>1002</v>
      </c>
      <c r="C1069" s="135" t="s">
        <v>1123</v>
      </c>
      <c r="D1069" s="136" t="s">
        <v>1092</v>
      </c>
      <c r="E1069" s="137"/>
      <c r="F1069" s="138" t="s">
        <v>715</v>
      </c>
      <c r="G1069" s="139" t="s">
        <v>320</v>
      </c>
      <c r="H1069" s="140" t="str">
        <f t="shared" si="388"/>
        <v>Niet van toepassing</v>
      </c>
      <c r="I1069" s="138" t="s">
        <v>195</v>
      </c>
      <c r="J1069" s="138" t="s">
        <v>1172</v>
      </c>
      <c r="K1069" s="141" t="str">
        <f t="shared" si="389"/>
        <v>NVT</v>
      </c>
      <c r="L1069" s="141" t="str">
        <f t="shared" si="390"/>
        <v>NVT</v>
      </c>
      <c r="M1069" s="141" t="str">
        <f t="shared" si="391"/>
        <v>NVT</v>
      </c>
      <c r="N1069" s="141" t="str">
        <f t="shared" si="392"/>
        <v>NVT</v>
      </c>
      <c r="O1069" s="141" t="str">
        <f t="shared" si="393"/>
        <v>NVT</v>
      </c>
      <c r="P1069" s="141" t="str">
        <f t="shared" si="394"/>
        <v>NVT</v>
      </c>
      <c r="Q1069" s="141" t="str">
        <f t="shared" si="395"/>
        <v>NVT</v>
      </c>
      <c r="R1069" s="63" t="s">
        <v>1221</v>
      </c>
      <c r="S1069" s="142">
        <f t="shared" si="404"/>
        <v>0</v>
      </c>
      <c r="T1069" s="143">
        <v>15.72</v>
      </c>
      <c r="U1069" s="144">
        <v>1.4</v>
      </c>
      <c r="V1069" s="144"/>
      <c r="W1069" s="144"/>
      <c r="X1069" s="144"/>
      <c r="Y1069" s="144"/>
      <c r="Z1069" s="145"/>
      <c r="AA1069" s="145">
        <v>2.04</v>
      </c>
      <c r="AB1069" s="145">
        <v>1</v>
      </c>
      <c r="AC1069" s="145"/>
      <c r="AD1069" s="146"/>
      <c r="AE1069" s="171">
        <v>1</v>
      </c>
      <c r="AF1069" s="147">
        <f t="shared" si="396"/>
        <v>0</v>
      </c>
      <c r="AG1069" s="147">
        <f t="shared" si="397"/>
        <v>0</v>
      </c>
      <c r="AH1069" s="147">
        <f t="shared" si="398"/>
        <v>0</v>
      </c>
      <c r="AI1069" s="147">
        <f t="shared" si="399"/>
        <v>0</v>
      </c>
      <c r="AJ1069" s="148">
        <f t="shared" si="400"/>
        <v>0</v>
      </c>
      <c r="AK1069" s="149">
        <f t="shared" si="411"/>
        <v>0</v>
      </c>
      <c r="AL1069" s="149">
        <f t="shared" si="412"/>
        <v>0</v>
      </c>
      <c r="AM1069" s="149">
        <f t="shared" si="413"/>
        <v>0</v>
      </c>
      <c r="AN1069" s="149">
        <f t="shared" si="414"/>
        <v>0</v>
      </c>
      <c r="AO1069" s="150">
        <f t="shared" si="401"/>
        <v>0</v>
      </c>
      <c r="AQ1069" s="151">
        <f t="shared" si="402"/>
        <v>0</v>
      </c>
    </row>
    <row r="1070" spans="1:43" ht="15" customHeight="1">
      <c r="A1070" s="82" t="e">
        <f t="shared" si="410"/>
        <v>#REF!</v>
      </c>
      <c r="B1070" s="134">
        <v>1002</v>
      </c>
      <c r="C1070" s="135" t="s">
        <v>1123</v>
      </c>
      <c r="D1070" s="136" t="s">
        <v>1092</v>
      </c>
      <c r="E1070" s="137"/>
      <c r="F1070" s="138" t="s">
        <v>232</v>
      </c>
      <c r="G1070" s="139" t="s">
        <v>316</v>
      </c>
      <c r="H1070" s="140" t="str">
        <f t="shared" si="388"/>
        <v>Niet van toepassing</v>
      </c>
      <c r="I1070" s="138" t="s">
        <v>195</v>
      </c>
      <c r="J1070" s="138" t="s">
        <v>1172</v>
      </c>
      <c r="K1070" s="141" t="str">
        <f t="shared" si="389"/>
        <v>NVT</v>
      </c>
      <c r="L1070" s="141" t="str">
        <f t="shared" si="390"/>
        <v>NVT</v>
      </c>
      <c r="M1070" s="141" t="str">
        <f t="shared" si="391"/>
        <v>NVT</v>
      </c>
      <c r="N1070" s="141" t="str">
        <f t="shared" si="392"/>
        <v>NVT</v>
      </c>
      <c r="O1070" s="141" t="str">
        <f t="shared" si="393"/>
        <v>NVT</v>
      </c>
      <c r="P1070" s="141" t="str">
        <f t="shared" si="394"/>
        <v>NVT</v>
      </c>
      <c r="Q1070" s="141" t="str">
        <f t="shared" si="395"/>
        <v>NVT</v>
      </c>
      <c r="R1070" s="63" t="s">
        <v>1221</v>
      </c>
      <c r="S1070" s="142">
        <f t="shared" si="404"/>
        <v>0</v>
      </c>
      <c r="T1070" s="143">
        <v>30</v>
      </c>
      <c r="U1070" s="144">
        <v>8</v>
      </c>
      <c r="V1070" s="144"/>
      <c r="W1070" s="144"/>
      <c r="X1070" s="144"/>
      <c r="Y1070" s="144"/>
      <c r="Z1070" s="145"/>
      <c r="AA1070" s="145">
        <v>30</v>
      </c>
      <c r="AB1070" s="145">
        <v>2.8</v>
      </c>
      <c r="AC1070" s="145"/>
      <c r="AD1070" s="146"/>
      <c r="AE1070" s="171">
        <v>1</v>
      </c>
      <c r="AF1070" s="147">
        <f t="shared" si="396"/>
        <v>0</v>
      </c>
      <c r="AG1070" s="147">
        <f t="shared" si="397"/>
        <v>0</v>
      </c>
      <c r="AH1070" s="147">
        <f t="shared" si="398"/>
        <v>0</v>
      </c>
      <c r="AI1070" s="147">
        <f t="shared" si="399"/>
        <v>0</v>
      </c>
      <c r="AJ1070" s="148">
        <f t="shared" si="400"/>
        <v>0</v>
      </c>
      <c r="AK1070" s="149">
        <f t="shared" si="411"/>
        <v>0</v>
      </c>
      <c r="AL1070" s="149">
        <f t="shared" si="412"/>
        <v>0</v>
      </c>
      <c r="AM1070" s="149">
        <f t="shared" si="413"/>
        <v>0</v>
      </c>
      <c r="AN1070" s="149">
        <f t="shared" si="414"/>
        <v>0</v>
      </c>
      <c r="AO1070" s="150">
        <f t="shared" si="401"/>
        <v>0</v>
      </c>
      <c r="AQ1070" s="151">
        <f t="shared" si="402"/>
        <v>0</v>
      </c>
    </row>
    <row r="1071" spans="1:43" ht="15" customHeight="1">
      <c r="A1071" s="82" t="e">
        <f t="shared" si="410"/>
        <v>#REF!</v>
      </c>
      <c r="B1071" s="134">
        <v>1002</v>
      </c>
      <c r="C1071" s="135" t="s">
        <v>1123</v>
      </c>
      <c r="D1071" s="136" t="s">
        <v>1092</v>
      </c>
      <c r="E1071" s="137"/>
      <c r="F1071" s="138" t="s">
        <v>1093</v>
      </c>
      <c r="G1071" s="139" t="s">
        <v>853</v>
      </c>
      <c r="H1071" s="140" t="str">
        <f t="shared" si="388"/>
        <v>Niet van toepassing</v>
      </c>
      <c r="I1071" s="138" t="s">
        <v>195</v>
      </c>
      <c r="J1071" s="138" t="s">
        <v>1172</v>
      </c>
      <c r="K1071" s="141" t="str">
        <f t="shared" si="389"/>
        <v>NVT</v>
      </c>
      <c r="L1071" s="141" t="str">
        <f t="shared" si="390"/>
        <v>NVT</v>
      </c>
      <c r="M1071" s="141" t="str">
        <f t="shared" si="391"/>
        <v>NVT</v>
      </c>
      <c r="N1071" s="141" t="str">
        <f t="shared" si="392"/>
        <v>NVT</v>
      </c>
      <c r="O1071" s="141" t="str">
        <f t="shared" si="393"/>
        <v>NVT</v>
      </c>
      <c r="P1071" s="141" t="str">
        <f t="shared" si="394"/>
        <v>NVT</v>
      </c>
      <c r="Q1071" s="141" t="str">
        <f t="shared" si="395"/>
        <v>NVT</v>
      </c>
      <c r="R1071" s="63" t="s">
        <v>1221</v>
      </c>
      <c r="S1071" s="142">
        <f t="shared" si="404"/>
        <v>0</v>
      </c>
      <c r="T1071" s="143">
        <v>9.8000000000000007</v>
      </c>
      <c r="U1071" s="144">
        <v>21.36</v>
      </c>
      <c r="V1071" s="144"/>
      <c r="W1071" s="144"/>
      <c r="X1071" s="144"/>
      <c r="Y1071" s="144"/>
      <c r="Z1071" s="145"/>
      <c r="AA1071" s="145">
        <v>9.8000000000000007</v>
      </c>
      <c r="AB1071" s="145"/>
      <c r="AC1071" s="145"/>
      <c r="AD1071" s="146"/>
      <c r="AE1071" s="171">
        <v>1</v>
      </c>
      <c r="AF1071" s="147">
        <f t="shared" si="396"/>
        <v>0</v>
      </c>
      <c r="AG1071" s="147">
        <f t="shared" si="397"/>
        <v>0</v>
      </c>
      <c r="AH1071" s="147">
        <f t="shared" si="398"/>
        <v>0</v>
      </c>
      <c r="AI1071" s="147">
        <f t="shared" si="399"/>
        <v>0</v>
      </c>
      <c r="AJ1071" s="148">
        <f t="shared" si="400"/>
        <v>0</v>
      </c>
      <c r="AK1071" s="149">
        <f t="shared" si="411"/>
        <v>0</v>
      </c>
      <c r="AL1071" s="149">
        <f t="shared" si="412"/>
        <v>0</v>
      </c>
      <c r="AM1071" s="149">
        <f t="shared" si="413"/>
        <v>0</v>
      </c>
      <c r="AN1071" s="149">
        <f t="shared" si="414"/>
        <v>0</v>
      </c>
      <c r="AO1071" s="150">
        <f t="shared" si="401"/>
        <v>0</v>
      </c>
      <c r="AQ1071" s="151">
        <f t="shared" si="402"/>
        <v>0</v>
      </c>
    </row>
    <row r="1072" spans="1:43" ht="15" customHeight="1">
      <c r="A1072" s="82" t="e">
        <f t="shared" si="410"/>
        <v>#REF!</v>
      </c>
      <c r="B1072" s="134">
        <v>1002</v>
      </c>
      <c r="C1072" s="135" t="s">
        <v>1123</v>
      </c>
      <c r="D1072" s="136" t="s">
        <v>1092</v>
      </c>
      <c r="E1072" s="137"/>
      <c r="F1072" s="138" t="s">
        <v>1125</v>
      </c>
      <c r="G1072" s="139" t="s">
        <v>1128</v>
      </c>
      <c r="H1072" s="140" t="str">
        <f t="shared" ref="H1072:H1135" si="415">VLOOKUP(R1072,Kengetal,3,FALSE)</f>
        <v>Niet van toepassing</v>
      </c>
      <c r="I1072" s="138" t="s">
        <v>195</v>
      </c>
      <c r="J1072" s="138" t="s">
        <v>1172</v>
      </c>
      <c r="K1072" s="141" t="str">
        <f t="shared" ref="K1072:K1135" si="416">IF($R1072="",0,VLOOKUP($R1072,Kengetal,14,FALSE))</f>
        <v>NVT</v>
      </c>
      <c r="L1072" s="141" t="str">
        <f t="shared" ref="L1072:L1135" si="417">IF($R1072="",0,VLOOKUP($R1072,Kengetal,15,FALSE))</f>
        <v>NVT</v>
      </c>
      <c r="M1072" s="141" t="str">
        <f t="shared" ref="M1072:M1135" si="418">IF($R1072="",0,VLOOKUP($R1072,Kengetal,16,FALSE))</f>
        <v>NVT</v>
      </c>
      <c r="N1072" s="141" t="str">
        <f t="shared" ref="N1072:N1135" si="419">IF($R1072="",0,VLOOKUP($R1072,Kengetal,17,FALSE))</f>
        <v>NVT</v>
      </c>
      <c r="O1072" s="141" t="str">
        <f t="shared" ref="O1072:O1135" si="420">IF($R1072="",0,VLOOKUP($R1072,Kengetal,18,FALSE))</f>
        <v>NVT</v>
      </c>
      <c r="P1072" s="141" t="str">
        <f t="shared" ref="P1072:P1135" si="421">IF($R1072="",0,VLOOKUP($R1072,Kengetal,19,FALSE))</f>
        <v>NVT</v>
      </c>
      <c r="Q1072" s="141" t="str">
        <f t="shared" ref="Q1072:Q1135" si="422">IF($R1072="",0,VLOOKUP($R1072,Kengetal,20,FALSE))</f>
        <v>NVT</v>
      </c>
      <c r="R1072" s="63" t="s">
        <v>1221</v>
      </c>
      <c r="S1072" s="142">
        <f t="shared" si="404"/>
        <v>0</v>
      </c>
      <c r="T1072" s="143">
        <f>7.6-1.44</f>
        <v>6.16</v>
      </c>
      <c r="U1072" s="144">
        <v>2</v>
      </c>
      <c r="V1072" s="144"/>
      <c r="W1072" s="144"/>
      <c r="X1072" s="144"/>
      <c r="Y1072" s="144"/>
      <c r="Z1072" s="145"/>
      <c r="AA1072" s="145">
        <v>7.6</v>
      </c>
      <c r="AB1072" s="145"/>
      <c r="AC1072" s="145"/>
      <c r="AD1072" s="146"/>
      <c r="AE1072" s="171">
        <v>1</v>
      </c>
      <c r="AF1072" s="147">
        <f t="shared" ref="AF1072:AF1140" si="423">T1072*AK1072*AE1072</f>
        <v>0</v>
      </c>
      <c r="AG1072" s="147">
        <f t="shared" ref="AG1072:AG1140" si="424">T1072*AL1072*AE1072</f>
        <v>0</v>
      </c>
      <c r="AH1072" s="147">
        <f t="shared" ref="AH1072:AH1140" si="425">T1072*AM1072*AE1072</f>
        <v>0</v>
      </c>
      <c r="AI1072" s="147">
        <f t="shared" ref="AI1072:AI1140" si="426">T1072*AN1072*AE1072</f>
        <v>0</v>
      </c>
      <c r="AJ1072" s="148">
        <f t="shared" ref="AJ1072:AJ1135" si="427">IF($R1072="",0,VLOOKUP($R1072,Kengetal,12,FALSE))</f>
        <v>0</v>
      </c>
      <c r="AK1072" s="149">
        <f t="shared" si="411"/>
        <v>0</v>
      </c>
      <c r="AL1072" s="149">
        <f t="shared" si="412"/>
        <v>0</v>
      </c>
      <c r="AM1072" s="149">
        <f t="shared" si="413"/>
        <v>0</v>
      </c>
      <c r="AN1072" s="149">
        <f t="shared" si="414"/>
        <v>0</v>
      </c>
      <c r="AO1072" s="150">
        <f t="shared" ref="AO1072:AO1135" si="428">IF($R1072="",0,VLOOKUP($R1072,Kengetal,13,FALSE))</f>
        <v>0</v>
      </c>
      <c r="AQ1072" s="151">
        <f t="shared" ref="AQ1072:AQ1135" si="429">T1072*S1072</f>
        <v>0</v>
      </c>
    </row>
    <row r="1073" spans="1:45" ht="15" customHeight="1">
      <c r="A1073" s="82" t="e">
        <f t="shared" si="410"/>
        <v>#REF!</v>
      </c>
      <c r="B1073" s="134">
        <v>1002</v>
      </c>
      <c r="C1073" s="135" t="s">
        <v>1123</v>
      </c>
      <c r="D1073" s="136" t="s">
        <v>1092</v>
      </c>
      <c r="E1073" s="137"/>
      <c r="F1073" s="138" t="s">
        <v>474</v>
      </c>
      <c r="G1073" s="139" t="s">
        <v>1128</v>
      </c>
      <c r="H1073" s="140" t="str">
        <f t="shared" si="415"/>
        <v>Sanitair</v>
      </c>
      <c r="I1073" s="138" t="s">
        <v>195</v>
      </c>
      <c r="J1073" s="138" t="s">
        <v>1255</v>
      </c>
      <c r="K1073" s="141" t="str">
        <f t="shared" si="416"/>
        <v>Volledig</v>
      </c>
      <c r="L1073" s="141" t="str">
        <f t="shared" si="417"/>
        <v>naloop</v>
      </c>
      <c r="M1073" s="141" t="str">
        <f t="shared" si="418"/>
        <v>naloop</v>
      </c>
      <c r="N1073" s="141" t="str">
        <f t="shared" si="419"/>
        <v>Volledig</v>
      </c>
      <c r="O1073" s="141" t="str">
        <f t="shared" si="420"/>
        <v>naloop</v>
      </c>
      <c r="P1073" s="141" t="str">
        <f t="shared" si="421"/>
        <v>naloop</v>
      </c>
      <c r="Q1073" s="141" t="str">
        <f t="shared" si="422"/>
        <v>naloop</v>
      </c>
      <c r="R1073" s="63" t="s">
        <v>1210</v>
      </c>
      <c r="S1073" s="142">
        <f t="shared" si="404"/>
        <v>365</v>
      </c>
      <c r="T1073" s="143">
        <v>2.52</v>
      </c>
      <c r="U1073" s="144">
        <v>11.5</v>
      </c>
      <c r="V1073" s="144"/>
      <c r="W1073" s="144"/>
      <c r="X1073" s="144"/>
      <c r="Y1073" s="144"/>
      <c r="Z1073" s="145"/>
      <c r="AA1073" s="145">
        <v>2.7</v>
      </c>
      <c r="AB1073" s="145"/>
      <c r="AC1073" s="145"/>
      <c r="AD1073" s="146"/>
      <c r="AE1073" s="171">
        <v>1</v>
      </c>
      <c r="AF1073" s="147">
        <f t="shared" si="423"/>
        <v>0</v>
      </c>
      <c r="AG1073" s="147">
        <f t="shared" si="424"/>
        <v>0</v>
      </c>
      <c r="AH1073" s="147">
        <f t="shared" si="425"/>
        <v>0</v>
      </c>
      <c r="AI1073" s="147">
        <f t="shared" si="426"/>
        <v>0</v>
      </c>
      <c r="AJ1073" s="148" t="str">
        <f t="shared" si="427"/>
        <v>ja</v>
      </c>
      <c r="AK1073" s="149">
        <f t="shared" si="411"/>
        <v>0</v>
      </c>
      <c r="AL1073" s="149">
        <f t="shared" si="412"/>
        <v>0</v>
      </c>
      <c r="AM1073" s="149">
        <f t="shared" si="413"/>
        <v>0</v>
      </c>
      <c r="AN1073" s="149">
        <f t="shared" si="414"/>
        <v>0</v>
      </c>
      <c r="AO1073" s="150" t="str">
        <f t="shared" si="428"/>
        <v>S</v>
      </c>
      <c r="AQ1073" s="151">
        <f t="shared" si="429"/>
        <v>919.8</v>
      </c>
    </row>
    <row r="1074" spans="1:45" ht="15" customHeight="1">
      <c r="A1074" s="82" t="e">
        <f t="shared" si="410"/>
        <v>#REF!</v>
      </c>
      <c r="B1074" s="134">
        <v>1002</v>
      </c>
      <c r="C1074" s="135" t="s">
        <v>1123</v>
      </c>
      <c r="D1074" s="136" t="s">
        <v>1092</v>
      </c>
      <c r="E1074" s="137"/>
      <c r="F1074" s="138" t="s">
        <v>1126</v>
      </c>
      <c r="G1074" s="139" t="s">
        <v>1128</v>
      </c>
      <c r="H1074" s="140" t="str">
        <f t="shared" si="415"/>
        <v>Niet van toepassing</v>
      </c>
      <c r="I1074" s="138" t="s">
        <v>195</v>
      </c>
      <c r="J1074" s="138" t="s">
        <v>1172</v>
      </c>
      <c r="K1074" s="141" t="str">
        <f t="shared" si="416"/>
        <v>NVT</v>
      </c>
      <c r="L1074" s="141" t="str">
        <f t="shared" si="417"/>
        <v>NVT</v>
      </c>
      <c r="M1074" s="141" t="str">
        <f t="shared" si="418"/>
        <v>NVT</v>
      </c>
      <c r="N1074" s="141" t="str">
        <f t="shared" si="419"/>
        <v>NVT</v>
      </c>
      <c r="O1074" s="141" t="str">
        <f t="shared" si="420"/>
        <v>NVT</v>
      </c>
      <c r="P1074" s="141" t="str">
        <f t="shared" si="421"/>
        <v>NVT</v>
      </c>
      <c r="Q1074" s="141" t="str">
        <f t="shared" si="422"/>
        <v>NVT</v>
      </c>
      <c r="R1074" s="63" t="s">
        <v>1221</v>
      </c>
      <c r="S1074" s="142">
        <f t="shared" si="404"/>
        <v>0</v>
      </c>
      <c r="T1074" s="143">
        <v>7.7</v>
      </c>
      <c r="U1074" s="144">
        <v>2.5</v>
      </c>
      <c r="V1074" s="144"/>
      <c r="W1074" s="144"/>
      <c r="X1074" s="144"/>
      <c r="Y1074" s="144"/>
      <c r="Z1074" s="145"/>
      <c r="AA1074" s="145">
        <v>7.7</v>
      </c>
      <c r="AB1074" s="145"/>
      <c r="AC1074" s="145"/>
      <c r="AD1074" s="146"/>
      <c r="AE1074" s="171">
        <v>1</v>
      </c>
      <c r="AF1074" s="147">
        <f t="shared" si="423"/>
        <v>0</v>
      </c>
      <c r="AG1074" s="147">
        <f t="shared" si="424"/>
        <v>0</v>
      </c>
      <c r="AH1074" s="147">
        <f t="shared" si="425"/>
        <v>0</v>
      </c>
      <c r="AI1074" s="147">
        <f t="shared" si="426"/>
        <v>0</v>
      </c>
      <c r="AJ1074" s="148">
        <f t="shared" si="427"/>
        <v>0</v>
      </c>
      <c r="AK1074" s="149">
        <f t="shared" si="411"/>
        <v>0</v>
      </c>
      <c r="AL1074" s="149">
        <f t="shared" si="412"/>
        <v>0</v>
      </c>
      <c r="AM1074" s="149">
        <f t="shared" si="413"/>
        <v>0</v>
      </c>
      <c r="AN1074" s="149">
        <f t="shared" si="414"/>
        <v>0</v>
      </c>
      <c r="AO1074" s="150">
        <f t="shared" si="428"/>
        <v>0</v>
      </c>
      <c r="AQ1074" s="151">
        <f t="shared" si="429"/>
        <v>0</v>
      </c>
    </row>
    <row r="1075" spans="1:45" ht="15" customHeight="1">
      <c r="A1075" s="82" t="e">
        <f t="shared" si="410"/>
        <v>#REF!</v>
      </c>
      <c r="B1075" s="134">
        <v>1002</v>
      </c>
      <c r="C1075" s="135" t="s">
        <v>1123</v>
      </c>
      <c r="D1075" s="136" t="s">
        <v>1092</v>
      </c>
      <c r="E1075" s="137"/>
      <c r="F1075" s="138" t="s">
        <v>1127</v>
      </c>
      <c r="G1075" s="139" t="s">
        <v>1128</v>
      </c>
      <c r="H1075" s="140" t="str">
        <f t="shared" si="415"/>
        <v>Niet van toepassing</v>
      </c>
      <c r="I1075" s="138" t="s">
        <v>195</v>
      </c>
      <c r="J1075" s="138" t="s">
        <v>1172</v>
      </c>
      <c r="K1075" s="141" t="str">
        <f t="shared" si="416"/>
        <v>NVT</v>
      </c>
      <c r="L1075" s="141" t="str">
        <f t="shared" si="417"/>
        <v>NVT</v>
      </c>
      <c r="M1075" s="141" t="str">
        <f t="shared" si="418"/>
        <v>NVT</v>
      </c>
      <c r="N1075" s="141" t="str">
        <f t="shared" si="419"/>
        <v>NVT</v>
      </c>
      <c r="O1075" s="141" t="str">
        <f t="shared" si="420"/>
        <v>NVT</v>
      </c>
      <c r="P1075" s="141" t="str">
        <f t="shared" si="421"/>
        <v>NVT</v>
      </c>
      <c r="Q1075" s="141" t="str">
        <f t="shared" si="422"/>
        <v>NVT</v>
      </c>
      <c r="R1075" s="63" t="s">
        <v>1221</v>
      </c>
      <c r="S1075" s="142">
        <f t="shared" si="404"/>
        <v>0</v>
      </c>
      <c r="T1075" s="143">
        <v>0.7</v>
      </c>
      <c r="U1075" s="144">
        <v>0.5</v>
      </c>
      <c r="V1075" s="144"/>
      <c r="W1075" s="144"/>
      <c r="X1075" s="144"/>
      <c r="Y1075" s="144"/>
      <c r="Z1075" s="145"/>
      <c r="AA1075" s="145">
        <v>0.7</v>
      </c>
      <c r="AB1075" s="145"/>
      <c r="AC1075" s="145"/>
      <c r="AD1075" s="146"/>
      <c r="AE1075" s="171">
        <v>1</v>
      </c>
      <c r="AF1075" s="147">
        <f t="shared" si="423"/>
        <v>0</v>
      </c>
      <c r="AG1075" s="147">
        <f t="shared" si="424"/>
        <v>0</v>
      </c>
      <c r="AH1075" s="147">
        <f t="shared" si="425"/>
        <v>0</v>
      </c>
      <c r="AI1075" s="147">
        <f t="shared" si="426"/>
        <v>0</v>
      </c>
      <c r="AJ1075" s="148">
        <f t="shared" si="427"/>
        <v>0</v>
      </c>
      <c r="AK1075" s="149">
        <f t="shared" si="411"/>
        <v>0</v>
      </c>
      <c r="AL1075" s="149">
        <f t="shared" si="412"/>
        <v>0</v>
      </c>
      <c r="AM1075" s="149">
        <f t="shared" si="413"/>
        <v>0</v>
      </c>
      <c r="AN1075" s="149">
        <f t="shared" si="414"/>
        <v>0</v>
      </c>
      <c r="AO1075" s="150">
        <f t="shared" si="428"/>
        <v>0</v>
      </c>
      <c r="AQ1075" s="151">
        <f t="shared" si="429"/>
        <v>0</v>
      </c>
    </row>
    <row r="1076" spans="1:45" ht="15" customHeight="1">
      <c r="A1076" s="82" t="e">
        <f t="shared" si="410"/>
        <v>#REF!</v>
      </c>
      <c r="B1076" s="134">
        <v>1002</v>
      </c>
      <c r="C1076" s="135" t="s">
        <v>1123</v>
      </c>
      <c r="D1076" s="136" t="s">
        <v>1092</v>
      </c>
      <c r="E1076" s="137"/>
      <c r="F1076" s="138" t="s">
        <v>1285</v>
      </c>
      <c r="G1076" s="139"/>
      <c r="H1076" s="140" t="str">
        <f t="shared" si="415"/>
        <v>Niet van toepassing</v>
      </c>
      <c r="I1076" s="138" t="s">
        <v>118</v>
      </c>
      <c r="J1076" s="138" t="s">
        <v>1172</v>
      </c>
      <c r="K1076" s="141" t="str">
        <f t="shared" si="416"/>
        <v>NVT</v>
      </c>
      <c r="L1076" s="141" t="str">
        <f t="shared" si="417"/>
        <v>NVT</v>
      </c>
      <c r="M1076" s="141" t="str">
        <f t="shared" si="418"/>
        <v>NVT</v>
      </c>
      <c r="N1076" s="141" t="str">
        <f t="shared" si="419"/>
        <v>NVT</v>
      </c>
      <c r="O1076" s="141" t="str">
        <f t="shared" si="420"/>
        <v>NVT</v>
      </c>
      <c r="P1076" s="141" t="str">
        <f t="shared" si="421"/>
        <v>NVT</v>
      </c>
      <c r="Q1076" s="141" t="str">
        <f t="shared" si="422"/>
        <v>NVT</v>
      </c>
      <c r="R1076" s="63" t="s">
        <v>1221</v>
      </c>
      <c r="S1076" s="142">
        <f t="shared" si="404"/>
        <v>0</v>
      </c>
      <c r="T1076" s="143">
        <v>43</v>
      </c>
      <c r="U1076" s="144"/>
      <c r="V1076" s="144"/>
      <c r="W1076" s="144"/>
      <c r="X1076" s="144"/>
      <c r="Y1076" s="144"/>
      <c r="Z1076" s="145"/>
      <c r="AA1076" s="145"/>
      <c r="AB1076" s="145"/>
      <c r="AC1076" s="145"/>
      <c r="AD1076" s="146"/>
      <c r="AE1076" s="171">
        <v>1</v>
      </c>
      <c r="AF1076" s="147">
        <f t="shared" si="423"/>
        <v>0</v>
      </c>
      <c r="AG1076" s="147">
        <f t="shared" si="424"/>
        <v>0</v>
      </c>
      <c r="AH1076" s="147">
        <f t="shared" si="425"/>
        <v>0</v>
      </c>
      <c r="AI1076" s="147">
        <f t="shared" si="426"/>
        <v>0</v>
      </c>
      <c r="AJ1076" s="148">
        <f t="shared" si="427"/>
        <v>0</v>
      </c>
      <c r="AK1076" s="149">
        <f t="shared" si="411"/>
        <v>0</v>
      </c>
      <c r="AL1076" s="149">
        <f t="shared" si="412"/>
        <v>0</v>
      </c>
      <c r="AM1076" s="149">
        <f t="shared" si="413"/>
        <v>0</v>
      </c>
      <c r="AN1076" s="149">
        <f t="shared" si="414"/>
        <v>0</v>
      </c>
      <c r="AO1076" s="150">
        <f t="shared" si="428"/>
        <v>0</v>
      </c>
      <c r="AQ1076" s="151">
        <f t="shared" si="429"/>
        <v>0</v>
      </c>
    </row>
    <row r="1077" spans="1:45" ht="15" customHeight="1">
      <c r="A1077" s="82" t="e">
        <f t="shared" si="410"/>
        <v>#REF!</v>
      </c>
      <c r="B1077" s="134">
        <v>1002</v>
      </c>
      <c r="C1077" s="135" t="s">
        <v>1123</v>
      </c>
      <c r="D1077" s="136" t="s">
        <v>1092</v>
      </c>
      <c r="E1077" s="137"/>
      <c r="F1077" s="138" t="s">
        <v>1285</v>
      </c>
      <c r="G1077" s="139"/>
      <c r="H1077" s="140" t="str">
        <f t="shared" si="415"/>
        <v>Niet van toepassing</v>
      </c>
      <c r="I1077" s="138" t="s">
        <v>1291</v>
      </c>
      <c r="J1077" s="138" t="s">
        <v>1172</v>
      </c>
      <c r="K1077" s="141" t="str">
        <f t="shared" si="416"/>
        <v>NVT</v>
      </c>
      <c r="L1077" s="141" t="str">
        <f t="shared" si="417"/>
        <v>NVT</v>
      </c>
      <c r="M1077" s="141" t="str">
        <f t="shared" si="418"/>
        <v>NVT</v>
      </c>
      <c r="N1077" s="141" t="str">
        <f t="shared" si="419"/>
        <v>NVT</v>
      </c>
      <c r="O1077" s="141" t="str">
        <f t="shared" si="420"/>
        <v>NVT</v>
      </c>
      <c r="P1077" s="141" t="str">
        <f t="shared" si="421"/>
        <v>NVT</v>
      </c>
      <c r="Q1077" s="141" t="str">
        <f t="shared" si="422"/>
        <v>NVT</v>
      </c>
      <c r="R1077" s="63" t="s">
        <v>1221</v>
      </c>
      <c r="S1077" s="142">
        <f t="shared" si="404"/>
        <v>0</v>
      </c>
      <c r="T1077" s="143">
        <v>60</v>
      </c>
      <c r="U1077" s="144"/>
      <c r="V1077" s="144"/>
      <c r="W1077" s="144"/>
      <c r="X1077" s="144"/>
      <c r="Y1077" s="144"/>
      <c r="Z1077" s="145"/>
      <c r="AA1077" s="145"/>
      <c r="AB1077" s="145"/>
      <c r="AC1077" s="145"/>
      <c r="AD1077" s="146"/>
      <c r="AE1077" s="171">
        <v>1</v>
      </c>
      <c r="AF1077" s="147">
        <f t="shared" si="423"/>
        <v>0</v>
      </c>
      <c r="AG1077" s="147">
        <f t="shared" si="424"/>
        <v>0</v>
      </c>
      <c r="AH1077" s="147">
        <f t="shared" si="425"/>
        <v>0</v>
      </c>
      <c r="AI1077" s="147">
        <f t="shared" si="426"/>
        <v>0</v>
      </c>
      <c r="AJ1077" s="148">
        <f t="shared" si="427"/>
        <v>0</v>
      </c>
      <c r="AK1077" s="149">
        <f t="shared" si="411"/>
        <v>0</v>
      </c>
      <c r="AL1077" s="149">
        <f t="shared" si="412"/>
        <v>0</v>
      </c>
      <c r="AM1077" s="149">
        <f t="shared" si="413"/>
        <v>0</v>
      </c>
      <c r="AN1077" s="149">
        <f t="shared" si="414"/>
        <v>0</v>
      </c>
      <c r="AO1077" s="150">
        <f t="shared" si="428"/>
        <v>0</v>
      </c>
      <c r="AQ1077" s="151">
        <f t="shared" si="429"/>
        <v>0</v>
      </c>
    </row>
    <row r="1078" spans="1:45" ht="15" customHeight="1">
      <c r="A1078" s="82" t="e">
        <f t="shared" si="410"/>
        <v>#REF!</v>
      </c>
      <c r="B1078" s="134">
        <v>1002</v>
      </c>
      <c r="C1078" s="135" t="s">
        <v>1123</v>
      </c>
      <c r="D1078" s="136" t="s">
        <v>1092</v>
      </c>
      <c r="E1078" s="137"/>
      <c r="F1078" s="138" t="s">
        <v>1285</v>
      </c>
      <c r="G1078" s="139"/>
      <c r="H1078" s="140" t="str">
        <f t="shared" si="415"/>
        <v>Niet van toepassing</v>
      </c>
      <c r="I1078" s="138" t="s">
        <v>1291</v>
      </c>
      <c r="J1078" s="138" t="s">
        <v>1172</v>
      </c>
      <c r="K1078" s="141" t="str">
        <f t="shared" si="416"/>
        <v>NVT</v>
      </c>
      <c r="L1078" s="141" t="str">
        <f t="shared" si="417"/>
        <v>NVT</v>
      </c>
      <c r="M1078" s="141" t="str">
        <f t="shared" si="418"/>
        <v>NVT</v>
      </c>
      <c r="N1078" s="141" t="str">
        <f t="shared" si="419"/>
        <v>NVT</v>
      </c>
      <c r="O1078" s="141" t="str">
        <f t="shared" si="420"/>
        <v>NVT</v>
      </c>
      <c r="P1078" s="141" t="str">
        <f t="shared" si="421"/>
        <v>NVT</v>
      </c>
      <c r="Q1078" s="141" t="str">
        <f t="shared" si="422"/>
        <v>NVT</v>
      </c>
      <c r="R1078" s="63" t="s">
        <v>1221</v>
      </c>
      <c r="S1078" s="142">
        <f t="shared" si="404"/>
        <v>0</v>
      </c>
      <c r="T1078" s="143">
        <v>6.25</v>
      </c>
      <c r="U1078" s="144"/>
      <c r="V1078" s="144"/>
      <c r="W1078" s="144"/>
      <c r="X1078" s="144"/>
      <c r="Y1078" s="144"/>
      <c r="Z1078" s="145"/>
      <c r="AA1078" s="145"/>
      <c r="AB1078" s="145"/>
      <c r="AC1078" s="145"/>
      <c r="AD1078" s="146"/>
      <c r="AE1078" s="171">
        <v>1</v>
      </c>
      <c r="AF1078" s="147">
        <f t="shared" si="423"/>
        <v>0</v>
      </c>
      <c r="AG1078" s="147">
        <f t="shared" si="424"/>
        <v>0</v>
      </c>
      <c r="AH1078" s="147">
        <f t="shared" si="425"/>
        <v>0</v>
      </c>
      <c r="AI1078" s="147">
        <f t="shared" si="426"/>
        <v>0</v>
      </c>
      <c r="AJ1078" s="148">
        <f t="shared" si="427"/>
        <v>0</v>
      </c>
      <c r="AK1078" s="149">
        <f t="shared" si="411"/>
        <v>0</v>
      </c>
      <c r="AL1078" s="149">
        <f t="shared" si="412"/>
        <v>0</v>
      </c>
      <c r="AM1078" s="149">
        <f t="shared" si="413"/>
        <v>0</v>
      </c>
      <c r="AN1078" s="149">
        <f t="shared" si="414"/>
        <v>0</v>
      </c>
      <c r="AO1078" s="150">
        <f t="shared" si="428"/>
        <v>0</v>
      </c>
      <c r="AQ1078" s="151">
        <f t="shared" si="429"/>
        <v>0</v>
      </c>
      <c r="AR1078" s="70" t="e">
        <f>AQ1078/(SUM('1-Inschrijfstaat'!F15:F17)+'1-Inschrijfstaat'!F29)</f>
        <v>#DIV/0!</v>
      </c>
      <c r="AS1078" s="70" t="s">
        <v>1281</v>
      </c>
    </row>
    <row r="1079" spans="1:45" ht="15" customHeight="1">
      <c r="A1079" s="82" t="e">
        <f t="shared" si="410"/>
        <v>#REF!</v>
      </c>
      <c r="B1079" s="134">
        <v>1002</v>
      </c>
      <c r="C1079" s="135" t="s">
        <v>1123</v>
      </c>
      <c r="D1079" s="136" t="s">
        <v>1092</v>
      </c>
      <c r="E1079" s="137"/>
      <c r="F1079" s="138" t="s">
        <v>1285</v>
      </c>
      <c r="G1079" s="139"/>
      <c r="H1079" s="140" t="str">
        <f t="shared" si="415"/>
        <v>Niet van toepassing</v>
      </c>
      <c r="I1079" s="138" t="s">
        <v>1291</v>
      </c>
      <c r="J1079" s="138" t="s">
        <v>1172</v>
      </c>
      <c r="K1079" s="141" t="str">
        <f t="shared" si="416"/>
        <v>NVT</v>
      </c>
      <c r="L1079" s="141" t="str">
        <f t="shared" si="417"/>
        <v>NVT</v>
      </c>
      <c r="M1079" s="141" t="str">
        <f t="shared" si="418"/>
        <v>NVT</v>
      </c>
      <c r="N1079" s="141" t="str">
        <f t="shared" si="419"/>
        <v>NVT</v>
      </c>
      <c r="O1079" s="141" t="str">
        <f t="shared" si="420"/>
        <v>NVT</v>
      </c>
      <c r="P1079" s="141" t="str">
        <f t="shared" si="421"/>
        <v>NVT</v>
      </c>
      <c r="Q1079" s="141" t="str">
        <f t="shared" si="422"/>
        <v>NVT</v>
      </c>
      <c r="R1079" s="63" t="s">
        <v>1221</v>
      </c>
      <c r="S1079" s="142">
        <f t="shared" si="404"/>
        <v>0</v>
      </c>
      <c r="T1079" s="143">
        <v>6.25</v>
      </c>
      <c r="U1079" s="144"/>
      <c r="V1079" s="144"/>
      <c r="W1079" s="144"/>
      <c r="X1079" s="144"/>
      <c r="Y1079" s="144"/>
      <c r="Z1079" s="145"/>
      <c r="AA1079" s="145"/>
      <c r="AB1079" s="145"/>
      <c r="AC1079" s="145"/>
      <c r="AD1079" s="146"/>
      <c r="AE1079" s="171">
        <v>1</v>
      </c>
      <c r="AF1079" s="147">
        <f t="shared" si="423"/>
        <v>0</v>
      </c>
      <c r="AG1079" s="147">
        <f t="shared" si="424"/>
        <v>0</v>
      </c>
      <c r="AH1079" s="147">
        <f t="shared" si="425"/>
        <v>0</v>
      </c>
      <c r="AI1079" s="147">
        <f t="shared" si="426"/>
        <v>0</v>
      </c>
      <c r="AJ1079" s="148">
        <f t="shared" si="427"/>
        <v>0</v>
      </c>
      <c r="AK1079" s="149">
        <f t="shared" si="411"/>
        <v>0</v>
      </c>
      <c r="AL1079" s="149">
        <f t="shared" si="412"/>
        <v>0</v>
      </c>
      <c r="AM1079" s="149">
        <f t="shared" si="413"/>
        <v>0</v>
      </c>
      <c r="AN1079" s="149">
        <f t="shared" si="414"/>
        <v>0</v>
      </c>
      <c r="AO1079" s="150">
        <f t="shared" si="428"/>
        <v>0</v>
      </c>
      <c r="AQ1079" s="151">
        <f t="shared" si="429"/>
        <v>0</v>
      </c>
    </row>
    <row r="1080" spans="1:45" ht="15" customHeight="1">
      <c r="A1080" s="82" t="e">
        <f t="shared" si="410"/>
        <v>#REF!</v>
      </c>
      <c r="B1080" s="134">
        <v>1002</v>
      </c>
      <c r="C1080" s="135" t="s">
        <v>1123</v>
      </c>
      <c r="D1080" s="136" t="s">
        <v>1092</v>
      </c>
      <c r="E1080" s="137"/>
      <c r="F1080" s="138" t="s">
        <v>1286</v>
      </c>
      <c r="G1080" s="139"/>
      <c r="H1080" s="140" t="str">
        <f t="shared" si="415"/>
        <v>Niet van toepassing</v>
      </c>
      <c r="I1080" s="138" t="s">
        <v>118</v>
      </c>
      <c r="J1080" s="138" t="s">
        <v>1172</v>
      </c>
      <c r="K1080" s="141" t="str">
        <f t="shared" si="416"/>
        <v>NVT</v>
      </c>
      <c r="L1080" s="141" t="str">
        <f t="shared" si="417"/>
        <v>NVT</v>
      </c>
      <c r="M1080" s="141" t="str">
        <f t="shared" si="418"/>
        <v>NVT</v>
      </c>
      <c r="N1080" s="141" t="str">
        <f t="shared" si="419"/>
        <v>NVT</v>
      </c>
      <c r="O1080" s="141" t="str">
        <f t="shared" si="420"/>
        <v>NVT</v>
      </c>
      <c r="P1080" s="141" t="str">
        <f t="shared" si="421"/>
        <v>NVT</v>
      </c>
      <c r="Q1080" s="141" t="str">
        <f t="shared" si="422"/>
        <v>NVT</v>
      </c>
      <c r="R1080" s="63" t="s">
        <v>1221</v>
      </c>
      <c r="S1080" s="142">
        <f t="shared" si="404"/>
        <v>0</v>
      </c>
      <c r="T1080" s="143">
        <v>17.5</v>
      </c>
      <c r="U1080" s="144"/>
      <c r="V1080" s="144"/>
      <c r="W1080" s="144"/>
      <c r="X1080" s="144"/>
      <c r="Y1080" s="144"/>
      <c r="Z1080" s="145"/>
      <c r="AA1080" s="145"/>
      <c r="AB1080" s="145"/>
      <c r="AC1080" s="145"/>
      <c r="AD1080" s="146"/>
      <c r="AE1080" s="171">
        <v>1</v>
      </c>
      <c r="AF1080" s="147">
        <f t="shared" si="423"/>
        <v>0</v>
      </c>
      <c r="AG1080" s="147">
        <f t="shared" si="424"/>
        <v>0</v>
      </c>
      <c r="AH1080" s="147">
        <f t="shared" si="425"/>
        <v>0</v>
      </c>
      <c r="AI1080" s="147">
        <f t="shared" si="426"/>
        <v>0</v>
      </c>
      <c r="AJ1080" s="148">
        <f t="shared" si="427"/>
        <v>0</v>
      </c>
      <c r="AK1080" s="149">
        <f t="shared" si="411"/>
        <v>0</v>
      </c>
      <c r="AL1080" s="149">
        <f t="shared" si="412"/>
        <v>0</v>
      </c>
      <c r="AM1080" s="149">
        <f t="shared" si="413"/>
        <v>0</v>
      </c>
      <c r="AN1080" s="149">
        <f t="shared" si="414"/>
        <v>0</v>
      </c>
      <c r="AO1080" s="150">
        <f t="shared" si="428"/>
        <v>0</v>
      </c>
      <c r="AQ1080" s="151">
        <f t="shared" si="429"/>
        <v>0</v>
      </c>
    </row>
    <row r="1081" spans="1:45" ht="15" customHeight="1">
      <c r="A1081" s="82" t="e">
        <f t="shared" si="410"/>
        <v>#REF!</v>
      </c>
      <c r="B1081" s="134">
        <v>1002</v>
      </c>
      <c r="C1081" s="135" t="s">
        <v>1123</v>
      </c>
      <c r="D1081" s="136" t="s">
        <v>1092</v>
      </c>
      <c r="E1081" s="137"/>
      <c r="F1081" s="138" t="s">
        <v>1286</v>
      </c>
      <c r="G1081" s="139"/>
      <c r="H1081" s="140" t="str">
        <f t="shared" si="415"/>
        <v>Niet van toepassing</v>
      </c>
      <c r="I1081" s="138" t="s">
        <v>118</v>
      </c>
      <c r="J1081" s="138" t="s">
        <v>1172</v>
      </c>
      <c r="K1081" s="141" t="str">
        <f t="shared" si="416"/>
        <v>NVT</v>
      </c>
      <c r="L1081" s="141" t="str">
        <f t="shared" si="417"/>
        <v>NVT</v>
      </c>
      <c r="M1081" s="141" t="str">
        <f t="shared" si="418"/>
        <v>NVT</v>
      </c>
      <c r="N1081" s="141" t="str">
        <f t="shared" si="419"/>
        <v>NVT</v>
      </c>
      <c r="O1081" s="141" t="str">
        <f t="shared" si="420"/>
        <v>NVT</v>
      </c>
      <c r="P1081" s="141" t="str">
        <f t="shared" si="421"/>
        <v>NVT</v>
      </c>
      <c r="Q1081" s="141" t="str">
        <f t="shared" si="422"/>
        <v>NVT</v>
      </c>
      <c r="R1081" s="63" t="s">
        <v>1221</v>
      </c>
      <c r="S1081" s="142">
        <f t="shared" si="404"/>
        <v>0</v>
      </c>
      <c r="T1081" s="143">
        <v>25</v>
      </c>
      <c r="U1081" s="144"/>
      <c r="V1081" s="144"/>
      <c r="W1081" s="144"/>
      <c r="X1081" s="144"/>
      <c r="Y1081" s="144"/>
      <c r="Z1081" s="145"/>
      <c r="AA1081" s="145"/>
      <c r="AB1081" s="145"/>
      <c r="AC1081" s="145"/>
      <c r="AD1081" s="146"/>
      <c r="AE1081" s="171">
        <v>1</v>
      </c>
      <c r="AF1081" s="147">
        <f t="shared" si="423"/>
        <v>0</v>
      </c>
      <c r="AG1081" s="147">
        <f t="shared" si="424"/>
        <v>0</v>
      </c>
      <c r="AH1081" s="147">
        <f t="shared" si="425"/>
        <v>0</v>
      </c>
      <c r="AI1081" s="147">
        <f t="shared" si="426"/>
        <v>0</v>
      </c>
      <c r="AJ1081" s="148">
        <f t="shared" si="427"/>
        <v>0</v>
      </c>
      <c r="AK1081" s="149">
        <f t="shared" si="411"/>
        <v>0</v>
      </c>
      <c r="AL1081" s="149">
        <f t="shared" si="412"/>
        <v>0</v>
      </c>
      <c r="AM1081" s="149">
        <f t="shared" si="413"/>
        <v>0</v>
      </c>
      <c r="AN1081" s="149">
        <f t="shared" si="414"/>
        <v>0</v>
      </c>
      <c r="AO1081" s="150">
        <f t="shared" si="428"/>
        <v>0</v>
      </c>
      <c r="AQ1081" s="151">
        <f t="shared" si="429"/>
        <v>0</v>
      </c>
    </row>
    <row r="1082" spans="1:45" ht="15" customHeight="1">
      <c r="A1082" s="82" t="e">
        <f t="shared" si="410"/>
        <v>#REF!</v>
      </c>
      <c r="B1082" s="134">
        <v>1002</v>
      </c>
      <c r="C1082" s="135" t="s">
        <v>1123</v>
      </c>
      <c r="D1082" s="136" t="s">
        <v>1092</v>
      </c>
      <c r="E1082" s="137"/>
      <c r="F1082" s="138" t="s">
        <v>1286</v>
      </c>
      <c r="G1082" s="139"/>
      <c r="H1082" s="140" t="str">
        <f t="shared" si="415"/>
        <v>Niet van toepassing</v>
      </c>
      <c r="I1082" s="138" t="s">
        <v>118</v>
      </c>
      <c r="J1082" s="138" t="s">
        <v>1172</v>
      </c>
      <c r="K1082" s="141" t="str">
        <f t="shared" si="416"/>
        <v>NVT</v>
      </c>
      <c r="L1082" s="141" t="str">
        <f t="shared" si="417"/>
        <v>NVT</v>
      </c>
      <c r="M1082" s="141" t="str">
        <f t="shared" si="418"/>
        <v>NVT</v>
      </c>
      <c r="N1082" s="141" t="str">
        <f t="shared" si="419"/>
        <v>NVT</v>
      </c>
      <c r="O1082" s="141" t="str">
        <f t="shared" si="420"/>
        <v>NVT</v>
      </c>
      <c r="P1082" s="141" t="str">
        <f t="shared" si="421"/>
        <v>NVT</v>
      </c>
      <c r="Q1082" s="141" t="str">
        <f t="shared" si="422"/>
        <v>NVT</v>
      </c>
      <c r="R1082" s="63" t="s">
        <v>1221</v>
      </c>
      <c r="S1082" s="142">
        <f t="shared" si="404"/>
        <v>0</v>
      </c>
      <c r="T1082" s="143">
        <v>25</v>
      </c>
      <c r="U1082" s="144"/>
      <c r="V1082" s="144"/>
      <c r="W1082" s="144"/>
      <c r="X1082" s="144"/>
      <c r="Y1082" s="144"/>
      <c r="Z1082" s="145"/>
      <c r="AA1082" s="145"/>
      <c r="AB1082" s="145"/>
      <c r="AC1082" s="145"/>
      <c r="AD1082" s="146"/>
      <c r="AE1082" s="171">
        <v>1</v>
      </c>
      <c r="AF1082" s="147">
        <f t="shared" si="423"/>
        <v>0</v>
      </c>
      <c r="AG1082" s="147">
        <f t="shared" si="424"/>
        <v>0</v>
      </c>
      <c r="AH1082" s="147">
        <f t="shared" si="425"/>
        <v>0</v>
      </c>
      <c r="AI1082" s="147">
        <f t="shared" si="426"/>
        <v>0</v>
      </c>
      <c r="AJ1082" s="148">
        <f t="shared" si="427"/>
        <v>0</v>
      </c>
      <c r="AK1082" s="149">
        <f t="shared" si="411"/>
        <v>0</v>
      </c>
      <c r="AL1082" s="149">
        <f t="shared" si="412"/>
        <v>0</v>
      </c>
      <c r="AM1082" s="149">
        <f t="shared" si="413"/>
        <v>0</v>
      </c>
      <c r="AN1082" s="149">
        <f t="shared" si="414"/>
        <v>0</v>
      </c>
      <c r="AO1082" s="150">
        <f t="shared" si="428"/>
        <v>0</v>
      </c>
      <c r="AQ1082" s="151">
        <f t="shared" si="429"/>
        <v>0</v>
      </c>
    </row>
    <row r="1083" spans="1:45" ht="15" customHeight="1">
      <c r="A1083" s="82" t="e">
        <f t="shared" si="410"/>
        <v>#REF!</v>
      </c>
      <c r="B1083" s="134">
        <v>1002</v>
      </c>
      <c r="C1083" s="135" t="s">
        <v>1123</v>
      </c>
      <c r="D1083" s="136" t="s">
        <v>1092</v>
      </c>
      <c r="E1083" s="137"/>
      <c r="F1083" s="138" t="s">
        <v>492</v>
      </c>
      <c r="G1083" s="139"/>
      <c r="H1083" s="140" t="str">
        <f t="shared" si="415"/>
        <v>Niet van toepassing</v>
      </c>
      <c r="I1083" s="138" t="s">
        <v>118</v>
      </c>
      <c r="J1083" s="138" t="s">
        <v>1172</v>
      </c>
      <c r="K1083" s="141" t="str">
        <f t="shared" si="416"/>
        <v>NVT</v>
      </c>
      <c r="L1083" s="141" t="str">
        <f t="shared" si="417"/>
        <v>NVT</v>
      </c>
      <c r="M1083" s="141" t="str">
        <f t="shared" si="418"/>
        <v>NVT</v>
      </c>
      <c r="N1083" s="141" t="str">
        <f t="shared" si="419"/>
        <v>NVT</v>
      </c>
      <c r="O1083" s="141" t="str">
        <f t="shared" si="420"/>
        <v>NVT</v>
      </c>
      <c r="P1083" s="141" t="str">
        <f t="shared" si="421"/>
        <v>NVT</v>
      </c>
      <c r="Q1083" s="141" t="str">
        <f t="shared" si="422"/>
        <v>NVT</v>
      </c>
      <c r="R1083" s="63" t="s">
        <v>1221</v>
      </c>
      <c r="S1083" s="142">
        <f t="shared" si="404"/>
        <v>0</v>
      </c>
      <c r="T1083" s="143">
        <v>18</v>
      </c>
      <c r="U1083" s="144"/>
      <c r="V1083" s="144"/>
      <c r="W1083" s="144"/>
      <c r="X1083" s="144"/>
      <c r="Y1083" s="144"/>
      <c r="Z1083" s="145"/>
      <c r="AA1083" s="145"/>
      <c r="AB1083" s="145"/>
      <c r="AC1083" s="145"/>
      <c r="AD1083" s="146"/>
      <c r="AE1083" s="171">
        <v>1</v>
      </c>
      <c r="AF1083" s="147">
        <f t="shared" si="423"/>
        <v>0</v>
      </c>
      <c r="AG1083" s="147">
        <f t="shared" si="424"/>
        <v>0</v>
      </c>
      <c r="AH1083" s="147">
        <f t="shared" si="425"/>
        <v>0</v>
      </c>
      <c r="AI1083" s="147">
        <f t="shared" si="426"/>
        <v>0</v>
      </c>
      <c r="AJ1083" s="148">
        <f t="shared" si="427"/>
        <v>0</v>
      </c>
      <c r="AK1083" s="149">
        <f t="shared" si="411"/>
        <v>0</v>
      </c>
      <c r="AL1083" s="149">
        <f t="shared" si="412"/>
        <v>0</v>
      </c>
      <c r="AM1083" s="149">
        <f t="shared" si="413"/>
        <v>0</v>
      </c>
      <c r="AN1083" s="149">
        <f t="shared" si="414"/>
        <v>0</v>
      </c>
      <c r="AO1083" s="150">
        <f t="shared" si="428"/>
        <v>0</v>
      </c>
      <c r="AQ1083" s="151">
        <f t="shared" si="429"/>
        <v>0</v>
      </c>
    </row>
    <row r="1084" spans="1:45" ht="15" customHeight="1">
      <c r="A1084" s="82" t="e">
        <f t="shared" si="410"/>
        <v>#REF!</v>
      </c>
      <c r="B1084" s="134">
        <v>1002</v>
      </c>
      <c r="C1084" s="135" t="s">
        <v>1123</v>
      </c>
      <c r="D1084" s="136" t="s">
        <v>1092</v>
      </c>
      <c r="E1084" s="137"/>
      <c r="F1084" s="138" t="s">
        <v>492</v>
      </c>
      <c r="G1084" s="139"/>
      <c r="H1084" s="140" t="str">
        <f t="shared" si="415"/>
        <v>Niet van toepassing</v>
      </c>
      <c r="I1084" s="138" t="s">
        <v>118</v>
      </c>
      <c r="J1084" s="138" t="s">
        <v>1172</v>
      </c>
      <c r="K1084" s="141" t="str">
        <f t="shared" si="416"/>
        <v>NVT</v>
      </c>
      <c r="L1084" s="141" t="str">
        <f t="shared" si="417"/>
        <v>NVT</v>
      </c>
      <c r="M1084" s="141" t="str">
        <f t="shared" si="418"/>
        <v>NVT</v>
      </c>
      <c r="N1084" s="141" t="str">
        <f t="shared" si="419"/>
        <v>NVT</v>
      </c>
      <c r="O1084" s="141" t="str">
        <f t="shared" si="420"/>
        <v>NVT</v>
      </c>
      <c r="P1084" s="141" t="str">
        <f t="shared" si="421"/>
        <v>NVT</v>
      </c>
      <c r="Q1084" s="141" t="str">
        <f t="shared" si="422"/>
        <v>NVT</v>
      </c>
      <c r="R1084" s="63" t="s">
        <v>1221</v>
      </c>
      <c r="S1084" s="142">
        <f t="shared" si="404"/>
        <v>0</v>
      </c>
      <c r="T1084" s="143">
        <v>1</v>
      </c>
      <c r="U1084" s="144"/>
      <c r="V1084" s="144"/>
      <c r="W1084" s="144"/>
      <c r="X1084" s="144"/>
      <c r="Y1084" s="144"/>
      <c r="Z1084" s="145"/>
      <c r="AA1084" s="145"/>
      <c r="AB1084" s="145"/>
      <c r="AC1084" s="145"/>
      <c r="AD1084" s="146"/>
      <c r="AE1084" s="171">
        <v>1</v>
      </c>
      <c r="AF1084" s="147">
        <f t="shared" si="423"/>
        <v>0</v>
      </c>
      <c r="AG1084" s="147">
        <f t="shared" si="424"/>
        <v>0</v>
      </c>
      <c r="AH1084" s="147">
        <f t="shared" si="425"/>
        <v>0</v>
      </c>
      <c r="AI1084" s="147">
        <f t="shared" si="426"/>
        <v>0</v>
      </c>
      <c r="AJ1084" s="148">
        <f t="shared" si="427"/>
        <v>0</v>
      </c>
      <c r="AK1084" s="149">
        <f t="shared" si="411"/>
        <v>0</v>
      </c>
      <c r="AL1084" s="149">
        <f t="shared" si="412"/>
        <v>0</v>
      </c>
      <c r="AM1084" s="149">
        <f t="shared" si="413"/>
        <v>0</v>
      </c>
      <c r="AN1084" s="149">
        <f t="shared" si="414"/>
        <v>0</v>
      </c>
      <c r="AO1084" s="150">
        <f t="shared" si="428"/>
        <v>0</v>
      </c>
      <c r="AQ1084" s="151">
        <f t="shared" si="429"/>
        <v>0</v>
      </c>
    </row>
    <row r="1085" spans="1:45" ht="15" customHeight="1">
      <c r="A1085" s="82" t="e">
        <f t="shared" si="410"/>
        <v>#REF!</v>
      </c>
      <c r="B1085" s="134">
        <v>1002</v>
      </c>
      <c r="C1085" s="135" t="s">
        <v>1123</v>
      </c>
      <c r="D1085" s="136" t="s">
        <v>1092</v>
      </c>
      <c r="E1085" s="137"/>
      <c r="F1085" s="138" t="s">
        <v>492</v>
      </c>
      <c r="G1085" s="139"/>
      <c r="H1085" s="140" t="str">
        <f t="shared" si="415"/>
        <v>Niet van toepassing</v>
      </c>
      <c r="I1085" s="138" t="s">
        <v>118</v>
      </c>
      <c r="J1085" s="138" t="s">
        <v>1172</v>
      </c>
      <c r="K1085" s="141" t="str">
        <f t="shared" si="416"/>
        <v>NVT</v>
      </c>
      <c r="L1085" s="141" t="str">
        <f t="shared" si="417"/>
        <v>NVT</v>
      </c>
      <c r="M1085" s="141" t="str">
        <f t="shared" si="418"/>
        <v>NVT</v>
      </c>
      <c r="N1085" s="141" t="str">
        <f t="shared" si="419"/>
        <v>NVT</v>
      </c>
      <c r="O1085" s="141" t="str">
        <f t="shared" si="420"/>
        <v>NVT</v>
      </c>
      <c r="P1085" s="141" t="str">
        <f t="shared" si="421"/>
        <v>NVT</v>
      </c>
      <c r="Q1085" s="141" t="str">
        <f t="shared" si="422"/>
        <v>NVT</v>
      </c>
      <c r="R1085" s="63" t="s">
        <v>1221</v>
      </c>
      <c r="S1085" s="142">
        <f t="shared" si="404"/>
        <v>0</v>
      </c>
      <c r="T1085" s="143">
        <v>1.5</v>
      </c>
      <c r="U1085" s="144"/>
      <c r="V1085" s="144"/>
      <c r="W1085" s="144"/>
      <c r="X1085" s="144"/>
      <c r="Y1085" s="144"/>
      <c r="Z1085" s="145"/>
      <c r="AA1085" s="145"/>
      <c r="AB1085" s="145"/>
      <c r="AC1085" s="145"/>
      <c r="AD1085" s="146"/>
      <c r="AE1085" s="171">
        <v>1</v>
      </c>
      <c r="AF1085" s="147">
        <f t="shared" si="423"/>
        <v>0</v>
      </c>
      <c r="AG1085" s="147">
        <f t="shared" si="424"/>
        <v>0</v>
      </c>
      <c r="AH1085" s="147">
        <f t="shared" si="425"/>
        <v>0</v>
      </c>
      <c r="AI1085" s="147">
        <f t="shared" si="426"/>
        <v>0</v>
      </c>
      <c r="AJ1085" s="148">
        <f t="shared" si="427"/>
        <v>0</v>
      </c>
      <c r="AK1085" s="149">
        <f t="shared" si="411"/>
        <v>0</v>
      </c>
      <c r="AL1085" s="149">
        <f t="shared" si="412"/>
        <v>0</v>
      </c>
      <c r="AM1085" s="149">
        <f t="shared" si="413"/>
        <v>0</v>
      </c>
      <c r="AN1085" s="149">
        <f t="shared" si="414"/>
        <v>0</v>
      </c>
      <c r="AO1085" s="150">
        <f t="shared" si="428"/>
        <v>0</v>
      </c>
      <c r="AQ1085" s="151">
        <f t="shared" si="429"/>
        <v>0</v>
      </c>
    </row>
    <row r="1086" spans="1:45" ht="15" customHeight="1">
      <c r="A1086" s="82" t="e">
        <f t="shared" si="410"/>
        <v>#REF!</v>
      </c>
      <c r="B1086" s="134">
        <v>1002</v>
      </c>
      <c r="C1086" s="135" t="s">
        <v>1123</v>
      </c>
      <c r="D1086" s="136" t="s">
        <v>1092</v>
      </c>
      <c r="E1086" s="137"/>
      <c r="F1086" s="138" t="s">
        <v>1287</v>
      </c>
      <c r="G1086" s="139"/>
      <c r="H1086" s="140" t="str">
        <f t="shared" si="415"/>
        <v>Niet van toepassing</v>
      </c>
      <c r="I1086" s="138" t="s">
        <v>118</v>
      </c>
      <c r="J1086" s="138" t="s">
        <v>1172</v>
      </c>
      <c r="K1086" s="141" t="str">
        <f t="shared" si="416"/>
        <v>NVT</v>
      </c>
      <c r="L1086" s="141" t="str">
        <f t="shared" si="417"/>
        <v>NVT</v>
      </c>
      <c r="M1086" s="141" t="str">
        <f t="shared" si="418"/>
        <v>NVT</v>
      </c>
      <c r="N1086" s="141" t="str">
        <f t="shared" si="419"/>
        <v>NVT</v>
      </c>
      <c r="O1086" s="141" t="str">
        <f t="shared" si="420"/>
        <v>NVT</v>
      </c>
      <c r="P1086" s="141" t="str">
        <f t="shared" si="421"/>
        <v>NVT</v>
      </c>
      <c r="Q1086" s="141" t="str">
        <f t="shared" si="422"/>
        <v>NVT</v>
      </c>
      <c r="R1086" s="63" t="s">
        <v>1221</v>
      </c>
      <c r="S1086" s="142">
        <f t="shared" si="404"/>
        <v>0</v>
      </c>
      <c r="T1086" s="143">
        <v>8</v>
      </c>
      <c r="U1086" s="144"/>
      <c r="V1086" s="144"/>
      <c r="W1086" s="144"/>
      <c r="X1086" s="144"/>
      <c r="Y1086" s="144"/>
      <c r="Z1086" s="145"/>
      <c r="AA1086" s="145"/>
      <c r="AB1086" s="145"/>
      <c r="AC1086" s="145"/>
      <c r="AD1086" s="146"/>
      <c r="AE1086" s="171">
        <v>1</v>
      </c>
      <c r="AF1086" s="147">
        <f t="shared" si="423"/>
        <v>0</v>
      </c>
      <c r="AG1086" s="147">
        <f t="shared" si="424"/>
        <v>0</v>
      </c>
      <c r="AH1086" s="147">
        <f t="shared" si="425"/>
        <v>0</v>
      </c>
      <c r="AI1086" s="147">
        <f t="shared" si="426"/>
        <v>0</v>
      </c>
      <c r="AJ1086" s="148">
        <f t="shared" si="427"/>
        <v>0</v>
      </c>
      <c r="AK1086" s="149">
        <f t="shared" si="411"/>
        <v>0</v>
      </c>
      <c r="AL1086" s="149">
        <f t="shared" si="412"/>
        <v>0</v>
      </c>
      <c r="AM1086" s="149">
        <f t="shared" si="413"/>
        <v>0</v>
      </c>
      <c r="AN1086" s="149">
        <f t="shared" si="414"/>
        <v>0</v>
      </c>
      <c r="AO1086" s="150">
        <f t="shared" si="428"/>
        <v>0</v>
      </c>
      <c r="AQ1086" s="151">
        <f t="shared" si="429"/>
        <v>0</v>
      </c>
    </row>
    <row r="1087" spans="1:45" ht="15" customHeight="1">
      <c r="A1087" s="82" t="e">
        <f t="shared" si="410"/>
        <v>#REF!</v>
      </c>
      <c r="B1087" s="134">
        <v>1002</v>
      </c>
      <c r="C1087" s="135" t="s">
        <v>1123</v>
      </c>
      <c r="D1087" s="136" t="s">
        <v>1092</v>
      </c>
      <c r="E1087" s="137"/>
      <c r="F1087" s="138" t="s">
        <v>1282</v>
      </c>
      <c r="G1087" s="139"/>
      <c r="H1087" s="140" t="str">
        <f t="shared" si="415"/>
        <v>Perrons</v>
      </c>
      <c r="I1087" s="138" t="s">
        <v>118</v>
      </c>
      <c r="J1087" s="138" t="s">
        <v>1255</v>
      </c>
      <c r="K1087" s="141" t="str">
        <f t="shared" si="416"/>
        <v>Volledig</v>
      </c>
      <c r="L1087" s="141" t="str">
        <f t="shared" si="417"/>
        <v>naloop</v>
      </c>
      <c r="M1087" s="141" t="str">
        <f t="shared" si="418"/>
        <v>naloop</v>
      </c>
      <c r="N1087" s="141" t="str">
        <f t="shared" si="419"/>
        <v>Volledig</v>
      </c>
      <c r="O1087" s="141" t="str">
        <f t="shared" si="420"/>
        <v>naloop</v>
      </c>
      <c r="P1087" s="141" t="str">
        <f t="shared" si="421"/>
        <v>naloop</v>
      </c>
      <c r="Q1087" s="141" t="str">
        <f t="shared" si="422"/>
        <v>naloop</v>
      </c>
      <c r="R1087" s="63" t="s">
        <v>1208</v>
      </c>
      <c r="S1087" s="142">
        <f t="shared" si="404"/>
        <v>365</v>
      </c>
      <c r="T1087" s="143">
        <v>495</v>
      </c>
      <c r="U1087" s="144"/>
      <c r="V1087" s="144"/>
      <c r="W1087" s="144"/>
      <c r="X1087" s="144"/>
      <c r="Y1087" s="144"/>
      <c r="Z1087" s="145"/>
      <c r="AA1087" s="145"/>
      <c r="AB1087" s="145"/>
      <c r="AC1087" s="145"/>
      <c r="AD1087" s="146"/>
      <c r="AE1087" s="171">
        <v>1</v>
      </c>
      <c r="AF1087" s="147">
        <f t="shared" si="423"/>
        <v>0</v>
      </c>
      <c r="AG1087" s="147">
        <f t="shared" si="424"/>
        <v>0</v>
      </c>
      <c r="AH1087" s="147">
        <f t="shared" si="425"/>
        <v>0</v>
      </c>
      <c r="AI1087" s="147">
        <f t="shared" si="426"/>
        <v>0</v>
      </c>
      <c r="AJ1087" s="148" t="str">
        <f t="shared" si="427"/>
        <v>ja</v>
      </c>
      <c r="AK1087" s="149">
        <f t="shared" si="411"/>
        <v>0</v>
      </c>
      <c r="AL1087" s="149">
        <f t="shared" si="412"/>
        <v>0</v>
      </c>
      <c r="AM1087" s="149">
        <f t="shared" si="413"/>
        <v>0</v>
      </c>
      <c r="AN1087" s="149">
        <f t="shared" si="414"/>
        <v>0</v>
      </c>
      <c r="AO1087" s="150" t="str">
        <f t="shared" si="428"/>
        <v>V</v>
      </c>
      <c r="AQ1087" s="151">
        <f t="shared" si="429"/>
        <v>180675</v>
      </c>
    </row>
    <row r="1088" spans="1:45" ht="15" customHeight="1">
      <c r="A1088" s="82" t="e">
        <f t="shared" si="410"/>
        <v>#REF!</v>
      </c>
      <c r="B1088" s="134">
        <v>1002</v>
      </c>
      <c r="C1088" s="135" t="s">
        <v>1123</v>
      </c>
      <c r="D1088" s="136" t="s">
        <v>1092</v>
      </c>
      <c r="E1088" s="137"/>
      <c r="F1088" s="138" t="s">
        <v>1288</v>
      </c>
      <c r="G1088" s="139"/>
      <c r="H1088" s="140" t="str">
        <f t="shared" si="415"/>
        <v>Perrons</v>
      </c>
      <c r="I1088" s="138" t="s">
        <v>118</v>
      </c>
      <c r="J1088" s="138" t="s">
        <v>1255</v>
      </c>
      <c r="K1088" s="141" t="str">
        <f t="shared" si="416"/>
        <v>Volledig</v>
      </c>
      <c r="L1088" s="141" t="str">
        <f t="shared" si="417"/>
        <v>naloop</v>
      </c>
      <c r="M1088" s="141" t="str">
        <f t="shared" si="418"/>
        <v>naloop</v>
      </c>
      <c r="N1088" s="141" t="str">
        <f t="shared" si="419"/>
        <v>Volledig</v>
      </c>
      <c r="O1088" s="141" t="str">
        <f t="shared" si="420"/>
        <v>naloop</v>
      </c>
      <c r="P1088" s="141" t="str">
        <f t="shared" si="421"/>
        <v>naloop</v>
      </c>
      <c r="Q1088" s="141" t="str">
        <f t="shared" si="422"/>
        <v>naloop</v>
      </c>
      <c r="R1088" s="63" t="s">
        <v>1208</v>
      </c>
      <c r="S1088" s="142">
        <f t="shared" si="404"/>
        <v>365</v>
      </c>
      <c r="T1088" s="143">
        <v>1044</v>
      </c>
      <c r="U1088" s="144"/>
      <c r="V1088" s="144"/>
      <c r="W1088" s="144"/>
      <c r="X1088" s="144"/>
      <c r="Y1088" s="144"/>
      <c r="Z1088" s="145"/>
      <c r="AA1088" s="145"/>
      <c r="AB1088" s="145"/>
      <c r="AC1088" s="145"/>
      <c r="AD1088" s="146"/>
      <c r="AE1088" s="171">
        <v>1</v>
      </c>
      <c r="AF1088" s="147">
        <f t="shared" si="423"/>
        <v>0</v>
      </c>
      <c r="AG1088" s="147">
        <f t="shared" si="424"/>
        <v>0</v>
      </c>
      <c r="AH1088" s="147">
        <f t="shared" si="425"/>
        <v>0</v>
      </c>
      <c r="AI1088" s="147">
        <f t="shared" si="426"/>
        <v>0</v>
      </c>
      <c r="AJ1088" s="148" t="str">
        <f t="shared" si="427"/>
        <v>ja</v>
      </c>
      <c r="AK1088" s="149">
        <f t="shared" si="411"/>
        <v>0</v>
      </c>
      <c r="AL1088" s="149">
        <f t="shared" si="412"/>
        <v>0</v>
      </c>
      <c r="AM1088" s="149">
        <f t="shared" si="413"/>
        <v>0</v>
      </c>
      <c r="AN1088" s="149">
        <f t="shared" si="414"/>
        <v>0</v>
      </c>
      <c r="AO1088" s="150" t="str">
        <f t="shared" si="428"/>
        <v>V</v>
      </c>
      <c r="AQ1088" s="151">
        <f t="shared" si="429"/>
        <v>381060</v>
      </c>
    </row>
    <row r="1089" spans="1:43" ht="15" customHeight="1">
      <c r="A1089" s="82" t="e">
        <f t="shared" si="410"/>
        <v>#REF!</v>
      </c>
      <c r="B1089" s="134">
        <v>1002</v>
      </c>
      <c r="C1089" s="135" t="s">
        <v>1123</v>
      </c>
      <c r="D1089" s="136" t="s">
        <v>1092</v>
      </c>
      <c r="E1089" s="137"/>
      <c r="F1089" s="138" t="s">
        <v>1289</v>
      </c>
      <c r="G1089" s="139"/>
      <c r="H1089" s="140" t="str">
        <f t="shared" si="415"/>
        <v>Sanitair</v>
      </c>
      <c r="I1089" s="138" t="s">
        <v>118</v>
      </c>
      <c r="J1089" s="138" t="s">
        <v>1255</v>
      </c>
      <c r="K1089" s="141" t="str">
        <f t="shared" si="416"/>
        <v>Volledig</v>
      </c>
      <c r="L1089" s="141" t="str">
        <f t="shared" si="417"/>
        <v>naloop</v>
      </c>
      <c r="M1089" s="141" t="str">
        <f t="shared" si="418"/>
        <v>naloop</v>
      </c>
      <c r="N1089" s="141" t="str">
        <f t="shared" si="419"/>
        <v>Volledig</v>
      </c>
      <c r="O1089" s="141" t="str">
        <f t="shared" si="420"/>
        <v>naloop</v>
      </c>
      <c r="P1089" s="141" t="str">
        <f t="shared" si="421"/>
        <v>naloop</v>
      </c>
      <c r="Q1089" s="141" t="str">
        <f t="shared" si="422"/>
        <v>naloop</v>
      </c>
      <c r="R1089" s="63" t="s">
        <v>1210</v>
      </c>
      <c r="S1089" s="142">
        <f t="shared" si="404"/>
        <v>365</v>
      </c>
      <c r="T1089" s="143">
        <v>3</v>
      </c>
      <c r="U1089" s="144"/>
      <c r="V1089" s="144"/>
      <c r="W1089" s="144"/>
      <c r="X1089" s="144"/>
      <c r="Y1089" s="144"/>
      <c r="Z1089" s="145"/>
      <c r="AA1089" s="145"/>
      <c r="AB1089" s="145"/>
      <c r="AC1089" s="145"/>
      <c r="AD1089" s="146"/>
      <c r="AE1089" s="171">
        <v>1</v>
      </c>
      <c r="AF1089" s="147">
        <f t="shared" si="423"/>
        <v>0</v>
      </c>
      <c r="AG1089" s="147">
        <f t="shared" si="424"/>
        <v>0</v>
      </c>
      <c r="AH1089" s="147">
        <f t="shared" si="425"/>
        <v>0</v>
      </c>
      <c r="AI1089" s="147">
        <f t="shared" si="426"/>
        <v>0</v>
      </c>
      <c r="AJ1089" s="148" t="str">
        <f t="shared" si="427"/>
        <v>ja</v>
      </c>
      <c r="AK1089" s="149">
        <f t="shared" si="411"/>
        <v>0</v>
      </c>
      <c r="AL1089" s="149">
        <f t="shared" si="412"/>
        <v>0</v>
      </c>
      <c r="AM1089" s="149">
        <f t="shared" si="413"/>
        <v>0</v>
      </c>
      <c r="AN1089" s="149">
        <f t="shared" si="414"/>
        <v>0</v>
      </c>
      <c r="AO1089" s="150" t="str">
        <f t="shared" si="428"/>
        <v>S</v>
      </c>
      <c r="AQ1089" s="151">
        <f t="shared" si="429"/>
        <v>1095</v>
      </c>
    </row>
    <row r="1090" spans="1:43" ht="15" customHeight="1">
      <c r="A1090" s="82" t="e">
        <f t="shared" si="410"/>
        <v>#REF!</v>
      </c>
      <c r="B1090" s="134">
        <v>1002</v>
      </c>
      <c r="C1090" s="135" t="s">
        <v>1123</v>
      </c>
      <c r="D1090" s="136" t="s">
        <v>1092</v>
      </c>
      <c r="E1090" s="137"/>
      <c r="F1090" s="138" t="s">
        <v>212</v>
      </c>
      <c r="G1090" s="139"/>
      <c r="H1090" s="140" t="str">
        <f t="shared" si="415"/>
        <v>Liften</v>
      </c>
      <c r="I1090" s="138" t="s">
        <v>1284</v>
      </c>
      <c r="J1090" s="138" t="s">
        <v>1255</v>
      </c>
      <c r="K1090" s="141" t="str">
        <f t="shared" si="416"/>
        <v>Volledig</v>
      </c>
      <c r="L1090" s="141" t="str">
        <f t="shared" si="417"/>
        <v>naloop</v>
      </c>
      <c r="M1090" s="141" t="str">
        <f t="shared" si="418"/>
        <v>naloop</v>
      </c>
      <c r="N1090" s="141" t="str">
        <f t="shared" si="419"/>
        <v>Volledig</v>
      </c>
      <c r="O1090" s="141" t="str">
        <f t="shared" si="420"/>
        <v>naloop</v>
      </c>
      <c r="P1090" s="141" t="str">
        <f t="shared" si="421"/>
        <v>naloop</v>
      </c>
      <c r="Q1090" s="141" t="str">
        <f t="shared" si="422"/>
        <v>naloop</v>
      </c>
      <c r="R1090" s="63" t="s">
        <v>1212</v>
      </c>
      <c r="S1090" s="142">
        <f t="shared" si="404"/>
        <v>365</v>
      </c>
      <c r="T1090" s="143">
        <v>3</v>
      </c>
      <c r="U1090" s="144"/>
      <c r="V1090" s="144"/>
      <c r="W1090" s="144"/>
      <c r="X1090" s="144"/>
      <c r="Y1090" s="144"/>
      <c r="Z1090" s="145"/>
      <c r="AA1090" s="145"/>
      <c r="AB1090" s="145"/>
      <c r="AC1090" s="145"/>
      <c r="AD1090" s="146"/>
      <c r="AE1090" s="171">
        <v>1</v>
      </c>
      <c r="AF1090" s="147">
        <f t="shared" si="423"/>
        <v>0</v>
      </c>
      <c r="AG1090" s="147">
        <f t="shared" si="424"/>
        <v>0</v>
      </c>
      <c r="AH1090" s="147">
        <f t="shared" si="425"/>
        <v>0</v>
      </c>
      <c r="AI1090" s="147">
        <f t="shared" si="426"/>
        <v>0</v>
      </c>
      <c r="AJ1090" s="148" t="str">
        <f t="shared" si="427"/>
        <v>ja</v>
      </c>
      <c r="AK1090" s="149">
        <f t="shared" si="411"/>
        <v>0</v>
      </c>
      <c r="AL1090" s="149">
        <f t="shared" si="412"/>
        <v>0</v>
      </c>
      <c r="AM1090" s="149">
        <f t="shared" si="413"/>
        <v>0</v>
      </c>
      <c r="AN1090" s="149">
        <f t="shared" si="414"/>
        <v>0</v>
      </c>
      <c r="AO1090" s="150" t="str">
        <f t="shared" si="428"/>
        <v>V</v>
      </c>
      <c r="AQ1090" s="151">
        <f t="shared" si="429"/>
        <v>1095</v>
      </c>
    </row>
    <row r="1091" spans="1:43" ht="15" customHeight="1">
      <c r="A1091" s="82" t="e">
        <f t="shared" si="410"/>
        <v>#REF!</v>
      </c>
      <c r="B1091" s="134">
        <v>1002</v>
      </c>
      <c r="C1091" s="135" t="s">
        <v>1123</v>
      </c>
      <c r="D1091" s="136" t="s">
        <v>1092</v>
      </c>
      <c r="E1091" s="137"/>
      <c r="F1091" s="138" t="s">
        <v>212</v>
      </c>
      <c r="G1091" s="139"/>
      <c r="H1091" s="140" t="str">
        <f t="shared" si="415"/>
        <v>Liften</v>
      </c>
      <c r="I1091" s="138" t="s">
        <v>1284</v>
      </c>
      <c r="J1091" s="138" t="s">
        <v>1255</v>
      </c>
      <c r="K1091" s="141" t="str">
        <f t="shared" si="416"/>
        <v>Volledig</v>
      </c>
      <c r="L1091" s="141" t="str">
        <f t="shared" si="417"/>
        <v>naloop</v>
      </c>
      <c r="M1091" s="141" t="str">
        <f t="shared" si="418"/>
        <v>naloop</v>
      </c>
      <c r="N1091" s="141" t="str">
        <f t="shared" si="419"/>
        <v>Volledig</v>
      </c>
      <c r="O1091" s="141" t="str">
        <f t="shared" si="420"/>
        <v>naloop</v>
      </c>
      <c r="P1091" s="141" t="str">
        <f t="shared" si="421"/>
        <v>naloop</v>
      </c>
      <c r="Q1091" s="141" t="str">
        <f t="shared" si="422"/>
        <v>naloop</v>
      </c>
      <c r="R1091" s="63" t="s">
        <v>1212</v>
      </c>
      <c r="S1091" s="142">
        <f t="shared" si="404"/>
        <v>365</v>
      </c>
      <c r="T1091" s="143">
        <v>3</v>
      </c>
      <c r="U1091" s="144"/>
      <c r="V1091" s="144"/>
      <c r="W1091" s="144"/>
      <c r="X1091" s="144"/>
      <c r="Y1091" s="144"/>
      <c r="Z1091" s="145"/>
      <c r="AA1091" s="145"/>
      <c r="AB1091" s="145"/>
      <c r="AC1091" s="145"/>
      <c r="AD1091" s="146"/>
      <c r="AE1091" s="171">
        <v>1</v>
      </c>
      <c r="AF1091" s="147">
        <f t="shared" si="423"/>
        <v>0</v>
      </c>
      <c r="AG1091" s="147">
        <f t="shared" si="424"/>
        <v>0</v>
      </c>
      <c r="AH1091" s="147">
        <f t="shared" si="425"/>
        <v>0</v>
      </c>
      <c r="AI1091" s="147">
        <f t="shared" si="426"/>
        <v>0</v>
      </c>
      <c r="AJ1091" s="148" t="str">
        <f t="shared" si="427"/>
        <v>ja</v>
      </c>
      <c r="AK1091" s="149">
        <f t="shared" si="411"/>
        <v>0</v>
      </c>
      <c r="AL1091" s="149">
        <f t="shared" si="412"/>
        <v>0</v>
      </c>
      <c r="AM1091" s="149">
        <f t="shared" si="413"/>
        <v>0</v>
      </c>
      <c r="AN1091" s="149">
        <f t="shared" si="414"/>
        <v>0</v>
      </c>
      <c r="AO1091" s="150" t="str">
        <f t="shared" si="428"/>
        <v>V</v>
      </c>
      <c r="AQ1091" s="151">
        <f t="shared" si="429"/>
        <v>1095</v>
      </c>
    </row>
    <row r="1092" spans="1:43" ht="15" customHeight="1">
      <c r="A1092" s="82" t="e">
        <f t="shared" si="410"/>
        <v>#REF!</v>
      </c>
      <c r="B1092" s="134">
        <v>1002</v>
      </c>
      <c r="C1092" s="135" t="s">
        <v>1123</v>
      </c>
      <c r="D1092" s="136" t="s">
        <v>1092</v>
      </c>
      <c r="E1092" s="137"/>
      <c r="F1092" s="138" t="s">
        <v>1290</v>
      </c>
      <c r="G1092" s="139"/>
      <c r="H1092" s="140" t="str">
        <f t="shared" si="415"/>
        <v>Trappen</v>
      </c>
      <c r="I1092" s="138" t="s">
        <v>1291</v>
      </c>
      <c r="J1092" s="138" t="s">
        <v>1255</v>
      </c>
      <c r="K1092" s="141" t="str">
        <f t="shared" si="416"/>
        <v>Volledig</v>
      </c>
      <c r="L1092" s="141" t="str">
        <f t="shared" si="417"/>
        <v>naloop</v>
      </c>
      <c r="M1092" s="141" t="str">
        <f t="shared" si="418"/>
        <v>naloop</v>
      </c>
      <c r="N1092" s="141" t="str">
        <f t="shared" si="419"/>
        <v>Volledig</v>
      </c>
      <c r="O1092" s="141" t="str">
        <f t="shared" si="420"/>
        <v>naloop</v>
      </c>
      <c r="P1092" s="141" t="str">
        <f t="shared" si="421"/>
        <v>naloop</v>
      </c>
      <c r="Q1092" s="141" t="str">
        <f t="shared" si="422"/>
        <v>naloop</v>
      </c>
      <c r="R1092" s="63" t="s">
        <v>1214</v>
      </c>
      <c r="S1092" s="142">
        <f t="shared" si="404"/>
        <v>365</v>
      </c>
      <c r="T1092" s="143">
        <v>5</v>
      </c>
      <c r="U1092" s="144"/>
      <c r="V1092" s="144"/>
      <c r="W1092" s="144"/>
      <c r="X1092" s="144"/>
      <c r="Y1092" s="144"/>
      <c r="Z1092" s="145"/>
      <c r="AA1092" s="145"/>
      <c r="AB1092" s="145"/>
      <c r="AC1092" s="145"/>
      <c r="AD1092" s="146"/>
      <c r="AE1092" s="171">
        <v>1</v>
      </c>
      <c r="AF1092" s="147">
        <f t="shared" si="423"/>
        <v>0</v>
      </c>
      <c r="AG1092" s="147">
        <f t="shared" si="424"/>
        <v>0</v>
      </c>
      <c r="AH1092" s="147">
        <f t="shared" si="425"/>
        <v>0</v>
      </c>
      <c r="AI1092" s="147">
        <f t="shared" si="426"/>
        <v>0</v>
      </c>
      <c r="AJ1092" s="148" t="str">
        <f t="shared" si="427"/>
        <v>ja</v>
      </c>
      <c r="AK1092" s="149">
        <f t="shared" si="411"/>
        <v>0</v>
      </c>
      <c r="AL1092" s="149">
        <f t="shared" si="412"/>
        <v>0</v>
      </c>
      <c r="AM1092" s="149">
        <f t="shared" si="413"/>
        <v>0</v>
      </c>
      <c r="AN1092" s="149">
        <f t="shared" si="414"/>
        <v>0</v>
      </c>
      <c r="AO1092" s="150" t="str">
        <f t="shared" si="428"/>
        <v>V</v>
      </c>
      <c r="AQ1092" s="151">
        <f t="shared" si="429"/>
        <v>1825</v>
      </c>
    </row>
    <row r="1093" spans="1:43" ht="15" customHeight="1">
      <c r="A1093" s="82" t="e">
        <f t="shared" si="410"/>
        <v>#REF!</v>
      </c>
      <c r="B1093" s="134">
        <v>1002</v>
      </c>
      <c r="C1093" s="135" t="s">
        <v>1123</v>
      </c>
      <c r="D1093" s="136" t="s">
        <v>1092</v>
      </c>
      <c r="E1093" s="137"/>
      <c r="F1093" s="138" t="s">
        <v>1290</v>
      </c>
      <c r="G1093" s="139"/>
      <c r="H1093" s="140" t="str">
        <f t="shared" si="415"/>
        <v>Trappen</v>
      </c>
      <c r="I1093" s="138" t="s">
        <v>118</v>
      </c>
      <c r="J1093" s="138" t="s">
        <v>1255</v>
      </c>
      <c r="K1093" s="141" t="str">
        <f t="shared" si="416"/>
        <v>Volledig</v>
      </c>
      <c r="L1093" s="141" t="str">
        <f t="shared" si="417"/>
        <v>naloop</v>
      </c>
      <c r="M1093" s="141" t="str">
        <f t="shared" si="418"/>
        <v>naloop</v>
      </c>
      <c r="N1093" s="141" t="str">
        <f t="shared" si="419"/>
        <v>Volledig</v>
      </c>
      <c r="O1093" s="141" t="str">
        <f t="shared" si="420"/>
        <v>naloop</v>
      </c>
      <c r="P1093" s="141" t="str">
        <f t="shared" si="421"/>
        <v>naloop</v>
      </c>
      <c r="Q1093" s="141" t="str">
        <f t="shared" si="422"/>
        <v>naloop</v>
      </c>
      <c r="R1093" s="63" t="s">
        <v>1214</v>
      </c>
      <c r="S1093" s="142">
        <f t="shared" si="404"/>
        <v>365</v>
      </c>
      <c r="T1093" s="143">
        <v>110</v>
      </c>
      <c r="U1093" s="144"/>
      <c r="V1093" s="144"/>
      <c r="W1093" s="144"/>
      <c r="X1093" s="144"/>
      <c r="Y1093" s="144"/>
      <c r="Z1093" s="145"/>
      <c r="AA1093" s="145"/>
      <c r="AB1093" s="145"/>
      <c r="AC1093" s="145"/>
      <c r="AD1093" s="146"/>
      <c r="AE1093" s="171">
        <v>1</v>
      </c>
      <c r="AF1093" s="147">
        <f t="shared" si="423"/>
        <v>0</v>
      </c>
      <c r="AG1093" s="147">
        <f t="shared" si="424"/>
        <v>0</v>
      </c>
      <c r="AH1093" s="147">
        <f t="shared" si="425"/>
        <v>0</v>
      </c>
      <c r="AI1093" s="147">
        <f t="shared" si="426"/>
        <v>0</v>
      </c>
      <c r="AJ1093" s="148" t="str">
        <f t="shared" si="427"/>
        <v>ja</v>
      </c>
      <c r="AK1093" s="149">
        <f t="shared" si="411"/>
        <v>0</v>
      </c>
      <c r="AL1093" s="149">
        <f t="shared" si="412"/>
        <v>0</v>
      </c>
      <c r="AM1093" s="149">
        <f t="shared" si="413"/>
        <v>0</v>
      </c>
      <c r="AN1093" s="149">
        <f t="shared" si="414"/>
        <v>0</v>
      </c>
      <c r="AO1093" s="150" t="str">
        <f t="shared" si="428"/>
        <v>V</v>
      </c>
      <c r="AQ1093" s="151">
        <f t="shared" si="429"/>
        <v>40150</v>
      </c>
    </row>
    <row r="1094" spans="1:43" ht="15" customHeight="1">
      <c r="A1094" s="82" t="e">
        <f t="shared" si="410"/>
        <v>#REF!</v>
      </c>
      <c r="B1094" s="134">
        <v>1002</v>
      </c>
      <c r="C1094" s="135" t="s">
        <v>1123</v>
      </c>
      <c r="D1094" s="136" t="s">
        <v>1092</v>
      </c>
      <c r="E1094" s="137"/>
      <c r="F1094" s="138" t="s">
        <v>1290</v>
      </c>
      <c r="G1094" s="139"/>
      <c r="H1094" s="140" t="str">
        <f t="shared" si="415"/>
        <v>Trappen</v>
      </c>
      <c r="I1094" s="138" t="s">
        <v>118</v>
      </c>
      <c r="J1094" s="138" t="s">
        <v>1255</v>
      </c>
      <c r="K1094" s="141" t="str">
        <f t="shared" si="416"/>
        <v>Volledig</v>
      </c>
      <c r="L1094" s="141" t="str">
        <f t="shared" si="417"/>
        <v>naloop</v>
      </c>
      <c r="M1094" s="141" t="str">
        <f t="shared" si="418"/>
        <v>naloop</v>
      </c>
      <c r="N1094" s="141" t="str">
        <f t="shared" si="419"/>
        <v>Volledig</v>
      </c>
      <c r="O1094" s="141" t="str">
        <f t="shared" si="420"/>
        <v>naloop</v>
      </c>
      <c r="P1094" s="141" t="str">
        <f t="shared" si="421"/>
        <v>naloop</v>
      </c>
      <c r="Q1094" s="141" t="str">
        <f t="shared" si="422"/>
        <v>naloop</v>
      </c>
      <c r="R1094" s="63" t="s">
        <v>1214</v>
      </c>
      <c r="S1094" s="142">
        <f t="shared" si="404"/>
        <v>365</v>
      </c>
      <c r="T1094" s="143">
        <v>110</v>
      </c>
      <c r="U1094" s="144"/>
      <c r="V1094" s="144"/>
      <c r="W1094" s="144"/>
      <c r="X1094" s="144"/>
      <c r="Y1094" s="144"/>
      <c r="Z1094" s="145"/>
      <c r="AA1094" s="145"/>
      <c r="AB1094" s="145"/>
      <c r="AC1094" s="145"/>
      <c r="AD1094" s="146"/>
      <c r="AE1094" s="171">
        <v>1</v>
      </c>
      <c r="AF1094" s="147">
        <f t="shared" si="423"/>
        <v>0</v>
      </c>
      <c r="AG1094" s="147">
        <f t="shared" si="424"/>
        <v>0</v>
      </c>
      <c r="AH1094" s="147">
        <f t="shared" si="425"/>
        <v>0</v>
      </c>
      <c r="AI1094" s="147">
        <f t="shared" si="426"/>
        <v>0</v>
      </c>
      <c r="AJ1094" s="148" t="str">
        <f t="shared" si="427"/>
        <v>ja</v>
      </c>
      <c r="AK1094" s="149">
        <f t="shared" si="411"/>
        <v>0</v>
      </c>
      <c r="AL1094" s="149">
        <f t="shared" si="412"/>
        <v>0</v>
      </c>
      <c r="AM1094" s="149">
        <f t="shared" si="413"/>
        <v>0</v>
      </c>
      <c r="AN1094" s="149">
        <f t="shared" si="414"/>
        <v>0</v>
      </c>
      <c r="AO1094" s="150" t="str">
        <f t="shared" si="428"/>
        <v>V</v>
      </c>
      <c r="AQ1094" s="151">
        <f t="shared" si="429"/>
        <v>40150</v>
      </c>
    </row>
    <row r="1095" spans="1:43" ht="15" customHeight="1">
      <c r="A1095" s="82" t="e">
        <f t="shared" si="410"/>
        <v>#REF!</v>
      </c>
      <c r="B1095" s="134">
        <v>1002</v>
      </c>
      <c r="C1095" s="135" t="s">
        <v>1123</v>
      </c>
      <c r="D1095" s="136" t="s">
        <v>1092</v>
      </c>
      <c r="E1095" s="137"/>
      <c r="F1095" s="138" t="s">
        <v>1290</v>
      </c>
      <c r="G1095" s="139"/>
      <c r="H1095" s="140" t="str">
        <f t="shared" si="415"/>
        <v>Trappen</v>
      </c>
      <c r="I1095" s="138" t="s">
        <v>1284</v>
      </c>
      <c r="J1095" s="138" t="s">
        <v>1255</v>
      </c>
      <c r="K1095" s="141" t="str">
        <f t="shared" si="416"/>
        <v>Volledig</v>
      </c>
      <c r="L1095" s="141" t="str">
        <f t="shared" si="417"/>
        <v>naloop</v>
      </c>
      <c r="M1095" s="141" t="str">
        <f t="shared" si="418"/>
        <v>naloop</v>
      </c>
      <c r="N1095" s="141" t="str">
        <f t="shared" si="419"/>
        <v>Volledig</v>
      </c>
      <c r="O1095" s="141" t="str">
        <f t="shared" si="420"/>
        <v>naloop</v>
      </c>
      <c r="P1095" s="141" t="str">
        <f t="shared" si="421"/>
        <v>naloop</v>
      </c>
      <c r="Q1095" s="141" t="str">
        <f t="shared" si="422"/>
        <v>naloop</v>
      </c>
      <c r="R1095" s="63" t="s">
        <v>1214</v>
      </c>
      <c r="S1095" s="142">
        <f t="shared" si="404"/>
        <v>365</v>
      </c>
      <c r="T1095" s="143">
        <v>37.5</v>
      </c>
      <c r="U1095" s="144"/>
      <c r="V1095" s="144"/>
      <c r="W1095" s="144"/>
      <c r="X1095" s="144"/>
      <c r="Y1095" s="144"/>
      <c r="Z1095" s="145"/>
      <c r="AA1095" s="145"/>
      <c r="AB1095" s="145"/>
      <c r="AC1095" s="145"/>
      <c r="AD1095" s="146"/>
      <c r="AE1095" s="171">
        <v>1</v>
      </c>
      <c r="AF1095" s="147">
        <f t="shared" si="423"/>
        <v>0</v>
      </c>
      <c r="AG1095" s="147">
        <f t="shared" si="424"/>
        <v>0</v>
      </c>
      <c r="AH1095" s="147">
        <f t="shared" si="425"/>
        <v>0</v>
      </c>
      <c r="AI1095" s="147">
        <f t="shared" si="426"/>
        <v>0</v>
      </c>
      <c r="AJ1095" s="148" t="str">
        <f t="shared" si="427"/>
        <v>ja</v>
      </c>
      <c r="AK1095" s="149">
        <f t="shared" si="411"/>
        <v>0</v>
      </c>
      <c r="AL1095" s="149">
        <f t="shared" si="412"/>
        <v>0</v>
      </c>
      <c r="AM1095" s="149">
        <f t="shared" si="413"/>
        <v>0</v>
      </c>
      <c r="AN1095" s="149">
        <f t="shared" si="414"/>
        <v>0</v>
      </c>
      <c r="AO1095" s="150" t="str">
        <f t="shared" si="428"/>
        <v>V</v>
      </c>
      <c r="AQ1095" s="151">
        <f t="shared" si="429"/>
        <v>13687.5</v>
      </c>
    </row>
    <row r="1096" spans="1:43" ht="15" customHeight="1">
      <c r="A1096" s="82" t="e">
        <f t="shared" si="410"/>
        <v>#REF!</v>
      </c>
      <c r="B1096" s="134">
        <v>1002</v>
      </c>
      <c r="C1096" s="135" t="s">
        <v>1123</v>
      </c>
      <c r="D1096" s="136" t="s">
        <v>1092</v>
      </c>
      <c r="E1096" s="137"/>
      <c r="F1096" s="138" t="s">
        <v>1290</v>
      </c>
      <c r="G1096" s="139"/>
      <c r="H1096" s="140" t="str">
        <f t="shared" si="415"/>
        <v>Trappen</v>
      </c>
      <c r="I1096" s="138" t="s">
        <v>1284</v>
      </c>
      <c r="J1096" s="138" t="s">
        <v>1255</v>
      </c>
      <c r="K1096" s="141" t="str">
        <f t="shared" si="416"/>
        <v>Volledig</v>
      </c>
      <c r="L1096" s="141" t="str">
        <f t="shared" si="417"/>
        <v>naloop</v>
      </c>
      <c r="M1096" s="141" t="str">
        <f t="shared" si="418"/>
        <v>naloop</v>
      </c>
      <c r="N1096" s="141" t="str">
        <f t="shared" si="419"/>
        <v>Volledig</v>
      </c>
      <c r="O1096" s="141" t="str">
        <f t="shared" si="420"/>
        <v>naloop</v>
      </c>
      <c r="P1096" s="141" t="str">
        <f t="shared" si="421"/>
        <v>naloop</v>
      </c>
      <c r="Q1096" s="141" t="str">
        <f t="shared" si="422"/>
        <v>naloop</v>
      </c>
      <c r="R1096" s="63" t="s">
        <v>1214</v>
      </c>
      <c r="S1096" s="142">
        <f t="shared" si="404"/>
        <v>365</v>
      </c>
      <c r="T1096" s="143">
        <v>37.5</v>
      </c>
      <c r="U1096" s="144"/>
      <c r="V1096" s="144"/>
      <c r="W1096" s="144"/>
      <c r="X1096" s="144"/>
      <c r="Y1096" s="144"/>
      <c r="Z1096" s="145"/>
      <c r="AA1096" s="145"/>
      <c r="AB1096" s="145"/>
      <c r="AC1096" s="145"/>
      <c r="AD1096" s="146"/>
      <c r="AE1096" s="171">
        <v>1</v>
      </c>
      <c r="AF1096" s="147">
        <f t="shared" si="423"/>
        <v>0</v>
      </c>
      <c r="AG1096" s="147">
        <f t="shared" si="424"/>
        <v>0</v>
      </c>
      <c r="AH1096" s="147">
        <f t="shared" si="425"/>
        <v>0</v>
      </c>
      <c r="AI1096" s="147">
        <f t="shared" si="426"/>
        <v>0</v>
      </c>
      <c r="AJ1096" s="148" t="str">
        <f t="shared" si="427"/>
        <v>ja</v>
      </c>
      <c r="AK1096" s="149">
        <f t="shared" si="411"/>
        <v>0</v>
      </c>
      <c r="AL1096" s="149">
        <f t="shared" si="412"/>
        <v>0</v>
      </c>
      <c r="AM1096" s="149">
        <f t="shared" si="413"/>
        <v>0</v>
      </c>
      <c r="AN1096" s="149">
        <f t="shared" si="414"/>
        <v>0</v>
      </c>
      <c r="AO1096" s="150" t="str">
        <f t="shared" si="428"/>
        <v>V</v>
      </c>
      <c r="AQ1096" s="151">
        <f t="shared" si="429"/>
        <v>13687.5</v>
      </c>
    </row>
    <row r="1097" spans="1:43" ht="15" customHeight="1">
      <c r="A1097" s="82" t="e">
        <f t="shared" si="410"/>
        <v>#REF!</v>
      </c>
      <c r="B1097" s="134">
        <v>1002</v>
      </c>
      <c r="C1097" s="135" t="s">
        <v>1123</v>
      </c>
      <c r="D1097" s="136" t="s">
        <v>1092</v>
      </c>
      <c r="E1097" s="137"/>
      <c r="F1097" s="138" t="s">
        <v>1290</v>
      </c>
      <c r="G1097" s="139"/>
      <c r="H1097" s="140" t="str">
        <f t="shared" si="415"/>
        <v>Trappen</v>
      </c>
      <c r="I1097" s="138" t="s">
        <v>1284</v>
      </c>
      <c r="J1097" s="138" t="s">
        <v>1255</v>
      </c>
      <c r="K1097" s="141" t="str">
        <f t="shared" si="416"/>
        <v>Volledig</v>
      </c>
      <c r="L1097" s="141" t="str">
        <f t="shared" si="417"/>
        <v>naloop</v>
      </c>
      <c r="M1097" s="141" t="str">
        <f t="shared" si="418"/>
        <v>naloop</v>
      </c>
      <c r="N1097" s="141" t="str">
        <f t="shared" si="419"/>
        <v>Volledig</v>
      </c>
      <c r="O1097" s="141" t="str">
        <f t="shared" si="420"/>
        <v>naloop</v>
      </c>
      <c r="P1097" s="141" t="str">
        <f t="shared" si="421"/>
        <v>naloop</v>
      </c>
      <c r="Q1097" s="141" t="str">
        <f t="shared" si="422"/>
        <v>naloop</v>
      </c>
      <c r="R1097" s="63" t="s">
        <v>1214</v>
      </c>
      <c r="S1097" s="142">
        <f t="shared" si="404"/>
        <v>365</v>
      </c>
      <c r="T1097" s="143">
        <v>37.5</v>
      </c>
      <c r="U1097" s="144"/>
      <c r="V1097" s="144"/>
      <c r="W1097" s="144"/>
      <c r="X1097" s="144"/>
      <c r="Y1097" s="144"/>
      <c r="Z1097" s="145"/>
      <c r="AA1097" s="145"/>
      <c r="AB1097" s="145"/>
      <c r="AC1097" s="145"/>
      <c r="AD1097" s="146"/>
      <c r="AE1097" s="171">
        <v>1</v>
      </c>
      <c r="AF1097" s="147">
        <f t="shared" si="423"/>
        <v>0</v>
      </c>
      <c r="AG1097" s="147">
        <f t="shared" si="424"/>
        <v>0</v>
      </c>
      <c r="AH1097" s="147">
        <f t="shared" si="425"/>
        <v>0</v>
      </c>
      <c r="AI1097" s="147">
        <f t="shared" si="426"/>
        <v>0</v>
      </c>
      <c r="AJ1097" s="148" t="str">
        <f t="shared" si="427"/>
        <v>ja</v>
      </c>
      <c r="AK1097" s="149">
        <f t="shared" si="411"/>
        <v>0</v>
      </c>
      <c r="AL1097" s="149">
        <f t="shared" si="412"/>
        <v>0</v>
      </c>
      <c r="AM1097" s="149">
        <f t="shared" si="413"/>
        <v>0</v>
      </c>
      <c r="AN1097" s="149">
        <f t="shared" si="414"/>
        <v>0</v>
      </c>
      <c r="AO1097" s="150" t="str">
        <f t="shared" si="428"/>
        <v>V</v>
      </c>
      <c r="AQ1097" s="151">
        <f t="shared" si="429"/>
        <v>13687.5</v>
      </c>
    </row>
    <row r="1098" spans="1:43" ht="15" customHeight="1">
      <c r="A1098" s="82" t="e">
        <f t="shared" si="410"/>
        <v>#REF!</v>
      </c>
      <c r="B1098" s="134">
        <v>1002</v>
      </c>
      <c r="C1098" s="135" t="s">
        <v>1123</v>
      </c>
      <c r="D1098" s="136" t="s">
        <v>1092</v>
      </c>
      <c r="E1098" s="137"/>
      <c r="F1098" s="138" t="s">
        <v>1290</v>
      </c>
      <c r="G1098" s="139"/>
      <c r="H1098" s="140" t="str">
        <f t="shared" si="415"/>
        <v>Trappen</v>
      </c>
      <c r="I1098" s="138" t="s">
        <v>1284</v>
      </c>
      <c r="J1098" s="138" t="s">
        <v>1255</v>
      </c>
      <c r="K1098" s="141" t="str">
        <f t="shared" si="416"/>
        <v>Volledig</v>
      </c>
      <c r="L1098" s="141" t="str">
        <f t="shared" si="417"/>
        <v>naloop</v>
      </c>
      <c r="M1098" s="141" t="str">
        <f t="shared" si="418"/>
        <v>naloop</v>
      </c>
      <c r="N1098" s="141" t="str">
        <f t="shared" si="419"/>
        <v>Volledig</v>
      </c>
      <c r="O1098" s="141" t="str">
        <f t="shared" si="420"/>
        <v>naloop</v>
      </c>
      <c r="P1098" s="141" t="str">
        <f t="shared" si="421"/>
        <v>naloop</v>
      </c>
      <c r="Q1098" s="141" t="str">
        <f t="shared" si="422"/>
        <v>naloop</v>
      </c>
      <c r="R1098" s="63" t="s">
        <v>1214</v>
      </c>
      <c r="S1098" s="142">
        <f t="shared" si="404"/>
        <v>365</v>
      </c>
      <c r="T1098" s="143">
        <v>37.5</v>
      </c>
      <c r="U1098" s="144"/>
      <c r="V1098" s="144"/>
      <c r="W1098" s="144"/>
      <c r="X1098" s="144"/>
      <c r="Y1098" s="144"/>
      <c r="Z1098" s="145"/>
      <c r="AA1098" s="145"/>
      <c r="AB1098" s="145"/>
      <c r="AC1098" s="145"/>
      <c r="AD1098" s="146"/>
      <c r="AE1098" s="171">
        <v>1</v>
      </c>
      <c r="AF1098" s="147">
        <f t="shared" si="423"/>
        <v>0</v>
      </c>
      <c r="AG1098" s="147">
        <f t="shared" si="424"/>
        <v>0</v>
      </c>
      <c r="AH1098" s="147">
        <f t="shared" si="425"/>
        <v>0</v>
      </c>
      <c r="AI1098" s="147">
        <f t="shared" si="426"/>
        <v>0</v>
      </c>
      <c r="AJ1098" s="148" t="str">
        <f t="shared" si="427"/>
        <v>ja</v>
      </c>
      <c r="AK1098" s="149">
        <f t="shared" si="411"/>
        <v>0</v>
      </c>
      <c r="AL1098" s="149">
        <f t="shared" si="412"/>
        <v>0</v>
      </c>
      <c r="AM1098" s="149">
        <f t="shared" si="413"/>
        <v>0</v>
      </c>
      <c r="AN1098" s="149">
        <f t="shared" si="414"/>
        <v>0</v>
      </c>
      <c r="AO1098" s="150" t="str">
        <f t="shared" si="428"/>
        <v>V</v>
      </c>
      <c r="AQ1098" s="151">
        <f t="shared" si="429"/>
        <v>13687.5</v>
      </c>
    </row>
    <row r="1099" spans="1:43" ht="15" customHeight="1">
      <c r="A1099" s="82" t="e">
        <f t="shared" si="410"/>
        <v>#REF!</v>
      </c>
      <c r="B1099" s="134">
        <v>1002</v>
      </c>
      <c r="C1099" s="135" t="s">
        <v>1123</v>
      </c>
      <c r="D1099" s="136" t="s">
        <v>1092</v>
      </c>
      <c r="E1099" s="137"/>
      <c r="F1099" s="138" t="s">
        <v>210</v>
      </c>
      <c r="G1099" s="139"/>
      <c r="H1099" s="140" t="str">
        <f t="shared" si="415"/>
        <v>Niet van toepassing</v>
      </c>
      <c r="I1099" s="138" t="s">
        <v>118</v>
      </c>
      <c r="J1099" s="138" t="s">
        <v>1172</v>
      </c>
      <c r="K1099" s="141" t="str">
        <f t="shared" si="416"/>
        <v>NVT</v>
      </c>
      <c r="L1099" s="141" t="str">
        <f t="shared" si="417"/>
        <v>NVT</v>
      </c>
      <c r="M1099" s="141" t="str">
        <f t="shared" si="418"/>
        <v>NVT</v>
      </c>
      <c r="N1099" s="141" t="str">
        <f t="shared" si="419"/>
        <v>NVT</v>
      </c>
      <c r="O1099" s="141" t="str">
        <f t="shared" si="420"/>
        <v>NVT</v>
      </c>
      <c r="P1099" s="141" t="str">
        <f t="shared" si="421"/>
        <v>NVT</v>
      </c>
      <c r="Q1099" s="141" t="str">
        <f t="shared" si="422"/>
        <v>NVT</v>
      </c>
      <c r="R1099" s="63" t="s">
        <v>1221</v>
      </c>
      <c r="S1099" s="142">
        <f t="shared" si="404"/>
        <v>0</v>
      </c>
      <c r="T1099" s="143">
        <v>17.5</v>
      </c>
      <c r="U1099" s="144"/>
      <c r="V1099" s="144"/>
      <c r="W1099" s="144"/>
      <c r="X1099" s="144"/>
      <c r="Y1099" s="144"/>
      <c r="Z1099" s="145"/>
      <c r="AA1099" s="145"/>
      <c r="AB1099" s="145"/>
      <c r="AC1099" s="145"/>
      <c r="AD1099" s="146"/>
      <c r="AE1099" s="171">
        <v>1</v>
      </c>
      <c r="AF1099" s="147">
        <f t="shared" si="423"/>
        <v>0</v>
      </c>
      <c r="AG1099" s="147">
        <f t="shared" si="424"/>
        <v>0</v>
      </c>
      <c r="AH1099" s="147">
        <f t="shared" si="425"/>
        <v>0</v>
      </c>
      <c r="AI1099" s="147">
        <f t="shared" si="426"/>
        <v>0</v>
      </c>
      <c r="AJ1099" s="148">
        <f t="shared" si="427"/>
        <v>0</v>
      </c>
      <c r="AK1099" s="149">
        <f t="shared" si="411"/>
        <v>0</v>
      </c>
      <c r="AL1099" s="149">
        <f t="shared" si="412"/>
        <v>0</v>
      </c>
      <c r="AM1099" s="149">
        <f t="shared" si="413"/>
        <v>0</v>
      </c>
      <c r="AN1099" s="149">
        <f t="shared" si="414"/>
        <v>0</v>
      </c>
      <c r="AO1099" s="150">
        <f t="shared" si="428"/>
        <v>0</v>
      </c>
      <c r="AQ1099" s="151">
        <f t="shared" si="429"/>
        <v>0</v>
      </c>
    </row>
    <row r="1100" spans="1:43" ht="15" customHeight="1">
      <c r="A1100" s="82" t="e">
        <f t="shared" si="410"/>
        <v>#REF!</v>
      </c>
      <c r="B1100" s="134">
        <v>1002</v>
      </c>
      <c r="C1100" s="135" t="s">
        <v>1123</v>
      </c>
      <c r="D1100" s="136" t="s">
        <v>1092</v>
      </c>
      <c r="E1100" s="137"/>
      <c r="F1100" s="138" t="s">
        <v>210</v>
      </c>
      <c r="G1100" s="139"/>
      <c r="H1100" s="140" t="str">
        <f t="shared" si="415"/>
        <v>Niet van toepassing</v>
      </c>
      <c r="I1100" s="138" t="s">
        <v>118</v>
      </c>
      <c r="J1100" s="138" t="s">
        <v>1172</v>
      </c>
      <c r="K1100" s="141" t="str">
        <f t="shared" si="416"/>
        <v>NVT</v>
      </c>
      <c r="L1100" s="141" t="str">
        <f t="shared" si="417"/>
        <v>NVT</v>
      </c>
      <c r="M1100" s="141" t="str">
        <f t="shared" si="418"/>
        <v>NVT</v>
      </c>
      <c r="N1100" s="141" t="str">
        <f t="shared" si="419"/>
        <v>NVT</v>
      </c>
      <c r="O1100" s="141" t="str">
        <f t="shared" si="420"/>
        <v>NVT</v>
      </c>
      <c r="P1100" s="141" t="str">
        <f t="shared" si="421"/>
        <v>NVT</v>
      </c>
      <c r="Q1100" s="141" t="str">
        <f t="shared" si="422"/>
        <v>NVT</v>
      </c>
      <c r="R1100" s="63" t="s">
        <v>1221</v>
      </c>
      <c r="S1100" s="142">
        <f t="shared" ref="S1100:S1163" si="430">VLOOKUP(R1100,Kengetal,2,FALSE)</f>
        <v>0</v>
      </c>
      <c r="T1100" s="143">
        <v>17.5</v>
      </c>
      <c r="U1100" s="144"/>
      <c r="V1100" s="144"/>
      <c r="W1100" s="144"/>
      <c r="X1100" s="144"/>
      <c r="Y1100" s="144"/>
      <c r="Z1100" s="145"/>
      <c r="AA1100" s="145"/>
      <c r="AB1100" s="145"/>
      <c r="AC1100" s="145"/>
      <c r="AD1100" s="146"/>
      <c r="AE1100" s="171">
        <v>1</v>
      </c>
      <c r="AF1100" s="147">
        <f t="shared" si="423"/>
        <v>0</v>
      </c>
      <c r="AG1100" s="147">
        <f t="shared" si="424"/>
        <v>0</v>
      </c>
      <c r="AH1100" s="147">
        <f t="shared" si="425"/>
        <v>0</v>
      </c>
      <c r="AI1100" s="147">
        <f t="shared" si="426"/>
        <v>0</v>
      </c>
      <c r="AJ1100" s="148">
        <f t="shared" si="427"/>
        <v>0</v>
      </c>
      <c r="AK1100" s="149">
        <f t="shared" si="411"/>
        <v>0</v>
      </c>
      <c r="AL1100" s="149">
        <f t="shared" si="412"/>
        <v>0</v>
      </c>
      <c r="AM1100" s="149">
        <f t="shared" si="413"/>
        <v>0</v>
      </c>
      <c r="AN1100" s="149">
        <f t="shared" si="414"/>
        <v>0</v>
      </c>
      <c r="AO1100" s="150">
        <f t="shared" si="428"/>
        <v>0</v>
      </c>
      <c r="AQ1100" s="151">
        <f t="shared" si="429"/>
        <v>0</v>
      </c>
    </row>
    <row r="1101" spans="1:43" ht="15" customHeight="1">
      <c r="A1101" s="82" t="e">
        <f t="shared" si="410"/>
        <v>#REF!</v>
      </c>
      <c r="B1101" s="134">
        <v>1002</v>
      </c>
      <c r="C1101" s="135" t="s">
        <v>1123</v>
      </c>
      <c r="D1101" s="136" t="s">
        <v>1092</v>
      </c>
      <c r="E1101" s="137"/>
      <c r="F1101" s="138" t="s">
        <v>34</v>
      </c>
      <c r="G1101" s="139"/>
      <c r="H1101" s="140" t="str">
        <f t="shared" si="415"/>
        <v>Roltrappen(inclusief aangrenzende bouwdelen)</v>
      </c>
      <c r="I1101" s="138" t="s">
        <v>1284</v>
      </c>
      <c r="J1101" s="138" t="s">
        <v>1255</v>
      </c>
      <c r="K1101" s="141" t="str">
        <f t="shared" si="416"/>
        <v>Volledig</v>
      </c>
      <c r="L1101" s="141" t="str">
        <f t="shared" si="417"/>
        <v>naloop</v>
      </c>
      <c r="M1101" s="141" t="str">
        <f t="shared" si="418"/>
        <v>naloop</v>
      </c>
      <c r="N1101" s="141" t="str">
        <f t="shared" si="419"/>
        <v>Volledig</v>
      </c>
      <c r="O1101" s="141" t="str">
        <f t="shared" si="420"/>
        <v>naloop</v>
      </c>
      <c r="P1101" s="141" t="str">
        <f t="shared" si="421"/>
        <v>naloop</v>
      </c>
      <c r="Q1101" s="141" t="str">
        <f t="shared" si="422"/>
        <v>naloop</v>
      </c>
      <c r="R1101" s="63" t="s">
        <v>1217</v>
      </c>
      <c r="S1101" s="142">
        <f t="shared" si="430"/>
        <v>365</v>
      </c>
      <c r="T1101" s="143">
        <v>22.5</v>
      </c>
      <c r="U1101" s="144"/>
      <c r="V1101" s="144"/>
      <c r="W1101" s="144"/>
      <c r="X1101" s="144"/>
      <c r="Y1101" s="144"/>
      <c r="Z1101" s="145"/>
      <c r="AA1101" s="145"/>
      <c r="AB1101" s="145"/>
      <c r="AC1101" s="145"/>
      <c r="AD1101" s="146"/>
      <c r="AE1101" s="171">
        <v>1</v>
      </c>
      <c r="AF1101" s="147">
        <f t="shared" si="423"/>
        <v>0</v>
      </c>
      <c r="AG1101" s="147">
        <f t="shared" si="424"/>
        <v>0</v>
      </c>
      <c r="AH1101" s="147">
        <f t="shared" si="425"/>
        <v>0</v>
      </c>
      <c r="AI1101" s="147">
        <f t="shared" si="426"/>
        <v>0</v>
      </c>
      <c r="AJ1101" s="148" t="str">
        <f t="shared" si="427"/>
        <v>ja</v>
      </c>
      <c r="AK1101" s="149">
        <f t="shared" si="411"/>
        <v>0</v>
      </c>
      <c r="AL1101" s="149">
        <f t="shared" si="412"/>
        <v>0</v>
      </c>
      <c r="AM1101" s="149">
        <f t="shared" si="413"/>
        <v>0</v>
      </c>
      <c r="AN1101" s="149">
        <f t="shared" si="414"/>
        <v>0</v>
      </c>
      <c r="AO1101" s="150" t="str">
        <f t="shared" si="428"/>
        <v>V</v>
      </c>
      <c r="AQ1101" s="151">
        <f t="shared" si="429"/>
        <v>8212.5</v>
      </c>
    </row>
    <row r="1102" spans="1:43" ht="15" customHeight="1">
      <c r="A1102" s="82" t="e">
        <f t="shared" si="410"/>
        <v>#REF!</v>
      </c>
      <c r="B1102" s="134">
        <v>1002</v>
      </c>
      <c r="C1102" s="135" t="s">
        <v>1123</v>
      </c>
      <c r="D1102" s="136" t="s">
        <v>1092</v>
      </c>
      <c r="E1102" s="137"/>
      <c r="F1102" s="138" t="s">
        <v>34</v>
      </c>
      <c r="G1102" s="139"/>
      <c r="H1102" s="140" t="str">
        <f t="shared" si="415"/>
        <v>Roltrappen(inclusief aangrenzende bouwdelen)</v>
      </c>
      <c r="I1102" s="138" t="s">
        <v>1284</v>
      </c>
      <c r="J1102" s="138" t="s">
        <v>1255</v>
      </c>
      <c r="K1102" s="141" t="str">
        <f t="shared" si="416"/>
        <v>Volledig</v>
      </c>
      <c r="L1102" s="141" t="str">
        <f t="shared" si="417"/>
        <v>naloop</v>
      </c>
      <c r="M1102" s="141" t="str">
        <f t="shared" si="418"/>
        <v>naloop</v>
      </c>
      <c r="N1102" s="141" t="str">
        <f t="shared" si="419"/>
        <v>Volledig</v>
      </c>
      <c r="O1102" s="141" t="str">
        <f t="shared" si="420"/>
        <v>naloop</v>
      </c>
      <c r="P1102" s="141" t="str">
        <f t="shared" si="421"/>
        <v>naloop</v>
      </c>
      <c r="Q1102" s="141" t="str">
        <f t="shared" si="422"/>
        <v>naloop</v>
      </c>
      <c r="R1102" s="63" t="s">
        <v>1217</v>
      </c>
      <c r="S1102" s="142">
        <f t="shared" si="430"/>
        <v>365</v>
      </c>
      <c r="T1102" s="143">
        <v>22.5</v>
      </c>
      <c r="U1102" s="144"/>
      <c r="V1102" s="144"/>
      <c r="W1102" s="144"/>
      <c r="X1102" s="144"/>
      <c r="Y1102" s="144"/>
      <c r="Z1102" s="145"/>
      <c r="AA1102" s="145"/>
      <c r="AB1102" s="145"/>
      <c r="AC1102" s="145"/>
      <c r="AD1102" s="146"/>
      <c r="AE1102" s="171">
        <v>1</v>
      </c>
      <c r="AF1102" s="147">
        <f t="shared" si="423"/>
        <v>0</v>
      </c>
      <c r="AG1102" s="147">
        <f t="shared" si="424"/>
        <v>0</v>
      </c>
      <c r="AH1102" s="147">
        <f t="shared" si="425"/>
        <v>0</v>
      </c>
      <c r="AI1102" s="147">
        <f t="shared" si="426"/>
        <v>0</v>
      </c>
      <c r="AJ1102" s="148" t="str">
        <f t="shared" si="427"/>
        <v>ja</v>
      </c>
      <c r="AK1102" s="149">
        <f t="shared" si="411"/>
        <v>0</v>
      </c>
      <c r="AL1102" s="149">
        <f t="shared" si="412"/>
        <v>0</v>
      </c>
      <c r="AM1102" s="149">
        <f t="shared" si="413"/>
        <v>0</v>
      </c>
      <c r="AN1102" s="149">
        <f t="shared" si="414"/>
        <v>0</v>
      </c>
      <c r="AO1102" s="150" t="str">
        <f t="shared" si="428"/>
        <v>V</v>
      </c>
      <c r="AQ1102" s="151">
        <f t="shared" si="429"/>
        <v>8212.5</v>
      </c>
    </row>
    <row r="1103" spans="1:43" ht="15" customHeight="1">
      <c r="A1103" s="82" t="e">
        <f t="shared" si="410"/>
        <v>#REF!</v>
      </c>
      <c r="B1103" s="152">
        <v>201</v>
      </c>
      <c r="C1103" s="153" t="s">
        <v>1350</v>
      </c>
      <c r="D1103" s="154" t="s">
        <v>1340</v>
      </c>
      <c r="E1103" s="155"/>
      <c r="F1103" s="64" t="s">
        <v>101</v>
      </c>
      <c r="G1103" s="156" t="s">
        <v>1352</v>
      </c>
      <c r="H1103" s="140" t="str">
        <f t="shared" si="415"/>
        <v>Perrons</v>
      </c>
      <c r="I1103" s="64" t="s">
        <v>1459</v>
      </c>
      <c r="J1103" s="64" t="s">
        <v>1170</v>
      </c>
      <c r="K1103" s="141" t="str">
        <f t="shared" si="416"/>
        <v>Volledig</v>
      </c>
      <c r="L1103" s="141" t="str">
        <f t="shared" si="417"/>
        <v>naloop</v>
      </c>
      <c r="M1103" s="141" t="str">
        <f t="shared" si="418"/>
        <v>naloop</v>
      </c>
      <c r="N1103" s="141" t="str">
        <f t="shared" si="419"/>
        <v>Volledig</v>
      </c>
      <c r="O1103" s="141" t="str">
        <f t="shared" si="420"/>
        <v>naloop</v>
      </c>
      <c r="P1103" s="141" t="str">
        <f t="shared" si="421"/>
        <v>naloop</v>
      </c>
      <c r="Q1103" s="141" t="str">
        <f t="shared" si="422"/>
        <v>naloop</v>
      </c>
      <c r="R1103" s="63" t="s">
        <v>1208</v>
      </c>
      <c r="S1103" s="142">
        <f t="shared" si="430"/>
        <v>365</v>
      </c>
      <c r="T1103" s="157">
        <v>507</v>
      </c>
      <c r="U1103" s="158"/>
      <c r="V1103" s="158"/>
      <c r="W1103" s="158"/>
      <c r="X1103" s="158"/>
      <c r="Y1103" s="158"/>
      <c r="Z1103" s="159"/>
      <c r="AA1103" s="159"/>
      <c r="AB1103" s="159"/>
      <c r="AC1103" s="159"/>
      <c r="AD1103" s="160"/>
      <c r="AE1103" s="171">
        <v>1</v>
      </c>
      <c r="AF1103" s="147">
        <f t="shared" ref="AF1103:AF1134" si="431">T1103*AK1103*AE1103</f>
        <v>0</v>
      </c>
      <c r="AG1103" s="147">
        <f t="shared" ref="AG1103:AG1134" si="432">T1103*AL1103*AE1103</f>
        <v>0</v>
      </c>
      <c r="AH1103" s="147">
        <f t="shared" ref="AH1103:AH1134" si="433">T1103*AM1103*AE1103</f>
        <v>0</v>
      </c>
      <c r="AI1103" s="147">
        <f t="shared" ref="AI1103:AI1134" si="434">T1103*AN1103*AE1103</f>
        <v>0</v>
      </c>
      <c r="AJ1103" s="148" t="str">
        <f t="shared" si="427"/>
        <v>ja</v>
      </c>
      <c r="AK1103" s="149">
        <f t="shared" si="411"/>
        <v>0</v>
      </c>
      <c r="AL1103" s="149">
        <f t="shared" si="412"/>
        <v>0</v>
      </c>
      <c r="AM1103" s="149">
        <f t="shared" si="413"/>
        <v>0</v>
      </c>
      <c r="AN1103" s="149">
        <f t="shared" si="414"/>
        <v>0</v>
      </c>
      <c r="AO1103" s="150" t="str">
        <f t="shared" si="428"/>
        <v>V</v>
      </c>
      <c r="AQ1103" s="151">
        <f t="shared" si="429"/>
        <v>185055</v>
      </c>
    </row>
    <row r="1104" spans="1:43" ht="15" customHeight="1">
      <c r="A1104" s="82" t="e">
        <f t="shared" si="410"/>
        <v>#REF!</v>
      </c>
      <c r="B1104" s="152">
        <v>202</v>
      </c>
      <c r="C1104" s="153" t="s">
        <v>1341</v>
      </c>
      <c r="D1104" s="154" t="s">
        <v>1340</v>
      </c>
      <c r="E1104" s="155"/>
      <c r="F1104" s="64" t="s">
        <v>101</v>
      </c>
      <c r="G1104" s="156" t="s">
        <v>1352</v>
      </c>
      <c r="H1104" s="140" t="str">
        <f t="shared" si="415"/>
        <v>Perrons</v>
      </c>
      <c r="I1104" s="64" t="s">
        <v>1459</v>
      </c>
      <c r="J1104" s="64" t="s">
        <v>1170</v>
      </c>
      <c r="K1104" s="141" t="str">
        <f t="shared" si="416"/>
        <v>Volledig</v>
      </c>
      <c r="L1104" s="141" t="str">
        <f t="shared" si="417"/>
        <v>naloop</v>
      </c>
      <c r="M1104" s="141" t="str">
        <f t="shared" si="418"/>
        <v>naloop</v>
      </c>
      <c r="N1104" s="141" t="str">
        <f t="shared" si="419"/>
        <v>Volledig</v>
      </c>
      <c r="O1104" s="141" t="str">
        <f t="shared" si="420"/>
        <v>naloop</v>
      </c>
      <c r="P1104" s="141" t="str">
        <f t="shared" si="421"/>
        <v>naloop</v>
      </c>
      <c r="Q1104" s="141" t="str">
        <f t="shared" si="422"/>
        <v>naloop</v>
      </c>
      <c r="R1104" s="63" t="s">
        <v>1208</v>
      </c>
      <c r="S1104" s="142">
        <f t="shared" si="430"/>
        <v>365</v>
      </c>
      <c r="T1104" s="157">
        <v>671</v>
      </c>
      <c r="U1104" s="158"/>
      <c r="V1104" s="158"/>
      <c r="W1104" s="158"/>
      <c r="X1104" s="158"/>
      <c r="Y1104" s="158"/>
      <c r="Z1104" s="159"/>
      <c r="AA1104" s="159"/>
      <c r="AB1104" s="159"/>
      <c r="AC1104" s="159"/>
      <c r="AD1104" s="160"/>
      <c r="AE1104" s="171">
        <v>1</v>
      </c>
      <c r="AF1104" s="147">
        <f t="shared" si="431"/>
        <v>0</v>
      </c>
      <c r="AG1104" s="147">
        <f t="shared" si="432"/>
        <v>0</v>
      </c>
      <c r="AH1104" s="147">
        <f t="shared" si="433"/>
        <v>0</v>
      </c>
      <c r="AI1104" s="147">
        <f t="shared" si="434"/>
        <v>0</v>
      </c>
      <c r="AJ1104" s="148" t="str">
        <f t="shared" si="427"/>
        <v>ja</v>
      </c>
      <c r="AK1104" s="149">
        <f t="shared" si="411"/>
        <v>0</v>
      </c>
      <c r="AL1104" s="149">
        <f t="shared" si="412"/>
        <v>0</v>
      </c>
      <c r="AM1104" s="149">
        <f t="shared" si="413"/>
        <v>0</v>
      </c>
      <c r="AN1104" s="149">
        <f t="shared" si="414"/>
        <v>0</v>
      </c>
      <c r="AO1104" s="150" t="str">
        <f t="shared" si="428"/>
        <v>V</v>
      </c>
      <c r="AQ1104" s="151">
        <f t="shared" si="429"/>
        <v>244915</v>
      </c>
    </row>
    <row r="1105" spans="1:43" ht="15" customHeight="1">
      <c r="A1105" s="82" t="e">
        <f t="shared" si="410"/>
        <v>#REF!</v>
      </c>
      <c r="B1105" s="152">
        <v>203</v>
      </c>
      <c r="C1105" s="153" t="s">
        <v>1342</v>
      </c>
      <c r="D1105" s="154" t="s">
        <v>1340</v>
      </c>
      <c r="E1105" s="155"/>
      <c r="F1105" s="64" t="s">
        <v>101</v>
      </c>
      <c r="G1105" s="156" t="s">
        <v>1353</v>
      </c>
      <c r="H1105" s="140" t="str">
        <f t="shared" si="415"/>
        <v>Perrons</v>
      </c>
      <c r="I1105" s="64" t="s">
        <v>1459</v>
      </c>
      <c r="J1105" s="64" t="s">
        <v>1170</v>
      </c>
      <c r="K1105" s="141" t="str">
        <f t="shared" si="416"/>
        <v>Volledig</v>
      </c>
      <c r="L1105" s="141" t="str">
        <f t="shared" si="417"/>
        <v>naloop</v>
      </c>
      <c r="M1105" s="141" t="str">
        <f t="shared" si="418"/>
        <v>naloop</v>
      </c>
      <c r="N1105" s="141" t="str">
        <f t="shared" si="419"/>
        <v>Volledig</v>
      </c>
      <c r="O1105" s="141" t="str">
        <f t="shared" si="420"/>
        <v>naloop</v>
      </c>
      <c r="P1105" s="141" t="str">
        <f t="shared" si="421"/>
        <v>naloop</v>
      </c>
      <c r="Q1105" s="141" t="str">
        <f t="shared" si="422"/>
        <v>naloop</v>
      </c>
      <c r="R1105" s="63" t="s">
        <v>1208</v>
      </c>
      <c r="S1105" s="142">
        <f t="shared" si="430"/>
        <v>365</v>
      </c>
      <c r="T1105" s="157">
        <v>507</v>
      </c>
      <c r="U1105" s="158"/>
      <c r="V1105" s="158"/>
      <c r="W1105" s="158"/>
      <c r="X1105" s="158"/>
      <c r="Y1105" s="158"/>
      <c r="Z1105" s="159"/>
      <c r="AA1105" s="159"/>
      <c r="AB1105" s="159"/>
      <c r="AC1105" s="159"/>
      <c r="AD1105" s="160"/>
      <c r="AE1105" s="171">
        <v>1</v>
      </c>
      <c r="AF1105" s="147">
        <f t="shared" si="431"/>
        <v>0</v>
      </c>
      <c r="AG1105" s="147">
        <f t="shared" si="432"/>
        <v>0</v>
      </c>
      <c r="AH1105" s="147">
        <f t="shared" si="433"/>
        <v>0</v>
      </c>
      <c r="AI1105" s="147">
        <f t="shared" si="434"/>
        <v>0</v>
      </c>
      <c r="AJ1105" s="148" t="str">
        <f t="shared" si="427"/>
        <v>ja</v>
      </c>
      <c r="AK1105" s="149">
        <f t="shared" si="411"/>
        <v>0</v>
      </c>
      <c r="AL1105" s="149">
        <f t="shared" si="412"/>
        <v>0</v>
      </c>
      <c r="AM1105" s="149">
        <f t="shared" si="413"/>
        <v>0</v>
      </c>
      <c r="AN1105" s="149">
        <f t="shared" si="414"/>
        <v>0</v>
      </c>
      <c r="AO1105" s="150" t="str">
        <f t="shared" si="428"/>
        <v>V</v>
      </c>
      <c r="AQ1105" s="151">
        <f t="shared" si="429"/>
        <v>185055</v>
      </c>
    </row>
    <row r="1106" spans="1:43" ht="15" customHeight="1">
      <c r="A1106" s="82" t="e">
        <f t="shared" si="410"/>
        <v>#REF!</v>
      </c>
      <c r="B1106" s="152">
        <v>203</v>
      </c>
      <c r="C1106" s="153" t="s">
        <v>1342</v>
      </c>
      <c r="D1106" s="154" t="s">
        <v>1340</v>
      </c>
      <c r="E1106" s="155"/>
      <c r="F1106" s="64" t="s">
        <v>169</v>
      </c>
      <c r="G1106" s="156" t="s">
        <v>333</v>
      </c>
      <c r="H1106" s="140" t="str">
        <f t="shared" si="415"/>
        <v>Trappen</v>
      </c>
      <c r="I1106" s="64" t="s">
        <v>1460</v>
      </c>
      <c r="J1106" s="64" t="s">
        <v>1170</v>
      </c>
      <c r="K1106" s="141" t="str">
        <f t="shared" si="416"/>
        <v>Volledig</v>
      </c>
      <c r="L1106" s="141" t="str">
        <f t="shared" si="417"/>
        <v>naloop</v>
      </c>
      <c r="M1106" s="141" t="str">
        <f t="shared" si="418"/>
        <v>naloop</v>
      </c>
      <c r="N1106" s="141" t="str">
        <f t="shared" si="419"/>
        <v>Volledig</v>
      </c>
      <c r="O1106" s="141" t="str">
        <f t="shared" si="420"/>
        <v>naloop</v>
      </c>
      <c r="P1106" s="141" t="str">
        <f t="shared" si="421"/>
        <v>naloop</v>
      </c>
      <c r="Q1106" s="141" t="str">
        <f t="shared" si="422"/>
        <v>naloop</v>
      </c>
      <c r="R1106" s="63" t="s">
        <v>1214</v>
      </c>
      <c r="S1106" s="142">
        <f t="shared" si="430"/>
        <v>365</v>
      </c>
      <c r="T1106" s="157">
        <v>78</v>
      </c>
      <c r="U1106" s="158"/>
      <c r="V1106" s="158"/>
      <c r="W1106" s="158"/>
      <c r="X1106" s="158"/>
      <c r="Y1106" s="158"/>
      <c r="Z1106" s="159"/>
      <c r="AA1106" s="159"/>
      <c r="AB1106" s="159"/>
      <c r="AC1106" s="159"/>
      <c r="AD1106" s="160"/>
      <c r="AE1106" s="171">
        <v>1</v>
      </c>
      <c r="AF1106" s="147">
        <f t="shared" si="431"/>
        <v>0</v>
      </c>
      <c r="AG1106" s="147">
        <f t="shared" si="432"/>
        <v>0</v>
      </c>
      <c r="AH1106" s="147">
        <f t="shared" si="433"/>
        <v>0</v>
      </c>
      <c r="AI1106" s="147">
        <f t="shared" si="434"/>
        <v>0</v>
      </c>
      <c r="AJ1106" s="148" t="str">
        <f t="shared" si="427"/>
        <v>ja</v>
      </c>
      <c r="AK1106" s="149">
        <f t="shared" si="411"/>
        <v>0</v>
      </c>
      <c r="AL1106" s="149">
        <f t="shared" si="412"/>
        <v>0</v>
      </c>
      <c r="AM1106" s="149">
        <f t="shared" si="413"/>
        <v>0</v>
      </c>
      <c r="AN1106" s="149">
        <f t="shared" si="414"/>
        <v>0</v>
      </c>
      <c r="AO1106" s="150" t="str">
        <f t="shared" si="428"/>
        <v>V</v>
      </c>
      <c r="AQ1106" s="151">
        <f t="shared" si="429"/>
        <v>28470</v>
      </c>
    </row>
    <row r="1107" spans="1:43" ht="15" customHeight="1">
      <c r="A1107" s="82" t="e">
        <f t="shared" si="410"/>
        <v>#REF!</v>
      </c>
      <c r="B1107" s="152">
        <v>203</v>
      </c>
      <c r="C1107" s="153" t="s">
        <v>1342</v>
      </c>
      <c r="D1107" s="154" t="s">
        <v>1340</v>
      </c>
      <c r="E1107" s="155"/>
      <c r="F1107" s="64" t="s">
        <v>6</v>
      </c>
      <c r="G1107" s="156" t="s">
        <v>116</v>
      </c>
      <c r="H1107" s="140" t="str">
        <f t="shared" si="415"/>
        <v>Liften</v>
      </c>
      <c r="I1107" s="64" t="s">
        <v>1461</v>
      </c>
      <c r="J1107" s="64" t="s">
        <v>1170</v>
      </c>
      <c r="K1107" s="141" t="str">
        <f t="shared" si="416"/>
        <v>Volledig</v>
      </c>
      <c r="L1107" s="141" t="str">
        <f t="shared" si="417"/>
        <v>naloop</v>
      </c>
      <c r="M1107" s="141" t="str">
        <f t="shared" si="418"/>
        <v>naloop</v>
      </c>
      <c r="N1107" s="141" t="str">
        <f t="shared" si="419"/>
        <v>Volledig</v>
      </c>
      <c r="O1107" s="141" t="str">
        <f t="shared" si="420"/>
        <v>naloop</v>
      </c>
      <c r="P1107" s="141" t="str">
        <f t="shared" si="421"/>
        <v>naloop</v>
      </c>
      <c r="Q1107" s="141" t="str">
        <f t="shared" si="422"/>
        <v>naloop</v>
      </c>
      <c r="R1107" s="63" t="s">
        <v>1212</v>
      </c>
      <c r="S1107" s="142">
        <f t="shared" si="430"/>
        <v>365</v>
      </c>
      <c r="T1107" s="157">
        <v>4</v>
      </c>
      <c r="U1107" s="158"/>
      <c r="V1107" s="158"/>
      <c r="W1107" s="158"/>
      <c r="X1107" s="158">
        <v>19</v>
      </c>
      <c r="Y1107" s="158"/>
      <c r="Z1107" s="159"/>
      <c r="AA1107" s="159"/>
      <c r="AB1107" s="159"/>
      <c r="AC1107" s="159"/>
      <c r="AD1107" s="160"/>
      <c r="AE1107" s="171">
        <v>1</v>
      </c>
      <c r="AF1107" s="147">
        <f t="shared" si="431"/>
        <v>0</v>
      </c>
      <c r="AG1107" s="147">
        <f t="shared" si="432"/>
        <v>0</v>
      </c>
      <c r="AH1107" s="147">
        <f t="shared" si="433"/>
        <v>0</v>
      </c>
      <c r="AI1107" s="147">
        <f t="shared" si="434"/>
        <v>0</v>
      </c>
      <c r="AJ1107" s="148" t="str">
        <f t="shared" si="427"/>
        <v>ja</v>
      </c>
      <c r="AK1107" s="149">
        <f t="shared" si="411"/>
        <v>0</v>
      </c>
      <c r="AL1107" s="149">
        <f t="shared" si="412"/>
        <v>0</v>
      </c>
      <c r="AM1107" s="149">
        <f t="shared" si="413"/>
        <v>0</v>
      </c>
      <c r="AN1107" s="149">
        <f t="shared" si="414"/>
        <v>0</v>
      </c>
      <c r="AO1107" s="150" t="str">
        <f t="shared" si="428"/>
        <v>V</v>
      </c>
      <c r="AQ1107" s="151">
        <f t="shared" si="429"/>
        <v>1460</v>
      </c>
    </row>
    <row r="1108" spans="1:43" ht="15" customHeight="1">
      <c r="A1108" s="82" t="e">
        <f t="shared" si="410"/>
        <v>#REF!</v>
      </c>
      <c r="B1108" s="152">
        <v>204</v>
      </c>
      <c r="C1108" s="153" t="s">
        <v>1343</v>
      </c>
      <c r="D1108" s="154" t="s">
        <v>1340</v>
      </c>
      <c r="E1108" s="155"/>
      <c r="F1108" s="64" t="s">
        <v>117</v>
      </c>
      <c r="G1108" s="156" t="s">
        <v>1352</v>
      </c>
      <c r="H1108" s="140" t="str">
        <f t="shared" si="415"/>
        <v>Perrons</v>
      </c>
      <c r="I1108" s="64" t="s">
        <v>1462</v>
      </c>
      <c r="J1108" s="64" t="s">
        <v>1170</v>
      </c>
      <c r="K1108" s="141" t="str">
        <f t="shared" si="416"/>
        <v>Volledig</v>
      </c>
      <c r="L1108" s="141" t="str">
        <f t="shared" si="417"/>
        <v>naloop</v>
      </c>
      <c r="M1108" s="141" t="str">
        <f t="shared" si="418"/>
        <v>naloop</v>
      </c>
      <c r="N1108" s="141" t="str">
        <f t="shared" si="419"/>
        <v>Volledig</v>
      </c>
      <c r="O1108" s="141" t="str">
        <f t="shared" si="420"/>
        <v>naloop</v>
      </c>
      <c r="P1108" s="141" t="str">
        <f t="shared" si="421"/>
        <v>naloop</v>
      </c>
      <c r="Q1108" s="141" t="str">
        <f t="shared" si="422"/>
        <v>naloop</v>
      </c>
      <c r="R1108" s="63" t="s">
        <v>1208</v>
      </c>
      <c r="S1108" s="142">
        <f t="shared" si="430"/>
        <v>365</v>
      </c>
      <c r="T1108" s="157">
        <v>581</v>
      </c>
      <c r="U1108" s="158"/>
      <c r="V1108" s="158"/>
      <c r="W1108" s="158"/>
      <c r="X1108" s="158">
        <v>120</v>
      </c>
      <c r="Y1108" s="158"/>
      <c r="Z1108" s="159"/>
      <c r="AA1108" s="159">
        <v>151</v>
      </c>
      <c r="AB1108" s="159"/>
      <c r="AC1108" s="159"/>
      <c r="AD1108" s="160"/>
      <c r="AE1108" s="171">
        <v>1</v>
      </c>
      <c r="AF1108" s="147">
        <f t="shared" si="431"/>
        <v>0</v>
      </c>
      <c r="AG1108" s="147">
        <f t="shared" si="432"/>
        <v>0</v>
      </c>
      <c r="AH1108" s="147">
        <f t="shared" si="433"/>
        <v>0</v>
      </c>
      <c r="AI1108" s="147">
        <f t="shared" si="434"/>
        <v>0</v>
      </c>
      <c r="AJ1108" s="148" t="str">
        <f t="shared" si="427"/>
        <v>ja</v>
      </c>
      <c r="AK1108" s="149">
        <f t="shared" si="411"/>
        <v>0</v>
      </c>
      <c r="AL1108" s="149">
        <f t="shared" si="412"/>
        <v>0</v>
      </c>
      <c r="AM1108" s="149">
        <f t="shared" si="413"/>
        <v>0</v>
      </c>
      <c r="AN1108" s="149">
        <f t="shared" si="414"/>
        <v>0</v>
      </c>
      <c r="AO1108" s="150" t="str">
        <f t="shared" si="428"/>
        <v>V</v>
      </c>
      <c r="AQ1108" s="151">
        <f t="shared" si="429"/>
        <v>212065</v>
      </c>
    </row>
    <row r="1109" spans="1:43" ht="15" customHeight="1">
      <c r="A1109" s="82" t="e">
        <f t="shared" si="410"/>
        <v>#REF!</v>
      </c>
      <c r="B1109" s="152">
        <v>204</v>
      </c>
      <c r="C1109" s="153" t="s">
        <v>1343</v>
      </c>
      <c r="D1109" s="154" t="s">
        <v>1340</v>
      </c>
      <c r="E1109" s="155"/>
      <c r="F1109" s="64" t="s">
        <v>1351</v>
      </c>
      <c r="G1109" s="156"/>
      <c r="H1109" s="140" t="str">
        <f t="shared" si="415"/>
        <v>Trappen</v>
      </c>
      <c r="I1109" s="64" t="s">
        <v>1460</v>
      </c>
      <c r="J1109" s="64" t="s">
        <v>1170</v>
      </c>
      <c r="K1109" s="141" t="str">
        <f t="shared" si="416"/>
        <v>Volledig</v>
      </c>
      <c r="L1109" s="141" t="str">
        <f t="shared" si="417"/>
        <v>naloop</v>
      </c>
      <c r="M1109" s="141" t="str">
        <f t="shared" si="418"/>
        <v>naloop</v>
      </c>
      <c r="N1109" s="141" t="str">
        <f t="shared" si="419"/>
        <v>Volledig</v>
      </c>
      <c r="O1109" s="141" t="str">
        <f t="shared" si="420"/>
        <v>naloop</v>
      </c>
      <c r="P1109" s="141" t="str">
        <f t="shared" si="421"/>
        <v>naloop</v>
      </c>
      <c r="Q1109" s="141" t="str">
        <f t="shared" si="422"/>
        <v>naloop</v>
      </c>
      <c r="R1109" s="63" t="s">
        <v>1214</v>
      </c>
      <c r="S1109" s="142">
        <f t="shared" si="430"/>
        <v>365</v>
      </c>
      <c r="T1109" s="157">
        <v>77</v>
      </c>
      <c r="U1109" s="158"/>
      <c r="V1109" s="158"/>
      <c r="W1109" s="158"/>
      <c r="X1109" s="158"/>
      <c r="Y1109" s="158"/>
      <c r="Z1109" s="159"/>
      <c r="AA1109" s="159"/>
      <c r="AB1109" s="159"/>
      <c r="AC1109" s="159"/>
      <c r="AD1109" s="160"/>
      <c r="AE1109" s="171">
        <v>1</v>
      </c>
      <c r="AF1109" s="147">
        <f t="shared" si="431"/>
        <v>0</v>
      </c>
      <c r="AG1109" s="147">
        <f t="shared" si="432"/>
        <v>0</v>
      </c>
      <c r="AH1109" s="147">
        <f t="shared" si="433"/>
        <v>0</v>
      </c>
      <c r="AI1109" s="147">
        <f t="shared" si="434"/>
        <v>0</v>
      </c>
      <c r="AJ1109" s="148" t="str">
        <f t="shared" si="427"/>
        <v>ja</v>
      </c>
      <c r="AK1109" s="149">
        <f t="shared" si="411"/>
        <v>0</v>
      </c>
      <c r="AL1109" s="149">
        <f t="shared" si="412"/>
        <v>0</v>
      </c>
      <c r="AM1109" s="149">
        <f t="shared" si="413"/>
        <v>0</v>
      </c>
      <c r="AN1109" s="149">
        <f t="shared" si="414"/>
        <v>0</v>
      </c>
      <c r="AO1109" s="150" t="str">
        <f t="shared" si="428"/>
        <v>V</v>
      </c>
      <c r="AQ1109" s="151">
        <f t="shared" si="429"/>
        <v>28105</v>
      </c>
    </row>
    <row r="1110" spans="1:43" ht="15" customHeight="1">
      <c r="A1110" s="82" t="e">
        <f t="shared" si="410"/>
        <v>#REF!</v>
      </c>
      <c r="B1110" s="152">
        <v>204</v>
      </c>
      <c r="C1110" s="153" t="s">
        <v>1343</v>
      </c>
      <c r="D1110" s="154" t="s">
        <v>1340</v>
      </c>
      <c r="E1110" s="155"/>
      <c r="F1110" s="64" t="s">
        <v>6</v>
      </c>
      <c r="G1110" s="156" t="s">
        <v>116</v>
      </c>
      <c r="H1110" s="140" t="str">
        <f t="shared" si="415"/>
        <v>Liften</v>
      </c>
      <c r="I1110" s="64" t="s">
        <v>1461</v>
      </c>
      <c r="J1110" s="64" t="s">
        <v>1170</v>
      </c>
      <c r="K1110" s="141" t="str">
        <f t="shared" si="416"/>
        <v>Volledig</v>
      </c>
      <c r="L1110" s="141" t="str">
        <f t="shared" si="417"/>
        <v>naloop</v>
      </c>
      <c r="M1110" s="141" t="str">
        <f t="shared" si="418"/>
        <v>naloop</v>
      </c>
      <c r="N1110" s="141" t="str">
        <f t="shared" si="419"/>
        <v>Volledig</v>
      </c>
      <c r="O1110" s="141" t="str">
        <f t="shared" si="420"/>
        <v>naloop</v>
      </c>
      <c r="P1110" s="141" t="str">
        <f t="shared" si="421"/>
        <v>naloop</v>
      </c>
      <c r="Q1110" s="141" t="str">
        <f t="shared" si="422"/>
        <v>naloop</v>
      </c>
      <c r="R1110" s="63" t="s">
        <v>1212</v>
      </c>
      <c r="S1110" s="142">
        <f t="shared" si="430"/>
        <v>365</v>
      </c>
      <c r="T1110" s="157">
        <v>4</v>
      </c>
      <c r="U1110" s="158"/>
      <c r="V1110" s="158"/>
      <c r="W1110" s="158"/>
      <c r="X1110" s="158">
        <v>19</v>
      </c>
      <c r="Y1110" s="158"/>
      <c r="Z1110" s="159"/>
      <c r="AA1110" s="159"/>
      <c r="AB1110" s="159"/>
      <c r="AC1110" s="159"/>
      <c r="AD1110" s="160"/>
      <c r="AE1110" s="171">
        <v>1</v>
      </c>
      <c r="AF1110" s="147">
        <f t="shared" si="431"/>
        <v>0</v>
      </c>
      <c r="AG1110" s="147">
        <f t="shared" si="432"/>
        <v>0</v>
      </c>
      <c r="AH1110" s="147">
        <f t="shared" si="433"/>
        <v>0</v>
      </c>
      <c r="AI1110" s="147">
        <f t="shared" si="434"/>
        <v>0</v>
      </c>
      <c r="AJ1110" s="148" t="str">
        <f t="shared" si="427"/>
        <v>ja</v>
      </c>
      <c r="AK1110" s="149">
        <f t="shared" si="411"/>
        <v>0</v>
      </c>
      <c r="AL1110" s="149">
        <f t="shared" si="412"/>
        <v>0</v>
      </c>
      <c r="AM1110" s="149">
        <f t="shared" si="413"/>
        <v>0</v>
      </c>
      <c r="AN1110" s="149">
        <f t="shared" si="414"/>
        <v>0</v>
      </c>
      <c r="AO1110" s="150" t="str">
        <f t="shared" si="428"/>
        <v>V</v>
      </c>
      <c r="AQ1110" s="151">
        <f t="shared" si="429"/>
        <v>1460</v>
      </c>
    </row>
    <row r="1111" spans="1:43" ht="15" customHeight="1">
      <c r="A1111" s="82" t="e">
        <f t="shared" si="410"/>
        <v>#REF!</v>
      </c>
      <c r="B1111" s="152">
        <v>205</v>
      </c>
      <c r="C1111" s="153" t="s">
        <v>1344</v>
      </c>
      <c r="D1111" s="154" t="s">
        <v>1340</v>
      </c>
      <c r="E1111" s="155"/>
      <c r="F1111" s="64" t="s">
        <v>117</v>
      </c>
      <c r="G1111" s="156" t="s">
        <v>1354</v>
      </c>
      <c r="H1111" s="140" t="str">
        <f t="shared" si="415"/>
        <v>Perrons</v>
      </c>
      <c r="I1111" s="64" t="s">
        <v>1462</v>
      </c>
      <c r="J1111" s="64" t="s">
        <v>1170</v>
      </c>
      <c r="K1111" s="141" t="str">
        <f t="shared" si="416"/>
        <v>Volledig</v>
      </c>
      <c r="L1111" s="141" t="str">
        <f t="shared" si="417"/>
        <v>naloop</v>
      </c>
      <c r="M1111" s="141" t="str">
        <f t="shared" si="418"/>
        <v>naloop</v>
      </c>
      <c r="N1111" s="141" t="str">
        <f t="shared" si="419"/>
        <v>Volledig</v>
      </c>
      <c r="O1111" s="141" t="str">
        <f t="shared" si="420"/>
        <v>naloop</v>
      </c>
      <c r="P1111" s="141" t="str">
        <f t="shared" si="421"/>
        <v>naloop</v>
      </c>
      <c r="Q1111" s="141" t="str">
        <f t="shared" si="422"/>
        <v>naloop</v>
      </c>
      <c r="R1111" s="63" t="s">
        <v>1208</v>
      </c>
      <c r="S1111" s="142">
        <f t="shared" si="430"/>
        <v>365</v>
      </c>
      <c r="T1111" s="157">
        <v>581</v>
      </c>
      <c r="U1111" s="158"/>
      <c r="V1111" s="158"/>
      <c r="W1111" s="158"/>
      <c r="X1111" s="158">
        <v>120</v>
      </c>
      <c r="Y1111" s="158"/>
      <c r="Z1111" s="159"/>
      <c r="AA1111" s="159">
        <v>151</v>
      </c>
      <c r="AB1111" s="159"/>
      <c r="AC1111" s="159"/>
      <c r="AD1111" s="160"/>
      <c r="AE1111" s="171">
        <v>1</v>
      </c>
      <c r="AF1111" s="147">
        <f t="shared" si="431"/>
        <v>0</v>
      </c>
      <c r="AG1111" s="147">
        <f t="shared" si="432"/>
        <v>0</v>
      </c>
      <c r="AH1111" s="147">
        <f t="shared" si="433"/>
        <v>0</v>
      </c>
      <c r="AI1111" s="147">
        <f t="shared" si="434"/>
        <v>0</v>
      </c>
      <c r="AJ1111" s="148" t="str">
        <f t="shared" si="427"/>
        <v>ja</v>
      </c>
      <c r="AK1111" s="149">
        <f t="shared" si="411"/>
        <v>0</v>
      </c>
      <c r="AL1111" s="149">
        <f t="shared" si="412"/>
        <v>0</v>
      </c>
      <c r="AM1111" s="149">
        <f t="shared" si="413"/>
        <v>0</v>
      </c>
      <c r="AN1111" s="149">
        <f t="shared" si="414"/>
        <v>0</v>
      </c>
      <c r="AO1111" s="150" t="str">
        <f t="shared" si="428"/>
        <v>V</v>
      </c>
      <c r="AQ1111" s="151">
        <f t="shared" si="429"/>
        <v>212065</v>
      </c>
    </row>
    <row r="1112" spans="1:43" ht="15" customHeight="1">
      <c r="A1112" s="82" t="e">
        <f t="shared" si="410"/>
        <v>#REF!</v>
      </c>
      <c r="B1112" s="152">
        <v>205</v>
      </c>
      <c r="C1112" s="153" t="s">
        <v>1344</v>
      </c>
      <c r="D1112" s="154" t="s">
        <v>1340</v>
      </c>
      <c r="E1112" s="155"/>
      <c r="F1112" s="64" t="s">
        <v>1351</v>
      </c>
      <c r="G1112" s="156"/>
      <c r="H1112" s="140" t="str">
        <f t="shared" si="415"/>
        <v>Trappen</v>
      </c>
      <c r="I1112" s="64" t="s">
        <v>1460</v>
      </c>
      <c r="J1112" s="64" t="s">
        <v>1170</v>
      </c>
      <c r="K1112" s="141" t="str">
        <f t="shared" si="416"/>
        <v>Volledig</v>
      </c>
      <c r="L1112" s="141" t="str">
        <f t="shared" si="417"/>
        <v>naloop</v>
      </c>
      <c r="M1112" s="141" t="str">
        <f t="shared" si="418"/>
        <v>naloop</v>
      </c>
      <c r="N1112" s="141" t="str">
        <f t="shared" si="419"/>
        <v>Volledig</v>
      </c>
      <c r="O1112" s="141" t="str">
        <f t="shared" si="420"/>
        <v>naloop</v>
      </c>
      <c r="P1112" s="141" t="str">
        <f t="shared" si="421"/>
        <v>naloop</v>
      </c>
      <c r="Q1112" s="141" t="str">
        <f t="shared" si="422"/>
        <v>naloop</v>
      </c>
      <c r="R1112" s="63" t="s">
        <v>1214</v>
      </c>
      <c r="S1112" s="142">
        <f t="shared" si="430"/>
        <v>365</v>
      </c>
      <c r="T1112" s="157">
        <v>77</v>
      </c>
      <c r="U1112" s="158"/>
      <c r="V1112" s="158"/>
      <c r="W1112" s="158"/>
      <c r="X1112" s="158"/>
      <c r="Y1112" s="158"/>
      <c r="Z1112" s="159"/>
      <c r="AA1112" s="159"/>
      <c r="AB1112" s="159"/>
      <c r="AC1112" s="159"/>
      <c r="AD1112" s="160"/>
      <c r="AE1112" s="171">
        <v>1</v>
      </c>
      <c r="AF1112" s="147">
        <f t="shared" si="431"/>
        <v>0</v>
      </c>
      <c r="AG1112" s="147">
        <f t="shared" si="432"/>
        <v>0</v>
      </c>
      <c r="AH1112" s="147">
        <f t="shared" si="433"/>
        <v>0</v>
      </c>
      <c r="AI1112" s="147">
        <f t="shared" si="434"/>
        <v>0</v>
      </c>
      <c r="AJ1112" s="148" t="str">
        <f t="shared" si="427"/>
        <v>ja</v>
      </c>
      <c r="AK1112" s="149">
        <f t="shared" si="411"/>
        <v>0</v>
      </c>
      <c r="AL1112" s="149">
        <f t="shared" si="412"/>
        <v>0</v>
      </c>
      <c r="AM1112" s="149">
        <f t="shared" si="413"/>
        <v>0</v>
      </c>
      <c r="AN1112" s="149">
        <f t="shared" si="414"/>
        <v>0</v>
      </c>
      <c r="AO1112" s="150" t="str">
        <f t="shared" si="428"/>
        <v>V</v>
      </c>
      <c r="AQ1112" s="151">
        <f t="shared" si="429"/>
        <v>28105</v>
      </c>
    </row>
    <row r="1113" spans="1:43" ht="15" customHeight="1">
      <c r="A1113" s="82" t="e">
        <f t="shared" si="410"/>
        <v>#REF!</v>
      </c>
      <c r="B1113" s="152">
        <v>205</v>
      </c>
      <c r="C1113" s="153" t="s">
        <v>1344</v>
      </c>
      <c r="D1113" s="154" t="s">
        <v>1340</v>
      </c>
      <c r="E1113" s="155"/>
      <c r="F1113" s="64" t="s">
        <v>6</v>
      </c>
      <c r="G1113" s="156" t="s">
        <v>116</v>
      </c>
      <c r="H1113" s="140" t="str">
        <f t="shared" si="415"/>
        <v>Liften</v>
      </c>
      <c r="I1113" s="64" t="s">
        <v>1461</v>
      </c>
      <c r="J1113" s="64" t="s">
        <v>1170</v>
      </c>
      <c r="K1113" s="141" t="str">
        <f t="shared" si="416"/>
        <v>Volledig</v>
      </c>
      <c r="L1113" s="141" t="str">
        <f t="shared" si="417"/>
        <v>naloop</v>
      </c>
      <c r="M1113" s="141" t="str">
        <f t="shared" si="418"/>
        <v>naloop</v>
      </c>
      <c r="N1113" s="141" t="str">
        <f t="shared" si="419"/>
        <v>Volledig</v>
      </c>
      <c r="O1113" s="141" t="str">
        <f t="shared" si="420"/>
        <v>naloop</v>
      </c>
      <c r="P1113" s="141" t="str">
        <f t="shared" si="421"/>
        <v>naloop</v>
      </c>
      <c r="Q1113" s="141" t="str">
        <f t="shared" si="422"/>
        <v>naloop</v>
      </c>
      <c r="R1113" s="63" t="s">
        <v>1212</v>
      </c>
      <c r="S1113" s="142">
        <f t="shared" si="430"/>
        <v>365</v>
      </c>
      <c r="T1113" s="157">
        <v>4</v>
      </c>
      <c r="U1113" s="158"/>
      <c r="V1113" s="158"/>
      <c r="W1113" s="158"/>
      <c r="X1113" s="158">
        <v>19</v>
      </c>
      <c r="Y1113" s="158"/>
      <c r="Z1113" s="159"/>
      <c r="AA1113" s="159"/>
      <c r="AB1113" s="159"/>
      <c r="AC1113" s="159"/>
      <c r="AD1113" s="160"/>
      <c r="AE1113" s="171">
        <v>1</v>
      </c>
      <c r="AF1113" s="147">
        <f t="shared" si="431"/>
        <v>0</v>
      </c>
      <c r="AG1113" s="147">
        <f t="shared" si="432"/>
        <v>0</v>
      </c>
      <c r="AH1113" s="147">
        <f t="shared" si="433"/>
        <v>0</v>
      </c>
      <c r="AI1113" s="147">
        <f t="shared" si="434"/>
        <v>0</v>
      </c>
      <c r="AJ1113" s="148" t="str">
        <f t="shared" si="427"/>
        <v>ja</v>
      </c>
      <c r="AK1113" s="149">
        <f t="shared" si="411"/>
        <v>0</v>
      </c>
      <c r="AL1113" s="149">
        <f t="shared" si="412"/>
        <v>0</v>
      </c>
      <c r="AM1113" s="149">
        <f t="shared" si="413"/>
        <v>0</v>
      </c>
      <c r="AN1113" s="149">
        <f t="shared" si="414"/>
        <v>0</v>
      </c>
      <c r="AO1113" s="150" t="str">
        <f t="shared" si="428"/>
        <v>V</v>
      </c>
      <c r="AQ1113" s="151">
        <f t="shared" si="429"/>
        <v>1460</v>
      </c>
    </row>
    <row r="1114" spans="1:43" ht="15" customHeight="1">
      <c r="A1114" s="82" t="e">
        <f t="shared" si="410"/>
        <v>#REF!</v>
      </c>
      <c r="B1114" s="152">
        <v>206</v>
      </c>
      <c r="C1114" s="153" t="s">
        <v>1345</v>
      </c>
      <c r="D1114" s="154" t="s">
        <v>1340</v>
      </c>
      <c r="E1114" s="155"/>
      <c r="F1114" s="64" t="s">
        <v>101</v>
      </c>
      <c r="G1114" s="156" t="s">
        <v>1353</v>
      </c>
      <c r="H1114" s="140" t="str">
        <f t="shared" si="415"/>
        <v>Perrons</v>
      </c>
      <c r="I1114" s="64" t="s">
        <v>1462</v>
      </c>
      <c r="J1114" s="64" t="s">
        <v>1170</v>
      </c>
      <c r="K1114" s="141" t="str">
        <f t="shared" si="416"/>
        <v>Volledig</v>
      </c>
      <c r="L1114" s="141" t="str">
        <f t="shared" si="417"/>
        <v>naloop</v>
      </c>
      <c r="M1114" s="141" t="str">
        <f t="shared" si="418"/>
        <v>naloop</v>
      </c>
      <c r="N1114" s="141" t="str">
        <f t="shared" si="419"/>
        <v>Volledig</v>
      </c>
      <c r="O1114" s="141" t="str">
        <f t="shared" si="420"/>
        <v>naloop</v>
      </c>
      <c r="P1114" s="141" t="str">
        <f t="shared" si="421"/>
        <v>naloop</v>
      </c>
      <c r="Q1114" s="141" t="str">
        <f t="shared" si="422"/>
        <v>naloop</v>
      </c>
      <c r="R1114" s="63" t="s">
        <v>1208</v>
      </c>
      <c r="S1114" s="142">
        <f t="shared" si="430"/>
        <v>365</v>
      </c>
      <c r="T1114" s="157">
        <v>462</v>
      </c>
      <c r="U1114" s="158"/>
      <c r="V1114" s="158"/>
      <c r="W1114" s="158">
        <v>100</v>
      </c>
      <c r="X1114" s="158"/>
      <c r="Y1114" s="158"/>
      <c r="Z1114" s="159"/>
      <c r="AA1114" s="159"/>
      <c r="AB1114" s="159"/>
      <c r="AC1114" s="159"/>
      <c r="AD1114" s="160"/>
      <c r="AE1114" s="171">
        <v>1</v>
      </c>
      <c r="AF1114" s="147">
        <f t="shared" si="431"/>
        <v>0</v>
      </c>
      <c r="AG1114" s="147">
        <f t="shared" si="432"/>
        <v>0</v>
      </c>
      <c r="AH1114" s="147">
        <f t="shared" si="433"/>
        <v>0</v>
      </c>
      <c r="AI1114" s="147">
        <f t="shared" si="434"/>
        <v>0</v>
      </c>
      <c r="AJ1114" s="148" t="str">
        <f t="shared" si="427"/>
        <v>ja</v>
      </c>
      <c r="AK1114" s="149">
        <f t="shared" si="411"/>
        <v>0</v>
      </c>
      <c r="AL1114" s="149">
        <f t="shared" si="412"/>
        <v>0</v>
      </c>
      <c r="AM1114" s="149">
        <f t="shared" si="413"/>
        <v>0</v>
      </c>
      <c r="AN1114" s="149">
        <f t="shared" si="414"/>
        <v>0</v>
      </c>
      <c r="AO1114" s="150" t="str">
        <f t="shared" si="428"/>
        <v>V</v>
      </c>
      <c r="AQ1114" s="151">
        <f t="shared" si="429"/>
        <v>168630</v>
      </c>
    </row>
    <row r="1115" spans="1:43" ht="15" customHeight="1">
      <c r="A1115" s="82" t="e">
        <f t="shared" si="410"/>
        <v>#REF!</v>
      </c>
      <c r="B1115" s="152">
        <v>206</v>
      </c>
      <c r="C1115" s="153" t="s">
        <v>1345</v>
      </c>
      <c r="D1115" s="154" t="s">
        <v>1340</v>
      </c>
      <c r="E1115" s="155"/>
      <c r="F1115" s="64" t="s">
        <v>1355</v>
      </c>
      <c r="G1115" s="156" t="s">
        <v>333</v>
      </c>
      <c r="H1115" s="140" t="str">
        <f t="shared" si="415"/>
        <v>Trappen</v>
      </c>
      <c r="I1115" s="64" t="s">
        <v>1460</v>
      </c>
      <c r="J1115" s="64" t="s">
        <v>1170</v>
      </c>
      <c r="K1115" s="141" t="str">
        <f t="shared" si="416"/>
        <v>Volledig</v>
      </c>
      <c r="L1115" s="141" t="str">
        <f t="shared" si="417"/>
        <v>naloop</v>
      </c>
      <c r="M1115" s="141" t="str">
        <f t="shared" si="418"/>
        <v>naloop</v>
      </c>
      <c r="N1115" s="141" t="str">
        <f t="shared" si="419"/>
        <v>Volledig</v>
      </c>
      <c r="O1115" s="141" t="str">
        <f t="shared" si="420"/>
        <v>naloop</v>
      </c>
      <c r="P1115" s="141" t="str">
        <f t="shared" si="421"/>
        <v>naloop</v>
      </c>
      <c r="Q1115" s="141" t="str">
        <f t="shared" si="422"/>
        <v>naloop</v>
      </c>
      <c r="R1115" s="63" t="s">
        <v>1214</v>
      </c>
      <c r="S1115" s="142">
        <f t="shared" si="430"/>
        <v>365</v>
      </c>
      <c r="T1115" s="157">
        <v>64</v>
      </c>
      <c r="U1115" s="158"/>
      <c r="V1115" s="158"/>
      <c r="W1115" s="158"/>
      <c r="X1115" s="158"/>
      <c r="Y1115" s="158"/>
      <c r="Z1115" s="159"/>
      <c r="AA1115" s="159"/>
      <c r="AB1115" s="159"/>
      <c r="AC1115" s="159"/>
      <c r="AD1115" s="160"/>
      <c r="AE1115" s="171">
        <v>1</v>
      </c>
      <c r="AF1115" s="147">
        <f t="shared" si="431"/>
        <v>0</v>
      </c>
      <c r="AG1115" s="147">
        <f t="shared" si="432"/>
        <v>0</v>
      </c>
      <c r="AH1115" s="147">
        <f t="shared" si="433"/>
        <v>0</v>
      </c>
      <c r="AI1115" s="147">
        <f t="shared" si="434"/>
        <v>0</v>
      </c>
      <c r="AJ1115" s="148" t="str">
        <f t="shared" si="427"/>
        <v>ja</v>
      </c>
      <c r="AK1115" s="149">
        <f t="shared" si="411"/>
        <v>0</v>
      </c>
      <c r="AL1115" s="149">
        <f t="shared" si="412"/>
        <v>0</v>
      </c>
      <c r="AM1115" s="149">
        <f t="shared" si="413"/>
        <v>0</v>
      </c>
      <c r="AN1115" s="149">
        <f t="shared" si="414"/>
        <v>0</v>
      </c>
      <c r="AO1115" s="150" t="str">
        <f t="shared" si="428"/>
        <v>V</v>
      </c>
      <c r="AQ1115" s="151">
        <f t="shared" si="429"/>
        <v>23360</v>
      </c>
    </row>
    <row r="1116" spans="1:43" ht="15" customHeight="1">
      <c r="A1116" s="82" t="e">
        <f t="shared" si="410"/>
        <v>#REF!</v>
      </c>
      <c r="B1116" s="152">
        <v>206</v>
      </c>
      <c r="C1116" s="153" t="s">
        <v>1345</v>
      </c>
      <c r="D1116" s="154" t="s">
        <v>1340</v>
      </c>
      <c r="E1116" s="155"/>
      <c r="F1116" s="64" t="s">
        <v>6</v>
      </c>
      <c r="G1116" s="156" t="s">
        <v>116</v>
      </c>
      <c r="H1116" s="140" t="str">
        <f t="shared" si="415"/>
        <v>Liften</v>
      </c>
      <c r="I1116" s="64" t="s">
        <v>1461</v>
      </c>
      <c r="J1116" s="64" t="s">
        <v>1170</v>
      </c>
      <c r="K1116" s="141" t="str">
        <f t="shared" si="416"/>
        <v>Volledig</v>
      </c>
      <c r="L1116" s="141" t="str">
        <f t="shared" si="417"/>
        <v>naloop</v>
      </c>
      <c r="M1116" s="141" t="str">
        <f t="shared" si="418"/>
        <v>naloop</v>
      </c>
      <c r="N1116" s="141" t="str">
        <f t="shared" si="419"/>
        <v>Volledig</v>
      </c>
      <c r="O1116" s="141" t="str">
        <f t="shared" si="420"/>
        <v>naloop</v>
      </c>
      <c r="P1116" s="141" t="str">
        <f t="shared" si="421"/>
        <v>naloop</v>
      </c>
      <c r="Q1116" s="141" t="str">
        <f t="shared" si="422"/>
        <v>naloop</v>
      </c>
      <c r="R1116" s="63" t="s">
        <v>1212</v>
      </c>
      <c r="S1116" s="142">
        <f t="shared" si="430"/>
        <v>365</v>
      </c>
      <c r="T1116" s="157">
        <v>4</v>
      </c>
      <c r="U1116" s="158"/>
      <c r="V1116" s="158"/>
      <c r="W1116" s="158"/>
      <c r="X1116" s="158">
        <v>19</v>
      </c>
      <c r="Y1116" s="158"/>
      <c r="Z1116" s="159"/>
      <c r="AA1116" s="159"/>
      <c r="AB1116" s="159"/>
      <c r="AC1116" s="159"/>
      <c r="AD1116" s="160"/>
      <c r="AE1116" s="171">
        <v>1</v>
      </c>
      <c r="AF1116" s="147">
        <f t="shared" si="431"/>
        <v>0</v>
      </c>
      <c r="AG1116" s="147">
        <f t="shared" si="432"/>
        <v>0</v>
      </c>
      <c r="AH1116" s="147">
        <f t="shared" si="433"/>
        <v>0</v>
      </c>
      <c r="AI1116" s="147">
        <f t="shared" si="434"/>
        <v>0</v>
      </c>
      <c r="AJ1116" s="148" t="str">
        <f t="shared" si="427"/>
        <v>ja</v>
      </c>
      <c r="AK1116" s="149">
        <f t="shared" si="411"/>
        <v>0</v>
      </c>
      <c r="AL1116" s="149">
        <f t="shared" si="412"/>
        <v>0</v>
      </c>
      <c r="AM1116" s="149">
        <f t="shared" si="413"/>
        <v>0</v>
      </c>
      <c r="AN1116" s="149">
        <f t="shared" si="414"/>
        <v>0</v>
      </c>
      <c r="AO1116" s="150" t="str">
        <f t="shared" si="428"/>
        <v>V</v>
      </c>
      <c r="AQ1116" s="151">
        <f t="shared" si="429"/>
        <v>1460</v>
      </c>
    </row>
    <row r="1117" spans="1:43" ht="15" customHeight="1">
      <c r="A1117" s="82" t="e">
        <f t="shared" si="410"/>
        <v>#REF!</v>
      </c>
      <c r="B1117" s="152">
        <v>207</v>
      </c>
      <c r="C1117" s="153" t="s">
        <v>1346</v>
      </c>
      <c r="D1117" s="154" t="s">
        <v>1340</v>
      </c>
      <c r="E1117" s="155"/>
      <c r="F1117" s="64" t="s">
        <v>101</v>
      </c>
      <c r="G1117" s="156" t="s">
        <v>1353</v>
      </c>
      <c r="H1117" s="140" t="str">
        <f t="shared" si="415"/>
        <v>Perrons</v>
      </c>
      <c r="I1117" s="64" t="s">
        <v>1462</v>
      </c>
      <c r="J1117" s="64" t="s">
        <v>1170</v>
      </c>
      <c r="K1117" s="141" t="str">
        <f t="shared" si="416"/>
        <v>Volledig</v>
      </c>
      <c r="L1117" s="141" t="str">
        <f t="shared" si="417"/>
        <v>naloop</v>
      </c>
      <c r="M1117" s="141" t="str">
        <f t="shared" si="418"/>
        <v>naloop</v>
      </c>
      <c r="N1117" s="141" t="str">
        <f t="shared" si="419"/>
        <v>Volledig</v>
      </c>
      <c r="O1117" s="141" t="str">
        <f t="shared" si="420"/>
        <v>naloop</v>
      </c>
      <c r="P1117" s="141" t="str">
        <f t="shared" si="421"/>
        <v>naloop</v>
      </c>
      <c r="Q1117" s="141" t="str">
        <f t="shared" si="422"/>
        <v>naloop</v>
      </c>
      <c r="R1117" s="63" t="s">
        <v>1208</v>
      </c>
      <c r="S1117" s="142">
        <f t="shared" si="430"/>
        <v>365</v>
      </c>
      <c r="T1117" s="157">
        <v>532</v>
      </c>
      <c r="U1117" s="158"/>
      <c r="V1117" s="158"/>
      <c r="W1117" s="158">
        <v>177</v>
      </c>
      <c r="X1117" s="158">
        <v>13</v>
      </c>
      <c r="Y1117" s="158"/>
      <c r="Z1117" s="159"/>
      <c r="AA1117" s="159"/>
      <c r="AB1117" s="159"/>
      <c r="AC1117" s="159"/>
      <c r="AD1117" s="160"/>
      <c r="AE1117" s="171">
        <v>1</v>
      </c>
      <c r="AF1117" s="147">
        <f t="shared" si="431"/>
        <v>0</v>
      </c>
      <c r="AG1117" s="147">
        <f t="shared" si="432"/>
        <v>0</v>
      </c>
      <c r="AH1117" s="147">
        <f t="shared" si="433"/>
        <v>0</v>
      </c>
      <c r="AI1117" s="147">
        <f t="shared" si="434"/>
        <v>0</v>
      </c>
      <c r="AJ1117" s="148" t="str">
        <f t="shared" si="427"/>
        <v>ja</v>
      </c>
      <c r="AK1117" s="149">
        <f t="shared" si="411"/>
        <v>0</v>
      </c>
      <c r="AL1117" s="149">
        <f t="shared" si="412"/>
        <v>0</v>
      </c>
      <c r="AM1117" s="149">
        <f t="shared" si="413"/>
        <v>0</v>
      </c>
      <c r="AN1117" s="149">
        <f t="shared" si="414"/>
        <v>0</v>
      </c>
      <c r="AO1117" s="150" t="str">
        <f t="shared" si="428"/>
        <v>V</v>
      </c>
      <c r="AQ1117" s="151">
        <f t="shared" si="429"/>
        <v>194180</v>
      </c>
    </row>
    <row r="1118" spans="1:43" ht="15" customHeight="1">
      <c r="A1118" s="82" t="e">
        <f t="shared" si="410"/>
        <v>#REF!</v>
      </c>
      <c r="B1118" s="152">
        <v>207</v>
      </c>
      <c r="C1118" s="153" t="s">
        <v>1346</v>
      </c>
      <c r="D1118" s="154" t="s">
        <v>1340</v>
      </c>
      <c r="E1118" s="155"/>
      <c r="F1118" s="64" t="s">
        <v>169</v>
      </c>
      <c r="G1118" s="156" t="s">
        <v>1357</v>
      </c>
      <c r="H1118" s="140" t="str">
        <f t="shared" si="415"/>
        <v>Trappen</v>
      </c>
      <c r="I1118" s="64" t="s">
        <v>1460</v>
      </c>
      <c r="J1118" s="64" t="s">
        <v>1170</v>
      </c>
      <c r="K1118" s="141" t="str">
        <f t="shared" si="416"/>
        <v>Volledig</v>
      </c>
      <c r="L1118" s="141" t="str">
        <f t="shared" si="417"/>
        <v>naloop</v>
      </c>
      <c r="M1118" s="141" t="str">
        <f t="shared" si="418"/>
        <v>naloop</v>
      </c>
      <c r="N1118" s="141" t="str">
        <f t="shared" si="419"/>
        <v>Volledig</v>
      </c>
      <c r="O1118" s="141" t="str">
        <f t="shared" si="420"/>
        <v>naloop</v>
      </c>
      <c r="P1118" s="141" t="str">
        <f t="shared" si="421"/>
        <v>naloop</v>
      </c>
      <c r="Q1118" s="141" t="str">
        <f t="shared" si="422"/>
        <v>naloop</v>
      </c>
      <c r="R1118" s="63" t="s">
        <v>1214</v>
      </c>
      <c r="S1118" s="142">
        <f t="shared" si="430"/>
        <v>365</v>
      </c>
      <c r="T1118" s="157">
        <v>64</v>
      </c>
      <c r="U1118" s="158"/>
      <c r="V1118" s="158"/>
      <c r="W1118" s="158"/>
      <c r="X1118" s="158"/>
      <c r="Y1118" s="158"/>
      <c r="Z1118" s="159"/>
      <c r="AA1118" s="159"/>
      <c r="AB1118" s="159"/>
      <c r="AC1118" s="159"/>
      <c r="AD1118" s="160"/>
      <c r="AE1118" s="171">
        <v>1</v>
      </c>
      <c r="AF1118" s="147">
        <f t="shared" si="431"/>
        <v>0</v>
      </c>
      <c r="AG1118" s="147">
        <f t="shared" si="432"/>
        <v>0</v>
      </c>
      <c r="AH1118" s="147">
        <f t="shared" si="433"/>
        <v>0</v>
      </c>
      <c r="AI1118" s="147">
        <f t="shared" si="434"/>
        <v>0</v>
      </c>
      <c r="AJ1118" s="148" t="str">
        <f t="shared" si="427"/>
        <v>ja</v>
      </c>
      <c r="AK1118" s="149">
        <f t="shared" si="411"/>
        <v>0</v>
      </c>
      <c r="AL1118" s="149">
        <f t="shared" si="412"/>
        <v>0</v>
      </c>
      <c r="AM1118" s="149">
        <f t="shared" si="413"/>
        <v>0</v>
      </c>
      <c r="AN1118" s="149">
        <f t="shared" si="414"/>
        <v>0</v>
      </c>
      <c r="AO1118" s="150" t="str">
        <f t="shared" si="428"/>
        <v>V</v>
      </c>
      <c r="AQ1118" s="151">
        <f t="shared" si="429"/>
        <v>23360</v>
      </c>
    </row>
    <row r="1119" spans="1:43" ht="15" customHeight="1">
      <c r="A1119" s="82" t="e">
        <f t="shared" si="410"/>
        <v>#REF!</v>
      </c>
      <c r="B1119" s="152">
        <v>207</v>
      </c>
      <c r="C1119" s="153" t="s">
        <v>1346</v>
      </c>
      <c r="D1119" s="154" t="s">
        <v>1340</v>
      </c>
      <c r="E1119" s="155"/>
      <c r="F1119" s="64" t="s">
        <v>6</v>
      </c>
      <c r="G1119" s="156" t="s">
        <v>116</v>
      </c>
      <c r="H1119" s="140" t="str">
        <f t="shared" si="415"/>
        <v>Liften</v>
      </c>
      <c r="I1119" s="64" t="s">
        <v>1461</v>
      </c>
      <c r="J1119" s="64" t="s">
        <v>1170</v>
      </c>
      <c r="K1119" s="141" t="str">
        <f t="shared" si="416"/>
        <v>Volledig</v>
      </c>
      <c r="L1119" s="141" t="str">
        <f t="shared" si="417"/>
        <v>naloop</v>
      </c>
      <c r="M1119" s="141" t="str">
        <f t="shared" si="418"/>
        <v>naloop</v>
      </c>
      <c r="N1119" s="141" t="str">
        <f t="shared" si="419"/>
        <v>Volledig</v>
      </c>
      <c r="O1119" s="141" t="str">
        <f t="shared" si="420"/>
        <v>naloop</v>
      </c>
      <c r="P1119" s="141" t="str">
        <f t="shared" si="421"/>
        <v>naloop</v>
      </c>
      <c r="Q1119" s="141" t="str">
        <f t="shared" si="422"/>
        <v>naloop</v>
      </c>
      <c r="R1119" s="63" t="s">
        <v>1212</v>
      </c>
      <c r="S1119" s="142">
        <f t="shared" si="430"/>
        <v>365</v>
      </c>
      <c r="T1119" s="157">
        <v>4</v>
      </c>
      <c r="U1119" s="158"/>
      <c r="V1119" s="158"/>
      <c r="W1119" s="158"/>
      <c r="X1119" s="158">
        <v>19</v>
      </c>
      <c r="Y1119" s="158"/>
      <c r="Z1119" s="159"/>
      <c r="AA1119" s="159"/>
      <c r="AB1119" s="159"/>
      <c r="AC1119" s="159"/>
      <c r="AD1119" s="160"/>
      <c r="AE1119" s="171">
        <v>1</v>
      </c>
      <c r="AF1119" s="147">
        <f t="shared" si="431"/>
        <v>0</v>
      </c>
      <c r="AG1119" s="147">
        <f t="shared" si="432"/>
        <v>0</v>
      </c>
      <c r="AH1119" s="147">
        <f t="shared" si="433"/>
        <v>0</v>
      </c>
      <c r="AI1119" s="147">
        <f t="shared" si="434"/>
        <v>0</v>
      </c>
      <c r="AJ1119" s="148" t="str">
        <f t="shared" si="427"/>
        <v>ja</v>
      </c>
      <c r="AK1119" s="149">
        <f t="shared" si="411"/>
        <v>0</v>
      </c>
      <c r="AL1119" s="149">
        <f t="shared" si="412"/>
        <v>0</v>
      </c>
      <c r="AM1119" s="149">
        <f t="shared" si="413"/>
        <v>0</v>
      </c>
      <c r="AN1119" s="149">
        <f t="shared" si="414"/>
        <v>0</v>
      </c>
      <c r="AO1119" s="150" t="str">
        <f t="shared" si="428"/>
        <v>V</v>
      </c>
      <c r="AQ1119" s="151">
        <f t="shared" si="429"/>
        <v>1460</v>
      </c>
    </row>
    <row r="1120" spans="1:43" ht="15" customHeight="1">
      <c r="A1120" s="82" t="e">
        <f t="shared" si="410"/>
        <v>#REF!</v>
      </c>
      <c r="B1120" s="152">
        <v>208</v>
      </c>
      <c r="C1120" s="153" t="s">
        <v>1451</v>
      </c>
      <c r="D1120" s="154" t="s">
        <v>1340</v>
      </c>
      <c r="E1120" s="155"/>
      <c r="F1120" s="64" t="s">
        <v>101</v>
      </c>
      <c r="G1120" s="156" t="s">
        <v>1352</v>
      </c>
      <c r="H1120" s="140" t="str">
        <f t="shared" si="415"/>
        <v>Perrons</v>
      </c>
      <c r="I1120" s="64" t="s">
        <v>1459</v>
      </c>
      <c r="J1120" s="64" t="s">
        <v>1170</v>
      </c>
      <c r="K1120" s="141" t="str">
        <f t="shared" si="416"/>
        <v>Volledig</v>
      </c>
      <c r="L1120" s="141" t="str">
        <f t="shared" si="417"/>
        <v>naloop</v>
      </c>
      <c r="M1120" s="141" t="str">
        <f t="shared" si="418"/>
        <v>naloop</v>
      </c>
      <c r="N1120" s="141" t="str">
        <f t="shared" si="419"/>
        <v>Volledig</v>
      </c>
      <c r="O1120" s="141" t="str">
        <f t="shared" si="420"/>
        <v>naloop</v>
      </c>
      <c r="P1120" s="141" t="str">
        <f t="shared" si="421"/>
        <v>naloop</v>
      </c>
      <c r="Q1120" s="141" t="str">
        <f t="shared" si="422"/>
        <v>naloop</v>
      </c>
      <c r="R1120" s="63" t="s">
        <v>1208</v>
      </c>
      <c r="S1120" s="142">
        <f t="shared" si="430"/>
        <v>365</v>
      </c>
      <c r="T1120" s="157">
        <v>609</v>
      </c>
      <c r="U1120" s="158"/>
      <c r="V1120" s="158"/>
      <c r="W1120" s="158"/>
      <c r="X1120" s="158"/>
      <c r="Y1120" s="158"/>
      <c r="Z1120" s="159"/>
      <c r="AA1120" s="159"/>
      <c r="AB1120" s="159"/>
      <c r="AC1120" s="159"/>
      <c r="AD1120" s="160"/>
      <c r="AE1120" s="171">
        <v>1</v>
      </c>
      <c r="AF1120" s="147">
        <f t="shared" si="431"/>
        <v>0</v>
      </c>
      <c r="AG1120" s="147">
        <f t="shared" si="432"/>
        <v>0</v>
      </c>
      <c r="AH1120" s="147">
        <f t="shared" si="433"/>
        <v>0</v>
      </c>
      <c r="AI1120" s="147">
        <f t="shared" si="434"/>
        <v>0</v>
      </c>
      <c r="AJ1120" s="148" t="str">
        <f t="shared" si="427"/>
        <v>ja</v>
      </c>
      <c r="AK1120" s="149">
        <f t="shared" si="411"/>
        <v>0</v>
      </c>
      <c r="AL1120" s="149">
        <f t="shared" si="412"/>
        <v>0</v>
      </c>
      <c r="AM1120" s="149">
        <f t="shared" si="413"/>
        <v>0</v>
      </c>
      <c r="AN1120" s="149">
        <f t="shared" si="414"/>
        <v>0</v>
      </c>
      <c r="AO1120" s="150" t="str">
        <f t="shared" si="428"/>
        <v>V</v>
      </c>
      <c r="AQ1120" s="151">
        <f t="shared" si="429"/>
        <v>222285</v>
      </c>
    </row>
    <row r="1121" spans="1:43" ht="15" customHeight="1">
      <c r="A1121" s="82" t="e">
        <f t="shared" si="410"/>
        <v>#REF!</v>
      </c>
      <c r="B1121" s="152">
        <v>209</v>
      </c>
      <c r="C1121" s="153" t="s">
        <v>1452</v>
      </c>
      <c r="D1121" s="154" t="s">
        <v>1340</v>
      </c>
      <c r="E1121" s="155"/>
      <c r="F1121" s="64" t="s">
        <v>101</v>
      </c>
      <c r="G1121" s="156" t="s">
        <v>1353</v>
      </c>
      <c r="H1121" s="140" t="str">
        <f t="shared" si="415"/>
        <v>Perrons</v>
      </c>
      <c r="I1121" s="64" t="s">
        <v>1463</v>
      </c>
      <c r="J1121" s="64" t="s">
        <v>1170</v>
      </c>
      <c r="K1121" s="141" t="str">
        <f t="shared" si="416"/>
        <v>Volledig</v>
      </c>
      <c r="L1121" s="141" t="str">
        <f t="shared" si="417"/>
        <v>naloop</v>
      </c>
      <c r="M1121" s="141" t="str">
        <f t="shared" si="418"/>
        <v>naloop</v>
      </c>
      <c r="N1121" s="141" t="str">
        <f t="shared" si="419"/>
        <v>Volledig</v>
      </c>
      <c r="O1121" s="141" t="str">
        <f t="shared" si="420"/>
        <v>naloop</v>
      </c>
      <c r="P1121" s="141" t="str">
        <f t="shared" si="421"/>
        <v>naloop</v>
      </c>
      <c r="Q1121" s="141" t="str">
        <f t="shared" si="422"/>
        <v>naloop</v>
      </c>
      <c r="R1121" s="63" t="s">
        <v>1208</v>
      </c>
      <c r="S1121" s="142">
        <f t="shared" si="430"/>
        <v>365</v>
      </c>
      <c r="T1121" s="157">
        <v>836</v>
      </c>
      <c r="U1121" s="158"/>
      <c r="V1121" s="158"/>
      <c r="W1121" s="158"/>
      <c r="X1121" s="158">
        <v>104</v>
      </c>
      <c r="Y1121" s="158"/>
      <c r="Z1121" s="159"/>
      <c r="AA1121" s="159">
        <v>40</v>
      </c>
      <c r="AB1121" s="159"/>
      <c r="AC1121" s="159"/>
      <c r="AD1121" s="160"/>
      <c r="AE1121" s="171">
        <v>1</v>
      </c>
      <c r="AF1121" s="147">
        <f t="shared" si="431"/>
        <v>0</v>
      </c>
      <c r="AG1121" s="147">
        <f t="shared" si="432"/>
        <v>0</v>
      </c>
      <c r="AH1121" s="147">
        <f t="shared" si="433"/>
        <v>0</v>
      </c>
      <c r="AI1121" s="147">
        <f t="shared" si="434"/>
        <v>0</v>
      </c>
      <c r="AJ1121" s="148" t="str">
        <f t="shared" si="427"/>
        <v>ja</v>
      </c>
      <c r="AK1121" s="149">
        <f t="shared" si="411"/>
        <v>0</v>
      </c>
      <c r="AL1121" s="149">
        <f t="shared" si="412"/>
        <v>0</v>
      </c>
      <c r="AM1121" s="149">
        <f t="shared" si="413"/>
        <v>0</v>
      </c>
      <c r="AN1121" s="149">
        <f t="shared" si="414"/>
        <v>0</v>
      </c>
      <c r="AO1121" s="150" t="str">
        <f t="shared" si="428"/>
        <v>V</v>
      </c>
      <c r="AQ1121" s="151">
        <f t="shared" si="429"/>
        <v>305140</v>
      </c>
    </row>
    <row r="1122" spans="1:43" ht="15" customHeight="1">
      <c r="A1122" s="82" t="e">
        <f t="shared" si="410"/>
        <v>#REF!</v>
      </c>
      <c r="B1122" s="152">
        <v>209</v>
      </c>
      <c r="C1122" s="153" t="s">
        <v>1452</v>
      </c>
      <c r="D1122" s="154" t="s">
        <v>1340</v>
      </c>
      <c r="E1122" s="155"/>
      <c r="F1122" s="64" t="s">
        <v>169</v>
      </c>
      <c r="G1122" s="156" t="s">
        <v>1357</v>
      </c>
      <c r="H1122" s="140" t="str">
        <f t="shared" si="415"/>
        <v>Trappen</v>
      </c>
      <c r="I1122" s="64" t="s">
        <v>1460</v>
      </c>
      <c r="J1122" s="64" t="s">
        <v>1170</v>
      </c>
      <c r="K1122" s="141" t="str">
        <f t="shared" si="416"/>
        <v>Volledig</v>
      </c>
      <c r="L1122" s="141" t="str">
        <f t="shared" si="417"/>
        <v>naloop</v>
      </c>
      <c r="M1122" s="141" t="str">
        <f t="shared" si="418"/>
        <v>naloop</v>
      </c>
      <c r="N1122" s="141" t="str">
        <f t="shared" si="419"/>
        <v>Volledig</v>
      </c>
      <c r="O1122" s="141" t="str">
        <f t="shared" si="420"/>
        <v>naloop</v>
      </c>
      <c r="P1122" s="141" t="str">
        <f t="shared" si="421"/>
        <v>naloop</v>
      </c>
      <c r="Q1122" s="141" t="str">
        <f t="shared" si="422"/>
        <v>naloop</v>
      </c>
      <c r="R1122" s="63" t="s">
        <v>1214</v>
      </c>
      <c r="S1122" s="142">
        <f t="shared" si="430"/>
        <v>365</v>
      </c>
      <c r="T1122" s="157">
        <v>63</v>
      </c>
      <c r="U1122" s="158"/>
      <c r="V1122" s="158"/>
      <c r="W1122" s="158"/>
      <c r="X1122" s="158"/>
      <c r="Y1122" s="158"/>
      <c r="Z1122" s="159"/>
      <c r="AA1122" s="159"/>
      <c r="AB1122" s="159"/>
      <c r="AC1122" s="159"/>
      <c r="AD1122" s="160"/>
      <c r="AE1122" s="171">
        <v>1</v>
      </c>
      <c r="AF1122" s="147">
        <f t="shared" si="431"/>
        <v>0</v>
      </c>
      <c r="AG1122" s="147">
        <f t="shared" si="432"/>
        <v>0</v>
      </c>
      <c r="AH1122" s="147">
        <f t="shared" si="433"/>
        <v>0</v>
      </c>
      <c r="AI1122" s="147">
        <f t="shared" si="434"/>
        <v>0</v>
      </c>
      <c r="AJ1122" s="148" t="str">
        <f t="shared" si="427"/>
        <v>ja</v>
      </c>
      <c r="AK1122" s="149">
        <f t="shared" si="411"/>
        <v>0</v>
      </c>
      <c r="AL1122" s="149">
        <f t="shared" si="412"/>
        <v>0</v>
      </c>
      <c r="AM1122" s="149">
        <f t="shared" si="413"/>
        <v>0</v>
      </c>
      <c r="AN1122" s="149">
        <f t="shared" si="414"/>
        <v>0</v>
      </c>
      <c r="AO1122" s="150" t="str">
        <f t="shared" si="428"/>
        <v>V</v>
      </c>
      <c r="AQ1122" s="151">
        <f t="shared" si="429"/>
        <v>22995</v>
      </c>
    </row>
    <row r="1123" spans="1:43" ht="15" customHeight="1">
      <c r="A1123" s="82" t="e">
        <f t="shared" si="410"/>
        <v>#REF!</v>
      </c>
      <c r="B1123" s="152">
        <v>209</v>
      </c>
      <c r="C1123" s="153" t="s">
        <v>1452</v>
      </c>
      <c r="D1123" s="154" t="s">
        <v>1340</v>
      </c>
      <c r="E1123" s="155"/>
      <c r="F1123" s="64" t="s">
        <v>6</v>
      </c>
      <c r="G1123" s="156" t="s">
        <v>116</v>
      </c>
      <c r="H1123" s="140" t="str">
        <f t="shared" si="415"/>
        <v>Liften</v>
      </c>
      <c r="I1123" s="64" t="s">
        <v>1461</v>
      </c>
      <c r="J1123" s="64" t="s">
        <v>1170</v>
      </c>
      <c r="K1123" s="141" t="str">
        <f t="shared" si="416"/>
        <v>Volledig</v>
      </c>
      <c r="L1123" s="141" t="str">
        <f t="shared" si="417"/>
        <v>naloop</v>
      </c>
      <c r="M1123" s="141" t="str">
        <f t="shared" si="418"/>
        <v>naloop</v>
      </c>
      <c r="N1123" s="141" t="str">
        <f t="shared" si="419"/>
        <v>Volledig</v>
      </c>
      <c r="O1123" s="141" t="str">
        <f t="shared" si="420"/>
        <v>naloop</v>
      </c>
      <c r="P1123" s="141" t="str">
        <f t="shared" si="421"/>
        <v>naloop</v>
      </c>
      <c r="Q1123" s="141" t="str">
        <f t="shared" si="422"/>
        <v>naloop</v>
      </c>
      <c r="R1123" s="63" t="s">
        <v>1212</v>
      </c>
      <c r="S1123" s="142">
        <f t="shared" si="430"/>
        <v>365</v>
      </c>
      <c r="T1123" s="157">
        <v>4</v>
      </c>
      <c r="U1123" s="158"/>
      <c r="V1123" s="158"/>
      <c r="W1123" s="158"/>
      <c r="X1123" s="158"/>
      <c r="Y1123" s="158"/>
      <c r="Z1123" s="159"/>
      <c r="AA1123" s="159"/>
      <c r="AB1123" s="159"/>
      <c r="AC1123" s="159"/>
      <c r="AD1123" s="160"/>
      <c r="AE1123" s="171">
        <v>1</v>
      </c>
      <c r="AF1123" s="147">
        <f t="shared" si="431"/>
        <v>0</v>
      </c>
      <c r="AG1123" s="147">
        <f t="shared" si="432"/>
        <v>0</v>
      </c>
      <c r="AH1123" s="147">
        <f t="shared" si="433"/>
        <v>0</v>
      </c>
      <c r="AI1123" s="147">
        <f t="shared" si="434"/>
        <v>0</v>
      </c>
      <c r="AJ1123" s="148" t="str">
        <f t="shared" si="427"/>
        <v>ja</v>
      </c>
      <c r="AK1123" s="149">
        <f t="shared" si="411"/>
        <v>0</v>
      </c>
      <c r="AL1123" s="149">
        <f t="shared" si="412"/>
        <v>0</v>
      </c>
      <c r="AM1123" s="149">
        <f t="shared" si="413"/>
        <v>0</v>
      </c>
      <c r="AN1123" s="149">
        <f t="shared" si="414"/>
        <v>0</v>
      </c>
      <c r="AO1123" s="150" t="str">
        <f t="shared" si="428"/>
        <v>V</v>
      </c>
      <c r="AQ1123" s="151">
        <f t="shared" si="429"/>
        <v>1460</v>
      </c>
    </row>
    <row r="1124" spans="1:43" ht="15" customHeight="1">
      <c r="A1124" s="82" t="e">
        <f t="shared" si="410"/>
        <v>#REF!</v>
      </c>
      <c r="B1124" s="152">
        <v>210</v>
      </c>
      <c r="C1124" s="153" t="s">
        <v>1453</v>
      </c>
      <c r="D1124" s="154" t="s">
        <v>1340</v>
      </c>
      <c r="E1124" s="155"/>
      <c r="F1124" s="64" t="s">
        <v>101</v>
      </c>
      <c r="G1124" s="156" t="s">
        <v>1353</v>
      </c>
      <c r="H1124" s="140" t="str">
        <f t="shared" si="415"/>
        <v>Perrons</v>
      </c>
      <c r="I1124" s="64" t="s">
        <v>1463</v>
      </c>
      <c r="J1124" s="64" t="s">
        <v>1170</v>
      </c>
      <c r="K1124" s="141" t="str">
        <f t="shared" si="416"/>
        <v>Volledig</v>
      </c>
      <c r="L1124" s="141" t="str">
        <f t="shared" si="417"/>
        <v>naloop</v>
      </c>
      <c r="M1124" s="141" t="str">
        <f t="shared" si="418"/>
        <v>naloop</v>
      </c>
      <c r="N1124" s="141" t="str">
        <f t="shared" si="419"/>
        <v>Volledig</v>
      </c>
      <c r="O1124" s="141" t="str">
        <f t="shared" si="420"/>
        <v>naloop</v>
      </c>
      <c r="P1124" s="141" t="str">
        <f t="shared" si="421"/>
        <v>naloop</v>
      </c>
      <c r="Q1124" s="141" t="str">
        <f t="shared" si="422"/>
        <v>naloop</v>
      </c>
      <c r="R1124" s="63" t="s">
        <v>1208</v>
      </c>
      <c r="S1124" s="142">
        <f t="shared" si="430"/>
        <v>365</v>
      </c>
      <c r="T1124" s="157">
        <v>581</v>
      </c>
      <c r="U1124" s="158"/>
      <c r="V1124" s="158"/>
      <c r="W1124" s="158"/>
      <c r="X1124" s="158">
        <v>120</v>
      </c>
      <c r="Y1124" s="158"/>
      <c r="Z1124" s="159"/>
      <c r="AA1124" s="159">
        <v>151</v>
      </c>
      <c r="AB1124" s="159"/>
      <c r="AC1124" s="159"/>
      <c r="AD1124" s="160"/>
      <c r="AE1124" s="171">
        <v>1</v>
      </c>
      <c r="AF1124" s="147">
        <f t="shared" si="431"/>
        <v>0</v>
      </c>
      <c r="AG1124" s="147">
        <f t="shared" si="432"/>
        <v>0</v>
      </c>
      <c r="AH1124" s="147">
        <f t="shared" si="433"/>
        <v>0</v>
      </c>
      <c r="AI1124" s="147">
        <f t="shared" si="434"/>
        <v>0</v>
      </c>
      <c r="AJ1124" s="148" t="str">
        <f t="shared" si="427"/>
        <v>ja</v>
      </c>
      <c r="AK1124" s="149">
        <f t="shared" si="411"/>
        <v>0</v>
      </c>
      <c r="AL1124" s="149">
        <f t="shared" si="412"/>
        <v>0</v>
      </c>
      <c r="AM1124" s="149">
        <f t="shared" si="413"/>
        <v>0</v>
      </c>
      <c r="AN1124" s="149">
        <f t="shared" si="414"/>
        <v>0</v>
      </c>
      <c r="AO1124" s="150" t="str">
        <f t="shared" si="428"/>
        <v>V</v>
      </c>
      <c r="AQ1124" s="151">
        <f t="shared" si="429"/>
        <v>212065</v>
      </c>
    </row>
    <row r="1125" spans="1:43" ht="15" customHeight="1">
      <c r="A1125" s="82" t="e">
        <f t="shared" si="410"/>
        <v>#REF!</v>
      </c>
      <c r="B1125" s="152">
        <v>210</v>
      </c>
      <c r="C1125" s="153" t="s">
        <v>1453</v>
      </c>
      <c r="D1125" s="154" t="s">
        <v>1340</v>
      </c>
      <c r="E1125" s="155"/>
      <c r="F1125" s="64" t="s">
        <v>169</v>
      </c>
      <c r="G1125" s="156" t="s">
        <v>1357</v>
      </c>
      <c r="H1125" s="140" t="str">
        <f t="shared" si="415"/>
        <v>Trappen</v>
      </c>
      <c r="I1125" s="64" t="s">
        <v>1460</v>
      </c>
      <c r="J1125" s="64" t="s">
        <v>1170</v>
      </c>
      <c r="K1125" s="141" t="str">
        <f t="shared" si="416"/>
        <v>Volledig</v>
      </c>
      <c r="L1125" s="141" t="str">
        <f t="shared" si="417"/>
        <v>naloop</v>
      </c>
      <c r="M1125" s="141" t="str">
        <f t="shared" si="418"/>
        <v>naloop</v>
      </c>
      <c r="N1125" s="141" t="str">
        <f t="shared" si="419"/>
        <v>Volledig</v>
      </c>
      <c r="O1125" s="141" t="str">
        <f t="shared" si="420"/>
        <v>naloop</v>
      </c>
      <c r="P1125" s="141" t="str">
        <f t="shared" si="421"/>
        <v>naloop</v>
      </c>
      <c r="Q1125" s="141" t="str">
        <f t="shared" si="422"/>
        <v>naloop</v>
      </c>
      <c r="R1125" s="63" t="s">
        <v>1214</v>
      </c>
      <c r="S1125" s="142">
        <f t="shared" si="430"/>
        <v>365</v>
      </c>
      <c r="T1125" s="157">
        <v>77</v>
      </c>
      <c r="U1125" s="158"/>
      <c r="V1125" s="158"/>
      <c r="W1125" s="158"/>
      <c r="X1125" s="158"/>
      <c r="Y1125" s="158"/>
      <c r="Z1125" s="159"/>
      <c r="AA1125" s="159"/>
      <c r="AB1125" s="159"/>
      <c r="AC1125" s="159"/>
      <c r="AD1125" s="160"/>
      <c r="AE1125" s="171">
        <v>1</v>
      </c>
      <c r="AF1125" s="147">
        <f t="shared" si="431"/>
        <v>0</v>
      </c>
      <c r="AG1125" s="147">
        <f t="shared" si="432"/>
        <v>0</v>
      </c>
      <c r="AH1125" s="147">
        <f t="shared" si="433"/>
        <v>0</v>
      </c>
      <c r="AI1125" s="147">
        <f t="shared" si="434"/>
        <v>0</v>
      </c>
      <c r="AJ1125" s="148" t="str">
        <f t="shared" si="427"/>
        <v>ja</v>
      </c>
      <c r="AK1125" s="149">
        <f t="shared" si="411"/>
        <v>0</v>
      </c>
      <c r="AL1125" s="149">
        <f t="shared" si="412"/>
        <v>0</v>
      </c>
      <c r="AM1125" s="149">
        <f t="shared" si="413"/>
        <v>0</v>
      </c>
      <c r="AN1125" s="149">
        <f t="shared" si="414"/>
        <v>0</v>
      </c>
      <c r="AO1125" s="150" t="str">
        <f t="shared" si="428"/>
        <v>V</v>
      </c>
      <c r="AQ1125" s="151">
        <f t="shared" si="429"/>
        <v>28105</v>
      </c>
    </row>
    <row r="1126" spans="1:43" ht="15" customHeight="1">
      <c r="A1126" s="82" t="e">
        <f t="shared" si="410"/>
        <v>#REF!</v>
      </c>
      <c r="B1126" s="152">
        <v>210</v>
      </c>
      <c r="C1126" s="153" t="s">
        <v>1453</v>
      </c>
      <c r="D1126" s="154" t="s">
        <v>1340</v>
      </c>
      <c r="E1126" s="155"/>
      <c r="F1126" s="64" t="s">
        <v>6</v>
      </c>
      <c r="G1126" s="156" t="s">
        <v>116</v>
      </c>
      <c r="H1126" s="140" t="str">
        <f t="shared" si="415"/>
        <v>Liften</v>
      </c>
      <c r="I1126" s="64" t="s">
        <v>1461</v>
      </c>
      <c r="J1126" s="64" t="s">
        <v>1170</v>
      </c>
      <c r="K1126" s="141" t="str">
        <f t="shared" si="416"/>
        <v>Volledig</v>
      </c>
      <c r="L1126" s="141" t="str">
        <f t="shared" si="417"/>
        <v>naloop</v>
      </c>
      <c r="M1126" s="141" t="str">
        <f t="shared" si="418"/>
        <v>naloop</v>
      </c>
      <c r="N1126" s="141" t="str">
        <f t="shared" si="419"/>
        <v>Volledig</v>
      </c>
      <c r="O1126" s="141" t="str">
        <f t="shared" si="420"/>
        <v>naloop</v>
      </c>
      <c r="P1126" s="141" t="str">
        <f t="shared" si="421"/>
        <v>naloop</v>
      </c>
      <c r="Q1126" s="141" t="str">
        <f t="shared" si="422"/>
        <v>naloop</v>
      </c>
      <c r="R1126" s="63" t="s">
        <v>1212</v>
      </c>
      <c r="S1126" s="142">
        <f t="shared" si="430"/>
        <v>365</v>
      </c>
      <c r="T1126" s="157">
        <v>4</v>
      </c>
      <c r="U1126" s="158"/>
      <c r="V1126" s="158"/>
      <c r="W1126" s="158"/>
      <c r="X1126" s="158">
        <v>19</v>
      </c>
      <c r="Y1126" s="158"/>
      <c r="Z1126" s="159"/>
      <c r="AA1126" s="159"/>
      <c r="AB1126" s="159"/>
      <c r="AC1126" s="159"/>
      <c r="AD1126" s="160"/>
      <c r="AE1126" s="171">
        <v>1</v>
      </c>
      <c r="AF1126" s="147">
        <f t="shared" si="431"/>
        <v>0</v>
      </c>
      <c r="AG1126" s="147">
        <f t="shared" si="432"/>
        <v>0</v>
      </c>
      <c r="AH1126" s="147">
        <f t="shared" si="433"/>
        <v>0</v>
      </c>
      <c r="AI1126" s="147">
        <f t="shared" si="434"/>
        <v>0</v>
      </c>
      <c r="AJ1126" s="148" t="str">
        <f t="shared" si="427"/>
        <v>ja</v>
      </c>
      <c r="AK1126" s="149">
        <f t="shared" si="411"/>
        <v>0</v>
      </c>
      <c r="AL1126" s="149">
        <f t="shared" si="412"/>
        <v>0</v>
      </c>
      <c r="AM1126" s="149">
        <f t="shared" si="413"/>
        <v>0</v>
      </c>
      <c r="AN1126" s="149">
        <f t="shared" si="414"/>
        <v>0</v>
      </c>
      <c r="AO1126" s="150" t="str">
        <f t="shared" si="428"/>
        <v>V</v>
      </c>
      <c r="AQ1126" s="151">
        <f t="shared" si="429"/>
        <v>1460</v>
      </c>
    </row>
    <row r="1127" spans="1:43" ht="15" customHeight="1">
      <c r="A1127" s="82" t="e">
        <f t="shared" ref="A1127:A1187" si="435">1+A1126</f>
        <v>#REF!</v>
      </c>
      <c r="B1127" s="152">
        <v>211</v>
      </c>
      <c r="C1127" s="153" t="s">
        <v>1454</v>
      </c>
      <c r="D1127" s="154" t="s">
        <v>1340</v>
      </c>
      <c r="E1127" s="155"/>
      <c r="F1127" s="64" t="s">
        <v>101</v>
      </c>
      <c r="G1127" s="156" t="s">
        <v>1353</v>
      </c>
      <c r="H1127" s="140" t="str">
        <f t="shared" si="415"/>
        <v>Perrons</v>
      </c>
      <c r="I1127" s="64" t="s">
        <v>1459</v>
      </c>
      <c r="J1127" s="64" t="s">
        <v>1170</v>
      </c>
      <c r="K1127" s="141" t="str">
        <f t="shared" si="416"/>
        <v>Volledig</v>
      </c>
      <c r="L1127" s="141" t="str">
        <f t="shared" si="417"/>
        <v>naloop</v>
      </c>
      <c r="M1127" s="141" t="str">
        <f t="shared" si="418"/>
        <v>naloop</v>
      </c>
      <c r="N1127" s="141" t="str">
        <f t="shared" si="419"/>
        <v>Volledig</v>
      </c>
      <c r="O1127" s="141" t="str">
        <f t="shared" si="420"/>
        <v>naloop</v>
      </c>
      <c r="P1127" s="141" t="str">
        <f t="shared" si="421"/>
        <v>naloop</v>
      </c>
      <c r="Q1127" s="141" t="str">
        <f t="shared" si="422"/>
        <v>naloop</v>
      </c>
      <c r="R1127" s="63" t="s">
        <v>1208</v>
      </c>
      <c r="S1127" s="142">
        <f t="shared" si="430"/>
        <v>365</v>
      </c>
      <c r="T1127" s="157">
        <v>334</v>
      </c>
      <c r="U1127" s="158"/>
      <c r="V1127" s="158"/>
      <c r="W1127" s="158">
        <v>40</v>
      </c>
      <c r="X1127" s="158"/>
      <c r="Y1127" s="158"/>
      <c r="Z1127" s="159"/>
      <c r="AA1127" s="159"/>
      <c r="AB1127" s="159"/>
      <c r="AC1127" s="159"/>
      <c r="AD1127" s="160"/>
      <c r="AE1127" s="171">
        <v>1</v>
      </c>
      <c r="AF1127" s="147">
        <f t="shared" si="431"/>
        <v>0</v>
      </c>
      <c r="AG1127" s="147">
        <f t="shared" si="432"/>
        <v>0</v>
      </c>
      <c r="AH1127" s="147">
        <f t="shared" si="433"/>
        <v>0</v>
      </c>
      <c r="AI1127" s="147">
        <f t="shared" si="434"/>
        <v>0</v>
      </c>
      <c r="AJ1127" s="148" t="str">
        <f t="shared" si="427"/>
        <v>ja</v>
      </c>
      <c r="AK1127" s="149">
        <f t="shared" ref="AK1127:AK1134" si="436">IF($R1127="",0,VLOOKUP($R1127,Kengetal,5,FALSE))</f>
        <v>0</v>
      </c>
      <c r="AL1127" s="149">
        <f t="shared" ref="AL1127:AL1134" si="437">IF($R1127="",0,VLOOKUP($R1127,Kengetal,6,FALSE))</f>
        <v>0</v>
      </c>
      <c r="AM1127" s="149">
        <f t="shared" ref="AM1127:AM1134" si="438">IF($R1127="",0,VLOOKUP($R1127,Kengetal,7,FALSE))</f>
        <v>0</v>
      </c>
      <c r="AN1127" s="149">
        <f t="shared" ref="AN1127:AN1134" si="439">IF($R1127="",0,VLOOKUP($R1127,Kengetal,8,FALSE))</f>
        <v>0</v>
      </c>
      <c r="AO1127" s="150" t="str">
        <f t="shared" si="428"/>
        <v>V</v>
      </c>
      <c r="AQ1127" s="151">
        <f t="shared" si="429"/>
        <v>121910</v>
      </c>
    </row>
    <row r="1128" spans="1:43" ht="15" customHeight="1">
      <c r="A1128" s="82" t="e">
        <f t="shared" si="435"/>
        <v>#REF!</v>
      </c>
      <c r="B1128" s="152">
        <v>211</v>
      </c>
      <c r="C1128" s="153" t="s">
        <v>1454</v>
      </c>
      <c r="D1128" s="154" t="s">
        <v>1340</v>
      </c>
      <c r="E1128" s="155"/>
      <c r="F1128" s="64" t="s">
        <v>169</v>
      </c>
      <c r="G1128" s="156" t="s">
        <v>1357</v>
      </c>
      <c r="H1128" s="140" t="str">
        <f t="shared" si="415"/>
        <v>Trappen</v>
      </c>
      <c r="I1128" s="64" t="s">
        <v>1460</v>
      </c>
      <c r="J1128" s="64" t="s">
        <v>1170</v>
      </c>
      <c r="K1128" s="141" t="str">
        <f t="shared" si="416"/>
        <v>Volledig</v>
      </c>
      <c r="L1128" s="141" t="str">
        <f t="shared" si="417"/>
        <v>naloop</v>
      </c>
      <c r="M1128" s="141" t="str">
        <f t="shared" si="418"/>
        <v>naloop</v>
      </c>
      <c r="N1128" s="141" t="str">
        <f t="shared" si="419"/>
        <v>Volledig</v>
      </c>
      <c r="O1128" s="141" t="str">
        <f t="shared" si="420"/>
        <v>naloop</v>
      </c>
      <c r="P1128" s="141" t="str">
        <f t="shared" si="421"/>
        <v>naloop</v>
      </c>
      <c r="Q1128" s="141" t="str">
        <f t="shared" si="422"/>
        <v>naloop</v>
      </c>
      <c r="R1128" s="63" t="s">
        <v>1214</v>
      </c>
      <c r="S1128" s="142">
        <f t="shared" si="430"/>
        <v>365</v>
      </c>
      <c r="T1128" s="157">
        <v>60</v>
      </c>
      <c r="U1128" s="158"/>
      <c r="V1128" s="158"/>
      <c r="W1128" s="158"/>
      <c r="X1128" s="158"/>
      <c r="Y1128" s="158"/>
      <c r="Z1128" s="159"/>
      <c r="AA1128" s="159"/>
      <c r="AB1128" s="159"/>
      <c r="AC1128" s="159"/>
      <c r="AD1128" s="160"/>
      <c r="AE1128" s="171">
        <v>1</v>
      </c>
      <c r="AF1128" s="147">
        <f t="shared" si="431"/>
        <v>0</v>
      </c>
      <c r="AG1128" s="147">
        <f t="shared" si="432"/>
        <v>0</v>
      </c>
      <c r="AH1128" s="147">
        <f t="shared" si="433"/>
        <v>0</v>
      </c>
      <c r="AI1128" s="147">
        <f t="shared" si="434"/>
        <v>0</v>
      </c>
      <c r="AJ1128" s="148" t="str">
        <f t="shared" si="427"/>
        <v>ja</v>
      </c>
      <c r="AK1128" s="149">
        <f t="shared" si="436"/>
        <v>0</v>
      </c>
      <c r="AL1128" s="149">
        <f t="shared" si="437"/>
        <v>0</v>
      </c>
      <c r="AM1128" s="149">
        <f t="shared" si="438"/>
        <v>0</v>
      </c>
      <c r="AN1128" s="149">
        <f t="shared" si="439"/>
        <v>0</v>
      </c>
      <c r="AO1128" s="150" t="str">
        <f t="shared" si="428"/>
        <v>V</v>
      </c>
      <c r="AQ1128" s="151">
        <f t="shared" si="429"/>
        <v>21900</v>
      </c>
    </row>
    <row r="1129" spans="1:43" ht="15" customHeight="1">
      <c r="A1129" s="82" t="e">
        <f t="shared" si="435"/>
        <v>#REF!</v>
      </c>
      <c r="B1129" s="152">
        <v>211</v>
      </c>
      <c r="C1129" s="153" t="s">
        <v>1454</v>
      </c>
      <c r="D1129" s="154" t="s">
        <v>1340</v>
      </c>
      <c r="E1129" s="155"/>
      <c r="F1129" s="64" t="s">
        <v>6</v>
      </c>
      <c r="G1129" s="156" t="s">
        <v>116</v>
      </c>
      <c r="H1129" s="140" t="str">
        <f t="shared" si="415"/>
        <v>Liften</v>
      </c>
      <c r="I1129" s="64" t="s">
        <v>1461</v>
      </c>
      <c r="J1129" s="64" t="s">
        <v>1170</v>
      </c>
      <c r="K1129" s="141" t="str">
        <f t="shared" si="416"/>
        <v>Volledig</v>
      </c>
      <c r="L1129" s="141" t="str">
        <f t="shared" si="417"/>
        <v>naloop</v>
      </c>
      <c r="M1129" s="141" t="str">
        <f t="shared" si="418"/>
        <v>naloop</v>
      </c>
      <c r="N1129" s="141" t="str">
        <f t="shared" si="419"/>
        <v>Volledig</v>
      </c>
      <c r="O1129" s="141" t="str">
        <f t="shared" si="420"/>
        <v>naloop</v>
      </c>
      <c r="P1129" s="141" t="str">
        <f t="shared" si="421"/>
        <v>naloop</v>
      </c>
      <c r="Q1129" s="141" t="str">
        <f t="shared" si="422"/>
        <v>naloop</v>
      </c>
      <c r="R1129" s="63" t="s">
        <v>1212</v>
      </c>
      <c r="S1129" s="142">
        <f t="shared" si="430"/>
        <v>365</v>
      </c>
      <c r="T1129" s="157">
        <v>4</v>
      </c>
      <c r="U1129" s="158"/>
      <c r="V1129" s="158"/>
      <c r="W1129" s="158"/>
      <c r="X1129" s="158"/>
      <c r="Y1129" s="158"/>
      <c r="Z1129" s="159"/>
      <c r="AA1129" s="159"/>
      <c r="AB1129" s="159"/>
      <c r="AC1129" s="159"/>
      <c r="AD1129" s="160"/>
      <c r="AE1129" s="171">
        <v>1</v>
      </c>
      <c r="AF1129" s="147">
        <f t="shared" si="431"/>
        <v>0</v>
      </c>
      <c r="AG1129" s="147">
        <f t="shared" si="432"/>
        <v>0</v>
      </c>
      <c r="AH1129" s="147">
        <f t="shared" si="433"/>
        <v>0</v>
      </c>
      <c r="AI1129" s="147">
        <f t="shared" si="434"/>
        <v>0</v>
      </c>
      <c r="AJ1129" s="148" t="str">
        <f t="shared" si="427"/>
        <v>ja</v>
      </c>
      <c r="AK1129" s="149">
        <f t="shared" si="436"/>
        <v>0</v>
      </c>
      <c r="AL1129" s="149">
        <f t="shared" si="437"/>
        <v>0</v>
      </c>
      <c r="AM1129" s="149">
        <f t="shared" si="438"/>
        <v>0</v>
      </c>
      <c r="AN1129" s="149">
        <f t="shared" si="439"/>
        <v>0</v>
      </c>
      <c r="AO1129" s="150" t="str">
        <f t="shared" si="428"/>
        <v>V</v>
      </c>
      <c r="AQ1129" s="151">
        <f t="shared" si="429"/>
        <v>1460</v>
      </c>
    </row>
    <row r="1130" spans="1:43" ht="15" customHeight="1">
      <c r="A1130" s="82" t="e">
        <f t="shared" si="435"/>
        <v>#REF!</v>
      </c>
      <c r="B1130" s="152">
        <v>212</v>
      </c>
      <c r="C1130" s="153" t="s">
        <v>1455</v>
      </c>
      <c r="D1130" s="154" t="s">
        <v>1340</v>
      </c>
      <c r="E1130" s="155"/>
      <c r="F1130" s="64" t="s">
        <v>101</v>
      </c>
      <c r="G1130" s="156" t="s">
        <v>1352</v>
      </c>
      <c r="H1130" s="140" t="str">
        <f t="shared" si="415"/>
        <v>Perrons</v>
      </c>
      <c r="I1130" s="64" t="s">
        <v>1463</v>
      </c>
      <c r="J1130" s="64" t="s">
        <v>1170</v>
      </c>
      <c r="K1130" s="141" t="str">
        <f t="shared" si="416"/>
        <v>Volledig</v>
      </c>
      <c r="L1130" s="141" t="str">
        <f t="shared" si="417"/>
        <v>naloop</v>
      </c>
      <c r="M1130" s="141" t="str">
        <f t="shared" si="418"/>
        <v>naloop</v>
      </c>
      <c r="N1130" s="141" t="str">
        <f t="shared" si="419"/>
        <v>Volledig</v>
      </c>
      <c r="O1130" s="141" t="str">
        <f t="shared" si="420"/>
        <v>naloop</v>
      </c>
      <c r="P1130" s="141" t="str">
        <f t="shared" si="421"/>
        <v>naloop</v>
      </c>
      <c r="Q1130" s="141" t="str">
        <f t="shared" si="422"/>
        <v>naloop</v>
      </c>
      <c r="R1130" s="63" t="s">
        <v>1208</v>
      </c>
      <c r="S1130" s="142">
        <f t="shared" si="430"/>
        <v>365</v>
      </c>
      <c r="T1130" s="157">
        <v>378</v>
      </c>
      <c r="U1130" s="158"/>
      <c r="V1130" s="158"/>
      <c r="W1130" s="158"/>
      <c r="X1130" s="158"/>
      <c r="Y1130" s="158"/>
      <c r="Z1130" s="159"/>
      <c r="AA1130" s="159"/>
      <c r="AB1130" s="159"/>
      <c r="AC1130" s="159"/>
      <c r="AD1130" s="160"/>
      <c r="AE1130" s="171">
        <v>1</v>
      </c>
      <c r="AF1130" s="147">
        <f t="shared" si="431"/>
        <v>0</v>
      </c>
      <c r="AG1130" s="147">
        <f t="shared" si="432"/>
        <v>0</v>
      </c>
      <c r="AH1130" s="147">
        <f t="shared" si="433"/>
        <v>0</v>
      </c>
      <c r="AI1130" s="147">
        <f t="shared" si="434"/>
        <v>0</v>
      </c>
      <c r="AJ1130" s="148" t="str">
        <f t="shared" si="427"/>
        <v>ja</v>
      </c>
      <c r="AK1130" s="149">
        <f t="shared" si="436"/>
        <v>0</v>
      </c>
      <c r="AL1130" s="149">
        <f t="shared" si="437"/>
        <v>0</v>
      </c>
      <c r="AM1130" s="149">
        <f t="shared" si="438"/>
        <v>0</v>
      </c>
      <c r="AN1130" s="149">
        <f t="shared" si="439"/>
        <v>0</v>
      </c>
      <c r="AO1130" s="150" t="str">
        <f t="shared" si="428"/>
        <v>V</v>
      </c>
      <c r="AQ1130" s="151">
        <f t="shared" si="429"/>
        <v>137970</v>
      </c>
    </row>
    <row r="1131" spans="1:43" ht="15" customHeight="1">
      <c r="A1131" s="82" t="e">
        <f t="shared" si="435"/>
        <v>#REF!</v>
      </c>
      <c r="B1131" s="152">
        <v>213</v>
      </c>
      <c r="C1131" s="153" t="s">
        <v>1456</v>
      </c>
      <c r="D1131" s="154" t="s">
        <v>1340</v>
      </c>
      <c r="E1131" s="155"/>
      <c r="F1131" s="64" t="s">
        <v>101</v>
      </c>
      <c r="G1131" s="156" t="s">
        <v>1352</v>
      </c>
      <c r="H1131" s="140" t="str">
        <f t="shared" si="415"/>
        <v>Perrons</v>
      </c>
      <c r="I1131" s="64" t="s">
        <v>1463</v>
      </c>
      <c r="J1131" s="64" t="s">
        <v>1170</v>
      </c>
      <c r="K1131" s="141" t="str">
        <f t="shared" si="416"/>
        <v>Volledig</v>
      </c>
      <c r="L1131" s="141" t="str">
        <f t="shared" si="417"/>
        <v>naloop</v>
      </c>
      <c r="M1131" s="141" t="str">
        <f t="shared" si="418"/>
        <v>naloop</v>
      </c>
      <c r="N1131" s="141" t="str">
        <f t="shared" si="419"/>
        <v>Volledig</v>
      </c>
      <c r="O1131" s="141" t="str">
        <f t="shared" si="420"/>
        <v>naloop</v>
      </c>
      <c r="P1131" s="141" t="str">
        <f t="shared" si="421"/>
        <v>naloop</v>
      </c>
      <c r="Q1131" s="141" t="str">
        <f t="shared" si="422"/>
        <v>naloop</v>
      </c>
      <c r="R1131" s="63" t="s">
        <v>1208</v>
      </c>
      <c r="S1131" s="142">
        <f t="shared" si="430"/>
        <v>365</v>
      </c>
      <c r="T1131" s="157">
        <v>492</v>
      </c>
      <c r="U1131" s="158"/>
      <c r="V1131" s="158"/>
      <c r="W1131" s="158"/>
      <c r="X1131" s="158"/>
      <c r="Y1131" s="158"/>
      <c r="Z1131" s="159"/>
      <c r="AA1131" s="159"/>
      <c r="AB1131" s="159"/>
      <c r="AC1131" s="159"/>
      <c r="AD1131" s="160"/>
      <c r="AE1131" s="171">
        <v>1</v>
      </c>
      <c r="AF1131" s="147">
        <f t="shared" si="431"/>
        <v>0</v>
      </c>
      <c r="AG1131" s="147">
        <f t="shared" si="432"/>
        <v>0</v>
      </c>
      <c r="AH1131" s="147">
        <f t="shared" si="433"/>
        <v>0</v>
      </c>
      <c r="AI1131" s="147">
        <f t="shared" si="434"/>
        <v>0</v>
      </c>
      <c r="AJ1131" s="148" t="str">
        <f t="shared" si="427"/>
        <v>ja</v>
      </c>
      <c r="AK1131" s="149">
        <f t="shared" si="436"/>
        <v>0</v>
      </c>
      <c r="AL1131" s="149">
        <f t="shared" si="437"/>
        <v>0</v>
      </c>
      <c r="AM1131" s="149">
        <f t="shared" si="438"/>
        <v>0</v>
      </c>
      <c r="AN1131" s="149">
        <f t="shared" si="439"/>
        <v>0</v>
      </c>
      <c r="AO1131" s="150" t="str">
        <f t="shared" si="428"/>
        <v>V</v>
      </c>
      <c r="AQ1131" s="151">
        <f t="shared" si="429"/>
        <v>179580</v>
      </c>
    </row>
    <row r="1132" spans="1:43" ht="15" customHeight="1">
      <c r="A1132" s="82" t="e">
        <f t="shared" si="435"/>
        <v>#REF!</v>
      </c>
      <c r="B1132" s="152">
        <v>214</v>
      </c>
      <c r="C1132" s="153" t="s">
        <v>1457</v>
      </c>
      <c r="D1132" s="154" t="s">
        <v>1340</v>
      </c>
      <c r="E1132" s="155"/>
      <c r="F1132" s="64" t="s">
        <v>101</v>
      </c>
      <c r="G1132" s="156" t="s">
        <v>1352</v>
      </c>
      <c r="H1132" s="140" t="str">
        <f t="shared" si="415"/>
        <v>Perrons</v>
      </c>
      <c r="I1132" s="64" t="s">
        <v>1463</v>
      </c>
      <c r="J1132" s="64" t="s">
        <v>1170</v>
      </c>
      <c r="K1132" s="141" t="str">
        <f t="shared" si="416"/>
        <v>Volledig</v>
      </c>
      <c r="L1132" s="141" t="str">
        <f t="shared" si="417"/>
        <v>naloop</v>
      </c>
      <c r="M1132" s="141" t="str">
        <f t="shared" si="418"/>
        <v>naloop</v>
      </c>
      <c r="N1132" s="141" t="str">
        <f t="shared" si="419"/>
        <v>Volledig</v>
      </c>
      <c r="O1132" s="141" t="str">
        <f t="shared" si="420"/>
        <v>naloop</v>
      </c>
      <c r="P1132" s="141" t="str">
        <f t="shared" si="421"/>
        <v>naloop</v>
      </c>
      <c r="Q1132" s="141" t="str">
        <f t="shared" si="422"/>
        <v>naloop</v>
      </c>
      <c r="R1132" s="63" t="s">
        <v>1208</v>
      </c>
      <c r="S1132" s="142">
        <f t="shared" si="430"/>
        <v>365</v>
      </c>
      <c r="T1132" s="157">
        <v>467</v>
      </c>
      <c r="U1132" s="158"/>
      <c r="V1132" s="158"/>
      <c r="W1132" s="158"/>
      <c r="X1132" s="158"/>
      <c r="Y1132" s="158"/>
      <c r="Z1132" s="159"/>
      <c r="AA1132" s="159"/>
      <c r="AB1132" s="159"/>
      <c r="AC1132" s="159"/>
      <c r="AD1132" s="160"/>
      <c r="AE1132" s="171">
        <v>1</v>
      </c>
      <c r="AF1132" s="147">
        <f t="shared" si="431"/>
        <v>0</v>
      </c>
      <c r="AG1132" s="147">
        <f t="shared" si="432"/>
        <v>0</v>
      </c>
      <c r="AH1132" s="147">
        <f t="shared" si="433"/>
        <v>0</v>
      </c>
      <c r="AI1132" s="147">
        <f t="shared" si="434"/>
        <v>0</v>
      </c>
      <c r="AJ1132" s="148" t="str">
        <f t="shared" si="427"/>
        <v>ja</v>
      </c>
      <c r="AK1132" s="149">
        <f t="shared" si="436"/>
        <v>0</v>
      </c>
      <c r="AL1132" s="149">
        <f t="shared" si="437"/>
        <v>0</v>
      </c>
      <c r="AM1132" s="149">
        <f t="shared" si="438"/>
        <v>0</v>
      </c>
      <c r="AN1132" s="149">
        <f t="shared" si="439"/>
        <v>0</v>
      </c>
      <c r="AO1132" s="150" t="str">
        <f t="shared" si="428"/>
        <v>V</v>
      </c>
      <c r="AQ1132" s="151">
        <f t="shared" si="429"/>
        <v>170455</v>
      </c>
    </row>
    <row r="1133" spans="1:43" ht="15" customHeight="1">
      <c r="A1133" s="82" t="e">
        <f t="shared" si="435"/>
        <v>#REF!</v>
      </c>
      <c r="B1133" s="152">
        <v>215</v>
      </c>
      <c r="C1133" s="153" t="s">
        <v>1458</v>
      </c>
      <c r="D1133" s="154" t="s">
        <v>1340</v>
      </c>
      <c r="E1133" s="155"/>
      <c r="F1133" s="64" t="s">
        <v>101</v>
      </c>
      <c r="G1133" s="156" t="s">
        <v>1352</v>
      </c>
      <c r="H1133" s="140" t="str">
        <f t="shared" si="415"/>
        <v>Perrons</v>
      </c>
      <c r="I1133" s="64" t="s">
        <v>1463</v>
      </c>
      <c r="J1133" s="64" t="s">
        <v>1170</v>
      </c>
      <c r="K1133" s="141" t="str">
        <f t="shared" si="416"/>
        <v>Volledig</v>
      </c>
      <c r="L1133" s="141" t="str">
        <f t="shared" si="417"/>
        <v>naloop</v>
      </c>
      <c r="M1133" s="141" t="str">
        <f t="shared" si="418"/>
        <v>naloop</v>
      </c>
      <c r="N1133" s="141" t="str">
        <f t="shared" si="419"/>
        <v>Volledig</v>
      </c>
      <c r="O1133" s="141" t="str">
        <f t="shared" si="420"/>
        <v>naloop</v>
      </c>
      <c r="P1133" s="141" t="str">
        <f t="shared" si="421"/>
        <v>naloop</v>
      </c>
      <c r="Q1133" s="141" t="str">
        <f t="shared" si="422"/>
        <v>naloop</v>
      </c>
      <c r="R1133" s="63" t="s">
        <v>1208</v>
      </c>
      <c r="S1133" s="142">
        <f t="shared" si="430"/>
        <v>365</v>
      </c>
      <c r="T1133" s="157">
        <v>510</v>
      </c>
      <c r="U1133" s="158"/>
      <c r="V1133" s="158"/>
      <c r="W1133" s="158"/>
      <c r="X1133" s="158"/>
      <c r="Y1133" s="158"/>
      <c r="Z1133" s="159"/>
      <c r="AA1133" s="159"/>
      <c r="AB1133" s="159"/>
      <c r="AC1133" s="159"/>
      <c r="AD1133" s="160"/>
      <c r="AE1133" s="171">
        <v>1</v>
      </c>
      <c r="AF1133" s="147">
        <f t="shared" si="431"/>
        <v>0</v>
      </c>
      <c r="AG1133" s="147">
        <f t="shared" si="432"/>
        <v>0</v>
      </c>
      <c r="AH1133" s="147">
        <f t="shared" si="433"/>
        <v>0</v>
      </c>
      <c r="AI1133" s="147">
        <f t="shared" si="434"/>
        <v>0</v>
      </c>
      <c r="AJ1133" s="148" t="str">
        <f t="shared" si="427"/>
        <v>ja</v>
      </c>
      <c r="AK1133" s="149">
        <f t="shared" si="436"/>
        <v>0</v>
      </c>
      <c r="AL1133" s="149">
        <f t="shared" si="437"/>
        <v>0</v>
      </c>
      <c r="AM1133" s="149">
        <f t="shared" si="438"/>
        <v>0</v>
      </c>
      <c r="AN1133" s="149">
        <f t="shared" si="439"/>
        <v>0</v>
      </c>
      <c r="AO1133" s="150" t="str">
        <f t="shared" si="428"/>
        <v>V</v>
      </c>
      <c r="AQ1133" s="151">
        <f t="shared" si="429"/>
        <v>186150</v>
      </c>
    </row>
    <row r="1134" spans="1:43" ht="15" customHeight="1">
      <c r="A1134" s="82" t="e">
        <f t="shared" si="435"/>
        <v>#REF!</v>
      </c>
      <c r="B1134" s="152">
        <v>301</v>
      </c>
      <c r="C1134" s="153" t="s">
        <v>1347</v>
      </c>
      <c r="D1134" s="154" t="s">
        <v>1331</v>
      </c>
      <c r="E1134" s="155"/>
      <c r="F1134" s="64" t="s">
        <v>1358</v>
      </c>
      <c r="G1134" s="156" t="s">
        <v>25</v>
      </c>
      <c r="H1134" s="140" t="str">
        <f t="shared" si="415"/>
        <v>Roltrappen(inclusief aangrenzende bouwdelen)</v>
      </c>
      <c r="I1134" s="64" t="s">
        <v>118</v>
      </c>
      <c r="J1134" s="64" t="s">
        <v>1255</v>
      </c>
      <c r="K1134" s="141" t="str">
        <f t="shared" si="416"/>
        <v>Volledig</v>
      </c>
      <c r="L1134" s="141" t="str">
        <f t="shared" si="417"/>
        <v>naloop</v>
      </c>
      <c r="M1134" s="141" t="str">
        <f t="shared" si="418"/>
        <v>naloop</v>
      </c>
      <c r="N1134" s="141" t="str">
        <f t="shared" si="419"/>
        <v>Volledig</v>
      </c>
      <c r="O1134" s="141" t="str">
        <f t="shared" si="420"/>
        <v>naloop</v>
      </c>
      <c r="P1134" s="141" t="str">
        <f t="shared" si="421"/>
        <v>naloop</v>
      </c>
      <c r="Q1134" s="141" t="str">
        <f t="shared" si="422"/>
        <v>naloop</v>
      </c>
      <c r="R1134" s="63" t="s">
        <v>1217</v>
      </c>
      <c r="S1134" s="142">
        <f t="shared" si="430"/>
        <v>365</v>
      </c>
      <c r="T1134" s="157">
        <v>108</v>
      </c>
      <c r="U1134" s="158"/>
      <c r="V1134" s="158"/>
      <c r="W1134" s="158"/>
      <c r="X1134" s="158"/>
      <c r="Y1134" s="158"/>
      <c r="Z1134" s="159"/>
      <c r="AA1134" s="159"/>
      <c r="AB1134" s="159"/>
      <c r="AC1134" s="159"/>
      <c r="AD1134" s="160"/>
      <c r="AE1134" s="171">
        <v>1</v>
      </c>
      <c r="AF1134" s="147">
        <f t="shared" si="431"/>
        <v>0</v>
      </c>
      <c r="AG1134" s="147">
        <f t="shared" si="432"/>
        <v>0</v>
      </c>
      <c r="AH1134" s="147">
        <f t="shared" si="433"/>
        <v>0</v>
      </c>
      <c r="AI1134" s="147">
        <f t="shared" si="434"/>
        <v>0</v>
      </c>
      <c r="AJ1134" s="148" t="str">
        <f t="shared" si="427"/>
        <v>ja</v>
      </c>
      <c r="AK1134" s="149">
        <f t="shared" si="436"/>
        <v>0</v>
      </c>
      <c r="AL1134" s="149">
        <f t="shared" si="437"/>
        <v>0</v>
      </c>
      <c r="AM1134" s="149">
        <f t="shared" si="438"/>
        <v>0</v>
      </c>
      <c r="AN1134" s="149">
        <f t="shared" si="439"/>
        <v>0</v>
      </c>
      <c r="AO1134" s="150" t="str">
        <f t="shared" si="428"/>
        <v>V</v>
      </c>
      <c r="AQ1134" s="151">
        <f t="shared" si="429"/>
        <v>39420</v>
      </c>
    </row>
    <row r="1135" spans="1:43" ht="15" customHeight="1">
      <c r="A1135" s="82" t="e">
        <f t="shared" si="435"/>
        <v>#REF!</v>
      </c>
      <c r="B1135" s="152">
        <v>301</v>
      </c>
      <c r="C1135" s="153" t="s">
        <v>1347</v>
      </c>
      <c r="D1135" s="154" t="s">
        <v>1331</v>
      </c>
      <c r="E1135" s="155"/>
      <c r="F1135" s="64" t="s">
        <v>1359</v>
      </c>
      <c r="G1135" s="156" t="s">
        <v>1360</v>
      </c>
      <c r="H1135" s="140" t="str">
        <f t="shared" si="415"/>
        <v>Perrons</v>
      </c>
      <c r="I1135" s="64" t="s">
        <v>1254</v>
      </c>
      <c r="J1135" s="64" t="s">
        <v>1255</v>
      </c>
      <c r="K1135" s="141" t="str">
        <f t="shared" si="416"/>
        <v>Volledig</v>
      </c>
      <c r="L1135" s="141" t="str">
        <f t="shared" si="417"/>
        <v>naloop</v>
      </c>
      <c r="M1135" s="141" t="str">
        <f t="shared" si="418"/>
        <v>naloop</v>
      </c>
      <c r="N1135" s="141" t="str">
        <f t="shared" si="419"/>
        <v>Volledig</v>
      </c>
      <c r="O1135" s="141" t="str">
        <f t="shared" si="420"/>
        <v>naloop</v>
      </c>
      <c r="P1135" s="141" t="str">
        <f t="shared" si="421"/>
        <v>naloop</v>
      </c>
      <c r="Q1135" s="141" t="str">
        <f t="shared" si="422"/>
        <v>naloop</v>
      </c>
      <c r="R1135" s="64" t="s">
        <v>1208</v>
      </c>
      <c r="S1135" s="142">
        <f t="shared" si="430"/>
        <v>365</v>
      </c>
      <c r="T1135" s="157">
        <v>1400</v>
      </c>
      <c r="U1135" s="158"/>
      <c r="V1135" s="158"/>
      <c r="W1135" s="158"/>
      <c r="X1135" s="158"/>
      <c r="Y1135" s="158"/>
      <c r="Z1135" s="159"/>
      <c r="AA1135" s="159"/>
      <c r="AB1135" s="159"/>
      <c r="AC1135" s="159"/>
      <c r="AD1135" s="160"/>
      <c r="AE1135" s="171">
        <v>1</v>
      </c>
      <c r="AF1135" s="162">
        <f t="shared" si="423"/>
        <v>0</v>
      </c>
      <c r="AG1135" s="162">
        <f t="shared" si="424"/>
        <v>0</v>
      </c>
      <c r="AH1135" s="162">
        <f t="shared" si="425"/>
        <v>0</v>
      </c>
      <c r="AI1135" s="162">
        <f t="shared" si="426"/>
        <v>0</v>
      </c>
      <c r="AJ1135" s="148" t="str">
        <f t="shared" si="427"/>
        <v>ja</v>
      </c>
      <c r="AK1135" s="161">
        <f t="shared" ref="AK1135:AK1174" si="440">IF($R1135="",0,VLOOKUP($R1135,Kengetal,5,FALSE))</f>
        <v>0</v>
      </c>
      <c r="AL1135" s="161">
        <f t="shared" ref="AL1135:AL1174" si="441">IF($R1135="",0,VLOOKUP($R1135,Kengetal,6,FALSE))</f>
        <v>0</v>
      </c>
      <c r="AM1135" s="161">
        <f t="shared" ref="AM1135:AM1174" si="442">IF($R1135="",0,VLOOKUP($R1135,Kengetal,7,FALSE))</f>
        <v>0</v>
      </c>
      <c r="AN1135" s="161">
        <f t="shared" ref="AN1135:AN1174" si="443">IF($R1135="",0,VLOOKUP($R1135,Kengetal,8,FALSE))</f>
        <v>0</v>
      </c>
      <c r="AO1135" s="150" t="str">
        <f t="shared" si="428"/>
        <v>V</v>
      </c>
      <c r="AQ1135" s="151">
        <f t="shared" si="429"/>
        <v>511000</v>
      </c>
    </row>
    <row r="1136" spans="1:43" ht="15" customHeight="1">
      <c r="A1136" s="82" t="e">
        <f t="shared" si="435"/>
        <v>#REF!</v>
      </c>
      <c r="B1136" s="152">
        <v>301</v>
      </c>
      <c r="C1136" s="153" t="s">
        <v>1347</v>
      </c>
      <c r="D1136" s="154" t="s">
        <v>1331</v>
      </c>
      <c r="E1136" s="155"/>
      <c r="F1136" s="64" t="s">
        <v>1361</v>
      </c>
      <c r="G1136" s="156" t="s">
        <v>28</v>
      </c>
      <c r="H1136" s="140" t="str">
        <f t="shared" ref="H1136:H1196" si="444">VLOOKUP(R1136,Kengetal,3,FALSE)</f>
        <v>Niet van toepassing</v>
      </c>
      <c r="I1136" s="64" t="s">
        <v>195</v>
      </c>
      <c r="J1136" s="138" t="s">
        <v>1172</v>
      </c>
      <c r="K1136" s="141" t="str">
        <f t="shared" ref="K1136:K1196" si="445">IF($R1136="",0,VLOOKUP($R1136,Kengetal,14,FALSE))</f>
        <v>NVT</v>
      </c>
      <c r="L1136" s="141" t="str">
        <f t="shared" ref="L1136:L1196" si="446">IF($R1136="",0,VLOOKUP($R1136,Kengetal,15,FALSE))</f>
        <v>NVT</v>
      </c>
      <c r="M1136" s="141" t="str">
        <f t="shared" ref="M1136:M1196" si="447">IF($R1136="",0,VLOOKUP($R1136,Kengetal,16,FALSE))</f>
        <v>NVT</v>
      </c>
      <c r="N1136" s="141" t="str">
        <f t="shared" ref="N1136:N1196" si="448">IF($R1136="",0,VLOOKUP($R1136,Kengetal,17,FALSE))</f>
        <v>NVT</v>
      </c>
      <c r="O1136" s="141" t="str">
        <f t="shared" ref="O1136:O1196" si="449">IF($R1136="",0,VLOOKUP($R1136,Kengetal,18,FALSE))</f>
        <v>NVT</v>
      </c>
      <c r="P1136" s="141" t="str">
        <f t="shared" ref="P1136:P1196" si="450">IF($R1136="",0,VLOOKUP($R1136,Kengetal,19,FALSE))</f>
        <v>NVT</v>
      </c>
      <c r="Q1136" s="141" t="str">
        <f t="shared" ref="Q1136:Q1196" si="451">IF($R1136="",0,VLOOKUP($R1136,Kengetal,20,FALSE))</f>
        <v>NVT</v>
      </c>
      <c r="R1136" s="63" t="s">
        <v>1221</v>
      </c>
      <c r="S1136" s="142">
        <f t="shared" si="430"/>
        <v>0</v>
      </c>
      <c r="T1136" s="157">
        <v>20</v>
      </c>
      <c r="U1136" s="158"/>
      <c r="V1136" s="158">
        <v>72</v>
      </c>
      <c r="W1136" s="158"/>
      <c r="X1136" s="158"/>
      <c r="Y1136" s="158"/>
      <c r="Z1136" s="159"/>
      <c r="AA1136" s="159"/>
      <c r="AB1136" s="159">
        <v>20</v>
      </c>
      <c r="AC1136" s="159"/>
      <c r="AD1136" s="160"/>
      <c r="AE1136" s="171">
        <v>1</v>
      </c>
      <c r="AF1136" s="162">
        <f t="shared" si="423"/>
        <v>0</v>
      </c>
      <c r="AG1136" s="162">
        <f t="shared" si="424"/>
        <v>0</v>
      </c>
      <c r="AH1136" s="162">
        <f t="shared" si="425"/>
        <v>0</v>
      </c>
      <c r="AI1136" s="162">
        <f t="shared" si="426"/>
        <v>0</v>
      </c>
      <c r="AJ1136" s="148">
        <f t="shared" ref="AJ1136:AJ1196" si="452">IF($R1136="",0,VLOOKUP($R1136,Kengetal,12,FALSE))</f>
        <v>0</v>
      </c>
      <c r="AK1136" s="161">
        <f t="shared" si="440"/>
        <v>0</v>
      </c>
      <c r="AL1136" s="161">
        <f t="shared" si="441"/>
        <v>0</v>
      </c>
      <c r="AM1136" s="161">
        <f t="shared" si="442"/>
        <v>0</v>
      </c>
      <c r="AN1136" s="161">
        <f t="shared" si="443"/>
        <v>0</v>
      </c>
      <c r="AO1136" s="150">
        <f t="shared" ref="AO1136:AO1196" si="453">IF($R1136="",0,VLOOKUP($R1136,Kengetal,13,FALSE))</f>
        <v>0</v>
      </c>
      <c r="AQ1136" s="151">
        <f t="shared" ref="AQ1136:AQ1196" si="454">T1136*S1136</f>
        <v>0</v>
      </c>
    </row>
    <row r="1137" spans="1:43" ht="15" customHeight="1">
      <c r="A1137" s="82" t="e">
        <f t="shared" si="435"/>
        <v>#REF!</v>
      </c>
      <c r="B1137" s="152">
        <v>301</v>
      </c>
      <c r="C1137" s="153" t="s">
        <v>1347</v>
      </c>
      <c r="D1137" s="154" t="s">
        <v>1331</v>
      </c>
      <c r="E1137" s="155"/>
      <c r="F1137" s="64" t="s">
        <v>1362</v>
      </c>
      <c r="G1137" s="156" t="s">
        <v>29</v>
      </c>
      <c r="H1137" s="140" t="str">
        <f t="shared" si="444"/>
        <v>Niet van toepassing</v>
      </c>
      <c r="I1137" s="64" t="s">
        <v>195</v>
      </c>
      <c r="J1137" s="138" t="s">
        <v>1172</v>
      </c>
      <c r="K1137" s="141" t="str">
        <f t="shared" si="445"/>
        <v>NVT</v>
      </c>
      <c r="L1137" s="141" t="str">
        <f t="shared" si="446"/>
        <v>NVT</v>
      </c>
      <c r="M1137" s="141" t="str">
        <f t="shared" si="447"/>
        <v>NVT</v>
      </c>
      <c r="N1137" s="141" t="str">
        <f t="shared" si="448"/>
        <v>NVT</v>
      </c>
      <c r="O1137" s="141" t="str">
        <f t="shared" si="449"/>
        <v>NVT</v>
      </c>
      <c r="P1137" s="141" t="str">
        <f t="shared" si="450"/>
        <v>NVT</v>
      </c>
      <c r="Q1137" s="141" t="str">
        <f t="shared" si="451"/>
        <v>NVT</v>
      </c>
      <c r="R1137" s="63" t="s">
        <v>1221</v>
      </c>
      <c r="S1137" s="142">
        <f t="shared" si="430"/>
        <v>0</v>
      </c>
      <c r="T1137" s="157">
        <v>2</v>
      </c>
      <c r="U1137" s="158"/>
      <c r="V1137" s="158"/>
      <c r="W1137" s="158">
        <v>19</v>
      </c>
      <c r="X1137" s="158"/>
      <c r="Y1137" s="158"/>
      <c r="Z1137" s="159"/>
      <c r="AA1137" s="159"/>
      <c r="AB1137" s="159"/>
      <c r="AC1137" s="159">
        <v>2</v>
      </c>
      <c r="AD1137" s="160"/>
      <c r="AE1137" s="171">
        <v>1</v>
      </c>
      <c r="AF1137" s="162">
        <f t="shared" si="423"/>
        <v>0</v>
      </c>
      <c r="AG1137" s="162">
        <f t="shared" si="424"/>
        <v>0</v>
      </c>
      <c r="AH1137" s="162">
        <f t="shared" si="425"/>
        <v>0</v>
      </c>
      <c r="AI1137" s="162">
        <f t="shared" si="426"/>
        <v>0</v>
      </c>
      <c r="AJ1137" s="148">
        <f t="shared" si="452"/>
        <v>0</v>
      </c>
      <c r="AK1137" s="161">
        <f t="shared" si="440"/>
        <v>0</v>
      </c>
      <c r="AL1137" s="161">
        <f t="shared" si="441"/>
        <v>0</v>
      </c>
      <c r="AM1137" s="161">
        <f t="shared" si="442"/>
        <v>0</v>
      </c>
      <c r="AN1137" s="161">
        <f t="shared" si="443"/>
        <v>0</v>
      </c>
      <c r="AO1137" s="150">
        <f t="shared" si="453"/>
        <v>0</v>
      </c>
      <c r="AQ1137" s="151">
        <f t="shared" si="454"/>
        <v>0</v>
      </c>
    </row>
    <row r="1138" spans="1:43" ht="15" customHeight="1">
      <c r="A1138" s="82" t="e">
        <f t="shared" si="435"/>
        <v>#REF!</v>
      </c>
      <c r="B1138" s="152">
        <v>301</v>
      </c>
      <c r="C1138" s="153" t="s">
        <v>1347</v>
      </c>
      <c r="D1138" s="154" t="s">
        <v>1331</v>
      </c>
      <c r="E1138" s="155"/>
      <c r="F1138" s="64" t="s">
        <v>33</v>
      </c>
      <c r="G1138" s="156" t="s">
        <v>285</v>
      </c>
      <c r="H1138" s="140" t="str">
        <f t="shared" si="444"/>
        <v>Niet van toepassing</v>
      </c>
      <c r="I1138" s="64" t="s">
        <v>195</v>
      </c>
      <c r="J1138" s="138" t="s">
        <v>1172</v>
      </c>
      <c r="K1138" s="141" t="str">
        <f t="shared" si="445"/>
        <v>NVT</v>
      </c>
      <c r="L1138" s="141" t="str">
        <f t="shared" si="446"/>
        <v>NVT</v>
      </c>
      <c r="M1138" s="141" t="str">
        <f t="shared" si="447"/>
        <v>NVT</v>
      </c>
      <c r="N1138" s="141" t="str">
        <f t="shared" si="448"/>
        <v>NVT</v>
      </c>
      <c r="O1138" s="141" t="str">
        <f t="shared" si="449"/>
        <v>NVT</v>
      </c>
      <c r="P1138" s="141" t="str">
        <f t="shared" si="450"/>
        <v>NVT</v>
      </c>
      <c r="Q1138" s="141" t="str">
        <f t="shared" si="451"/>
        <v>NVT</v>
      </c>
      <c r="R1138" s="63" t="s">
        <v>1221</v>
      </c>
      <c r="S1138" s="142">
        <f t="shared" si="430"/>
        <v>0</v>
      </c>
      <c r="T1138" s="157">
        <v>2</v>
      </c>
      <c r="U1138" s="158">
        <v>12</v>
      </c>
      <c r="V1138" s="158"/>
      <c r="W1138" s="158"/>
      <c r="X1138" s="158"/>
      <c r="Y1138" s="158"/>
      <c r="Z1138" s="159"/>
      <c r="AA1138" s="159"/>
      <c r="AB1138" s="159"/>
      <c r="AC1138" s="159">
        <v>2</v>
      </c>
      <c r="AD1138" s="160"/>
      <c r="AE1138" s="171">
        <v>1</v>
      </c>
      <c r="AF1138" s="162">
        <f t="shared" si="423"/>
        <v>0</v>
      </c>
      <c r="AG1138" s="162">
        <f t="shared" si="424"/>
        <v>0</v>
      </c>
      <c r="AH1138" s="162">
        <f t="shared" si="425"/>
        <v>0</v>
      </c>
      <c r="AI1138" s="162">
        <f t="shared" si="426"/>
        <v>0</v>
      </c>
      <c r="AJ1138" s="148">
        <f t="shared" si="452"/>
        <v>0</v>
      </c>
      <c r="AK1138" s="161">
        <f t="shared" si="440"/>
        <v>0</v>
      </c>
      <c r="AL1138" s="161">
        <f t="shared" si="441"/>
        <v>0</v>
      </c>
      <c r="AM1138" s="161">
        <f t="shared" si="442"/>
        <v>0</v>
      </c>
      <c r="AN1138" s="161">
        <f t="shared" si="443"/>
        <v>0</v>
      </c>
      <c r="AO1138" s="150">
        <f t="shared" si="453"/>
        <v>0</v>
      </c>
      <c r="AQ1138" s="151">
        <f t="shared" si="454"/>
        <v>0</v>
      </c>
    </row>
    <row r="1139" spans="1:43" ht="15" customHeight="1">
      <c r="A1139" s="82" t="e">
        <f t="shared" si="435"/>
        <v>#REF!</v>
      </c>
      <c r="B1139" s="152">
        <v>301</v>
      </c>
      <c r="C1139" s="153" t="s">
        <v>1347</v>
      </c>
      <c r="D1139" s="154" t="s">
        <v>1331</v>
      </c>
      <c r="E1139" s="155"/>
      <c r="F1139" s="64" t="s">
        <v>122</v>
      </c>
      <c r="G1139" s="156" t="s">
        <v>32</v>
      </c>
      <c r="H1139" s="140" t="str">
        <f t="shared" si="444"/>
        <v>Niet van toepassing</v>
      </c>
      <c r="I1139" s="64" t="s">
        <v>195</v>
      </c>
      <c r="J1139" s="64" t="s">
        <v>1172</v>
      </c>
      <c r="K1139" s="141" t="str">
        <f t="shared" si="445"/>
        <v>NVT</v>
      </c>
      <c r="L1139" s="141" t="str">
        <f t="shared" si="446"/>
        <v>NVT</v>
      </c>
      <c r="M1139" s="141" t="str">
        <f t="shared" si="447"/>
        <v>NVT</v>
      </c>
      <c r="N1139" s="141" t="str">
        <f t="shared" si="448"/>
        <v>NVT</v>
      </c>
      <c r="O1139" s="141" t="str">
        <f t="shared" si="449"/>
        <v>NVT</v>
      </c>
      <c r="P1139" s="141" t="str">
        <f t="shared" si="450"/>
        <v>NVT</v>
      </c>
      <c r="Q1139" s="141" t="str">
        <f t="shared" si="451"/>
        <v>NVT</v>
      </c>
      <c r="R1139" s="64" t="s">
        <v>1221</v>
      </c>
      <c r="S1139" s="142">
        <f t="shared" si="430"/>
        <v>0</v>
      </c>
      <c r="T1139" s="157">
        <v>2</v>
      </c>
      <c r="U1139" s="158">
        <v>12</v>
      </c>
      <c r="V1139" s="158"/>
      <c r="W1139" s="158"/>
      <c r="X1139" s="158"/>
      <c r="Y1139" s="158"/>
      <c r="Z1139" s="159"/>
      <c r="AA1139" s="159"/>
      <c r="AB1139" s="159"/>
      <c r="AC1139" s="159">
        <v>2</v>
      </c>
      <c r="AD1139" s="160"/>
      <c r="AE1139" s="171">
        <v>1</v>
      </c>
      <c r="AF1139" s="162">
        <f t="shared" si="423"/>
        <v>0</v>
      </c>
      <c r="AG1139" s="162">
        <f t="shared" si="424"/>
        <v>0</v>
      </c>
      <c r="AH1139" s="162">
        <f t="shared" si="425"/>
        <v>0</v>
      </c>
      <c r="AI1139" s="162">
        <f t="shared" si="426"/>
        <v>0</v>
      </c>
      <c r="AJ1139" s="148">
        <f t="shared" si="452"/>
        <v>0</v>
      </c>
      <c r="AK1139" s="161">
        <f t="shared" si="440"/>
        <v>0</v>
      </c>
      <c r="AL1139" s="161">
        <f t="shared" si="441"/>
        <v>0</v>
      </c>
      <c r="AM1139" s="161">
        <f t="shared" si="442"/>
        <v>0</v>
      </c>
      <c r="AN1139" s="161">
        <f t="shared" si="443"/>
        <v>0</v>
      </c>
      <c r="AO1139" s="150">
        <f t="shared" si="453"/>
        <v>0</v>
      </c>
      <c r="AQ1139" s="151">
        <f t="shared" si="454"/>
        <v>0</v>
      </c>
    </row>
    <row r="1140" spans="1:43" ht="15" customHeight="1">
      <c r="A1140" s="82" t="e">
        <f t="shared" si="435"/>
        <v>#REF!</v>
      </c>
      <c r="B1140" s="152">
        <v>301</v>
      </c>
      <c r="C1140" s="153" t="s">
        <v>1347</v>
      </c>
      <c r="D1140" s="154" t="s">
        <v>1331</v>
      </c>
      <c r="E1140" s="155"/>
      <c r="F1140" s="64" t="s">
        <v>115</v>
      </c>
      <c r="G1140" s="156" t="s">
        <v>24</v>
      </c>
      <c r="H1140" s="140" t="str">
        <f t="shared" si="444"/>
        <v>Niet van toepassing</v>
      </c>
      <c r="I1140" s="64" t="s">
        <v>195</v>
      </c>
      <c r="J1140" s="138" t="s">
        <v>1172</v>
      </c>
      <c r="K1140" s="141" t="str">
        <f t="shared" si="445"/>
        <v>NVT</v>
      </c>
      <c r="L1140" s="141" t="str">
        <f t="shared" si="446"/>
        <v>NVT</v>
      </c>
      <c r="M1140" s="141" t="str">
        <f t="shared" si="447"/>
        <v>NVT</v>
      </c>
      <c r="N1140" s="141" t="str">
        <f t="shared" si="448"/>
        <v>NVT</v>
      </c>
      <c r="O1140" s="141" t="str">
        <f t="shared" si="449"/>
        <v>NVT</v>
      </c>
      <c r="P1140" s="141" t="str">
        <f t="shared" si="450"/>
        <v>NVT</v>
      </c>
      <c r="Q1140" s="141" t="str">
        <f t="shared" si="451"/>
        <v>NVT</v>
      </c>
      <c r="R1140" s="63" t="s">
        <v>1221</v>
      </c>
      <c r="S1140" s="142">
        <f t="shared" si="430"/>
        <v>0</v>
      </c>
      <c r="T1140" s="157">
        <v>8</v>
      </c>
      <c r="U1140" s="158"/>
      <c r="V1140" s="158">
        <v>26</v>
      </c>
      <c r="W1140" s="158"/>
      <c r="X1140" s="158"/>
      <c r="Y1140" s="158"/>
      <c r="Z1140" s="159"/>
      <c r="AA1140" s="159"/>
      <c r="AB1140" s="159"/>
      <c r="AC1140" s="159">
        <v>8</v>
      </c>
      <c r="AD1140" s="160"/>
      <c r="AE1140" s="171">
        <v>1</v>
      </c>
      <c r="AF1140" s="162">
        <f t="shared" si="423"/>
        <v>0</v>
      </c>
      <c r="AG1140" s="162">
        <f t="shared" si="424"/>
        <v>0</v>
      </c>
      <c r="AH1140" s="162">
        <f t="shared" si="425"/>
        <v>0</v>
      </c>
      <c r="AI1140" s="162">
        <f t="shared" si="426"/>
        <v>0</v>
      </c>
      <c r="AJ1140" s="148">
        <f t="shared" si="452"/>
        <v>0</v>
      </c>
      <c r="AK1140" s="161">
        <f t="shared" si="440"/>
        <v>0</v>
      </c>
      <c r="AL1140" s="161">
        <f t="shared" si="441"/>
        <v>0</v>
      </c>
      <c r="AM1140" s="161">
        <f t="shared" si="442"/>
        <v>0</v>
      </c>
      <c r="AN1140" s="161">
        <f t="shared" si="443"/>
        <v>0</v>
      </c>
      <c r="AO1140" s="150">
        <f t="shared" si="453"/>
        <v>0</v>
      </c>
      <c r="AQ1140" s="151">
        <f t="shared" si="454"/>
        <v>0</v>
      </c>
    </row>
    <row r="1141" spans="1:43" ht="15" customHeight="1">
      <c r="A1141" s="82" t="e">
        <f t="shared" si="435"/>
        <v>#REF!</v>
      </c>
      <c r="B1141" s="152">
        <v>301</v>
      </c>
      <c r="C1141" s="153" t="s">
        <v>1347</v>
      </c>
      <c r="D1141" s="154" t="s">
        <v>1331</v>
      </c>
      <c r="E1141" s="155"/>
      <c r="F1141" s="64" t="s">
        <v>115</v>
      </c>
      <c r="G1141" s="156" t="s">
        <v>116</v>
      </c>
      <c r="H1141" s="140" t="str">
        <f t="shared" si="444"/>
        <v>Niet van toepassing</v>
      </c>
      <c r="I1141" s="64" t="s">
        <v>195</v>
      </c>
      <c r="J1141" s="138" t="s">
        <v>1172</v>
      </c>
      <c r="K1141" s="141" t="str">
        <f t="shared" si="445"/>
        <v>NVT</v>
      </c>
      <c r="L1141" s="141" t="str">
        <f t="shared" si="446"/>
        <v>NVT</v>
      </c>
      <c r="M1141" s="141" t="str">
        <f t="shared" si="447"/>
        <v>NVT</v>
      </c>
      <c r="N1141" s="141" t="str">
        <f t="shared" si="448"/>
        <v>NVT</v>
      </c>
      <c r="O1141" s="141" t="str">
        <f t="shared" si="449"/>
        <v>NVT</v>
      </c>
      <c r="P1141" s="141" t="str">
        <f t="shared" si="450"/>
        <v>NVT</v>
      </c>
      <c r="Q1141" s="141" t="str">
        <f t="shared" si="451"/>
        <v>NVT</v>
      </c>
      <c r="R1141" s="63" t="s">
        <v>1221</v>
      </c>
      <c r="S1141" s="142">
        <f t="shared" si="430"/>
        <v>0</v>
      </c>
      <c r="T1141" s="157">
        <v>6</v>
      </c>
      <c r="U1141" s="158"/>
      <c r="V1141" s="158">
        <v>35</v>
      </c>
      <c r="W1141" s="158"/>
      <c r="X1141" s="158"/>
      <c r="Y1141" s="158"/>
      <c r="Z1141" s="159"/>
      <c r="AA1141" s="159"/>
      <c r="AB1141" s="159"/>
      <c r="AC1141" s="159">
        <v>6</v>
      </c>
      <c r="AD1141" s="160"/>
      <c r="AE1141" s="171">
        <v>1</v>
      </c>
      <c r="AF1141" s="162">
        <f t="shared" ref="AF1141:AF1201" si="455">T1141*AK1141*AE1141</f>
        <v>0</v>
      </c>
      <c r="AG1141" s="162">
        <f t="shared" ref="AG1141:AG1201" si="456">T1141*AL1141*AE1141</f>
        <v>0</v>
      </c>
      <c r="AH1141" s="162">
        <f t="shared" ref="AH1141:AH1201" si="457">T1141*AM1141*AE1141</f>
        <v>0</v>
      </c>
      <c r="AI1141" s="162">
        <f t="shared" ref="AI1141:AI1201" si="458">T1141*AN1141*AE1141</f>
        <v>0</v>
      </c>
      <c r="AJ1141" s="148">
        <f t="shared" si="452"/>
        <v>0</v>
      </c>
      <c r="AK1141" s="161">
        <f t="shared" si="440"/>
        <v>0</v>
      </c>
      <c r="AL1141" s="161">
        <f t="shared" si="441"/>
        <v>0</v>
      </c>
      <c r="AM1141" s="161">
        <f t="shared" si="442"/>
        <v>0</v>
      </c>
      <c r="AN1141" s="161">
        <f t="shared" si="443"/>
        <v>0</v>
      </c>
      <c r="AO1141" s="150">
        <f t="shared" si="453"/>
        <v>0</v>
      </c>
      <c r="AQ1141" s="151">
        <f t="shared" si="454"/>
        <v>0</v>
      </c>
    </row>
    <row r="1142" spans="1:43" ht="15" customHeight="1">
      <c r="A1142" s="82" t="e">
        <f t="shared" si="435"/>
        <v>#REF!</v>
      </c>
      <c r="B1142" s="152">
        <v>301</v>
      </c>
      <c r="C1142" s="153" t="s">
        <v>1347</v>
      </c>
      <c r="D1142" s="154" t="s">
        <v>1331</v>
      </c>
      <c r="E1142" s="155"/>
      <c r="F1142" s="64" t="s">
        <v>1363</v>
      </c>
      <c r="G1142" s="156" t="s">
        <v>295</v>
      </c>
      <c r="H1142" s="140" t="str">
        <f t="shared" si="444"/>
        <v>Niet van toepassing</v>
      </c>
      <c r="I1142" s="64" t="s">
        <v>131</v>
      </c>
      <c r="J1142" s="138" t="s">
        <v>1172</v>
      </c>
      <c r="K1142" s="141" t="str">
        <f t="shared" si="445"/>
        <v>NVT</v>
      </c>
      <c r="L1142" s="141" t="str">
        <f t="shared" si="446"/>
        <v>NVT</v>
      </c>
      <c r="M1142" s="141" t="str">
        <f t="shared" si="447"/>
        <v>NVT</v>
      </c>
      <c r="N1142" s="141" t="str">
        <f t="shared" si="448"/>
        <v>NVT</v>
      </c>
      <c r="O1142" s="141" t="str">
        <f t="shared" si="449"/>
        <v>NVT</v>
      </c>
      <c r="P1142" s="141" t="str">
        <f t="shared" si="450"/>
        <v>NVT</v>
      </c>
      <c r="Q1142" s="141" t="str">
        <f t="shared" si="451"/>
        <v>NVT</v>
      </c>
      <c r="R1142" s="63" t="s">
        <v>1221</v>
      </c>
      <c r="S1142" s="142">
        <f t="shared" si="430"/>
        <v>0</v>
      </c>
      <c r="T1142" s="157">
        <v>0.5</v>
      </c>
      <c r="U1142" s="158"/>
      <c r="V1142" s="158"/>
      <c r="W1142" s="158">
        <v>3</v>
      </c>
      <c r="X1142" s="158"/>
      <c r="Y1142" s="158"/>
      <c r="Z1142" s="159"/>
      <c r="AA1142" s="159"/>
      <c r="AB1142" s="159"/>
      <c r="AC1142" s="159">
        <v>1</v>
      </c>
      <c r="AD1142" s="160"/>
      <c r="AE1142" s="171">
        <v>1</v>
      </c>
      <c r="AF1142" s="162">
        <f t="shared" si="455"/>
        <v>0</v>
      </c>
      <c r="AG1142" s="162">
        <f t="shared" si="456"/>
        <v>0</v>
      </c>
      <c r="AH1142" s="162">
        <f t="shared" si="457"/>
        <v>0</v>
      </c>
      <c r="AI1142" s="162">
        <f t="shared" si="458"/>
        <v>0</v>
      </c>
      <c r="AJ1142" s="148">
        <f t="shared" si="452"/>
        <v>0</v>
      </c>
      <c r="AK1142" s="161">
        <f t="shared" si="440"/>
        <v>0</v>
      </c>
      <c r="AL1142" s="161">
        <f t="shared" si="441"/>
        <v>0</v>
      </c>
      <c r="AM1142" s="161">
        <f t="shared" si="442"/>
        <v>0</v>
      </c>
      <c r="AN1142" s="161">
        <f t="shared" si="443"/>
        <v>0</v>
      </c>
      <c r="AO1142" s="150">
        <f t="shared" si="453"/>
        <v>0</v>
      </c>
      <c r="AQ1142" s="151">
        <f t="shared" si="454"/>
        <v>0</v>
      </c>
    </row>
    <row r="1143" spans="1:43" ht="15" customHeight="1">
      <c r="A1143" s="82" t="e">
        <f t="shared" si="435"/>
        <v>#REF!</v>
      </c>
      <c r="B1143" s="152">
        <v>301</v>
      </c>
      <c r="C1143" s="153" t="s">
        <v>1347</v>
      </c>
      <c r="D1143" s="154" t="s">
        <v>1331</v>
      </c>
      <c r="E1143" s="155"/>
      <c r="F1143" s="64" t="s">
        <v>1364</v>
      </c>
      <c r="G1143" s="156"/>
      <c r="H1143" s="140" t="str">
        <f t="shared" si="444"/>
        <v>Bestrating</v>
      </c>
      <c r="I1143" s="64" t="s">
        <v>1254</v>
      </c>
      <c r="J1143" s="64" t="s">
        <v>1255</v>
      </c>
      <c r="K1143" s="141" t="str">
        <f t="shared" si="445"/>
        <v>Volledig</v>
      </c>
      <c r="L1143" s="141" t="str">
        <f t="shared" si="446"/>
        <v>naloop</v>
      </c>
      <c r="M1143" s="141" t="str">
        <f t="shared" si="447"/>
        <v>naloop</v>
      </c>
      <c r="N1143" s="141" t="str">
        <f t="shared" si="448"/>
        <v>Volledig</v>
      </c>
      <c r="O1143" s="141" t="str">
        <f t="shared" si="449"/>
        <v>naloop</v>
      </c>
      <c r="P1143" s="141" t="str">
        <f t="shared" si="450"/>
        <v>naloop</v>
      </c>
      <c r="Q1143" s="141" t="str">
        <f t="shared" si="451"/>
        <v>naloop</v>
      </c>
      <c r="R1143" s="64" t="s">
        <v>1271</v>
      </c>
      <c r="S1143" s="142">
        <f t="shared" si="430"/>
        <v>365</v>
      </c>
      <c r="T1143" s="157">
        <v>335</v>
      </c>
      <c r="U1143" s="158"/>
      <c r="V1143" s="158"/>
      <c r="W1143" s="158">
        <v>3</v>
      </c>
      <c r="X1143" s="158"/>
      <c r="Y1143" s="158"/>
      <c r="Z1143" s="159"/>
      <c r="AA1143" s="159"/>
      <c r="AB1143" s="159"/>
      <c r="AC1143" s="159"/>
      <c r="AD1143" s="160"/>
      <c r="AE1143" s="171">
        <v>1</v>
      </c>
      <c r="AF1143" s="162">
        <f t="shared" si="455"/>
        <v>0</v>
      </c>
      <c r="AG1143" s="162">
        <f t="shared" si="456"/>
        <v>0</v>
      </c>
      <c r="AH1143" s="162">
        <f t="shared" si="457"/>
        <v>0</v>
      </c>
      <c r="AI1143" s="162">
        <f t="shared" si="458"/>
        <v>0</v>
      </c>
      <c r="AJ1143" s="148" t="str">
        <f t="shared" si="452"/>
        <v>ja</v>
      </c>
      <c r="AK1143" s="161">
        <f t="shared" si="440"/>
        <v>0</v>
      </c>
      <c r="AL1143" s="161">
        <f t="shared" si="441"/>
        <v>0</v>
      </c>
      <c r="AM1143" s="161">
        <f t="shared" si="442"/>
        <v>0</v>
      </c>
      <c r="AN1143" s="161">
        <f t="shared" si="443"/>
        <v>0</v>
      </c>
      <c r="AO1143" s="150" t="str">
        <f t="shared" si="453"/>
        <v>V</v>
      </c>
      <c r="AQ1143" s="151">
        <f t="shared" si="454"/>
        <v>122275</v>
      </c>
    </row>
    <row r="1144" spans="1:43" ht="15" customHeight="1">
      <c r="A1144" s="82" t="e">
        <f t="shared" si="435"/>
        <v>#REF!</v>
      </c>
      <c r="B1144" s="152">
        <v>301</v>
      </c>
      <c r="C1144" s="153" t="s">
        <v>1347</v>
      </c>
      <c r="D1144" s="154" t="s">
        <v>1331</v>
      </c>
      <c r="E1144" s="155"/>
      <c r="F1144" s="64" t="s">
        <v>1365</v>
      </c>
      <c r="G1144" s="156" t="s">
        <v>1366</v>
      </c>
      <c r="H1144" s="140" t="str">
        <f t="shared" si="444"/>
        <v>Liften</v>
      </c>
      <c r="I1144" s="64" t="s">
        <v>1109</v>
      </c>
      <c r="J1144" s="64" t="s">
        <v>1255</v>
      </c>
      <c r="K1144" s="141" t="str">
        <f t="shared" si="445"/>
        <v>Volledig</v>
      </c>
      <c r="L1144" s="141" t="str">
        <f t="shared" si="446"/>
        <v>naloop</v>
      </c>
      <c r="M1144" s="141" t="str">
        <f t="shared" si="447"/>
        <v>naloop</v>
      </c>
      <c r="N1144" s="141" t="str">
        <f t="shared" si="448"/>
        <v>Volledig</v>
      </c>
      <c r="O1144" s="141" t="str">
        <f t="shared" si="449"/>
        <v>naloop</v>
      </c>
      <c r="P1144" s="141" t="str">
        <f t="shared" si="450"/>
        <v>naloop</v>
      </c>
      <c r="Q1144" s="141" t="str">
        <f t="shared" si="451"/>
        <v>naloop</v>
      </c>
      <c r="R1144" s="64" t="s">
        <v>1212</v>
      </c>
      <c r="S1144" s="142">
        <f t="shared" si="430"/>
        <v>365</v>
      </c>
      <c r="T1144" s="157">
        <v>5</v>
      </c>
      <c r="U1144" s="158"/>
      <c r="V1144" s="158"/>
      <c r="W1144" s="158"/>
      <c r="X1144" s="158">
        <v>15</v>
      </c>
      <c r="Y1144" s="158"/>
      <c r="Z1144" s="159"/>
      <c r="AA1144" s="159"/>
      <c r="AB1144" s="159"/>
      <c r="AC1144" s="159"/>
      <c r="AD1144" s="160"/>
      <c r="AE1144" s="171">
        <v>1</v>
      </c>
      <c r="AF1144" s="162">
        <f t="shared" si="455"/>
        <v>0</v>
      </c>
      <c r="AG1144" s="162">
        <f t="shared" si="456"/>
        <v>0</v>
      </c>
      <c r="AH1144" s="162">
        <f t="shared" si="457"/>
        <v>0</v>
      </c>
      <c r="AI1144" s="162">
        <f t="shared" si="458"/>
        <v>0</v>
      </c>
      <c r="AJ1144" s="148" t="str">
        <f t="shared" si="452"/>
        <v>ja</v>
      </c>
      <c r="AK1144" s="161">
        <f t="shared" si="440"/>
        <v>0</v>
      </c>
      <c r="AL1144" s="161">
        <f t="shared" si="441"/>
        <v>0</v>
      </c>
      <c r="AM1144" s="161">
        <f t="shared" si="442"/>
        <v>0</v>
      </c>
      <c r="AN1144" s="161">
        <f t="shared" si="443"/>
        <v>0</v>
      </c>
      <c r="AO1144" s="150" t="str">
        <f t="shared" si="453"/>
        <v>V</v>
      </c>
      <c r="AQ1144" s="151">
        <f t="shared" si="454"/>
        <v>1825</v>
      </c>
    </row>
    <row r="1145" spans="1:43" ht="15" customHeight="1">
      <c r="A1145" s="82" t="e">
        <f t="shared" si="435"/>
        <v>#REF!</v>
      </c>
      <c r="B1145" s="152">
        <v>301</v>
      </c>
      <c r="C1145" s="153" t="s">
        <v>1347</v>
      </c>
      <c r="D1145" s="154" t="s">
        <v>1331</v>
      </c>
      <c r="E1145" s="155"/>
      <c r="F1145" s="64" t="s">
        <v>1367</v>
      </c>
      <c r="G1145" s="156" t="s">
        <v>1368</v>
      </c>
      <c r="H1145" s="140" t="str">
        <f t="shared" si="444"/>
        <v>Liften</v>
      </c>
      <c r="I1145" s="64" t="s">
        <v>1109</v>
      </c>
      <c r="J1145" s="64" t="s">
        <v>1255</v>
      </c>
      <c r="K1145" s="141" t="str">
        <f t="shared" si="445"/>
        <v>Volledig</v>
      </c>
      <c r="L1145" s="141" t="str">
        <f t="shared" si="446"/>
        <v>naloop</v>
      </c>
      <c r="M1145" s="141" t="str">
        <f t="shared" si="447"/>
        <v>naloop</v>
      </c>
      <c r="N1145" s="141" t="str">
        <f t="shared" si="448"/>
        <v>Volledig</v>
      </c>
      <c r="O1145" s="141" t="str">
        <f t="shared" si="449"/>
        <v>naloop</v>
      </c>
      <c r="P1145" s="141" t="str">
        <f t="shared" si="450"/>
        <v>naloop</v>
      </c>
      <c r="Q1145" s="141" t="str">
        <f t="shared" si="451"/>
        <v>naloop</v>
      </c>
      <c r="R1145" s="64" t="s">
        <v>1212</v>
      </c>
      <c r="S1145" s="142">
        <f t="shared" si="430"/>
        <v>365</v>
      </c>
      <c r="T1145" s="157">
        <v>5</v>
      </c>
      <c r="U1145" s="158"/>
      <c r="V1145" s="158"/>
      <c r="W1145" s="158"/>
      <c r="X1145" s="158">
        <v>15</v>
      </c>
      <c r="Y1145" s="158"/>
      <c r="Z1145" s="159"/>
      <c r="AA1145" s="159"/>
      <c r="AB1145" s="159"/>
      <c r="AC1145" s="159"/>
      <c r="AD1145" s="160"/>
      <c r="AE1145" s="171">
        <v>1</v>
      </c>
      <c r="AF1145" s="162">
        <f t="shared" si="455"/>
        <v>0</v>
      </c>
      <c r="AG1145" s="162">
        <f t="shared" si="456"/>
        <v>0</v>
      </c>
      <c r="AH1145" s="162">
        <f t="shared" si="457"/>
        <v>0</v>
      </c>
      <c r="AI1145" s="162">
        <f t="shared" si="458"/>
        <v>0</v>
      </c>
      <c r="AJ1145" s="148" t="str">
        <f t="shared" si="452"/>
        <v>ja</v>
      </c>
      <c r="AK1145" s="161">
        <f t="shared" si="440"/>
        <v>0</v>
      </c>
      <c r="AL1145" s="161">
        <f t="shared" si="441"/>
        <v>0</v>
      </c>
      <c r="AM1145" s="161">
        <f t="shared" si="442"/>
        <v>0</v>
      </c>
      <c r="AN1145" s="161">
        <f t="shared" si="443"/>
        <v>0</v>
      </c>
      <c r="AO1145" s="150" t="str">
        <f t="shared" si="453"/>
        <v>V</v>
      </c>
      <c r="AQ1145" s="151">
        <f t="shared" si="454"/>
        <v>1825</v>
      </c>
    </row>
    <row r="1146" spans="1:43" ht="15" customHeight="1">
      <c r="A1146" s="82" t="e">
        <f t="shared" si="435"/>
        <v>#REF!</v>
      </c>
      <c r="B1146" s="152">
        <v>302</v>
      </c>
      <c r="C1146" s="153" t="s">
        <v>1330</v>
      </c>
      <c r="D1146" s="154" t="s">
        <v>1331</v>
      </c>
      <c r="E1146" s="155"/>
      <c r="F1146" s="64" t="s">
        <v>1358</v>
      </c>
      <c r="G1146" s="156" t="s">
        <v>25</v>
      </c>
      <c r="H1146" s="140" t="str">
        <f t="shared" si="444"/>
        <v>Trappen</v>
      </c>
      <c r="I1146" s="64" t="s">
        <v>118</v>
      </c>
      <c r="J1146" s="138" t="s">
        <v>1171</v>
      </c>
      <c r="K1146" s="141" t="str">
        <f t="shared" si="445"/>
        <v>Omde dag Vol/Nal.</v>
      </c>
      <c r="L1146" s="141" t="str">
        <f t="shared" si="446"/>
        <v>Omde dag Nal./Vol</v>
      </c>
      <c r="M1146" s="141" t="str">
        <f t="shared" si="447"/>
        <v>Omde dag Vol/Nal.</v>
      </c>
      <c r="N1146" s="141" t="str">
        <f t="shared" si="448"/>
        <v>Omde dag Nal./Vol</v>
      </c>
      <c r="O1146" s="141" t="str">
        <f t="shared" si="449"/>
        <v>Omde dag Vol/Nal.</v>
      </c>
      <c r="P1146" s="141" t="str">
        <f t="shared" si="450"/>
        <v>Omde dag Nal./Vol</v>
      </c>
      <c r="Q1146" s="141" t="str">
        <f t="shared" si="451"/>
        <v>Omde dag Vol/Nal.</v>
      </c>
      <c r="R1146" s="63" t="s">
        <v>1215</v>
      </c>
      <c r="S1146" s="142">
        <f t="shared" si="430"/>
        <v>365</v>
      </c>
      <c r="T1146" s="157">
        <v>48</v>
      </c>
      <c r="U1146" s="158" t="s">
        <v>489</v>
      </c>
      <c r="V1146" s="158"/>
      <c r="W1146" s="158"/>
      <c r="X1146" s="158"/>
      <c r="Y1146" s="158"/>
      <c r="Z1146" s="159"/>
      <c r="AA1146" s="159"/>
      <c r="AB1146" s="159"/>
      <c r="AC1146" s="159"/>
      <c r="AD1146" s="160"/>
      <c r="AE1146" s="171">
        <v>1</v>
      </c>
      <c r="AF1146" s="162">
        <f t="shared" si="455"/>
        <v>0</v>
      </c>
      <c r="AG1146" s="162">
        <f t="shared" si="456"/>
        <v>0</v>
      </c>
      <c r="AH1146" s="162">
        <f t="shared" si="457"/>
        <v>0</v>
      </c>
      <c r="AI1146" s="162">
        <f t="shared" si="458"/>
        <v>0</v>
      </c>
      <c r="AJ1146" s="148" t="str">
        <f t="shared" si="452"/>
        <v>ja</v>
      </c>
      <c r="AK1146" s="161">
        <f t="shared" si="440"/>
        <v>0</v>
      </c>
      <c r="AL1146" s="161">
        <f t="shared" si="441"/>
        <v>0</v>
      </c>
      <c r="AM1146" s="161">
        <f t="shared" si="442"/>
        <v>0</v>
      </c>
      <c r="AN1146" s="161">
        <f t="shared" si="443"/>
        <v>0</v>
      </c>
      <c r="AO1146" s="150" t="str">
        <f t="shared" si="453"/>
        <v>V</v>
      </c>
      <c r="AQ1146" s="151">
        <f t="shared" si="454"/>
        <v>17520</v>
      </c>
    </row>
    <row r="1147" spans="1:43" ht="15" customHeight="1">
      <c r="A1147" s="82" t="e">
        <f t="shared" si="435"/>
        <v>#REF!</v>
      </c>
      <c r="B1147" s="152">
        <v>302</v>
      </c>
      <c r="C1147" s="153" t="s">
        <v>1330</v>
      </c>
      <c r="D1147" s="154" t="s">
        <v>1331</v>
      </c>
      <c r="E1147" s="155"/>
      <c r="F1147" s="64" t="s">
        <v>1359</v>
      </c>
      <c r="G1147" s="156" t="s">
        <v>1360</v>
      </c>
      <c r="H1147" s="140" t="str">
        <f t="shared" si="444"/>
        <v>Perrons</v>
      </c>
      <c r="I1147" s="64" t="s">
        <v>18</v>
      </c>
      <c r="J1147" s="138" t="s">
        <v>1171</v>
      </c>
      <c r="K1147" s="141" t="str">
        <f t="shared" si="445"/>
        <v>Omde dag Vol/Nal.</v>
      </c>
      <c r="L1147" s="141" t="str">
        <f t="shared" si="446"/>
        <v>Omde dag Nal./Vol</v>
      </c>
      <c r="M1147" s="141" t="str">
        <f t="shared" si="447"/>
        <v>Omde dag Vol/Nal.</v>
      </c>
      <c r="N1147" s="141" t="str">
        <f t="shared" si="448"/>
        <v>Omde dag Nal./Vol</v>
      </c>
      <c r="O1147" s="141" t="str">
        <f t="shared" si="449"/>
        <v>Omde dag Vol/Nal.</v>
      </c>
      <c r="P1147" s="141" t="str">
        <f t="shared" si="450"/>
        <v>Omde dag Nal./Vol</v>
      </c>
      <c r="Q1147" s="141" t="str">
        <f t="shared" si="451"/>
        <v>Omde dag Vol/Nal.</v>
      </c>
      <c r="R1147" s="63" t="s">
        <v>1209</v>
      </c>
      <c r="S1147" s="142">
        <f t="shared" si="430"/>
        <v>365</v>
      </c>
      <c r="T1147" s="157">
        <v>1178</v>
      </c>
      <c r="U1147" s="158"/>
      <c r="V1147" s="158"/>
      <c r="W1147" s="158"/>
      <c r="X1147" s="158"/>
      <c r="Y1147" s="158"/>
      <c r="Z1147" s="159"/>
      <c r="AA1147" s="159"/>
      <c r="AB1147" s="159"/>
      <c r="AC1147" s="159"/>
      <c r="AD1147" s="160"/>
      <c r="AE1147" s="171">
        <v>1</v>
      </c>
      <c r="AF1147" s="162">
        <f t="shared" si="455"/>
        <v>0</v>
      </c>
      <c r="AG1147" s="162">
        <f t="shared" si="456"/>
        <v>0</v>
      </c>
      <c r="AH1147" s="162">
        <f t="shared" si="457"/>
        <v>0</v>
      </c>
      <c r="AI1147" s="162">
        <f t="shared" si="458"/>
        <v>0</v>
      </c>
      <c r="AJ1147" s="148" t="str">
        <f t="shared" si="452"/>
        <v>ja</v>
      </c>
      <c r="AK1147" s="161">
        <f t="shared" si="440"/>
        <v>0</v>
      </c>
      <c r="AL1147" s="161">
        <f t="shared" si="441"/>
        <v>0</v>
      </c>
      <c r="AM1147" s="161">
        <f t="shared" si="442"/>
        <v>0</v>
      </c>
      <c r="AN1147" s="161">
        <f t="shared" si="443"/>
        <v>0</v>
      </c>
      <c r="AO1147" s="150" t="str">
        <f t="shared" si="453"/>
        <v>V</v>
      </c>
      <c r="AQ1147" s="151">
        <f t="shared" si="454"/>
        <v>429970</v>
      </c>
    </row>
    <row r="1148" spans="1:43" ht="15" customHeight="1">
      <c r="A1148" s="82" t="e">
        <f t="shared" si="435"/>
        <v>#REF!</v>
      </c>
      <c r="B1148" s="152">
        <v>302</v>
      </c>
      <c r="C1148" s="153" t="s">
        <v>1330</v>
      </c>
      <c r="D1148" s="154" t="s">
        <v>1331</v>
      </c>
      <c r="E1148" s="155"/>
      <c r="F1148" s="64" t="s">
        <v>1369</v>
      </c>
      <c r="G1148" s="156" t="s">
        <v>26</v>
      </c>
      <c r="H1148" s="140" t="str">
        <f t="shared" si="444"/>
        <v>Kantoren/spreekkamers</v>
      </c>
      <c r="I1148" s="64" t="s">
        <v>270</v>
      </c>
      <c r="J1148" s="138" t="s">
        <v>1171</v>
      </c>
      <c r="K1148" s="141" t="str">
        <f t="shared" si="445"/>
        <v>Omde dag Vol/Nal.</v>
      </c>
      <c r="L1148" s="141" t="str">
        <f t="shared" si="446"/>
        <v>Omde dag Nal./Vol</v>
      </c>
      <c r="M1148" s="141" t="str">
        <f t="shared" si="447"/>
        <v>Omde dag Vol/Nal.</v>
      </c>
      <c r="N1148" s="141" t="str">
        <f t="shared" si="448"/>
        <v>Omde dag Nal./Vol</v>
      </c>
      <c r="O1148" s="141" t="str">
        <f t="shared" si="449"/>
        <v>Omde dag Vol/Nal.</v>
      </c>
      <c r="P1148" s="141" t="str">
        <f t="shared" si="450"/>
        <v>Omde dag Nal./Vol</v>
      </c>
      <c r="Q1148" s="141" t="str">
        <f t="shared" si="451"/>
        <v>Omde dag Vol/Nal.</v>
      </c>
      <c r="R1148" s="63" t="s">
        <v>1220</v>
      </c>
      <c r="S1148" s="142">
        <f t="shared" si="430"/>
        <v>365</v>
      </c>
      <c r="T1148" s="157">
        <v>35</v>
      </c>
      <c r="U1148" s="158">
        <v>20</v>
      </c>
      <c r="V1148" s="158">
        <v>19</v>
      </c>
      <c r="W1148" s="158">
        <v>10</v>
      </c>
      <c r="X1148" s="158"/>
      <c r="Y1148" s="158"/>
      <c r="Z1148" s="159"/>
      <c r="AA1148" s="159"/>
      <c r="AB1148" s="159"/>
      <c r="AC1148" s="159">
        <v>35</v>
      </c>
      <c r="AD1148" s="160" t="s">
        <v>1370</v>
      </c>
      <c r="AE1148" s="171">
        <v>1</v>
      </c>
      <c r="AF1148" s="162">
        <f t="shared" si="455"/>
        <v>0</v>
      </c>
      <c r="AG1148" s="162">
        <f t="shared" si="456"/>
        <v>0</v>
      </c>
      <c r="AH1148" s="162">
        <f t="shared" si="457"/>
        <v>0</v>
      </c>
      <c r="AI1148" s="162">
        <f t="shared" si="458"/>
        <v>0</v>
      </c>
      <c r="AJ1148" s="148" t="str">
        <f t="shared" si="452"/>
        <v>nee</v>
      </c>
      <c r="AK1148" s="161">
        <f t="shared" si="440"/>
        <v>0</v>
      </c>
      <c r="AL1148" s="161">
        <f t="shared" si="441"/>
        <v>0</v>
      </c>
      <c r="AM1148" s="161">
        <f t="shared" si="442"/>
        <v>0</v>
      </c>
      <c r="AN1148" s="161">
        <f t="shared" si="443"/>
        <v>0</v>
      </c>
      <c r="AO1148" s="150" t="str">
        <f t="shared" si="453"/>
        <v>B</v>
      </c>
      <c r="AQ1148" s="151">
        <f t="shared" si="454"/>
        <v>12775</v>
      </c>
    </row>
    <row r="1149" spans="1:43" ht="15" customHeight="1">
      <c r="A1149" s="82" t="e">
        <f t="shared" si="435"/>
        <v>#REF!</v>
      </c>
      <c r="B1149" s="152">
        <v>302</v>
      </c>
      <c r="C1149" s="153" t="s">
        <v>1330</v>
      </c>
      <c r="D1149" s="154" t="s">
        <v>1331</v>
      </c>
      <c r="E1149" s="155"/>
      <c r="F1149" s="64" t="s">
        <v>34</v>
      </c>
      <c r="G1149" s="156" t="s">
        <v>1371</v>
      </c>
      <c r="H1149" s="140" t="str">
        <f t="shared" si="444"/>
        <v>Roltrappen(inclusief aangrenzende bouwdelen)</v>
      </c>
      <c r="I1149" s="64" t="s">
        <v>1251</v>
      </c>
      <c r="J1149" s="138" t="s">
        <v>1171</v>
      </c>
      <c r="K1149" s="141" t="str">
        <f t="shared" si="445"/>
        <v>Omde dag Vol/Nal.</v>
      </c>
      <c r="L1149" s="141" t="str">
        <f t="shared" si="446"/>
        <v>Omde dag Nal./Vol</v>
      </c>
      <c r="M1149" s="141" t="str">
        <f t="shared" si="447"/>
        <v>Omde dag Vol/Nal.</v>
      </c>
      <c r="N1149" s="141" t="str">
        <f t="shared" si="448"/>
        <v>Omde dag Nal./Vol</v>
      </c>
      <c r="O1149" s="141" t="str">
        <f t="shared" si="449"/>
        <v>Omde dag Vol/Nal.</v>
      </c>
      <c r="P1149" s="141" t="str">
        <f t="shared" si="450"/>
        <v>Omde dag Nal./Vol</v>
      </c>
      <c r="Q1149" s="141" t="str">
        <f t="shared" si="451"/>
        <v>Omde dag Vol/Nal.</v>
      </c>
      <c r="R1149" s="63" t="s">
        <v>1218</v>
      </c>
      <c r="S1149" s="142">
        <f t="shared" si="430"/>
        <v>365</v>
      </c>
      <c r="T1149" s="157">
        <v>29</v>
      </c>
      <c r="U1149" s="158"/>
      <c r="V1149" s="158"/>
      <c r="W1149" s="158"/>
      <c r="X1149" s="158">
        <v>20</v>
      </c>
      <c r="Y1149" s="158"/>
      <c r="Z1149" s="159"/>
      <c r="AA1149" s="159"/>
      <c r="AB1149" s="159"/>
      <c r="AC1149" s="159"/>
      <c r="AD1149" s="160"/>
      <c r="AE1149" s="171">
        <v>1</v>
      </c>
      <c r="AF1149" s="162">
        <f t="shared" si="455"/>
        <v>0</v>
      </c>
      <c r="AG1149" s="162">
        <f t="shared" si="456"/>
        <v>0</v>
      </c>
      <c r="AH1149" s="162">
        <f t="shared" si="457"/>
        <v>0</v>
      </c>
      <c r="AI1149" s="162">
        <f t="shared" si="458"/>
        <v>0</v>
      </c>
      <c r="AJ1149" s="148" t="str">
        <f t="shared" si="452"/>
        <v>ja</v>
      </c>
      <c r="AK1149" s="161">
        <f t="shared" si="440"/>
        <v>0</v>
      </c>
      <c r="AL1149" s="161">
        <f t="shared" si="441"/>
        <v>0</v>
      </c>
      <c r="AM1149" s="161">
        <f t="shared" si="442"/>
        <v>0</v>
      </c>
      <c r="AN1149" s="161">
        <f t="shared" si="443"/>
        <v>0</v>
      </c>
      <c r="AO1149" s="150" t="str">
        <f t="shared" si="453"/>
        <v>V</v>
      </c>
      <c r="AQ1149" s="151">
        <f t="shared" si="454"/>
        <v>10585</v>
      </c>
    </row>
    <row r="1150" spans="1:43" ht="15" customHeight="1">
      <c r="A1150" s="82" t="e">
        <f t="shared" si="435"/>
        <v>#REF!</v>
      </c>
      <c r="B1150" s="152">
        <v>302</v>
      </c>
      <c r="C1150" s="153" t="s">
        <v>1330</v>
      </c>
      <c r="D1150" s="154" t="s">
        <v>1331</v>
      </c>
      <c r="E1150" s="155"/>
      <c r="F1150" s="64" t="s">
        <v>1372</v>
      </c>
      <c r="G1150" s="156" t="s">
        <v>113</v>
      </c>
      <c r="H1150" s="140" t="str">
        <f t="shared" si="444"/>
        <v>Hallen</v>
      </c>
      <c r="I1150" s="64" t="s">
        <v>195</v>
      </c>
      <c r="J1150" s="138" t="s">
        <v>1171</v>
      </c>
      <c r="K1150" s="141" t="str">
        <f t="shared" si="445"/>
        <v>Omde dag Vol/Nal.</v>
      </c>
      <c r="L1150" s="141" t="str">
        <f t="shared" si="446"/>
        <v>Omde dag Nal./Vol</v>
      </c>
      <c r="M1150" s="141" t="str">
        <f t="shared" si="447"/>
        <v>Omde dag Vol/Nal.</v>
      </c>
      <c r="N1150" s="141" t="str">
        <f t="shared" si="448"/>
        <v>Omde dag Nal./Vol</v>
      </c>
      <c r="O1150" s="141" t="str">
        <f t="shared" si="449"/>
        <v>Omde dag Vol/Nal.</v>
      </c>
      <c r="P1150" s="141" t="str">
        <f t="shared" si="450"/>
        <v>Omde dag Nal./Vol</v>
      </c>
      <c r="Q1150" s="141" t="str">
        <f t="shared" si="451"/>
        <v>Omde dag Vol/Nal.</v>
      </c>
      <c r="R1150" s="63" t="s">
        <v>1216</v>
      </c>
      <c r="S1150" s="142">
        <f t="shared" si="430"/>
        <v>365</v>
      </c>
      <c r="T1150" s="157">
        <v>181</v>
      </c>
      <c r="U1150" s="158">
        <v>13</v>
      </c>
      <c r="V1150" s="158">
        <v>98</v>
      </c>
      <c r="W1150" s="158"/>
      <c r="X1150" s="158">
        <v>8</v>
      </c>
      <c r="Y1150" s="158"/>
      <c r="Z1150" s="159"/>
      <c r="AA1150" s="159"/>
      <c r="AB1150" s="159"/>
      <c r="AC1150" s="159">
        <v>181</v>
      </c>
      <c r="AD1150" s="160" t="s">
        <v>1373</v>
      </c>
      <c r="AE1150" s="171">
        <v>1</v>
      </c>
      <c r="AF1150" s="162">
        <f t="shared" si="455"/>
        <v>0</v>
      </c>
      <c r="AG1150" s="162">
        <f t="shared" si="456"/>
        <v>0</v>
      </c>
      <c r="AH1150" s="162">
        <f t="shared" si="457"/>
        <v>0</v>
      </c>
      <c r="AI1150" s="162">
        <f t="shared" si="458"/>
        <v>0</v>
      </c>
      <c r="AJ1150" s="148" t="str">
        <f t="shared" si="452"/>
        <v>ja</v>
      </c>
      <c r="AK1150" s="161">
        <f t="shared" si="440"/>
        <v>0</v>
      </c>
      <c r="AL1150" s="161">
        <f t="shared" si="441"/>
        <v>0</v>
      </c>
      <c r="AM1150" s="161">
        <f t="shared" si="442"/>
        <v>0</v>
      </c>
      <c r="AN1150" s="161">
        <f t="shared" si="443"/>
        <v>0</v>
      </c>
      <c r="AO1150" s="150" t="str">
        <f t="shared" si="453"/>
        <v>V</v>
      </c>
      <c r="AQ1150" s="151">
        <f t="shared" si="454"/>
        <v>66065</v>
      </c>
    </row>
    <row r="1151" spans="1:43" ht="15" customHeight="1">
      <c r="A1151" s="82" t="e">
        <f t="shared" si="435"/>
        <v>#REF!</v>
      </c>
      <c r="B1151" s="152">
        <v>302</v>
      </c>
      <c r="C1151" s="153" t="s">
        <v>1330</v>
      </c>
      <c r="D1151" s="154" t="s">
        <v>1331</v>
      </c>
      <c r="E1151" s="155"/>
      <c r="F1151" s="64" t="s">
        <v>1374</v>
      </c>
      <c r="G1151" s="156" t="s">
        <v>28</v>
      </c>
      <c r="H1151" s="140" t="str">
        <f t="shared" si="444"/>
        <v>Niet van toepassing</v>
      </c>
      <c r="I1151" s="64" t="s">
        <v>18</v>
      </c>
      <c r="J1151" s="138" t="s">
        <v>1172</v>
      </c>
      <c r="K1151" s="141" t="str">
        <f t="shared" si="445"/>
        <v>NVT</v>
      </c>
      <c r="L1151" s="141" t="str">
        <f t="shared" si="446"/>
        <v>NVT</v>
      </c>
      <c r="M1151" s="141" t="str">
        <f t="shared" si="447"/>
        <v>NVT</v>
      </c>
      <c r="N1151" s="141" t="str">
        <f t="shared" si="448"/>
        <v>NVT</v>
      </c>
      <c r="O1151" s="141" t="str">
        <f t="shared" si="449"/>
        <v>NVT</v>
      </c>
      <c r="P1151" s="141" t="str">
        <f t="shared" si="450"/>
        <v>NVT</v>
      </c>
      <c r="Q1151" s="141" t="str">
        <f t="shared" si="451"/>
        <v>NVT</v>
      </c>
      <c r="R1151" s="63" t="s">
        <v>1221</v>
      </c>
      <c r="S1151" s="142">
        <f t="shared" si="430"/>
        <v>0</v>
      </c>
      <c r="T1151" s="157">
        <v>10</v>
      </c>
      <c r="U1151" s="158"/>
      <c r="V1151" s="158"/>
      <c r="W1151" s="158">
        <v>53</v>
      </c>
      <c r="X1151" s="158"/>
      <c r="Y1151" s="158"/>
      <c r="Z1151" s="159"/>
      <c r="AA1151" s="159">
        <v>10</v>
      </c>
      <c r="AB1151" s="159"/>
      <c r="AC1151" s="159"/>
      <c r="AD1151" s="160" t="s">
        <v>490</v>
      </c>
      <c r="AE1151" s="171">
        <v>1</v>
      </c>
      <c r="AF1151" s="162">
        <f t="shared" si="455"/>
        <v>0</v>
      </c>
      <c r="AG1151" s="162">
        <f t="shared" si="456"/>
        <v>0</v>
      </c>
      <c r="AH1151" s="162">
        <f t="shared" si="457"/>
        <v>0</v>
      </c>
      <c r="AI1151" s="162">
        <f t="shared" si="458"/>
        <v>0</v>
      </c>
      <c r="AJ1151" s="148">
        <f t="shared" si="452"/>
        <v>0</v>
      </c>
      <c r="AK1151" s="161">
        <f t="shared" si="440"/>
        <v>0</v>
      </c>
      <c r="AL1151" s="161">
        <f t="shared" si="441"/>
        <v>0</v>
      </c>
      <c r="AM1151" s="161">
        <f t="shared" si="442"/>
        <v>0</v>
      </c>
      <c r="AN1151" s="161">
        <f t="shared" si="443"/>
        <v>0</v>
      </c>
      <c r="AO1151" s="150">
        <f t="shared" si="453"/>
        <v>0</v>
      </c>
      <c r="AQ1151" s="151">
        <f t="shared" si="454"/>
        <v>0</v>
      </c>
    </row>
    <row r="1152" spans="1:43" ht="15" customHeight="1">
      <c r="A1152" s="82" t="e">
        <f t="shared" si="435"/>
        <v>#REF!</v>
      </c>
      <c r="B1152" s="152">
        <v>302</v>
      </c>
      <c r="C1152" s="153" t="s">
        <v>1330</v>
      </c>
      <c r="D1152" s="154" t="s">
        <v>1331</v>
      </c>
      <c r="E1152" s="155"/>
      <c r="F1152" s="64" t="s">
        <v>1375</v>
      </c>
      <c r="G1152" s="156" t="s">
        <v>24</v>
      </c>
      <c r="H1152" s="140" t="str">
        <f t="shared" si="444"/>
        <v>Niet van toepassing</v>
      </c>
      <c r="I1152" s="64" t="s">
        <v>195</v>
      </c>
      <c r="J1152" s="138" t="s">
        <v>1172</v>
      </c>
      <c r="K1152" s="141" t="str">
        <f t="shared" si="445"/>
        <v>NVT</v>
      </c>
      <c r="L1152" s="141" t="str">
        <f t="shared" si="446"/>
        <v>NVT</v>
      </c>
      <c r="M1152" s="141" t="str">
        <f t="shared" si="447"/>
        <v>NVT</v>
      </c>
      <c r="N1152" s="141" t="str">
        <f t="shared" si="448"/>
        <v>NVT</v>
      </c>
      <c r="O1152" s="141" t="str">
        <f t="shared" si="449"/>
        <v>NVT</v>
      </c>
      <c r="P1152" s="141" t="str">
        <f t="shared" si="450"/>
        <v>NVT</v>
      </c>
      <c r="Q1152" s="141" t="str">
        <f t="shared" si="451"/>
        <v>NVT</v>
      </c>
      <c r="R1152" s="63" t="s">
        <v>1221</v>
      </c>
      <c r="S1152" s="142">
        <f t="shared" si="430"/>
        <v>0</v>
      </c>
      <c r="T1152" s="157">
        <v>30</v>
      </c>
      <c r="U1152" s="158"/>
      <c r="V1152" s="158">
        <v>45</v>
      </c>
      <c r="W1152" s="158"/>
      <c r="X1152" s="158"/>
      <c r="Y1152" s="158"/>
      <c r="Z1152" s="159"/>
      <c r="AA1152" s="159"/>
      <c r="AB1152" s="159">
        <v>30</v>
      </c>
      <c r="AC1152" s="159"/>
      <c r="AD1152" s="160"/>
      <c r="AE1152" s="171">
        <v>1</v>
      </c>
      <c r="AF1152" s="162">
        <f t="shared" si="455"/>
        <v>0</v>
      </c>
      <c r="AG1152" s="162">
        <f t="shared" si="456"/>
        <v>0</v>
      </c>
      <c r="AH1152" s="162">
        <f t="shared" si="457"/>
        <v>0</v>
      </c>
      <c r="AI1152" s="162">
        <f t="shared" si="458"/>
        <v>0</v>
      </c>
      <c r="AJ1152" s="148">
        <f t="shared" si="452"/>
        <v>0</v>
      </c>
      <c r="AK1152" s="161">
        <f t="shared" si="440"/>
        <v>0</v>
      </c>
      <c r="AL1152" s="161">
        <f t="shared" si="441"/>
        <v>0</v>
      </c>
      <c r="AM1152" s="161">
        <f t="shared" si="442"/>
        <v>0</v>
      </c>
      <c r="AN1152" s="161">
        <f t="shared" si="443"/>
        <v>0</v>
      </c>
      <c r="AO1152" s="150">
        <f t="shared" si="453"/>
        <v>0</v>
      </c>
      <c r="AQ1152" s="151">
        <f t="shared" si="454"/>
        <v>0</v>
      </c>
    </row>
    <row r="1153" spans="1:43" ht="15" customHeight="1">
      <c r="A1153" s="82" t="e">
        <f t="shared" si="435"/>
        <v>#REF!</v>
      </c>
      <c r="B1153" s="152">
        <v>302</v>
      </c>
      <c r="C1153" s="153" t="s">
        <v>1330</v>
      </c>
      <c r="D1153" s="154" t="s">
        <v>1331</v>
      </c>
      <c r="E1153" s="155"/>
      <c r="F1153" s="64" t="s">
        <v>1376</v>
      </c>
      <c r="G1153" s="156" t="s">
        <v>116</v>
      </c>
      <c r="H1153" s="140" t="str">
        <f t="shared" si="444"/>
        <v>Niet van toepassing</v>
      </c>
      <c r="I1153" s="64" t="s">
        <v>195</v>
      </c>
      <c r="J1153" s="138" t="s">
        <v>1172</v>
      </c>
      <c r="K1153" s="141" t="str">
        <f t="shared" si="445"/>
        <v>NVT</v>
      </c>
      <c r="L1153" s="141" t="str">
        <f t="shared" si="446"/>
        <v>NVT</v>
      </c>
      <c r="M1153" s="141" t="str">
        <f t="shared" si="447"/>
        <v>NVT</v>
      </c>
      <c r="N1153" s="141" t="str">
        <f t="shared" si="448"/>
        <v>NVT</v>
      </c>
      <c r="O1153" s="141" t="str">
        <f t="shared" si="449"/>
        <v>NVT</v>
      </c>
      <c r="P1153" s="141" t="str">
        <f t="shared" si="450"/>
        <v>NVT</v>
      </c>
      <c r="Q1153" s="141" t="str">
        <f t="shared" si="451"/>
        <v>NVT</v>
      </c>
      <c r="R1153" s="63" t="s">
        <v>1221</v>
      </c>
      <c r="S1153" s="142">
        <f t="shared" si="430"/>
        <v>0</v>
      </c>
      <c r="T1153" s="157">
        <v>45</v>
      </c>
      <c r="U1153" s="158"/>
      <c r="V1153" s="158">
        <v>88</v>
      </c>
      <c r="W1153" s="158"/>
      <c r="X1153" s="158"/>
      <c r="Y1153" s="158"/>
      <c r="Z1153" s="159"/>
      <c r="AA1153" s="159"/>
      <c r="AB1153" s="159">
        <v>45</v>
      </c>
      <c r="AC1153" s="159"/>
      <c r="AD1153" s="160"/>
      <c r="AE1153" s="171">
        <v>1</v>
      </c>
      <c r="AF1153" s="162">
        <f t="shared" si="455"/>
        <v>0</v>
      </c>
      <c r="AG1153" s="162">
        <f t="shared" si="456"/>
        <v>0</v>
      </c>
      <c r="AH1153" s="162">
        <f t="shared" si="457"/>
        <v>0</v>
      </c>
      <c r="AI1153" s="162">
        <f t="shared" si="458"/>
        <v>0</v>
      </c>
      <c r="AJ1153" s="148">
        <f t="shared" si="452"/>
        <v>0</v>
      </c>
      <c r="AK1153" s="161">
        <f t="shared" si="440"/>
        <v>0</v>
      </c>
      <c r="AL1153" s="161">
        <f t="shared" si="441"/>
        <v>0</v>
      </c>
      <c r="AM1153" s="161">
        <f t="shared" si="442"/>
        <v>0</v>
      </c>
      <c r="AN1153" s="161">
        <f t="shared" si="443"/>
        <v>0</v>
      </c>
      <c r="AO1153" s="150">
        <f t="shared" si="453"/>
        <v>0</v>
      </c>
      <c r="AQ1153" s="151">
        <f t="shared" si="454"/>
        <v>0</v>
      </c>
    </row>
    <row r="1154" spans="1:43" ht="15" customHeight="1">
      <c r="A1154" s="82" t="e">
        <f t="shared" si="435"/>
        <v>#REF!</v>
      </c>
      <c r="B1154" s="152">
        <v>302</v>
      </c>
      <c r="C1154" s="153" t="s">
        <v>1330</v>
      </c>
      <c r="D1154" s="154" t="s">
        <v>1331</v>
      </c>
      <c r="E1154" s="155"/>
      <c r="F1154" s="64" t="s">
        <v>1377</v>
      </c>
      <c r="G1154" s="156" t="s">
        <v>36</v>
      </c>
      <c r="H1154" s="140" t="str">
        <f t="shared" si="444"/>
        <v>Liften</v>
      </c>
      <c r="I1154" s="64" t="s">
        <v>1109</v>
      </c>
      <c r="J1154" s="138" t="s">
        <v>1171</v>
      </c>
      <c r="K1154" s="141" t="str">
        <f t="shared" si="445"/>
        <v>Omde dag Vol/Nal.</v>
      </c>
      <c r="L1154" s="141" t="str">
        <f t="shared" si="446"/>
        <v>Omde dag Nal./Vol</v>
      </c>
      <c r="M1154" s="141" t="str">
        <f t="shared" si="447"/>
        <v>Omde dag Vol/Nal.</v>
      </c>
      <c r="N1154" s="141" t="str">
        <f t="shared" si="448"/>
        <v>Omde dag Nal./Vol</v>
      </c>
      <c r="O1154" s="141" t="str">
        <f t="shared" si="449"/>
        <v>Omde dag Vol/Nal.</v>
      </c>
      <c r="P1154" s="141" t="str">
        <f t="shared" si="450"/>
        <v>Omde dag Nal./Vol</v>
      </c>
      <c r="Q1154" s="141" t="str">
        <f t="shared" si="451"/>
        <v>Omde dag Vol/Nal.</v>
      </c>
      <c r="R1154" s="63" t="s">
        <v>1213</v>
      </c>
      <c r="S1154" s="142">
        <f t="shared" si="430"/>
        <v>365</v>
      </c>
      <c r="T1154" s="157">
        <v>5</v>
      </c>
      <c r="U1154" s="158"/>
      <c r="V1154" s="158"/>
      <c r="W1154" s="158"/>
      <c r="X1154" s="158">
        <v>15</v>
      </c>
      <c r="Y1154" s="158"/>
      <c r="Z1154" s="159"/>
      <c r="AA1154" s="159"/>
      <c r="AB1154" s="159"/>
      <c r="AC1154" s="159"/>
      <c r="AD1154" s="160"/>
      <c r="AE1154" s="171">
        <v>1</v>
      </c>
      <c r="AF1154" s="162">
        <f t="shared" si="455"/>
        <v>0</v>
      </c>
      <c r="AG1154" s="162">
        <f t="shared" si="456"/>
        <v>0</v>
      </c>
      <c r="AH1154" s="162">
        <f t="shared" si="457"/>
        <v>0</v>
      </c>
      <c r="AI1154" s="162">
        <f t="shared" si="458"/>
        <v>0</v>
      </c>
      <c r="AJ1154" s="148" t="str">
        <f t="shared" si="452"/>
        <v>ja</v>
      </c>
      <c r="AK1154" s="161">
        <f t="shared" si="440"/>
        <v>0</v>
      </c>
      <c r="AL1154" s="161">
        <f t="shared" si="441"/>
        <v>0</v>
      </c>
      <c r="AM1154" s="161">
        <f t="shared" si="442"/>
        <v>0</v>
      </c>
      <c r="AN1154" s="161">
        <f t="shared" si="443"/>
        <v>0</v>
      </c>
      <c r="AO1154" s="150" t="str">
        <f t="shared" si="453"/>
        <v>V</v>
      </c>
      <c r="AQ1154" s="151">
        <f t="shared" si="454"/>
        <v>1825</v>
      </c>
    </row>
    <row r="1155" spans="1:43" ht="15" customHeight="1">
      <c r="A1155" s="82" t="e">
        <f t="shared" si="435"/>
        <v>#REF!</v>
      </c>
      <c r="B1155" s="152">
        <v>303</v>
      </c>
      <c r="C1155" s="153" t="s">
        <v>222</v>
      </c>
      <c r="D1155" s="154" t="s">
        <v>1331</v>
      </c>
      <c r="E1155" s="155"/>
      <c r="F1155" s="64" t="s">
        <v>1378</v>
      </c>
      <c r="G1155" s="156" t="s">
        <v>25</v>
      </c>
      <c r="H1155" s="140" t="str">
        <f t="shared" si="444"/>
        <v>Trappen</v>
      </c>
      <c r="I1155" s="64" t="s">
        <v>118</v>
      </c>
      <c r="J1155" s="138" t="s">
        <v>1171</v>
      </c>
      <c r="K1155" s="141" t="str">
        <f t="shared" si="445"/>
        <v>Omde dag Vol/Nal.</v>
      </c>
      <c r="L1155" s="141" t="str">
        <f t="shared" si="446"/>
        <v>Omde dag Nal./Vol</v>
      </c>
      <c r="M1155" s="141" t="str">
        <f t="shared" si="447"/>
        <v>Omde dag Vol/Nal.</v>
      </c>
      <c r="N1155" s="141" t="str">
        <f t="shared" si="448"/>
        <v>Omde dag Nal./Vol</v>
      </c>
      <c r="O1155" s="141" t="str">
        <f t="shared" si="449"/>
        <v>Omde dag Vol/Nal.</v>
      </c>
      <c r="P1155" s="141" t="str">
        <f t="shared" si="450"/>
        <v>Omde dag Nal./Vol</v>
      </c>
      <c r="Q1155" s="141" t="str">
        <f t="shared" si="451"/>
        <v>Omde dag Vol/Nal.</v>
      </c>
      <c r="R1155" s="63" t="s">
        <v>1215</v>
      </c>
      <c r="S1155" s="142">
        <f t="shared" si="430"/>
        <v>365</v>
      </c>
      <c r="T1155" s="157">
        <v>104</v>
      </c>
      <c r="U1155" s="158" t="s">
        <v>1379</v>
      </c>
      <c r="V1155" s="158"/>
      <c r="W1155" s="158"/>
      <c r="X1155" s="158"/>
      <c r="Y1155" s="158"/>
      <c r="Z1155" s="159"/>
      <c r="AA1155" s="159"/>
      <c r="AB1155" s="159"/>
      <c r="AC1155" s="159"/>
      <c r="AD1155" s="160"/>
      <c r="AE1155" s="171">
        <v>1</v>
      </c>
      <c r="AF1155" s="162">
        <f t="shared" si="455"/>
        <v>0</v>
      </c>
      <c r="AG1155" s="162">
        <f t="shared" si="456"/>
        <v>0</v>
      </c>
      <c r="AH1155" s="162">
        <f t="shared" si="457"/>
        <v>0</v>
      </c>
      <c r="AI1155" s="162">
        <f t="shared" si="458"/>
        <v>0</v>
      </c>
      <c r="AJ1155" s="148" t="str">
        <f t="shared" si="452"/>
        <v>ja</v>
      </c>
      <c r="AK1155" s="161">
        <f t="shared" si="440"/>
        <v>0</v>
      </c>
      <c r="AL1155" s="161">
        <f t="shared" si="441"/>
        <v>0</v>
      </c>
      <c r="AM1155" s="161">
        <f t="shared" si="442"/>
        <v>0</v>
      </c>
      <c r="AN1155" s="161">
        <f t="shared" si="443"/>
        <v>0</v>
      </c>
      <c r="AO1155" s="150" t="str">
        <f t="shared" si="453"/>
        <v>V</v>
      </c>
      <c r="AQ1155" s="151">
        <f t="shared" si="454"/>
        <v>37960</v>
      </c>
    </row>
    <row r="1156" spans="1:43" ht="15" customHeight="1">
      <c r="A1156" s="82" t="e">
        <f t="shared" si="435"/>
        <v>#REF!</v>
      </c>
      <c r="B1156" s="152">
        <v>303</v>
      </c>
      <c r="C1156" s="153" t="s">
        <v>222</v>
      </c>
      <c r="D1156" s="154" t="s">
        <v>1331</v>
      </c>
      <c r="E1156" s="155"/>
      <c r="F1156" s="64" t="s">
        <v>1359</v>
      </c>
      <c r="G1156" s="156" t="s">
        <v>1360</v>
      </c>
      <c r="H1156" s="140" t="str">
        <f t="shared" si="444"/>
        <v>Perrons</v>
      </c>
      <c r="I1156" s="64" t="s">
        <v>18</v>
      </c>
      <c r="J1156" s="138" t="s">
        <v>1171</v>
      </c>
      <c r="K1156" s="141" t="str">
        <f t="shared" si="445"/>
        <v>Omde dag Vol/Nal.</v>
      </c>
      <c r="L1156" s="141" t="str">
        <f t="shared" si="446"/>
        <v>Omde dag Nal./Vol</v>
      </c>
      <c r="M1156" s="141" t="str">
        <f t="shared" si="447"/>
        <v>Omde dag Vol/Nal.</v>
      </c>
      <c r="N1156" s="141" t="str">
        <f t="shared" si="448"/>
        <v>Omde dag Nal./Vol</v>
      </c>
      <c r="O1156" s="141" t="str">
        <f t="shared" si="449"/>
        <v>Omde dag Vol/Nal.</v>
      </c>
      <c r="P1156" s="141" t="str">
        <f t="shared" si="450"/>
        <v>Omde dag Nal./Vol</v>
      </c>
      <c r="Q1156" s="141" t="str">
        <f t="shared" si="451"/>
        <v>Omde dag Vol/Nal.</v>
      </c>
      <c r="R1156" s="63" t="s">
        <v>1209</v>
      </c>
      <c r="S1156" s="142">
        <f t="shared" si="430"/>
        <v>365</v>
      </c>
      <c r="T1156" s="157">
        <v>731</v>
      </c>
      <c r="U1156" s="158"/>
      <c r="V1156" s="158"/>
      <c r="W1156" s="158"/>
      <c r="X1156" s="158"/>
      <c r="Y1156" s="158"/>
      <c r="Z1156" s="159"/>
      <c r="AA1156" s="159"/>
      <c r="AB1156" s="159"/>
      <c r="AC1156" s="159"/>
      <c r="AD1156" s="160"/>
      <c r="AE1156" s="171">
        <v>1</v>
      </c>
      <c r="AF1156" s="162">
        <f t="shared" si="455"/>
        <v>0</v>
      </c>
      <c r="AG1156" s="162">
        <f t="shared" si="456"/>
        <v>0</v>
      </c>
      <c r="AH1156" s="162">
        <f t="shared" si="457"/>
        <v>0</v>
      </c>
      <c r="AI1156" s="162">
        <f t="shared" si="458"/>
        <v>0</v>
      </c>
      <c r="AJ1156" s="148" t="str">
        <f t="shared" si="452"/>
        <v>ja</v>
      </c>
      <c r="AK1156" s="161">
        <f t="shared" si="440"/>
        <v>0</v>
      </c>
      <c r="AL1156" s="161">
        <f t="shared" si="441"/>
        <v>0</v>
      </c>
      <c r="AM1156" s="161">
        <f t="shared" si="442"/>
        <v>0</v>
      </c>
      <c r="AN1156" s="161">
        <f t="shared" si="443"/>
        <v>0</v>
      </c>
      <c r="AO1156" s="150" t="str">
        <f t="shared" si="453"/>
        <v>V</v>
      </c>
      <c r="AQ1156" s="151">
        <f t="shared" si="454"/>
        <v>266815</v>
      </c>
    </row>
    <row r="1157" spans="1:43" ht="15" customHeight="1">
      <c r="A1157" s="82" t="e">
        <f t="shared" si="435"/>
        <v>#REF!</v>
      </c>
      <c r="B1157" s="152">
        <v>303</v>
      </c>
      <c r="C1157" s="153" t="s">
        <v>222</v>
      </c>
      <c r="D1157" s="154" t="s">
        <v>1331</v>
      </c>
      <c r="E1157" s="155"/>
      <c r="F1157" s="64" t="s">
        <v>1359</v>
      </c>
      <c r="G1157" s="156" t="s">
        <v>298</v>
      </c>
      <c r="H1157" s="140" t="str">
        <f t="shared" si="444"/>
        <v>Perrons</v>
      </c>
      <c r="I1157" s="64" t="s">
        <v>18</v>
      </c>
      <c r="J1157" s="138" t="s">
        <v>1171</v>
      </c>
      <c r="K1157" s="141" t="str">
        <f t="shared" si="445"/>
        <v>Omde dag Vol/Nal.</v>
      </c>
      <c r="L1157" s="141" t="str">
        <f t="shared" si="446"/>
        <v>Omde dag Nal./Vol</v>
      </c>
      <c r="M1157" s="141" t="str">
        <f t="shared" si="447"/>
        <v>Omde dag Vol/Nal.</v>
      </c>
      <c r="N1157" s="141" t="str">
        <f t="shared" si="448"/>
        <v>Omde dag Nal./Vol</v>
      </c>
      <c r="O1157" s="141" t="str">
        <f t="shared" si="449"/>
        <v>Omde dag Vol/Nal.</v>
      </c>
      <c r="P1157" s="141" t="str">
        <f t="shared" si="450"/>
        <v>Omde dag Nal./Vol</v>
      </c>
      <c r="Q1157" s="141" t="str">
        <f t="shared" si="451"/>
        <v>Omde dag Vol/Nal.</v>
      </c>
      <c r="R1157" s="63" t="s">
        <v>1209</v>
      </c>
      <c r="S1157" s="142">
        <f t="shared" si="430"/>
        <v>365</v>
      </c>
      <c r="T1157" s="157">
        <v>803</v>
      </c>
      <c r="U1157" s="158"/>
      <c r="V1157" s="158"/>
      <c r="W1157" s="158"/>
      <c r="X1157" s="158"/>
      <c r="Y1157" s="158"/>
      <c r="Z1157" s="159"/>
      <c r="AA1157" s="159"/>
      <c r="AB1157" s="159"/>
      <c r="AC1157" s="159"/>
      <c r="AD1157" s="160"/>
      <c r="AE1157" s="171">
        <v>1</v>
      </c>
      <c r="AF1157" s="162">
        <f t="shared" si="455"/>
        <v>0</v>
      </c>
      <c r="AG1157" s="162">
        <f t="shared" si="456"/>
        <v>0</v>
      </c>
      <c r="AH1157" s="162">
        <f t="shared" si="457"/>
        <v>0</v>
      </c>
      <c r="AI1157" s="162">
        <f t="shared" si="458"/>
        <v>0</v>
      </c>
      <c r="AJ1157" s="148" t="str">
        <f t="shared" si="452"/>
        <v>ja</v>
      </c>
      <c r="AK1157" s="161">
        <f t="shared" si="440"/>
        <v>0</v>
      </c>
      <c r="AL1157" s="161">
        <f t="shared" si="441"/>
        <v>0</v>
      </c>
      <c r="AM1157" s="161">
        <f t="shared" si="442"/>
        <v>0</v>
      </c>
      <c r="AN1157" s="161">
        <f t="shared" si="443"/>
        <v>0</v>
      </c>
      <c r="AO1157" s="150" t="str">
        <f t="shared" si="453"/>
        <v>V</v>
      </c>
      <c r="AQ1157" s="151">
        <f t="shared" si="454"/>
        <v>293095</v>
      </c>
    </row>
    <row r="1158" spans="1:43" ht="15" customHeight="1">
      <c r="A1158" s="82" t="e">
        <f t="shared" si="435"/>
        <v>#REF!</v>
      </c>
      <c r="B1158" s="152">
        <v>303</v>
      </c>
      <c r="C1158" s="153" t="s">
        <v>222</v>
      </c>
      <c r="D1158" s="154" t="s">
        <v>1331</v>
      </c>
      <c r="E1158" s="155"/>
      <c r="F1158" s="64" t="s">
        <v>117</v>
      </c>
      <c r="G1158" s="156" t="s">
        <v>1380</v>
      </c>
      <c r="H1158" s="140" t="str">
        <f t="shared" si="444"/>
        <v>Perrons</v>
      </c>
      <c r="I1158" s="64" t="s">
        <v>1381</v>
      </c>
      <c r="J1158" s="138" t="s">
        <v>1171</v>
      </c>
      <c r="K1158" s="141" t="str">
        <f t="shared" si="445"/>
        <v>Omde dag Vol/Nal.</v>
      </c>
      <c r="L1158" s="141" t="str">
        <f t="shared" si="446"/>
        <v>Omde dag Nal./Vol</v>
      </c>
      <c r="M1158" s="141" t="str">
        <f t="shared" si="447"/>
        <v>Omde dag Vol/Nal.</v>
      </c>
      <c r="N1158" s="141" t="str">
        <f t="shared" si="448"/>
        <v>Omde dag Nal./Vol</v>
      </c>
      <c r="O1158" s="141" t="str">
        <f t="shared" si="449"/>
        <v>Omde dag Vol/Nal.</v>
      </c>
      <c r="P1158" s="141" t="str">
        <f t="shared" si="450"/>
        <v>Omde dag Nal./Vol</v>
      </c>
      <c r="Q1158" s="141" t="str">
        <f t="shared" si="451"/>
        <v>Omde dag Vol/Nal.</v>
      </c>
      <c r="R1158" s="63" t="s">
        <v>1209</v>
      </c>
      <c r="S1158" s="142">
        <f t="shared" si="430"/>
        <v>365</v>
      </c>
      <c r="T1158" s="157">
        <v>47</v>
      </c>
      <c r="U1158" s="158"/>
      <c r="V1158" s="158"/>
      <c r="W1158" s="158"/>
      <c r="X1158" s="158"/>
      <c r="Y1158" s="158"/>
      <c r="Z1158" s="159"/>
      <c r="AA1158" s="159"/>
      <c r="AB1158" s="159"/>
      <c r="AC1158" s="159"/>
      <c r="AD1158" s="160"/>
      <c r="AE1158" s="171">
        <v>1</v>
      </c>
      <c r="AF1158" s="162">
        <f t="shared" si="455"/>
        <v>0</v>
      </c>
      <c r="AG1158" s="162">
        <f t="shared" si="456"/>
        <v>0</v>
      </c>
      <c r="AH1158" s="162">
        <f t="shared" si="457"/>
        <v>0</v>
      </c>
      <c r="AI1158" s="162">
        <f t="shared" si="458"/>
        <v>0</v>
      </c>
      <c r="AJ1158" s="148" t="str">
        <f t="shared" si="452"/>
        <v>ja</v>
      </c>
      <c r="AK1158" s="161">
        <f t="shared" si="440"/>
        <v>0</v>
      </c>
      <c r="AL1158" s="161">
        <f t="shared" si="441"/>
        <v>0</v>
      </c>
      <c r="AM1158" s="161">
        <f t="shared" si="442"/>
        <v>0</v>
      </c>
      <c r="AN1158" s="161">
        <f t="shared" si="443"/>
        <v>0</v>
      </c>
      <c r="AO1158" s="150" t="str">
        <f t="shared" si="453"/>
        <v>V</v>
      </c>
      <c r="AQ1158" s="151">
        <f t="shared" si="454"/>
        <v>17155</v>
      </c>
    </row>
    <row r="1159" spans="1:43" ht="15" customHeight="1">
      <c r="A1159" s="82" t="e">
        <f t="shared" si="435"/>
        <v>#REF!</v>
      </c>
      <c r="B1159" s="152">
        <v>303</v>
      </c>
      <c r="C1159" s="153" t="s">
        <v>222</v>
      </c>
      <c r="D1159" s="154" t="s">
        <v>1331</v>
      </c>
      <c r="E1159" s="155"/>
      <c r="F1159" s="64" t="s">
        <v>1359</v>
      </c>
      <c r="G1159" s="156" t="s">
        <v>1382</v>
      </c>
      <c r="H1159" s="140" t="str">
        <f t="shared" si="444"/>
        <v>Perrons</v>
      </c>
      <c r="I1159" s="64" t="s">
        <v>18</v>
      </c>
      <c r="J1159" s="138" t="s">
        <v>1171</v>
      </c>
      <c r="K1159" s="141" t="str">
        <f t="shared" si="445"/>
        <v>Omde dag Vol/Nal.</v>
      </c>
      <c r="L1159" s="141" t="str">
        <f t="shared" si="446"/>
        <v>Omde dag Nal./Vol</v>
      </c>
      <c r="M1159" s="141" t="str">
        <f t="shared" si="447"/>
        <v>Omde dag Vol/Nal.</v>
      </c>
      <c r="N1159" s="141" t="str">
        <f t="shared" si="448"/>
        <v>Omde dag Nal./Vol</v>
      </c>
      <c r="O1159" s="141" t="str">
        <f t="shared" si="449"/>
        <v>Omde dag Vol/Nal.</v>
      </c>
      <c r="P1159" s="141" t="str">
        <f t="shared" si="450"/>
        <v>Omde dag Nal./Vol</v>
      </c>
      <c r="Q1159" s="141" t="str">
        <f t="shared" si="451"/>
        <v>Omde dag Vol/Nal.</v>
      </c>
      <c r="R1159" s="63" t="s">
        <v>1209</v>
      </c>
      <c r="S1159" s="142">
        <f t="shared" si="430"/>
        <v>365</v>
      </c>
      <c r="T1159" s="157">
        <v>122</v>
      </c>
      <c r="U1159" s="158"/>
      <c r="V1159" s="158"/>
      <c r="W1159" s="158"/>
      <c r="X1159" s="158"/>
      <c r="Y1159" s="158"/>
      <c r="Z1159" s="159"/>
      <c r="AA1159" s="159"/>
      <c r="AB1159" s="159"/>
      <c r="AC1159" s="159"/>
      <c r="AD1159" s="160"/>
      <c r="AE1159" s="171">
        <v>1</v>
      </c>
      <c r="AF1159" s="162">
        <f t="shared" si="455"/>
        <v>0</v>
      </c>
      <c r="AG1159" s="162">
        <f t="shared" si="456"/>
        <v>0</v>
      </c>
      <c r="AH1159" s="162">
        <f t="shared" si="457"/>
        <v>0</v>
      </c>
      <c r="AI1159" s="162">
        <f t="shared" si="458"/>
        <v>0</v>
      </c>
      <c r="AJ1159" s="148" t="str">
        <f t="shared" si="452"/>
        <v>ja</v>
      </c>
      <c r="AK1159" s="161">
        <f t="shared" si="440"/>
        <v>0</v>
      </c>
      <c r="AL1159" s="161">
        <f t="shared" si="441"/>
        <v>0</v>
      </c>
      <c r="AM1159" s="161">
        <f t="shared" si="442"/>
        <v>0</v>
      </c>
      <c r="AN1159" s="161">
        <f t="shared" si="443"/>
        <v>0</v>
      </c>
      <c r="AO1159" s="150" t="str">
        <f t="shared" si="453"/>
        <v>V</v>
      </c>
      <c r="AQ1159" s="151">
        <f t="shared" si="454"/>
        <v>44530</v>
      </c>
    </row>
    <row r="1160" spans="1:43" ht="15" customHeight="1">
      <c r="A1160" s="82" t="e">
        <f t="shared" si="435"/>
        <v>#REF!</v>
      </c>
      <c r="B1160" s="152">
        <v>303</v>
      </c>
      <c r="C1160" s="153" t="s">
        <v>222</v>
      </c>
      <c r="D1160" s="154" t="s">
        <v>1331</v>
      </c>
      <c r="E1160" s="155"/>
      <c r="F1160" s="64" t="s">
        <v>1383</v>
      </c>
      <c r="G1160" s="156" t="s">
        <v>1384</v>
      </c>
      <c r="H1160" s="140" t="str">
        <f t="shared" si="444"/>
        <v>Kantoren/spreekkamers</v>
      </c>
      <c r="I1160" s="64" t="s">
        <v>195</v>
      </c>
      <c r="J1160" s="138" t="s">
        <v>1171</v>
      </c>
      <c r="K1160" s="141" t="str">
        <f t="shared" si="445"/>
        <v>Omde dag Vol/Nal.</v>
      </c>
      <c r="L1160" s="141" t="str">
        <f t="shared" si="446"/>
        <v>Omde dag Nal./Vol</v>
      </c>
      <c r="M1160" s="141" t="str">
        <f t="shared" si="447"/>
        <v>Omde dag Vol/Nal.</v>
      </c>
      <c r="N1160" s="141" t="str">
        <f t="shared" si="448"/>
        <v>Omde dag Nal./Vol</v>
      </c>
      <c r="O1160" s="141" t="str">
        <f t="shared" si="449"/>
        <v>Omde dag Vol/Nal.</v>
      </c>
      <c r="P1160" s="141" t="str">
        <f t="shared" si="450"/>
        <v>Omde dag Nal./Vol</v>
      </c>
      <c r="Q1160" s="141" t="str">
        <f t="shared" si="451"/>
        <v>Omde dag Vol/Nal.</v>
      </c>
      <c r="R1160" s="63" t="s">
        <v>1220</v>
      </c>
      <c r="S1160" s="142">
        <f t="shared" si="430"/>
        <v>365</v>
      </c>
      <c r="T1160" s="157">
        <v>49</v>
      </c>
      <c r="U1160" s="158"/>
      <c r="V1160" s="158">
        <v>32</v>
      </c>
      <c r="W1160" s="158">
        <v>26</v>
      </c>
      <c r="X1160" s="158"/>
      <c r="Y1160" s="158"/>
      <c r="Z1160" s="159"/>
      <c r="AA1160" s="159"/>
      <c r="AB1160" s="159"/>
      <c r="AC1160" s="159">
        <v>49</v>
      </c>
      <c r="AD1160" s="160"/>
      <c r="AE1160" s="171">
        <v>1</v>
      </c>
      <c r="AF1160" s="162">
        <f t="shared" si="455"/>
        <v>0</v>
      </c>
      <c r="AG1160" s="162">
        <f t="shared" si="456"/>
        <v>0</v>
      </c>
      <c r="AH1160" s="162">
        <f t="shared" si="457"/>
        <v>0</v>
      </c>
      <c r="AI1160" s="162">
        <f t="shared" si="458"/>
        <v>0</v>
      </c>
      <c r="AJ1160" s="148" t="str">
        <f t="shared" si="452"/>
        <v>nee</v>
      </c>
      <c r="AK1160" s="161">
        <f t="shared" si="440"/>
        <v>0</v>
      </c>
      <c r="AL1160" s="161">
        <f t="shared" si="441"/>
        <v>0</v>
      </c>
      <c r="AM1160" s="161">
        <f t="shared" si="442"/>
        <v>0</v>
      </c>
      <c r="AN1160" s="161">
        <f t="shared" si="443"/>
        <v>0</v>
      </c>
      <c r="AO1160" s="150" t="str">
        <f t="shared" si="453"/>
        <v>B</v>
      </c>
      <c r="AQ1160" s="151">
        <f t="shared" si="454"/>
        <v>17885</v>
      </c>
    </row>
    <row r="1161" spans="1:43" ht="15" customHeight="1">
      <c r="A1161" s="82" t="e">
        <f t="shared" si="435"/>
        <v>#REF!</v>
      </c>
      <c r="B1161" s="152">
        <v>303</v>
      </c>
      <c r="C1161" s="153" t="s">
        <v>222</v>
      </c>
      <c r="D1161" s="154" t="s">
        <v>1331</v>
      </c>
      <c r="E1161" s="155"/>
      <c r="F1161" s="64" t="s">
        <v>34</v>
      </c>
      <c r="G1161" s="156" t="s">
        <v>1371</v>
      </c>
      <c r="H1161" s="140" t="str">
        <f t="shared" si="444"/>
        <v>Roltrappen(inclusief aangrenzende bouwdelen)</v>
      </c>
      <c r="I1161" s="64" t="s">
        <v>1251</v>
      </c>
      <c r="J1161" s="138" t="s">
        <v>1171</v>
      </c>
      <c r="K1161" s="141" t="str">
        <f t="shared" si="445"/>
        <v>Omde dag Vol/Nal.</v>
      </c>
      <c r="L1161" s="141" t="str">
        <f t="shared" si="446"/>
        <v>Omde dag Nal./Vol</v>
      </c>
      <c r="M1161" s="141" t="str">
        <f t="shared" si="447"/>
        <v>Omde dag Vol/Nal.</v>
      </c>
      <c r="N1161" s="141" t="str">
        <f t="shared" si="448"/>
        <v>Omde dag Nal./Vol</v>
      </c>
      <c r="O1161" s="141" t="str">
        <f t="shared" si="449"/>
        <v>Omde dag Vol/Nal.</v>
      </c>
      <c r="P1161" s="141" t="str">
        <f t="shared" si="450"/>
        <v>Omde dag Nal./Vol</v>
      </c>
      <c r="Q1161" s="141" t="str">
        <f t="shared" si="451"/>
        <v>Omde dag Vol/Nal.</v>
      </c>
      <c r="R1161" s="63" t="s">
        <v>1218</v>
      </c>
      <c r="S1161" s="142">
        <f t="shared" si="430"/>
        <v>365</v>
      </c>
      <c r="T1161" s="157">
        <v>62</v>
      </c>
      <c r="U1161" s="158"/>
      <c r="V1161" s="158"/>
      <c r="W1161" s="158"/>
      <c r="X1161" s="158"/>
      <c r="Y1161" s="158"/>
      <c r="Z1161" s="159"/>
      <c r="AA1161" s="159"/>
      <c r="AB1161" s="159"/>
      <c r="AC1161" s="159"/>
      <c r="AD1161" s="160"/>
      <c r="AE1161" s="171">
        <v>1</v>
      </c>
      <c r="AF1161" s="162">
        <f t="shared" si="455"/>
        <v>0</v>
      </c>
      <c r="AG1161" s="162">
        <f t="shared" si="456"/>
        <v>0</v>
      </c>
      <c r="AH1161" s="162">
        <f t="shared" si="457"/>
        <v>0</v>
      </c>
      <c r="AI1161" s="162">
        <f t="shared" si="458"/>
        <v>0</v>
      </c>
      <c r="AJ1161" s="148" t="str">
        <f t="shared" si="452"/>
        <v>ja</v>
      </c>
      <c r="AK1161" s="161">
        <f t="shared" si="440"/>
        <v>0</v>
      </c>
      <c r="AL1161" s="161">
        <f t="shared" si="441"/>
        <v>0</v>
      </c>
      <c r="AM1161" s="161">
        <f t="shared" si="442"/>
        <v>0</v>
      </c>
      <c r="AN1161" s="161">
        <f t="shared" si="443"/>
        <v>0</v>
      </c>
      <c r="AO1161" s="150" t="str">
        <f t="shared" si="453"/>
        <v>V</v>
      </c>
      <c r="AQ1161" s="151">
        <f t="shared" si="454"/>
        <v>22630</v>
      </c>
    </row>
    <row r="1162" spans="1:43" ht="15" customHeight="1">
      <c r="A1162" s="82" t="e">
        <f t="shared" si="435"/>
        <v>#REF!</v>
      </c>
      <c r="B1162" s="152">
        <v>303</v>
      </c>
      <c r="C1162" s="153" t="s">
        <v>222</v>
      </c>
      <c r="D1162" s="154" t="s">
        <v>1331</v>
      </c>
      <c r="E1162" s="155"/>
      <c r="F1162" s="64" t="s">
        <v>1385</v>
      </c>
      <c r="G1162" s="156" t="s">
        <v>26</v>
      </c>
      <c r="H1162" s="140" t="str">
        <f t="shared" si="444"/>
        <v>Hallen</v>
      </c>
      <c r="I1162" s="64" t="s">
        <v>195</v>
      </c>
      <c r="J1162" s="138" t="s">
        <v>1171</v>
      </c>
      <c r="K1162" s="141" t="str">
        <f t="shared" si="445"/>
        <v>Omde dag Vol/Nal.</v>
      </c>
      <c r="L1162" s="141" t="str">
        <f t="shared" si="446"/>
        <v>Omde dag Nal./Vol</v>
      </c>
      <c r="M1162" s="141" t="str">
        <f t="shared" si="447"/>
        <v>Omde dag Vol/Nal.</v>
      </c>
      <c r="N1162" s="141" t="str">
        <f t="shared" si="448"/>
        <v>Omde dag Nal./Vol</v>
      </c>
      <c r="O1162" s="141" t="str">
        <f t="shared" si="449"/>
        <v>Omde dag Vol/Nal.</v>
      </c>
      <c r="P1162" s="141" t="str">
        <f t="shared" si="450"/>
        <v>Omde dag Nal./Vol</v>
      </c>
      <c r="Q1162" s="141" t="str">
        <f t="shared" si="451"/>
        <v>Omde dag Vol/Nal.</v>
      </c>
      <c r="R1162" s="63" t="s">
        <v>1216</v>
      </c>
      <c r="S1162" s="142">
        <f t="shared" si="430"/>
        <v>365</v>
      </c>
      <c r="T1162" s="157">
        <v>1013</v>
      </c>
      <c r="U1162" s="158">
        <v>92</v>
      </c>
      <c r="V1162" s="158">
        <v>59</v>
      </c>
      <c r="W1162" s="158"/>
      <c r="X1162" s="158"/>
      <c r="Y1162" s="158"/>
      <c r="Z1162" s="159"/>
      <c r="AA1162" s="159"/>
      <c r="AB1162" s="159"/>
      <c r="AC1162" s="159">
        <v>119</v>
      </c>
      <c r="AD1162" s="160" t="s">
        <v>1386</v>
      </c>
      <c r="AE1162" s="171">
        <v>1</v>
      </c>
      <c r="AF1162" s="162">
        <f t="shared" si="455"/>
        <v>0</v>
      </c>
      <c r="AG1162" s="162">
        <f t="shared" si="456"/>
        <v>0</v>
      </c>
      <c r="AH1162" s="162">
        <f t="shared" si="457"/>
        <v>0</v>
      </c>
      <c r="AI1162" s="162">
        <f t="shared" si="458"/>
        <v>0</v>
      </c>
      <c r="AJ1162" s="148" t="str">
        <f t="shared" si="452"/>
        <v>ja</v>
      </c>
      <c r="AK1162" s="161">
        <f t="shared" si="440"/>
        <v>0</v>
      </c>
      <c r="AL1162" s="161">
        <f t="shared" si="441"/>
        <v>0</v>
      </c>
      <c r="AM1162" s="161">
        <f t="shared" si="442"/>
        <v>0</v>
      </c>
      <c r="AN1162" s="161">
        <f t="shared" si="443"/>
        <v>0</v>
      </c>
      <c r="AO1162" s="150" t="str">
        <f t="shared" si="453"/>
        <v>V</v>
      </c>
      <c r="AQ1162" s="151">
        <f t="shared" si="454"/>
        <v>369745</v>
      </c>
    </row>
    <row r="1163" spans="1:43" ht="15" customHeight="1">
      <c r="A1163" s="82" t="e">
        <f t="shared" si="435"/>
        <v>#REF!</v>
      </c>
      <c r="B1163" s="152">
        <v>303</v>
      </c>
      <c r="C1163" s="153" t="s">
        <v>222</v>
      </c>
      <c r="D1163" s="154" t="s">
        <v>1331</v>
      </c>
      <c r="E1163" s="155"/>
      <c r="F1163" s="64" t="s">
        <v>1387</v>
      </c>
      <c r="G1163" s="156" t="s">
        <v>1388</v>
      </c>
      <c r="H1163" s="140" t="str">
        <f t="shared" si="444"/>
        <v>Niet van toepassing</v>
      </c>
      <c r="I1163" s="64" t="s">
        <v>18</v>
      </c>
      <c r="J1163" s="138" t="s">
        <v>1172</v>
      </c>
      <c r="K1163" s="141" t="str">
        <f t="shared" si="445"/>
        <v>NVT</v>
      </c>
      <c r="L1163" s="141" t="str">
        <f t="shared" si="446"/>
        <v>NVT</v>
      </c>
      <c r="M1163" s="141" t="str">
        <f t="shared" si="447"/>
        <v>NVT</v>
      </c>
      <c r="N1163" s="141" t="str">
        <f t="shared" si="448"/>
        <v>NVT</v>
      </c>
      <c r="O1163" s="141" t="str">
        <f t="shared" si="449"/>
        <v>NVT</v>
      </c>
      <c r="P1163" s="141" t="str">
        <f t="shared" si="450"/>
        <v>NVT</v>
      </c>
      <c r="Q1163" s="141" t="str">
        <f t="shared" si="451"/>
        <v>NVT</v>
      </c>
      <c r="R1163" s="63" t="s">
        <v>1221</v>
      </c>
      <c r="S1163" s="142">
        <f t="shared" si="430"/>
        <v>0</v>
      </c>
      <c r="T1163" s="157">
        <v>7</v>
      </c>
      <c r="U1163" s="158"/>
      <c r="V1163" s="158"/>
      <c r="W1163" s="158">
        <v>25</v>
      </c>
      <c r="X1163" s="158"/>
      <c r="Y1163" s="158"/>
      <c r="Z1163" s="159"/>
      <c r="AA1163" s="159"/>
      <c r="AB1163" s="159">
        <v>7</v>
      </c>
      <c r="AC1163" s="159"/>
      <c r="AD1163" s="160"/>
      <c r="AE1163" s="171">
        <v>1</v>
      </c>
      <c r="AF1163" s="162">
        <f t="shared" si="455"/>
        <v>0</v>
      </c>
      <c r="AG1163" s="162">
        <f t="shared" si="456"/>
        <v>0</v>
      </c>
      <c r="AH1163" s="162">
        <f t="shared" si="457"/>
        <v>0</v>
      </c>
      <c r="AI1163" s="162">
        <f t="shared" si="458"/>
        <v>0</v>
      </c>
      <c r="AJ1163" s="148">
        <f t="shared" si="452"/>
        <v>0</v>
      </c>
      <c r="AK1163" s="161">
        <f t="shared" si="440"/>
        <v>0</v>
      </c>
      <c r="AL1163" s="161">
        <f t="shared" si="441"/>
        <v>0</v>
      </c>
      <c r="AM1163" s="161">
        <f t="shared" si="442"/>
        <v>0</v>
      </c>
      <c r="AN1163" s="161">
        <f t="shared" si="443"/>
        <v>0</v>
      </c>
      <c r="AO1163" s="150">
        <f t="shared" si="453"/>
        <v>0</v>
      </c>
      <c r="AQ1163" s="151">
        <f t="shared" si="454"/>
        <v>0</v>
      </c>
    </row>
    <row r="1164" spans="1:43" ht="15" customHeight="1">
      <c r="A1164" s="82" t="e">
        <f t="shared" si="435"/>
        <v>#REF!</v>
      </c>
      <c r="B1164" s="152">
        <v>303</v>
      </c>
      <c r="C1164" s="153" t="s">
        <v>222</v>
      </c>
      <c r="D1164" s="154" t="s">
        <v>1331</v>
      </c>
      <c r="E1164" s="155"/>
      <c r="F1164" s="64" t="s">
        <v>1361</v>
      </c>
      <c r="G1164" s="156" t="s">
        <v>28</v>
      </c>
      <c r="H1164" s="140" t="str">
        <f t="shared" si="444"/>
        <v>Niet van toepassing</v>
      </c>
      <c r="I1164" s="64" t="s">
        <v>18</v>
      </c>
      <c r="J1164" s="138" t="s">
        <v>1172</v>
      </c>
      <c r="K1164" s="141" t="str">
        <f t="shared" si="445"/>
        <v>NVT</v>
      </c>
      <c r="L1164" s="141" t="str">
        <f t="shared" si="446"/>
        <v>NVT</v>
      </c>
      <c r="M1164" s="141" t="str">
        <f t="shared" si="447"/>
        <v>NVT</v>
      </c>
      <c r="N1164" s="141" t="str">
        <f t="shared" si="448"/>
        <v>NVT</v>
      </c>
      <c r="O1164" s="141" t="str">
        <f t="shared" si="449"/>
        <v>NVT</v>
      </c>
      <c r="P1164" s="141" t="str">
        <f t="shared" si="450"/>
        <v>NVT</v>
      </c>
      <c r="Q1164" s="141" t="str">
        <f t="shared" si="451"/>
        <v>NVT</v>
      </c>
      <c r="R1164" s="63" t="s">
        <v>1221</v>
      </c>
      <c r="S1164" s="142">
        <f t="shared" ref="S1164:S1227" si="459">VLOOKUP(R1164,Kengetal,2,FALSE)</f>
        <v>0</v>
      </c>
      <c r="T1164" s="157">
        <v>17</v>
      </c>
      <c r="U1164" s="158"/>
      <c r="V1164" s="158"/>
      <c r="W1164" s="158">
        <v>45</v>
      </c>
      <c r="X1164" s="158"/>
      <c r="Y1164" s="158"/>
      <c r="Z1164" s="159"/>
      <c r="AA1164" s="159"/>
      <c r="AB1164" s="159">
        <v>17</v>
      </c>
      <c r="AC1164" s="159"/>
      <c r="AD1164" s="160"/>
      <c r="AE1164" s="171">
        <v>1</v>
      </c>
      <c r="AF1164" s="162">
        <f t="shared" si="455"/>
        <v>0</v>
      </c>
      <c r="AG1164" s="162">
        <f t="shared" si="456"/>
        <v>0</v>
      </c>
      <c r="AH1164" s="162">
        <f t="shared" si="457"/>
        <v>0</v>
      </c>
      <c r="AI1164" s="162">
        <f t="shared" si="458"/>
        <v>0</v>
      </c>
      <c r="AJ1164" s="148">
        <f t="shared" si="452"/>
        <v>0</v>
      </c>
      <c r="AK1164" s="161">
        <f t="shared" si="440"/>
        <v>0</v>
      </c>
      <c r="AL1164" s="161">
        <f t="shared" si="441"/>
        <v>0</v>
      </c>
      <c r="AM1164" s="161">
        <f t="shared" si="442"/>
        <v>0</v>
      </c>
      <c r="AN1164" s="161">
        <f t="shared" si="443"/>
        <v>0</v>
      </c>
      <c r="AO1164" s="150">
        <f t="shared" si="453"/>
        <v>0</v>
      </c>
      <c r="AQ1164" s="151">
        <f t="shared" si="454"/>
        <v>0</v>
      </c>
    </row>
    <row r="1165" spans="1:43" ht="15" customHeight="1">
      <c r="A1165" s="82" t="e">
        <f t="shared" si="435"/>
        <v>#REF!</v>
      </c>
      <c r="B1165" s="152">
        <v>303</v>
      </c>
      <c r="C1165" s="153" t="s">
        <v>222</v>
      </c>
      <c r="D1165" s="154" t="s">
        <v>1331</v>
      </c>
      <c r="E1165" s="155"/>
      <c r="F1165" s="64" t="s">
        <v>1362</v>
      </c>
      <c r="G1165" s="156" t="s">
        <v>29</v>
      </c>
      <c r="H1165" s="140" t="str">
        <f t="shared" si="444"/>
        <v>Niet van toepassing</v>
      </c>
      <c r="I1165" s="64" t="s">
        <v>18</v>
      </c>
      <c r="J1165" s="138" t="s">
        <v>1172</v>
      </c>
      <c r="K1165" s="141" t="str">
        <f t="shared" si="445"/>
        <v>NVT</v>
      </c>
      <c r="L1165" s="141" t="str">
        <f t="shared" si="446"/>
        <v>NVT</v>
      </c>
      <c r="M1165" s="141" t="str">
        <f t="shared" si="447"/>
        <v>NVT</v>
      </c>
      <c r="N1165" s="141" t="str">
        <f t="shared" si="448"/>
        <v>NVT</v>
      </c>
      <c r="O1165" s="141" t="str">
        <f t="shared" si="449"/>
        <v>NVT</v>
      </c>
      <c r="P1165" s="141" t="str">
        <f t="shared" si="450"/>
        <v>NVT</v>
      </c>
      <c r="Q1165" s="141" t="str">
        <f t="shared" si="451"/>
        <v>NVT</v>
      </c>
      <c r="R1165" s="63" t="s">
        <v>1221</v>
      </c>
      <c r="S1165" s="142">
        <f t="shared" si="459"/>
        <v>0</v>
      </c>
      <c r="T1165" s="157">
        <v>9</v>
      </c>
      <c r="U1165" s="158"/>
      <c r="V1165" s="158"/>
      <c r="W1165" s="158">
        <v>30</v>
      </c>
      <c r="X1165" s="158"/>
      <c r="Y1165" s="158"/>
      <c r="Z1165" s="159"/>
      <c r="AA1165" s="159"/>
      <c r="AB1165" s="159">
        <v>9</v>
      </c>
      <c r="AC1165" s="159"/>
      <c r="AD1165" s="160"/>
      <c r="AE1165" s="171">
        <v>1</v>
      </c>
      <c r="AF1165" s="162">
        <f t="shared" si="455"/>
        <v>0</v>
      </c>
      <c r="AG1165" s="162">
        <f t="shared" si="456"/>
        <v>0</v>
      </c>
      <c r="AH1165" s="162">
        <f t="shared" si="457"/>
        <v>0</v>
      </c>
      <c r="AI1165" s="162">
        <f t="shared" si="458"/>
        <v>0</v>
      </c>
      <c r="AJ1165" s="148">
        <f t="shared" si="452"/>
        <v>0</v>
      </c>
      <c r="AK1165" s="161">
        <f t="shared" si="440"/>
        <v>0</v>
      </c>
      <c r="AL1165" s="161">
        <f t="shared" si="441"/>
        <v>0</v>
      </c>
      <c r="AM1165" s="161">
        <f t="shared" si="442"/>
        <v>0</v>
      </c>
      <c r="AN1165" s="161">
        <f t="shared" si="443"/>
        <v>0</v>
      </c>
      <c r="AO1165" s="150">
        <f t="shared" si="453"/>
        <v>0</v>
      </c>
      <c r="AQ1165" s="151">
        <f t="shared" si="454"/>
        <v>0</v>
      </c>
    </row>
    <row r="1166" spans="1:43" ht="15" customHeight="1">
      <c r="A1166" s="82" t="e">
        <f>1+#REF!</f>
        <v>#REF!</v>
      </c>
      <c r="B1166" s="152">
        <v>303</v>
      </c>
      <c r="C1166" s="153" t="s">
        <v>222</v>
      </c>
      <c r="D1166" s="154" t="s">
        <v>1331</v>
      </c>
      <c r="E1166" s="155"/>
      <c r="F1166" s="64" t="s">
        <v>122</v>
      </c>
      <c r="G1166" s="156" t="s">
        <v>32</v>
      </c>
      <c r="H1166" s="140" t="str">
        <f t="shared" si="444"/>
        <v>Niet van toepassing</v>
      </c>
      <c r="I1166" s="64" t="s">
        <v>195</v>
      </c>
      <c r="J1166" s="64" t="s">
        <v>1172</v>
      </c>
      <c r="K1166" s="141" t="str">
        <f t="shared" si="445"/>
        <v>NVT</v>
      </c>
      <c r="L1166" s="141" t="str">
        <f t="shared" si="446"/>
        <v>NVT</v>
      </c>
      <c r="M1166" s="141" t="str">
        <f t="shared" si="447"/>
        <v>NVT</v>
      </c>
      <c r="N1166" s="141" t="str">
        <f t="shared" si="448"/>
        <v>NVT</v>
      </c>
      <c r="O1166" s="141" t="str">
        <f t="shared" si="449"/>
        <v>NVT</v>
      </c>
      <c r="P1166" s="141" t="str">
        <f t="shared" si="450"/>
        <v>NVT</v>
      </c>
      <c r="Q1166" s="141" t="str">
        <f t="shared" si="451"/>
        <v>NVT</v>
      </c>
      <c r="R1166" s="64" t="s">
        <v>1221</v>
      </c>
      <c r="S1166" s="142">
        <f t="shared" si="459"/>
        <v>0</v>
      </c>
      <c r="T1166" s="157">
        <v>6</v>
      </c>
      <c r="U1166" s="158">
        <v>2</v>
      </c>
      <c r="V1166" s="158">
        <v>38</v>
      </c>
      <c r="W1166" s="158"/>
      <c r="X1166" s="158"/>
      <c r="Y1166" s="158"/>
      <c r="Z1166" s="159"/>
      <c r="AA1166" s="159"/>
      <c r="AB1166" s="159">
        <v>6</v>
      </c>
      <c r="AC1166" s="159"/>
      <c r="AD1166" s="160"/>
      <c r="AE1166" s="171">
        <v>1</v>
      </c>
      <c r="AF1166" s="162">
        <f t="shared" si="455"/>
        <v>0</v>
      </c>
      <c r="AG1166" s="162">
        <f t="shared" si="456"/>
        <v>0</v>
      </c>
      <c r="AH1166" s="162">
        <f t="shared" si="457"/>
        <v>0</v>
      </c>
      <c r="AI1166" s="162">
        <f t="shared" si="458"/>
        <v>0</v>
      </c>
      <c r="AJ1166" s="148">
        <f t="shared" si="452"/>
        <v>0</v>
      </c>
      <c r="AK1166" s="161">
        <f t="shared" si="440"/>
        <v>0</v>
      </c>
      <c r="AL1166" s="161">
        <f t="shared" si="441"/>
        <v>0</v>
      </c>
      <c r="AM1166" s="161">
        <f t="shared" si="442"/>
        <v>0</v>
      </c>
      <c r="AN1166" s="161">
        <f t="shared" si="443"/>
        <v>0</v>
      </c>
      <c r="AO1166" s="150">
        <f t="shared" si="453"/>
        <v>0</v>
      </c>
      <c r="AQ1166" s="151">
        <f t="shared" si="454"/>
        <v>0</v>
      </c>
    </row>
    <row r="1167" spans="1:43" ht="15" customHeight="1">
      <c r="A1167" s="82" t="e">
        <f t="shared" si="435"/>
        <v>#REF!</v>
      </c>
      <c r="B1167" s="152">
        <v>303</v>
      </c>
      <c r="C1167" s="153" t="s">
        <v>222</v>
      </c>
      <c r="D1167" s="154" t="s">
        <v>1331</v>
      </c>
      <c r="E1167" s="155"/>
      <c r="F1167" s="64" t="s">
        <v>1389</v>
      </c>
      <c r="G1167" s="156" t="s">
        <v>24</v>
      </c>
      <c r="H1167" s="140" t="str">
        <f t="shared" si="444"/>
        <v>Niet van toepassing</v>
      </c>
      <c r="I1167" s="64" t="s">
        <v>195</v>
      </c>
      <c r="J1167" s="138" t="s">
        <v>1172</v>
      </c>
      <c r="K1167" s="141" t="str">
        <f t="shared" si="445"/>
        <v>NVT</v>
      </c>
      <c r="L1167" s="141" t="str">
        <f t="shared" si="446"/>
        <v>NVT</v>
      </c>
      <c r="M1167" s="141" t="str">
        <f t="shared" si="447"/>
        <v>NVT</v>
      </c>
      <c r="N1167" s="141" t="str">
        <f t="shared" si="448"/>
        <v>NVT</v>
      </c>
      <c r="O1167" s="141" t="str">
        <f t="shared" si="449"/>
        <v>NVT</v>
      </c>
      <c r="P1167" s="141" t="str">
        <f t="shared" si="450"/>
        <v>NVT</v>
      </c>
      <c r="Q1167" s="141" t="str">
        <f t="shared" si="451"/>
        <v>NVT</v>
      </c>
      <c r="R1167" s="63" t="s">
        <v>1221</v>
      </c>
      <c r="S1167" s="142">
        <f t="shared" si="459"/>
        <v>0</v>
      </c>
      <c r="T1167" s="157">
        <v>64</v>
      </c>
      <c r="U1167" s="158"/>
      <c r="V1167" s="158">
        <v>195</v>
      </c>
      <c r="W1167" s="158"/>
      <c r="X1167" s="158"/>
      <c r="Y1167" s="158"/>
      <c r="Z1167" s="159"/>
      <c r="AA1167" s="159"/>
      <c r="AB1167" s="159">
        <v>64</v>
      </c>
      <c r="AC1167" s="159"/>
      <c r="AD1167" s="160"/>
      <c r="AE1167" s="171">
        <v>1</v>
      </c>
      <c r="AF1167" s="162">
        <f t="shared" si="455"/>
        <v>0</v>
      </c>
      <c r="AG1167" s="162">
        <f t="shared" si="456"/>
        <v>0</v>
      </c>
      <c r="AH1167" s="162">
        <f t="shared" si="457"/>
        <v>0</v>
      </c>
      <c r="AI1167" s="162">
        <f t="shared" si="458"/>
        <v>0</v>
      </c>
      <c r="AJ1167" s="148">
        <f t="shared" si="452"/>
        <v>0</v>
      </c>
      <c r="AK1167" s="161">
        <f t="shared" si="440"/>
        <v>0</v>
      </c>
      <c r="AL1167" s="161">
        <f t="shared" si="441"/>
        <v>0</v>
      </c>
      <c r="AM1167" s="161">
        <f t="shared" si="442"/>
        <v>0</v>
      </c>
      <c r="AN1167" s="161">
        <f t="shared" si="443"/>
        <v>0</v>
      </c>
      <c r="AO1167" s="150">
        <f t="shared" si="453"/>
        <v>0</v>
      </c>
      <c r="AQ1167" s="151">
        <f t="shared" si="454"/>
        <v>0</v>
      </c>
    </row>
    <row r="1168" spans="1:43" ht="15" customHeight="1">
      <c r="A1168" s="82" t="e">
        <f t="shared" si="435"/>
        <v>#REF!</v>
      </c>
      <c r="B1168" s="152">
        <v>303</v>
      </c>
      <c r="C1168" s="153" t="s">
        <v>222</v>
      </c>
      <c r="D1168" s="154" t="s">
        <v>1331</v>
      </c>
      <c r="E1168" s="155"/>
      <c r="F1168" s="64" t="s">
        <v>1389</v>
      </c>
      <c r="G1168" s="156" t="s">
        <v>116</v>
      </c>
      <c r="H1168" s="140" t="str">
        <f t="shared" si="444"/>
        <v>Niet van toepassing</v>
      </c>
      <c r="I1168" s="64" t="s">
        <v>195</v>
      </c>
      <c r="J1168" s="138" t="s">
        <v>1172</v>
      </c>
      <c r="K1168" s="141" t="str">
        <f t="shared" si="445"/>
        <v>NVT</v>
      </c>
      <c r="L1168" s="141" t="str">
        <f t="shared" si="446"/>
        <v>NVT</v>
      </c>
      <c r="M1168" s="141" t="str">
        <f t="shared" si="447"/>
        <v>NVT</v>
      </c>
      <c r="N1168" s="141" t="str">
        <f t="shared" si="448"/>
        <v>NVT</v>
      </c>
      <c r="O1168" s="141" t="str">
        <f t="shared" si="449"/>
        <v>NVT</v>
      </c>
      <c r="P1168" s="141" t="str">
        <f t="shared" si="450"/>
        <v>NVT</v>
      </c>
      <c r="Q1168" s="141" t="str">
        <f t="shared" si="451"/>
        <v>NVT</v>
      </c>
      <c r="R1168" s="63" t="s">
        <v>1221</v>
      </c>
      <c r="S1168" s="142">
        <f t="shared" si="459"/>
        <v>0</v>
      </c>
      <c r="T1168" s="157">
        <v>50</v>
      </c>
      <c r="U1168" s="158"/>
      <c r="V1168" s="158">
        <v>190</v>
      </c>
      <c r="W1168" s="158"/>
      <c r="X1168" s="158"/>
      <c r="Y1168" s="158"/>
      <c r="Z1168" s="159"/>
      <c r="AA1168" s="159"/>
      <c r="AB1168" s="159">
        <v>50</v>
      </c>
      <c r="AC1168" s="159"/>
      <c r="AD1168" s="160"/>
      <c r="AE1168" s="171">
        <v>1</v>
      </c>
      <c r="AF1168" s="162">
        <f t="shared" si="455"/>
        <v>0</v>
      </c>
      <c r="AG1168" s="162">
        <f t="shared" si="456"/>
        <v>0</v>
      </c>
      <c r="AH1168" s="162">
        <f t="shared" si="457"/>
        <v>0</v>
      </c>
      <c r="AI1168" s="162">
        <f t="shared" si="458"/>
        <v>0</v>
      </c>
      <c r="AJ1168" s="148">
        <f t="shared" si="452"/>
        <v>0</v>
      </c>
      <c r="AK1168" s="161">
        <f t="shared" si="440"/>
        <v>0</v>
      </c>
      <c r="AL1168" s="161">
        <f t="shared" si="441"/>
        <v>0</v>
      </c>
      <c r="AM1168" s="161">
        <f t="shared" si="442"/>
        <v>0</v>
      </c>
      <c r="AN1168" s="161">
        <f t="shared" si="443"/>
        <v>0</v>
      </c>
      <c r="AO1168" s="150">
        <f t="shared" si="453"/>
        <v>0</v>
      </c>
      <c r="AQ1168" s="151">
        <f t="shared" si="454"/>
        <v>0</v>
      </c>
    </row>
    <row r="1169" spans="1:43" ht="15" customHeight="1">
      <c r="A1169" s="82" t="e">
        <f t="shared" si="435"/>
        <v>#REF!</v>
      </c>
      <c r="B1169" s="152">
        <v>303</v>
      </c>
      <c r="C1169" s="153" t="s">
        <v>222</v>
      </c>
      <c r="D1169" s="154" t="s">
        <v>1331</v>
      </c>
      <c r="E1169" s="155"/>
      <c r="F1169" s="64" t="s">
        <v>1390</v>
      </c>
      <c r="G1169" s="156"/>
      <c r="H1169" s="140" t="str">
        <f t="shared" si="444"/>
        <v>Niet van toepassing</v>
      </c>
      <c r="I1169" s="64" t="s">
        <v>18</v>
      </c>
      <c r="J1169" s="64" t="s">
        <v>1172</v>
      </c>
      <c r="K1169" s="141" t="str">
        <f t="shared" si="445"/>
        <v>NVT</v>
      </c>
      <c r="L1169" s="141" t="str">
        <f t="shared" si="446"/>
        <v>NVT</v>
      </c>
      <c r="M1169" s="141" t="str">
        <f t="shared" si="447"/>
        <v>NVT</v>
      </c>
      <c r="N1169" s="141" t="str">
        <f t="shared" si="448"/>
        <v>NVT</v>
      </c>
      <c r="O1169" s="141" t="str">
        <f t="shared" si="449"/>
        <v>NVT</v>
      </c>
      <c r="P1169" s="141" t="str">
        <f t="shared" si="450"/>
        <v>NVT</v>
      </c>
      <c r="Q1169" s="141" t="str">
        <f t="shared" si="451"/>
        <v>NVT</v>
      </c>
      <c r="R1169" s="64" t="s">
        <v>1221</v>
      </c>
      <c r="S1169" s="142">
        <f t="shared" si="459"/>
        <v>0</v>
      </c>
      <c r="T1169" s="157">
        <v>10</v>
      </c>
      <c r="U1169" s="158"/>
      <c r="V1169" s="158"/>
      <c r="W1169" s="158">
        <v>30</v>
      </c>
      <c r="X1169" s="158"/>
      <c r="Y1169" s="158"/>
      <c r="Z1169" s="159"/>
      <c r="AA1169" s="159">
        <v>10</v>
      </c>
      <c r="AB1169" s="159"/>
      <c r="AC1169" s="159"/>
      <c r="AD1169" s="160"/>
      <c r="AE1169" s="171">
        <v>1</v>
      </c>
      <c r="AF1169" s="162">
        <f t="shared" si="455"/>
        <v>0</v>
      </c>
      <c r="AG1169" s="162">
        <f t="shared" si="456"/>
        <v>0</v>
      </c>
      <c r="AH1169" s="162">
        <f t="shared" si="457"/>
        <v>0</v>
      </c>
      <c r="AI1169" s="162">
        <f t="shared" si="458"/>
        <v>0</v>
      </c>
      <c r="AJ1169" s="148">
        <f t="shared" si="452"/>
        <v>0</v>
      </c>
      <c r="AK1169" s="161">
        <f t="shared" si="440"/>
        <v>0</v>
      </c>
      <c r="AL1169" s="161">
        <f t="shared" si="441"/>
        <v>0</v>
      </c>
      <c r="AM1169" s="161">
        <f t="shared" si="442"/>
        <v>0</v>
      </c>
      <c r="AN1169" s="161">
        <f t="shared" si="443"/>
        <v>0</v>
      </c>
      <c r="AO1169" s="150">
        <f t="shared" si="453"/>
        <v>0</v>
      </c>
      <c r="AQ1169" s="151">
        <f t="shared" si="454"/>
        <v>0</v>
      </c>
    </row>
    <row r="1170" spans="1:43" ht="15" customHeight="1">
      <c r="A1170" s="82" t="e">
        <f t="shared" si="435"/>
        <v>#REF!</v>
      </c>
      <c r="B1170" s="152">
        <v>303</v>
      </c>
      <c r="C1170" s="153" t="s">
        <v>222</v>
      </c>
      <c r="D1170" s="154" t="s">
        <v>1331</v>
      </c>
      <c r="E1170" s="155"/>
      <c r="F1170" s="64" t="s">
        <v>6</v>
      </c>
      <c r="G1170" s="156"/>
      <c r="H1170" s="140" t="str">
        <f t="shared" si="444"/>
        <v>Liften</v>
      </c>
      <c r="I1170" s="64" t="s">
        <v>1109</v>
      </c>
      <c r="J1170" s="138" t="s">
        <v>1171</v>
      </c>
      <c r="K1170" s="141" t="str">
        <f t="shared" si="445"/>
        <v>Omde dag Vol/Nal.</v>
      </c>
      <c r="L1170" s="141" t="str">
        <f t="shared" si="446"/>
        <v>Omde dag Nal./Vol</v>
      </c>
      <c r="M1170" s="141" t="str">
        <f t="shared" si="447"/>
        <v>Omde dag Vol/Nal.</v>
      </c>
      <c r="N1170" s="141" t="str">
        <f t="shared" si="448"/>
        <v>Omde dag Nal./Vol</v>
      </c>
      <c r="O1170" s="141" t="str">
        <f t="shared" si="449"/>
        <v>Omde dag Vol/Nal.</v>
      </c>
      <c r="P1170" s="141" t="str">
        <f t="shared" si="450"/>
        <v>Omde dag Nal./Vol</v>
      </c>
      <c r="Q1170" s="141" t="str">
        <f t="shared" si="451"/>
        <v>Omde dag Vol/Nal.</v>
      </c>
      <c r="R1170" s="63" t="s">
        <v>1213</v>
      </c>
      <c r="S1170" s="142">
        <f t="shared" si="459"/>
        <v>365</v>
      </c>
      <c r="T1170" s="157">
        <v>5</v>
      </c>
      <c r="U1170" s="158"/>
      <c r="V1170" s="158"/>
      <c r="W1170" s="158">
        <v>0</v>
      </c>
      <c r="X1170" s="158"/>
      <c r="Y1170" s="158"/>
      <c r="Z1170" s="159"/>
      <c r="AA1170" s="159"/>
      <c r="AB1170" s="159"/>
      <c r="AC1170" s="159"/>
      <c r="AD1170" s="160"/>
      <c r="AE1170" s="171">
        <v>1</v>
      </c>
      <c r="AF1170" s="162">
        <f t="shared" si="455"/>
        <v>0</v>
      </c>
      <c r="AG1170" s="162">
        <f t="shared" si="456"/>
        <v>0</v>
      </c>
      <c r="AH1170" s="162">
        <f t="shared" si="457"/>
        <v>0</v>
      </c>
      <c r="AI1170" s="162">
        <f t="shared" si="458"/>
        <v>0</v>
      </c>
      <c r="AJ1170" s="148" t="str">
        <f t="shared" si="452"/>
        <v>ja</v>
      </c>
      <c r="AK1170" s="161">
        <f t="shared" si="440"/>
        <v>0</v>
      </c>
      <c r="AL1170" s="161">
        <f t="shared" si="441"/>
        <v>0</v>
      </c>
      <c r="AM1170" s="161">
        <f t="shared" si="442"/>
        <v>0</v>
      </c>
      <c r="AN1170" s="161">
        <f t="shared" si="443"/>
        <v>0</v>
      </c>
      <c r="AO1170" s="150" t="str">
        <f t="shared" si="453"/>
        <v>V</v>
      </c>
      <c r="AQ1170" s="151">
        <f t="shared" si="454"/>
        <v>1825</v>
      </c>
    </row>
    <row r="1171" spans="1:43" ht="15" customHeight="1">
      <c r="A1171" s="82" t="e">
        <f t="shared" si="435"/>
        <v>#REF!</v>
      </c>
      <c r="B1171" s="152">
        <v>303</v>
      </c>
      <c r="C1171" s="153" t="s">
        <v>222</v>
      </c>
      <c r="D1171" s="154" t="s">
        <v>1331</v>
      </c>
      <c r="E1171" s="155"/>
      <c r="F1171" s="64" t="s">
        <v>6</v>
      </c>
      <c r="G1171" s="156"/>
      <c r="H1171" s="140" t="str">
        <f t="shared" si="444"/>
        <v>Liften</v>
      </c>
      <c r="I1171" s="64" t="s">
        <v>1109</v>
      </c>
      <c r="J1171" s="138" t="s">
        <v>1171</v>
      </c>
      <c r="K1171" s="141" t="str">
        <f t="shared" si="445"/>
        <v>Omde dag Vol/Nal.</v>
      </c>
      <c r="L1171" s="141" t="str">
        <f t="shared" si="446"/>
        <v>Omde dag Nal./Vol</v>
      </c>
      <c r="M1171" s="141" t="str">
        <f t="shared" si="447"/>
        <v>Omde dag Vol/Nal.</v>
      </c>
      <c r="N1171" s="141" t="str">
        <f t="shared" si="448"/>
        <v>Omde dag Nal./Vol</v>
      </c>
      <c r="O1171" s="141" t="str">
        <f t="shared" si="449"/>
        <v>Omde dag Vol/Nal.</v>
      </c>
      <c r="P1171" s="141" t="str">
        <f t="shared" si="450"/>
        <v>Omde dag Nal./Vol</v>
      </c>
      <c r="Q1171" s="141" t="str">
        <f t="shared" si="451"/>
        <v>Omde dag Vol/Nal.</v>
      </c>
      <c r="R1171" s="63" t="s">
        <v>1213</v>
      </c>
      <c r="S1171" s="142">
        <f t="shared" si="459"/>
        <v>365</v>
      </c>
      <c r="T1171" s="157">
        <v>5</v>
      </c>
      <c r="U1171" s="158"/>
      <c r="V1171" s="158"/>
      <c r="W1171" s="158">
        <v>0</v>
      </c>
      <c r="X1171" s="158"/>
      <c r="Y1171" s="158"/>
      <c r="Z1171" s="159"/>
      <c r="AA1171" s="159"/>
      <c r="AB1171" s="159"/>
      <c r="AC1171" s="159"/>
      <c r="AD1171" s="160"/>
      <c r="AE1171" s="171">
        <v>1</v>
      </c>
      <c r="AF1171" s="162">
        <f t="shared" si="455"/>
        <v>0</v>
      </c>
      <c r="AG1171" s="162">
        <f t="shared" si="456"/>
        <v>0</v>
      </c>
      <c r="AH1171" s="162">
        <f t="shared" si="457"/>
        <v>0</v>
      </c>
      <c r="AI1171" s="162">
        <f t="shared" si="458"/>
        <v>0</v>
      </c>
      <c r="AJ1171" s="148" t="str">
        <f t="shared" si="452"/>
        <v>ja</v>
      </c>
      <c r="AK1171" s="161">
        <f t="shared" si="440"/>
        <v>0</v>
      </c>
      <c r="AL1171" s="161">
        <f t="shared" si="441"/>
        <v>0</v>
      </c>
      <c r="AM1171" s="161">
        <f t="shared" si="442"/>
        <v>0</v>
      </c>
      <c r="AN1171" s="161">
        <f t="shared" si="443"/>
        <v>0</v>
      </c>
      <c r="AO1171" s="150" t="str">
        <f t="shared" si="453"/>
        <v>V</v>
      </c>
      <c r="AQ1171" s="151">
        <f t="shared" si="454"/>
        <v>1825</v>
      </c>
    </row>
    <row r="1172" spans="1:43" ht="15" customHeight="1">
      <c r="A1172" s="82" t="e">
        <f t="shared" si="435"/>
        <v>#REF!</v>
      </c>
      <c r="B1172" s="152">
        <v>303</v>
      </c>
      <c r="C1172" s="153" t="s">
        <v>222</v>
      </c>
      <c r="D1172" s="154" t="s">
        <v>1331</v>
      </c>
      <c r="E1172" s="155"/>
      <c r="F1172" s="64" t="s">
        <v>1391</v>
      </c>
      <c r="G1172" s="156" t="s">
        <v>1392</v>
      </c>
      <c r="H1172" s="140" t="str">
        <f t="shared" si="444"/>
        <v>Liften</v>
      </c>
      <c r="I1172" s="64" t="s">
        <v>1109</v>
      </c>
      <c r="J1172" s="138" t="s">
        <v>1171</v>
      </c>
      <c r="K1172" s="141" t="str">
        <f t="shared" si="445"/>
        <v>Omde dag Vol/Nal.</v>
      </c>
      <c r="L1172" s="141" t="str">
        <f t="shared" si="446"/>
        <v>Omde dag Nal./Vol</v>
      </c>
      <c r="M1172" s="141" t="str">
        <f t="shared" si="447"/>
        <v>Omde dag Vol/Nal.</v>
      </c>
      <c r="N1172" s="141" t="str">
        <f t="shared" si="448"/>
        <v>Omde dag Nal./Vol</v>
      </c>
      <c r="O1172" s="141" t="str">
        <f t="shared" si="449"/>
        <v>Omde dag Vol/Nal.</v>
      </c>
      <c r="P1172" s="141" t="str">
        <f t="shared" si="450"/>
        <v>Omde dag Nal./Vol</v>
      </c>
      <c r="Q1172" s="141" t="str">
        <f t="shared" si="451"/>
        <v>Omde dag Vol/Nal.</v>
      </c>
      <c r="R1172" s="63" t="s">
        <v>1213</v>
      </c>
      <c r="S1172" s="142">
        <f t="shared" si="459"/>
        <v>365</v>
      </c>
      <c r="T1172" s="157">
        <v>7</v>
      </c>
      <c r="U1172" s="158"/>
      <c r="V1172" s="158"/>
      <c r="W1172" s="158">
        <v>92</v>
      </c>
      <c r="X1172" s="158"/>
      <c r="Y1172" s="158"/>
      <c r="Z1172" s="159"/>
      <c r="AA1172" s="159"/>
      <c r="AB1172" s="159"/>
      <c r="AC1172" s="159"/>
      <c r="AD1172" s="160"/>
      <c r="AE1172" s="171">
        <v>1</v>
      </c>
      <c r="AF1172" s="162">
        <f t="shared" si="455"/>
        <v>0</v>
      </c>
      <c r="AG1172" s="162">
        <f t="shared" si="456"/>
        <v>0</v>
      </c>
      <c r="AH1172" s="162">
        <f t="shared" si="457"/>
        <v>0</v>
      </c>
      <c r="AI1172" s="162">
        <f t="shared" si="458"/>
        <v>0</v>
      </c>
      <c r="AJ1172" s="148" t="str">
        <f t="shared" si="452"/>
        <v>ja</v>
      </c>
      <c r="AK1172" s="161">
        <f t="shared" si="440"/>
        <v>0</v>
      </c>
      <c r="AL1172" s="161">
        <f t="shared" si="441"/>
        <v>0</v>
      </c>
      <c r="AM1172" s="161">
        <f t="shared" si="442"/>
        <v>0</v>
      </c>
      <c r="AN1172" s="161">
        <f t="shared" si="443"/>
        <v>0</v>
      </c>
      <c r="AO1172" s="150" t="str">
        <f t="shared" si="453"/>
        <v>V</v>
      </c>
      <c r="AQ1172" s="151">
        <f t="shared" si="454"/>
        <v>2555</v>
      </c>
    </row>
    <row r="1173" spans="1:43" ht="15" customHeight="1">
      <c r="A1173" s="82" t="e">
        <f t="shared" si="435"/>
        <v>#REF!</v>
      </c>
      <c r="B1173" s="152">
        <v>304</v>
      </c>
      <c r="C1173" s="153" t="s">
        <v>1334</v>
      </c>
      <c r="D1173" s="154" t="s">
        <v>1331</v>
      </c>
      <c r="E1173" s="155"/>
      <c r="F1173" s="64" t="s">
        <v>1358</v>
      </c>
      <c r="G1173" s="156" t="s">
        <v>1393</v>
      </c>
      <c r="H1173" s="140" t="str">
        <f t="shared" si="444"/>
        <v>Trappen</v>
      </c>
      <c r="I1173" s="64" t="s">
        <v>118</v>
      </c>
      <c r="J1173" s="138" t="s">
        <v>1171</v>
      </c>
      <c r="K1173" s="141" t="str">
        <f t="shared" si="445"/>
        <v>Omde dag Vol/Nal.</v>
      </c>
      <c r="L1173" s="141" t="str">
        <f t="shared" si="446"/>
        <v>Omde dag Nal./Vol</v>
      </c>
      <c r="M1173" s="141" t="str">
        <f t="shared" si="447"/>
        <v>Omde dag Vol/Nal.</v>
      </c>
      <c r="N1173" s="141" t="str">
        <f t="shared" si="448"/>
        <v>Omde dag Nal./Vol</v>
      </c>
      <c r="O1173" s="141" t="str">
        <f t="shared" si="449"/>
        <v>Omde dag Vol/Nal.</v>
      </c>
      <c r="P1173" s="141" t="str">
        <f t="shared" si="450"/>
        <v>Omde dag Nal./Vol</v>
      </c>
      <c r="Q1173" s="141" t="str">
        <f t="shared" si="451"/>
        <v>Omde dag Vol/Nal.</v>
      </c>
      <c r="R1173" s="63" t="s">
        <v>1215</v>
      </c>
      <c r="S1173" s="142">
        <f t="shared" si="459"/>
        <v>365</v>
      </c>
      <c r="T1173" s="157">
        <v>152</v>
      </c>
      <c r="U1173" s="158"/>
      <c r="V1173" s="158"/>
      <c r="W1173" s="158"/>
      <c r="X1173" s="158"/>
      <c r="Y1173" s="158"/>
      <c r="Z1173" s="159"/>
      <c r="AA1173" s="159"/>
      <c r="AB1173" s="159"/>
      <c r="AC1173" s="159"/>
      <c r="AD1173" s="160"/>
      <c r="AE1173" s="171">
        <v>1</v>
      </c>
      <c r="AF1173" s="162">
        <f t="shared" si="455"/>
        <v>0</v>
      </c>
      <c r="AG1173" s="162">
        <f t="shared" si="456"/>
        <v>0</v>
      </c>
      <c r="AH1173" s="162">
        <f t="shared" si="457"/>
        <v>0</v>
      </c>
      <c r="AI1173" s="162">
        <f t="shared" si="458"/>
        <v>0</v>
      </c>
      <c r="AJ1173" s="148" t="str">
        <f t="shared" si="452"/>
        <v>ja</v>
      </c>
      <c r="AK1173" s="161">
        <f t="shared" si="440"/>
        <v>0</v>
      </c>
      <c r="AL1173" s="161">
        <f t="shared" si="441"/>
        <v>0</v>
      </c>
      <c r="AM1173" s="161">
        <f t="shared" si="442"/>
        <v>0</v>
      </c>
      <c r="AN1173" s="161">
        <f t="shared" si="443"/>
        <v>0</v>
      </c>
      <c r="AO1173" s="150" t="str">
        <f t="shared" si="453"/>
        <v>V</v>
      </c>
      <c r="AQ1173" s="151">
        <f t="shared" si="454"/>
        <v>55480</v>
      </c>
    </row>
    <row r="1174" spans="1:43" ht="15" customHeight="1">
      <c r="A1174" s="82" t="e">
        <f t="shared" si="435"/>
        <v>#REF!</v>
      </c>
      <c r="B1174" s="152">
        <v>304</v>
      </c>
      <c r="C1174" s="153" t="s">
        <v>1334</v>
      </c>
      <c r="D1174" s="154" t="s">
        <v>1331</v>
      </c>
      <c r="E1174" s="155"/>
      <c r="F1174" s="64" t="s">
        <v>1359</v>
      </c>
      <c r="G1174" s="156" t="s">
        <v>1360</v>
      </c>
      <c r="H1174" s="140" t="str">
        <f t="shared" si="444"/>
        <v>Perrons</v>
      </c>
      <c r="I1174" s="64" t="s">
        <v>1394</v>
      </c>
      <c r="J1174" s="138" t="s">
        <v>1171</v>
      </c>
      <c r="K1174" s="141" t="str">
        <f t="shared" si="445"/>
        <v>Omde dag Vol/Nal.</v>
      </c>
      <c r="L1174" s="141" t="str">
        <f t="shared" si="446"/>
        <v>Omde dag Nal./Vol</v>
      </c>
      <c r="M1174" s="141" t="str">
        <f t="shared" si="447"/>
        <v>Omde dag Vol/Nal.</v>
      </c>
      <c r="N1174" s="141" t="str">
        <f t="shared" si="448"/>
        <v>Omde dag Nal./Vol</v>
      </c>
      <c r="O1174" s="141" t="str">
        <f t="shared" si="449"/>
        <v>Omde dag Vol/Nal.</v>
      </c>
      <c r="P1174" s="141" t="str">
        <f t="shared" si="450"/>
        <v>Omde dag Nal./Vol</v>
      </c>
      <c r="Q1174" s="141" t="str">
        <f t="shared" si="451"/>
        <v>Omde dag Vol/Nal.</v>
      </c>
      <c r="R1174" s="63" t="s">
        <v>1209</v>
      </c>
      <c r="S1174" s="142">
        <f t="shared" si="459"/>
        <v>365</v>
      </c>
      <c r="T1174" s="157">
        <v>1279</v>
      </c>
      <c r="U1174" s="158"/>
      <c r="V1174" s="158"/>
      <c r="W1174" s="158"/>
      <c r="X1174" s="158"/>
      <c r="Y1174" s="158"/>
      <c r="Z1174" s="159"/>
      <c r="AA1174" s="159"/>
      <c r="AB1174" s="159"/>
      <c r="AC1174" s="159"/>
      <c r="AD1174" s="160"/>
      <c r="AE1174" s="171">
        <v>1</v>
      </c>
      <c r="AF1174" s="162">
        <f t="shared" si="455"/>
        <v>0</v>
      </c>
      <c r="AG1174" s="162">
        <f t="shared" si="456"/>
        <v>0</v>
      </c>
      <c r="AH1174" s="162">
        <f t="shared" si="457"/>
        <v>0</v>
      </c>
      <c r="AI1174" s="162">
        <f t="shared" si="458"/>
        <v>0</v>
      </c>
      <c r="AJ1174" s="148" t="str">
        <f t="shared" si="452"/>
        <v>ja</v>
      </c>
      <c r="AK1174" s="161">
        <f t="shared" si="440"/>
        <v>0</v>
      </c>
      <c r="AL1174" s="161">
        <f t="shared" si="441"/>
        <v>0</v>
      </c>
      <c r="AM1174" s="161">
        <f t="shared" si="442"/>
        <v>0</v>
      </c>
      <c r="AN1174" s="161">
        <f t="shared" si="443"/>
        <v>0</v>
      </c>
      <c r="AO1174" s="150" t="str">
        <f t="shared" si="453"/>
        <v>V</v>
      </c>
      <c r="AQ1174" s="151">
        <f t="shared" si="454"/>
        <v>466835</v>
      </c>
    </row>
    <row r="1175" spans="1:43" ht="15" customHeight="1">
      <c r="A1175" s="82" t="e">
        <f t="shared" si="435"/>
        <v>#REF!</v>
      </c>
      <c r="B1175" s="152">
        <v>304</v>
      </c>
      <c r="C1175" s="153" t="s">
        <v>1334</v>
      </c>
      <c r="D1175" s="154" t="s">
        <v>1331</v>
      </c>
      <c r="E1175" s="155"/>
      <c r="F1175" s="64" t="s">
        <v>1395</v>
      </c>
      <c r="G1175" s="156" t="s">
        <v>1360</v>
      </c>
      <c r="H1175" s="140" t="str">
        <f t="shared" si="444"/>
        <v>Perrons</v>
      </c>
      <c r="I1175" s="64" t="s">
        <v>1396</v>
      </c>
      <c r="J1175" s="138" t="s">
        <v>1171</v>
      </c>
      <c r="K1175" s="141" t="str">
        <f t="shared" si="445"/>
        <v>Omde dag Vol/Nal.</v>
      </c>
      <c r="L1175" s="141" t="str">
        <f t="shared" si="446"/>
        <v>Omde dag Nal./Vol</v>
      </c>
      <c r="M1175" s="141" t="str">
        <f t="shared" si="447"/>
        <v>Omde dag Vol/Nal.</v>
      </c>
      <c r="N1175" s="141" t="str">
        <f t="shared" si="448"/>
        <v>Omde dag Nal./Vol</v>
      </c>
      <c r="O1175" s="141" t="str">
        <f t="shared" si="449"/>
        <v>Omde dag Vol/Nal.</v>
      </c>
      <c r="P1175" s="141" t="str">
        <f t="shared" si="450"/>
        <v>Omde dag Nal./Vol</v>
      </c>
      <c r="Q1175" s="141" t="str">
        <f t="shared" si="451"/>
        <v>Omde dag Vol/Nal.</v>
      </c>
      <c r="R1175" s="63" t="s">
        <v>1209</v>
      </c>
      <c r="S1175" s="142">
        <f t="shared" si="459"/>
        <v>365</v>
      </c>
      <c r="T1175" s="157">
        <v>165</v>
      </c>
      <c r="U1175" s="158"/>
      <c r="V1175" s="158"/>
      <c r="W1175" s="158"/>
      <c r="X1175" s="158"/>
      <c r="Y1175" s="158"/>
      <c r="Z1175" s="159"/>
      <c r="AA1175" s="159"/>
      <c r="AB1175" s="159"/>
      <c r="AC1175" s="159"/>
      <c r="AD1175" s="160"/>
      <c r="AE1175" s="171">
        <v>1</v>
      </c>
      <c r="AF1175" s="162">
        <f t="shared" si="455"/>
        <v>0</v>
      </c>
      <c r="AG1175" s="162">
        <f t="shared" si="456"/>
        <v>0</v>
      </c>
      <c r="AH1175" s="162">
        <f t="shared" si="457"/>
        <v>0</v>
      </c>
      <c r="AI1175" s="162">
        <f t="shared" si="458"/>
        <v>0</v>
      </c>
      <c r="AJ1175" s="148" t="str">
        <f t="shared" si="452"/>
        <v>ja</v>
      </c>
      <c r="AK1175" s="161">
        <f t="shared" ref="AK1175:AK1237" si="460">IF($R1175="",0,VLOOKUP($R1175,Kengetal,5,FALSE))</f>
        <v>0</v>
      </c>
      <c r="AL1175" s="161">
        <f t="shared" ref="AL1175:AL1237" si="461">IF($R1175="",0,VLOOKUP($R1175,Kengetal,6,FALSE))</f>
        <v>0</v>
      </c>
      <c r="AM1175" s="161">
        <f t="shared" ref="AM1175:AM1237" si="462">IF($R1175="",0,VLOOKUP($R1175,Kengetal,7,FALSE))</f>
        <v>0</v>
      </c>
      <c r="AN1175" s="161">
        <f t="shared" ref="AN1175:AN1237" si="463">IF($R1175="",0,VLOOKUP($R1175,Kengetal,8,FALSE))</f>
        <v>0</v>
      </c>
      <c r="AO1175" s="150" t="str">
        <f t="shared" si="453"/>
        <v>V</v>
      </c>
      <c r="AQ1175" s="151">
        <f t="shared" si="454"/>
        <v>60225</v>
      </c>
    </row>
    <row r="1176" spans="1:43" ht="15" customHeight="1">
      <c r="A1176" s="82" t="e">
        <f t="shared" si="435"/>
        <v>#REF!</v>
      </c>
      <c r="B1176" s="152">
        <v>304</v>
      </c>
      <c r="C1176" s="153" t="s">
        <v>1334</v>
      </c>
      <c r="D1176" s="154" t="s">
        <v>1331</v>
      </c>
      <c r="E1176" s="155"/>
      <c r="F1176" s="64" t="s">
        <v>1397</v>
      </c>
      <c r="G1176" s="156" t="s">
        <v>1360</v>
      </c>
      <c r="H1176" s="140" t="str">
        <f t="shared" si="444"/>
        <v>Perrons</v>
      </c>
      <c r="I1176" s="64" t="s">
        <v>18</v>
      </c>
      <c r="J1176" s="138" t="s">
        <v>1171</v>
      </c>
      <c r="K1176" s="141" t="str">
        <f t="shared" si="445"/>
        <v>Omde dag Vol/Nal.</v>
      </c>
      <c r="L1176" s="141" t="str">
        <f t="shared" si="446"/>
        <v>Omde dag Nal./Vol</v>
      </c>
      <c r="M1176" s="141" t="str">
        <f t="shared" si="447"/>
        <v>Omde dag Vol/Nal.</v>
      </c>
      <c r="N1176" s="141" t="str">
        <f t="shared" si="448"/>
        <v>Omde dag Nal./Vol</v>
      </c>
      <c r="O1176" s="141" t="str">
        <f t="shared" si="449"/>
        <v>Omde dag Vol/Nal.</v>
      </c>
      <c r="P1176" s="141" t="str">
        <f t="shared" si="450"/>
        <v>Omde dag Nal./Vol</v>
      </c>
      <c r="Q1176" s="141" t="str">
        <f t="shared" si="451"/>
        <v>Omde dag Vol/Nal.</v>
      </c>
      <c r="R1176" s="63" t="s">
        <v>1209</v>
      </c>
      <c r="S1176" s="142">
        <f t="shared" si="459"/>
        <v>365</v>
      </c>
      <c r="T1176" s="157">
        <v>241</v>
      </c>
      <c r="U1176" s="158"/>
      <c r="V1176" s="158"/>
      <c r="W1176" s="158"/>
      <c r="X1176" s="158"/>
      <c r="Y1176" s="158"/>
      <c r="Z1176" s="159"/>
      <c r="AA1176" s="159"/>
      <c r="AB1176" s="159"/>
      <c r="AC1176" s="159"/>
      <c r="AD1176" s="160"/>
      <c r="AE1176" s="171">
        <v>1</v>
      </c>
      <c r="AF1176" s="162">
        <f t="shared" si="455"/>
        <v>0</v>
      </c>
      <c r="AG1176" s="162">
        <f t="shared" si="456"/>
        <v>0</v>
      </c>
      <c r="AH1176" s="162">
        <f t="shared" si="457"/>
        <v>0</v>
      </c>
      <c r="AI1176" s="162">
        <f t="shared" si="458"/>
        <v>0</v>
      </c>
      <c r="AJ1176" s="148" t="str">
        <f t="shared" si="452"/>
        <v>ja</v>
      </c>
      <c r="AK1176" s="161">
        <f t="shared" si="460"/>
        <v>0</v>
      </c>
      <c r="AL1176" s="161">
        <f t="shared" si="461"/>
        <v>0</v>
      </c>
      <c r="AM1176" s="161">
        <f t="shared" si="462"/>
        <v>0</v>
      </c>
      <c r="AN1176" s="161">
        <f t="shared" si="463"/>
        <v>0</v>
      </c>
      <c r="AO1176" s="150" t="str">
        <f t="shared" si="453"/>
        <v>V</v>
      </c>
      <c r="AQ1176" s="151">
        <f t="shared" si="454"/>
        <v>87965</v>
      </c>
    </row>
    <row r="1177" spans="1:43" ht="15" customHeight="1">
      <c r="A1177" s="82" t="e">
        <f t="shared" si="435"/>
        <v>#REF!</v>
      </c>
      <c r="B1177" s="152">
        <v>304</v>
      </c>
      <c r="C1177" s="153" t="s">
        <v>1334</v>
      </c>
      <c r="D1177" s="154" t="s">
        <v>1331</v>
      </c>
      <c r="E1177" s="155"/>
      <c r="F1177" s="64" t="s">
        <v>1398</v>
      </c>
      <c r="G1177" s="156" t="s">
        <v>1399</v>
      </c>
      <c r="H1177" s="140" t="str">
        <f t="shared" si="444"/>
        <v>Sanitair</v>
      </c>
      <c r="I1177" s="64" t="s">
        <v>270</v>
      </c>
      <c r="J1177" s="138" t="s">
        <v>1171</v>
      </c>
      <c r="K1177" s="141" t="str">
        <f t="shared" si="445"/>
        <v>Omde dag Vol/Nal.</v>
      </c>
      <c r="L1177" s="141" t="str">
        <f t="shared" si="446"/>
        <v>Omde dag Nal./Vol</v>
      </c>
      <c r="M1177" s="141" t="str">
        <f t="shared" si="447"/>
        <v>Omde dag Vol/Nal.</v>
      </c>
      <c r="N1177" s="141" t="str">
        <f t="shared" si="448"/>
        <v>Omde dag Nal./Vol</v>
      </c>
      <c r="O1177" s="141" t="str">
        <f t="shared" si="449"/>
        <v>Omde dag Vol/Nal.</v>
      </c>
      <c r="P1177" s="141" t="str">
        <f t="shared" si="450"/>
        <v>Omde dag Nal./Vol</v>
      </c>
      <c r="Q1177" s="141" t="str">
        <f t="shared" si="451"/>
        <v>Omde dag Vol/Nal.</v>
      </c>
      <c r="R1177" s="63" t="s">
        <v>1211</v>
      </c>
      <c r="S1177" s="142">
        <f t="shared" si="459"/>
        <v>365</v>
      </c>
      <c r="T1177" s="157">
        <v>1</v>
      </c>
      <c r="U1177" s="158"/>
      <c r="V1177" s="158"/>
      <c r="W1177" s="158"/>
      <c r="X1177" s="158">
        <v>22</v>
      </c>
      <c r="Y1177" s="158">
        <v>17</v>
      </c>
      <c r="Z1177" s="159"/>
      <c r="AA1177" s="159"/>
      <c r="AB1177" s="159"/>
      <c r="AC1177" s="159">
        <v>9</v>
      </c>
      <c r="AD1177" s="160"/>
      <c r="AE1177" s="171">
        <v>1</v>
      </c>
      <c r="AF1177" s="162">
        <f t="shared" si="455"/>
        <v>0</v>
      </c>
      <c r="AG1177" s="162">
        <f t="shared" si="456"/>
        <v>0</v>
      </c>
      <c r="AH1177" s="162">
        <f t="shared" si="457"/>
        <v>0</v>
      </c>
      <c r="AI1177" s="162">
        <f t="shared" si="458"/>
        <v>0</v>
      </c>
      <c r="AJ1177" s="148" t="str">
        <f t="shared" si="452"/>
        <v>ja</v>
      </c>
      <c r="AK1177" s="161">
        <f t="shared" si="460"/>
        <v>0</v>
      </c>
      <c r="AL1177" s="161">
        <f t="shared" si="461"/>
        <v>0</v>
      </c>
      <c r="AM1177" s="161">
        <f t="shared" si="462"/>
        <v>0</v>
      </c>
      <c r="AN1177" s="161">
        <f t="shared" si="463"/>
        <v>0</v>
      </c>
      <c r="AO1177" s="150" t="str">
        <f t="shared" si="453"/>
        <v>S</v>
      </c>
      <c r="AQ1177" s="151">
        <f t="shared" si="454"/>
        <v>365</v>
      </c>
    </row>
    <row r="1178" spans="1:43" ht="15" customHeight="1">
      <c r="A1178" s="82" t="e">
        <f t="shared" si="435"/>
        <v>#REF!</v>
      </c>
      <c r="B1178" s="152">
        <v>304</v>
      </c>
      <c r="C1178" s="153" t="s">
        <v>1334</v>
      </c>
      <c r="D1178" s="154" t="s">
        <v>1331</v>
      </c>
      <c r="E1178" s="155"/>
      <c r="F1178" s="64" t="s">
        <v>1398</v>
      </c>
      <c r="G1178" s="156" t="s">
        <v>1399</v>
      </c>
      <c r="H1178" s="140" t="str">
        <f t="shared" si="444"/>
        <v>Kantoren/spreekkamers</v>
      </c>
      <c r="I1178" s="64" t="s">
        <v>270</v>
      </c>
      <c r="J1178" s="138" t="s">
        <v>1171</v>
      </c>
      <c r="K1178" s="141" t="str">
        <f t="shared" si="445"/>
        <v>Omde dag Vol/Nal.</v>
      </c>
      <c r="L1178" s="141" t="str">
        <f t="shared" si="446"/>
        <v>Omde dag Nal./Vol</v>
      </c>
      <c r="M1178" s="141" t="str">
        <f t="shared" si="447"/>
        <v>Omde dag Vol/Nal.</v>
      </c>
      <c r="N1178" s="141" t="str">
        <f t="shared" si="448"/>
        <v>Omde dag Nal./Vol</v>
      </c>
      <c r="O1178" s="141" t="str">
        <f t="shared" si="449"/>
        <v>Omde dag Vol/Nal.</v>
      </c>
      <c r="P1178" s="141" t="str">
        <f t="shared" si="450"/>
        <v>Omde dag Nal./Vol</v>
      </c>
      <c r="Q1178" s="141" t="str">
        <f t="shared" si="451"/>
        <v>Omde dag Vol/Nal.</v>
      </c>
      <c r="R1178" s="63" t="s">
        <v>1220</v>
      </c>
      <c r="S1178" s="142">
        <f t="shared" si="459"/>
        <v>365</v>
      </c>
      <c r="T1178" s="157">
        <v>8</v>
      </c>
      <c r="U1178" s="158"/>
      <c r="V1178" s="158"/>
      <c r="W1178" s="158"/>
      <c r="X1178" s="158">
        <v>22</v>
      </c>
      <c r="Y1178" s="158">
        <v>17</v>
      </c>
      <c r="Z1178" s="159"/>
      <c r="AA1178" s="159"/>
      <c r="AB1178" s="159"/>
      <c r="AC1178" s="159">
        <v>9</v>
      </c>
      <c r="AD1178" s="160"/>
      <c r="AE1178" s="171">
        <v>1</v>
      </c>
      <c r="AF1178" s="162">
        <f t="shared" si="455"/>
        <v>0</v>
      </c>
      <c r="AG1178" s="162">
        <f t="shared" si="456"/>
        <v>0</v>
      </c>
      <c r="AH1178" s="162">
        <f t="shared" si="457"/>
        <v>0</v>
      </c>
      <c r="AI1178" s="162">
        <f t="shared" si="458"/>
        <v>0</v>
      </c>
      <c r="AJ1178" s="148" t="str">
        <f t="shared" si="452"/>
        <v>nee</v>
      </c>
      <c r="AK1178" s="161">
        <f t="shared" si="460"/>
        <v>0</v>
      </c>
      <c r="AL1178" s="161">
        <f t="shared" si="461"/>
        <v>0</v>
      </c>
      <c r="AM1178" s="161">
        <f t="shared" si="462"/>
        <v>0</v>
      </c>
      <c r="AN1178" s="161">
        <f t="shared" si="463"/>
        <v>0</v>
      </c>
      <c r="AO1178" s="150" t="str">
        <f t="shared" si="453"/>
        <v>B</v>
      </c>
      <c r="AQ1178" s="151">
        <f t="shared" si="454"/>
        <v>2920</v>
      </c>
    </row>
    <row r="1179" spans="1:43" ht="15" customHeight="1">
      <c r="A1179" s="82" t="e">
        <f t="shared" si="435"/>
        <v>#REF!</v>
      </c>
      <c r="B1179" s="152">
        <v>304</v>
      </c>
      <c r="C1179" s="153" t="s">
        <v>1334</v>
      </c>
      <c r="D1179" s="154" t="s">
        <v>1331</v>
      </c>
      <c r="E1179" s="155"/>
      <c r="F1179" s="64" t="s">
        <v>34</v>
      </c>
      <c r="G1179" s="156" t="s">
        <v>1400</v>
      </c>
      <c r="H1179" s="140" t="str">
        <f t="shared" si="444"/>
        <v>Roltrappen(inclusief aangrenzende bouwdelen)</v>
      </c>
      <c r="I1179" s="64" t="s">
        <v>1251</v>
      </c>
      <c r="J1179" s="138" t="s">
        <v>1171</v>
      </c>
      <c r="K1179" s="141" t="str">
        <f t="shared" si="445"/>
        <v>Omde dag Vol/Nal.</v>
      </c>
      <c r="L1179" s="141" t="str">
        <f t="shared" si="446"/>
        <v>Omde dag Nal./Vol</v>
      </c>
      <c r="M1179" s="141" t="str">
        <f t="shared" si="447"/>
        <v>Omde dag Vol/Nal.</v>
      </c>
      <c r="N1179" s="141" t="str">
        <f t="shared" si="448"/>
        <v>Omde dag Nal./Vol</v>
      </c>
      <c r="O1179" s="141" t="str">
        <f t="shared" si="449"/>
        <v>Omde dag Vol/Nal.</v>
      </c>
      <c r="P1179" s="141" t="str">
        <f t="shared" si="450"/>
        <v>Omde dag Nal./Vol</v>
      </c>
      <c r="Q1179" s="141" t="str">
        <f t="shared" si="451"/>
        <v>Omde dag Vol/Nal.</v>
      </c>
      <c r="R1179" s="63" t="s">
        <v>1218</v>
      </c>
      <c r="S1179" s="142">
        <f t="shared" si="459"/>
        <v>365</v>
      </c>
      <c r="T1179" s="157">
        <v>62</v>
      </c>
      <c r="U1179" s="158"/>
      <c r="V1179" s="158"/>
      <c r="W1179" s="158"/>
      <c r="X1179" s="158">
        <v>36</v>
      </c>
      <c r="Y1179" s="158"/>
      <c r="Z1179" s="159"/>
      <c r="AA1179" s="159"/>
      <c r="AB1179" s="159"/>
      <c r="AC1179" s="159"/>
      <c r="AD1179" s="160"/>
      <c r="AE1179" s="171">
        <v>1</v>
      </c>
      <c r="AF1179" s="162">
        <f t="shared" si="455"/>
        <v>0</v>
      </c>
      <c r="AG1179" s="162">
        <f t="shared" si="456"/>
        <v>0</v>
      </c>
      <c r="AH1179" s="162">
        <f t="shared" si="457"/>
        <v>0</v>
      </c>
      <c r="AI1179" s="162">
        <f t="shared" si="458"/>
        <v>0</v>
      </c>
      <c r="AJ1179" s="148" t="str">
        <f t="shared" si="452"/>
        <v>ja</v>
      </c>
      <c r="AK1179" s="161">
        <f t="shared" si="460"/>
        <v>0</v>
      </c>
      <c r="AL1179" s="161">
        <f t="shared" si="461"/>
        <v>0</v>
      </c>
      <c r="AM1179" s="161">
        <f t="shared" si="462"/>
        <v>0</v>
      </c>
      <c r="AN1179" s="161">
        <f t="shared" si="463"/>
        <v>0</v>
      </c>
      <c r="AO1179" s="150" t="str">
        <f t="shared" si="453"/>
        <v>V</v>
      </c>
      <c r="AQ1179" s="151">
        <f t="shared" si="454"/>
        <v>22630</v>
      </c>
    </row>
    <row r="1180" spans="1:43" ht="15" customHeight="1">
      <c r="A1180" s="82" t="e">
        <f t="shared" si="435"/>
        <v>#REF!</v>
      </c>
      <c r="B1180" s="152">
        <v>304</v>
      </c>
      <c r="C1180" s="153" t="s">
        <v>1334</v>
      </c>
      <c r="D1180" s="154" t="s">
        <v>1331</v>
      </c>
      <c r="E1180" s="155"/>
      <c r="F1180" s="64" t="s">
        <v>33</v>
      </c>
      <c r="G1180" s="156" t="s">
        <v>26</v>
      </c>
      <c r="H1180" s="140" t="str">
        <f t="shared" si="444"/>
        <v>Niet van toepassing</v>
      </c>
      <c r="I1180" s="64" t="s">
        <v>195</v>
      </c>
      <c r="J1180" s="138" t="s">
        <v>1172</v>
      </c>
      <c r="K1180" s="141" t="str">
        <f t="shared" si="445"/>
        <v>NVT</v>
      </c>
      <c r="L1180" s="141" t="str">
        <f t="shared" si="446"/>
        <v>NVT</v>
      </c>
      <c r="M1180" s="141" t="str">
        <f t="shared" si="447"/>
        <v>NVT</v>
      </c>
      <c r="N1180" s="141" t="str">
        <f t="shared" si="448"/>
        <v>NVT</v>
      </c>
      <c r="O1180" s="141" t="str">
        <f t="shared" si="449"/>
        <v>NVT</v>
      </c>
      <c r="P1180" s="141" t="str">
        <f t="shared" si="450"/>
        <v>NVT</v>
      </c>
      <c r="Q1180" s="141" t="str">
        <f t="shared" si="451"/>
        <v>NVT</v>
      </c>
      <c r="R1180" s="63" t="s">
        <v>1221</v>
      </c>
      <c r="S1180" s="142">
        <f t="shared" si="459"/>
        <v>0</v>
      </c>
      <c r="T1180" s="157">
        <v>12</v>
      </c>
      <c r="U1180" s="158"/>
      <c r="V1180" s="158">
        <v>49</v>
      </c>
      <c r="W1180" s="158"/>
      <c r="X1180" s="158"/>
      <c r="Y1180" s="158"/>
      <c r="Z1180" s="159"/>
      <c r="AA1180" s="159"/>
      <c r="AB1180" s="159">
        <v>12</v>
      </c>
      <c r="AC1180" s="159"/>
      <c r="AD1180" s="160"/>
      <c r="AE1180" s="171">
        <v>1</v>
      </c>
      <c r="AF1180" s="162">
        <f t="shared" si="455"/>
        <v>0</v>
      </c>
      <c r="AG1180" s="162">
        <f t="shared" si="456"/>
        <v>0</v>
      </c>
      <c r="AH1180" s="162">
        <f t="shared" si="457"/>
        <v>0</v>
      </c>
      <c r="AI1180" s="162">
        <f t="shared" si="458"/>
        <v>0</v>
      </c>
      <c r="AJ1180" s="148">
        <f t="shared" si="452"/>
        <v>0</v>
      </c>
      <c r="AK1180" s="161">
        <f t="shared" si="460"/>
        <v>0</v>
      </c>
      <c r="AL1180" s="161">
        <f t="shared" si="461"/>
        <v>0</v>
      </c>
      <c r="AM1180" s="161">
        <f t="shared" si="462"/>
        <v>0</v>
      </c>
      <c r="AN1180" s="161">
        <f t="shared" si="463"/>
        <v>0</v>
      </c>
      <c r="AO1180" s="150">
        <f t="shared" si="453"/>
        <v>0</v>
      </c>
      <c r="AQ1180" s="151">
        <f t="shared" si="454"/>
        <v>0</v>
      </c>
    </row>
    <row r="1181" spans="1:43" ht="15" customHeight="1">
      <c r="A1181" s="82" t="e">
        <f t="shared" si="435"/>
        <v>#REF!</v>
      </c>
      <c r="B1181" s="152">
        <v>304</v>
      </c>
      <c r="C1181" s="153" t="s">
        <v>1334</v>
      </c>
      <c r="D1181" s="154" t="s">
        <v>1331</v>
      </c>
      <c r="E1181" s="155"/>
      <c r="F1181" s="64" t="s">
        <v>37</v>
      </c>
      <c r="G1181" s="156" t="s">
        <v>276</v>
      </c>
      <c r="H1181" s="140" t="str">
        <f t="shared" si="444"/>
        <v>Niet van toepassing</v>
      </c>
      <c r="I1181" s="64" t="s">
        <v>195</v>
      </c>
      <c r="J1181" s="138" t="s">
        <v>1172</v>
      </c>
      <c r="K1181" s="141" t="str">
        <f t="shared" si="445"/>
        <v>NVT</v>
      </c>
      <c r="L1181" s="141" t="str">
        <f t="shared" si="446"/>
        <v>NVT</v>
      </c>
      <c r="M1181" s="141" t="str">
        <f t="shared" si="447"/>
        <v>NVT</v>
      </c>
      <c r="N1181" s="141" t="str">
        <f t="shared" si="448"/>
        <v>NVT</v>
      </c>
      <c r="O1181" s="141" t="str">
        <f t="shared" si="449"/>
        <v>NVT</v>
      </c>
      <c r="P1181" s="141" t="str">
        <f t="shared" si="450"/>
        <v>NVT</v>
      </c>
      <c r="Q1181" s="141" t="str">
        <f t="shared" si="451"/>
        <v>NVT</v>
      </c>
      <c r="R1181" s="63" t="s">
        <v>1221</v>
      </c>
      <c r="S1181" s="142">
        <f t="shared" si="459"/>
        <v>0</v>
      </c>
      <c r="T1181" s="157">
        <v>8</v>
      </c>
      <c r="U1181" s="158"/>
      <c r="V1181" s="158">
        <v>33</v>
      </c>
      <c r="W1181" s="158"/>
      <c r="X1181" s="158"/>
      <c r="Y1181" s="158"/>
      <c r="Z1181" s="159"/>
      <c r="AA1181" s="159"/>
      <c r="AB1181" s="159">
        <v>8</v>
      </c>
      <c r="AC1181" s="159"/>
      <c r="AD1181" s="160"/>
      <c r="AE1181" s="171">
        <v>1</v>
      </c>
      <c r="AF1181" s="162">
        <f t="shared" si="455"/>
        <v>0</v>
      </c>
      <c r="AG1181" s="162">
        <f t="shared" si="456"/>
        <v>0</v>
      </c>
      <c r="AH1181" s="162">
        <f t="shared" si="457"/>
        <v>0</v>
      </c>
      <c r="AI1181" s="162">
        <f t="shared" si="458"/>
        <v>0</v>
      </c>
      <c r="AJ1181" s="148">
        <f t="shared" si="452"/>
        <v>0</v>
      </c>
      <c r="AK1181" s="161">
        <f t="shared" si="460"/>
        <v>0</v>
      </c>
      <c r="AL1181" s="161">
        <f t="shared" si="461"/>
        <v>0</v>
      </c>
      <c r="AM1181" s="161">
        <f t="shared" si="462"/>
        <v>0</v>
      </c>
      <c r="AN1181" s="161">
        <f t="shared" si="463"/>
        <v>0</v>
      </c>
      <c r="AO1181" s="150">
        <f t="shared" si="453"/>
        <v>0</v>
      </c>
      <c r="AQ1181" s="151">
        <f t="shared" si="454"/>
        <v>0</v>
      </c>
    </row>
    <row r="1182" spans="1:43" ht="15" customHeight="1">
      <c r="A1182" s="82" t="e">
        <f t="shared" si="435"/>
        <v>#REF!</v>
      </c>
      <c r="B1182" s="152">
        <v>304</v>
      </c>
      <c r="C1182" s="153" t="s">
        <v>1334</v>
      </c>
      <c r="D1182" s="154" t="s">
        <v>1331</v>
      </c>
      <c r="E1182" s="155"/>
      <c r="F1182" s="64" t="s">
        <v>1361</v>
      </c>
      <c r="G1182" s="156" t="s">
        <v>28</v>
      </c>
      <c r="H1182" s="140" t="str">
        <f t="shared" si="444"/>
        <v>Niet van toepassing</v>
      </c>
      <c r="I1182" s="64" t="s">
        <v>195</v>
      </c>
      <c r="J1182" s="138" t="s">
        <v>1172</v>
      </c>
      <c r="K1182" s="141" t="str">
        <f t="shared" si="445"/>
        <v>NVT</v>
      </c>
      <c r="L1182" s="141" t="str">
        <f t="shared" si="446"/>
        <v>NVT</v>
      </c>
      <c r="M1182" s="141" t="str">
        <f t="shared" si="447"/>
        <v>NVT</v>
      </c>
      <c r="N1182" s="141" t="str">
        <f t="shared" si="448"/>
        <v>NVT</v>
      </c>
      <c r="O1182" s="141" t="str">
        <f t="shared" si="449"/>
        <v>NVT</v>
      </c>
      <c r="P1182" s="141" t="str">
        <f t="shared" si="450"/>
        <v>NVT</v>
      </c>
      <c r="Q1182" s="141" t="str">
        <f t="shared" si="451"/>
        <v>NVT</v>
      </c>
      <c r="R1182" s="63" t="s">
        <v>1221</v>
      </c>
      <c r="S1182" s="142">
        <f t="shared" si="459"/>
        <v>0</v>
      </c>
      <c r="T1182" s="157">
        <v>10</v>
      </c>
      <c r="U1182" s="158"/>
      <c r="V1182" s="158">
        <v>45</v>
      </c>
      <c r="W1182" s="158"/>
      <c r="X1182" s="158"/>
      <c r="Y1182" s="158"/>
      <c r="Z1182" s="159"/>
      <c r="AA1182" s="159"/>
      <c r="AB1182" s="159">
        <v>10</v>
      </c>
      <c r="AC1182" s="159"/>
      <c r="AD1182" s="160"/>
      <c r="AE1182" s="171">
        <v>1</v>
      </c>
      <c r="AF1182" s="162">
        <f t="shared" si="455"/>
        <v>0</v>
      </c>
      <c r="AG1182" s="162">
        <f t="shared" si="456"/>
        <v>0</v>
      </c>
      <c r="AH1182" s="162">
        <f t="shared" si="457"/>
        <v>0</v>
      </c>
      <c r="AI1182" s="162">
        <f t="shared" si="458"/>
        <v>0</v>
      </c>
      <c r="AJ1182" s="148">
        <f t="shared" si="452"/>
        <v>0</v>
      </c>
      <c r="AK1182" s="161">
        <f t="shared" si="460"/>
        <v>0</v>
      </c>
      <c r="AL1182" s="161">
        <f t="shared" si="461"/>
        <v>0</v>
      </c>
      <c r="AM1182" s="161">
        <f t="shared" si="462"/>
        <v>0</v>
      </c>
      <c r="AN1182" s="161">
        <f t="shared" si="463"/>
        <v>0</v>
      </c>
      <c r="AO1182" s="150">
        <f t="shared" si="453"/>
        <v>0</v>
      </c>
      <c r="AQ1182" s="151">
        <f t="shared" si="454"/>
        <v>0</v>
      </c>
    </row>
    <row r="1183" spans="1:43" ht="15" customHeight="1">
      <c r="A1183" s="82" t="e">
        <f t="shared" si="435"/>
        <v>#REF!</v>
      </c>
      <c r="B1183" s="152">
        <v>304</v>
      </c>
      <c r="C1183" s="153" t="s">
        <v>1334</v>
      </c>
      <c r="D1183" s="154" t="s">
        <v>1331</v>
      </c>
      <c r="E1183" s="155"/>
      <c r="F1183" s="64" t="s">
        <v>1362</v>
      </c>
      <c r="G1183" s="156" t="s">
        <v>29</v>
      </c>
      <c r="H1183" s="140" t="str">
        <f t="shared" si="444"/>
        <v>Niet van toepassing</v>
      </c>
      <c r="I1183" s="64" t="s">
        <v>195</v>
      </c>
      <c r="J1183" s="138" t="s">
        <v>1172</v>
      </c>
      <c r="K1183" s="141" t="str">
        <f t="shared" si="445"/>
        <v>NVT</v>
      </c>
      <c r="L1183" s="141" t="str">
        <f t="shared" si="446"/>
        <v>NVT</v>
      </c>
      <c r="M1183" s="141" t="str">
        <f t="shared" si="447"/>
        <v>NVT</v>
      </c>
      <c r="N1183" s="141" t="str">
        <f t="shared" si="448"/>
        <v>NVT</v>
      </c>
      <c r="O1183" s="141" t="str">
        <f t="shared" si="449"/>
        <v>NVT</v>
      </c>
      <c r="P1183" s="141" t="str">
        <f t="shared" si="450"/>
        <v>NVT</v>
      </c>
      <c r="Q1183" s="141" t="str">
        <f t="shared" si="451"/>
        <v>NVT</v>
      </c>
      <c r="R1183" s="63" t="s">
        <v>1221</v>
      </c>
      <c r="S1183" s="142">
        <f t="shared" si="459"/>
        <v>0</v>
      </c>
      <c r="T1183" s="157">
        <v>8</v>
      </c>
      <c r="U1183" s="158"/>
      <c r="V1183" s="158">
        <v>38</v>
      </c>
      <c r="W1183" s="158"/>
      <c r="X1183" s="158"/>
      <c r="Y1183" s="158"/>
      <c r="Z1183" s="159"/>
      <c r="AA1183" s="159"/>
      <c r="AB1183" s="159">
        <v>8</v>
      </c>
      <c r="AC1183" s="159"/>
      <c r="AD1183" s="160"/>
      <c r="AE1183" s="171">
        <v>1</v>
      </c>
      <c r="AF1183" s="162">
        <f t="shared" si="455"/>
        <v>0</v>
      </c>
      <c r="AG1183" s="162">
        <f t="shared" si="456"/>
        <v>0</v>
      </c>
      <c r="AH1183" s="162">
        <f t="shared" si="457"/>
        <v>0</v>
      </c>
      <c r="AI1183" s="162">
        <f t="shared" si="458"/>
        <v>0</v>
      </c>
      <c r="AJ1183" s="148">
        <f t="shared" si="452"/>
        <v>0</v>
      </c>
      <c r="AK1183" s="161">
        <f t="shared" si="460"/>
        <v>0</v>
      </c>
      <c r="AL1183" s="161">
        <f t="shared" si="461"/>
        <v>0</v>
      </c>
      <c r="AM1183" s="161">
        <f t="shared" si="462"/>
        <v>0</v>
      </c>
      <c r="AN1183" s="161">
        <f t="shared" si="463"/>
        <v>0</v>
      </c>
      <c r="AO1183" s="150">
        <f t="shared" si="453"/>
        <v>0</v>
      </c>
      <c r="AQ1183" s="151">
        <f t="shared" si="454"/>
        <v>0</v>
      </c>
    </row>
    <row r="1184" spans="1:43" ht="15" customHeight="1">
      <c r="A1184" s="82" t="e">
        <f t="shared" si="435"/>
        <v>#REF!</v>
      </c>
      <c r="B1184" s="152">
        <v>304</v>
      </c>
      <c r="C1184" s="153" t="s">
        <v>1334</v>
      </c>
      <c r="D1184" s="154" t="s">
        <v>1331</v>
      </c>
      <c r="E1184" s="155"/>
      <c r="F1184" s="64" t="s">
        <v>1362</v>
      </c>
      <c r="G1184" s="156" t="s">
        <v>282</v>
      </c>
      <c r="H1184" s="140" t="str">
        <f t="shared" si="444"/>
        <v>Niet van toepassing</v>
      </c>
      <c r="I1184" s="64" t="s">
        <v>195</v>
      </c>
      <c r="J1184" s="138" t="s">
        <v>1172</v>
      </c>
      <c r="K1184" s="141" t="str">
        <f t="shared" si="445"/>
        <v>NVT</v>
      </c>
      <c r="L1184" s="141" t="str">
        <f t="shared" si="446"/>
        <v>NVT</v>
      </c>
      <c r="M1184" s="141" t="str">
        <f t="shared" si="447"/>
        <v>NVT</v>
      </c>
      <c r="N1184" s="141" t="str">
        <f t="shared" si="448"/>
        <v>NVT</v>
      </c>
      <c r="O1184" s="141" t="str">
        <f t="shared" si="449"/>
        <v>NVT</v>
      </c>
      <c r="P1184" s="141" t="str">
        <f t="shared" si="450"/>
        <v>NVT</v>
      </c>
      <c r="Q1184" s="141" t="str">
        <f t="shared" si="451"/>
        <v>NVT</v>
      </c>
      <c r="R1184" s="63" t="s">
        <v>1221</v>
      </c>
      <c r="S1184" s="142">
        <f t="shared" si="459"/>
        <v>0</v>
      </c>
      <c r="T1184" s="157">
        <v>1</v>
      </c>
      <c r="U1184" s="158"/>
      <c r="V1184" s="158">
        <v>13</v>
      </c>
      <c r="W1184" s="158"/>
      <c r="X1184" s="158"/>
      <c r="Y1184" s="158"/>
      <c r="Z1184" s="159"/>
      <c r="AA1184" s="159"/>
      <c r="AB1184" s="159">
        <v>1</v>
      </c>
      <c r="AC1184" s="159"/>
      <c r="AD1184" s="160"/>
      <c r="AE1184" s="171">
        <v>1</v>
      </c>
      <c r="AF1184" s="162">
        <f t="shared" si="455"/>
        <v>0</v>
      </c>
      <c r="AG1184" s="162">
        <f t="shared" si="456"/>
        <v>0</v>
      </c>
      <c r="AH1184" s="162">
        <f t="shared" si="457"/>
        <v>0</v>
      </c>
      <c r="AI1184" s="162">
        <f t="shared" si="458"/>
        <v>0</v>
      </c>
      <c r="AJ1184" s="148">
        <f t="shared" si="452"/>
        <v>0</v>
      </c>
      <c r="AK1184" s="161">
        <f t="shared" si="460"/>
        <v>0</v>
      </c>
      <c r="AL1184" s="161">
        <f t="shared" si="461"/>
        <v>0</v>
      </c>
      <c r="AM1184" s="161">
        <f t="shared" si="462"/>
        <v>0</v>
      </c>
      <c r="AN1184" s="161">
        <f t="shared" si="463"/>
        <v>0</v>
      </c>
      <c r="AO1184" s="150">
        <f t="shared" si="453"/>
        <v>0</v>
      </c>
      <c r="AQ1184" s="151">
        <f t="shared" si="454"/>
        <v>0</v>
      </c>
    </row>
    <row r="1185" spans="1:43" ht="15" customHeight="1">
      <c r="A1185" s="82" t="e">
        <f t="shared" si="435"/>
        <v>#REF!</v>
      </c>
      <c r="B1185" s="152">
        <v>304</v>
      </c>
      <c r="C1185" s="153" t="s">
        <v>1334</v>
      </c>
      <c r="D1185" s="154" t="s">
        <v>1331</v>
      </c>
      <c r="E1185" s="155"/>
      <c r="F1185" s="64" t="s">
        <v>1401</v>
      </c>
      <c r="G1185" s="156" t="s">
        <v>30</v>
      </c>
      <c r="H1185" s="140" t="str">
        <f t="shared" si="444"/>
        <v>Niet van toepassing</v>
      </c>
      <c r="I1185" s="64" t="s">
        <v>195</v>
      </c>
      <c r="J1185" s="138" t="s">
        <v>1172</v>
      </c>
      <c r="K1185" s="141" t="str">
        <f t="shared" si="445"/>
        <v>NVT</v>
      </c>
      <c r="L1185" s="141" t="str">
        <f t="shared" si="446"/>
        <v>NVT</v>
      </c>
      <c r="M1185" s="141" t="str">
        <f t="shared" si="447"/>
        <v>NVT</v>
      </c>
      <c r="N1185" s="141" t="str">
        <f t="shared" si="448"/>
        <v>NVT</v>
      </c>
      <c r="O1185" s="141" t="str">
        <f t="shared" si="449"/>
        <v>NVT</v>
      </c>
      <c r="P1185" s="141" t="str">
        <f t="shared" si="450"/>
        <v>NVT</v>
      </c>
      <c r="Q1185" s="141" t="str">
        <f t="shared" si="451"/>
        <v>NVT</v>
      </c>
      <c r="R1185" s="63" t="s">
        <v>1221</v>
      </c>
      <c r="S1185" s="142">
        <f t="shared" si="459"/>
        <v>0</v>
      </c>
      <c r="T1185" s="157">
        <v>10</v>
      </c>
      <c r="U1185" s="158"/>
      <c r="V1185" s="158">
        <v>13</v>
      </c>
      <c r="W1185" s="158"/>
      <c r="X1185" s="158"/>
      <c r="Y1185" s="158"/>
      <c r="Z1185" s="159"/>
      <c r="AA1185" s="159"/>
      <c r="AB1185" s="159">
        <v>10</v>
      </c>
      <c r="AC1185" s="159"/>
      <c r="AD1185" s="160"/>
      <c r="AE1185" s="171">
        <v>1</v>
      </c>
      <c r="AF1185" s="162">
        <f t="shared" si="455"/>
        <v>0</v>
      </c>
      <c r="AG1185" s="162">
        <f t="shared" si="456"/>
        <v>0</v>
      </c>
      <c r="AH1185" s="162">
        <f t="shared" si="457"/>
        <v>0</v>
      </c>
      <c r="AI1185" s="162">
        <f t="shared" si="458"/>
        <v>0</v>
      </c>
      <c r="AJ1185" s="148">
        <f t="shared" si="452"/>
        <v>0</v>
      </c>
      <c r="AK1185" s="161">
        <f t="shared" si="460"/>
        <v>0</v>
      </c>
      <c r="AL1185" s="161">
        <f t="shared" si="461"/>
        <v>0</v>
      </c>
      <c r="AM1185" s="161">
        <f t="shared" si="462"/>
        <v>0</v>
      </c>
      <c r="AN1185" s="161">
        <f t="shared" si="463"/>
        <v>0</v>
      </c>
      <c r="AO1185" s="150">
        <f t="shared" si="453"/>
        <v>0</v>
      </c>
      <c r="AQ1185" s="151">
        <f t="shared" si="454"/>
        <v>0</v>
      </c>
    </row>
    <row r="1186" spans="1:43" ht="15" customHeight="1">
      <c r="A1186" s="82" t="e">
        <f t="shared" si="435"/>
        <v>#REF!</v>
      </c>
      <c r="B1186" s="152">
        <v>304</v>
      </c>
      <c r="C1186" s="153" t="s">
        <v>1334</v>
      </c>
      <c r="D1186" s="154" t="s">
        <v>1331</v>
      </c>
      <c r="E1186" s="155"/>
      <c r="F1186" s="64" t="s">
        <v>122</v>
      </c>
      <c r="G1186" s="156" t="s">
        <v>32</v>
      </c>
      <c r="H1186" s="140" t="str">
        <f t="shared" si="444"/>
        <v>Niet van toepassing</v>
      </c>
      <c r="I1186" s="64" t="s">
        <v>195</v>
      </c>
      <c r="J1186" s="64" t="s">
        <v>1172</v>
      </c>
      <c r="K1186" s="141" t="str">
        <f t="shared" si="445"/>
        <v>NVT</v>
      </c>
      <c r="L1186" s="141" t="str">
        <f t="shared" si="446"/>
        <v>NVT</v>
      </c>
      <c r="M1186" s="141" t="str">
        <f t="shared" si="447"/>
        <v>NVT</v>
      </c>
      <c r="N1186" s="141" t="str">
        <f t="shared" si="448"/>
        <v>NVT</v>
      </c>
      <c r="O1186" s="141" t="str">
        <f t="shared" si="449"/>
        <v>NVT</v>
      </c>
      <c r="P1186" s="141" t="str">
        <f t="shared" si="450"/>
        <v>NVT</v>
      </c>
      <c r="Q1186" s="141" t="str">
        <f t="shared" si="451"/>
        <v>NVT</v>
      </c>
      <c r="R1186" s="64" t="s">
        <v>1221</v>
      </c>
      <c r="S1186" s="142">
        <f t="shared" si="459"/>
        <v>0</v>
      </c>
      <c r="T1186" s="157">
        <v>10</v>
      </c>
      <c r="U1186" s="158"/>
      <c r="V1186" s="158">
        <v>45</v>
      </c>
      <c r="W1186" s="158"/>
      <c r="X1186" s="158"/>
      <c r="Y1186" s="158"/>
      <c r="Z1186" s="159"/>
      <c r="AA1186" s="159"/>
      <c r="AB1186" s="159">
        <v>10</v>
      </c>
      <c r="AC1186" s="159"/>
      <c r="AD1186" s="160"/>
      <c r="AE1186" s="171">
        <v>1</v>
      </c>
      <c r="AF1186" s="162">
        <f t="shared" si="455"/>
        <v>0</v>
      </c>
      <c r="AG1186" s="162">
        <f t="shared" si="456"/>
        <v>0</v>
      </c>
      <c r="AH1186" s="162">
        <f t="shared" si="457"/>
        <v>0</v>
      </c>
      <c r="AI1186" s="162">
        <f t="shared" si="458"/>
        <v>0</v>
      </c>
      <c r="AJ1186" s="148">
        <f t="shared" si="452"/>
        <v>0</v>
      </c>
      <c r="AK1186" s="161">
        <f t="shared" si="460"/>
        <v>0</v>
      </c>
      <c r="AL1186" s="161">
        <f t="shared" si="461"/>
        <v>0</v>
      </c>
      <c r="AM1186" s="161">
        <f t="shared" si="462"/>
        <v>0</v>
      </c>
      <c r="AN1186" s="161">
        <f t="shared" si="463"/>
        <v>0</v>
      </c>
      <c r="AO1186" s="150">
        <f t="shared" si="453"/>
        <v>0</v>
      </c>
      <c r="AQ1186" s="151">
        <f t="shared" si="454"/>
        <v>0</v>
      </c>
    </row>
    <row r="1187" spans="1:43" ht="15" customHeight="1">
      <c r="A1187" s="82" t="e">
        <f t="shared" si="435"/>
        <v>#REF!</v>
      </c>
      <c r="B1187" s="152">
        <v>304</v>
      </c>
      <c r="C1187" s="153" t="s">
        <v>1334</v>
      </c>
      <c r="D1187" s="154" t="s">
        <v>1331</v>
      </c>
      <c r="E1187" s="155"/>
      <c r="F1187" s="64" t="s">
        <v>1389</v>
      </c>
      <c r="G1187" s="156" t="s">
        <v>24</v>
      </c>
      <c r="H1187" s="140" t="str">
        <f t="shared" si="444"/>
        <v>Niet van toepassing</v>
      </c>
      <c r="I1187" s="64" t="s">
        <v>195</v>
      </c>
      <c r="J1187" s="138" t="s">
        <v>1172</v>
      </c>
      <c r="K1187" s="141" t="str">
        <f t="shared" si="445"/>
        <v>NVT</v>
      </c>
      <c r="L1187" s="141" t="str">
        <f t="shared" si="446"/>
        <v>NVT</v>
      </c>
      <c r="M1187" s="141" t="str">
        <f t="shared" si="447"/>
        <v>NVT</v>
      </c>
      <c r="N1187" s="141" t="str">
        <f t="shared" si="448"/>
        <v>NVT</v>
      </c>
      <c r="O1187" s="141" t="str">
        <f t="shared" si="449"/>
        <v>NVT</v>
      </c>
      <c r="P1187" s="141" t="str">
        <f t="shared" si="450"/>
        <v>NVT</v>
      </c>
      <c r="Q1187" s="141" t="str">
        <f t="shared" si="451"/>
        <v>NVT</v>
      </c>
      <c r="R1187" s="63" t="s">
        <v>1221</v>
      </c>
      <c r="S1187" s="142">
        <f t="shared" si="459"/>
        <v>0</v>
      </c>
      <c r="T1187" s="157">
        <v>15</v>
      </c>
      <c r="U1187" s="158"/>
      <c r="V1187" s="158">
        <v>60</v>
      </c>
      <c r="W1187" s="158"/>
      <c r="X1187" s="158"/>
      <c r="Y1187" s="158"/>
      <c r="Z1187" s="159"/>
      <c r="AA1187" s="159"/>
      <c r="AB1187" s="159">
        <v>15</v>
      </c>
      <c r="AC1187" s="159"/>
      <c r="AD1187" s="160"/>
      <c r="AE1187" s="171">
        <v>1</v>
      </c>
      <c r="AF1187" s="162">
        <f t="shared" si="455"/>
        <v>0</v>
      </c>
      <c r="AG1187" s="162">
        <f t="shared" si="456"/>
        <v>0</v>
      </c>
      <c r="AH1187" s="162">
        <f t="shared" si="457"/>
        <v>0</v>
      </c>
      <c r="AI1187" s="162">
        <f t="shared" si="458"/>
        <v>0</v>
      </c>
      <c r="AJ1187" s="148">
        <f t="shared" si="452"/>
        <v>0</v>
      </c>
      <c r="AK1187" s="161">
        <f t="shared" si="460"/>
        <v>0</v>
      </c>
      <c r="AL1187" s="161">
        <f t="shared" si="461"/>
        <v>0</v>
      </c>
      <c r="AM1187" s="161">
        <f t="shared" si="462"/>
        <v>0</v>
      </c>
      <c r="AN1187" s="161">
        <f t="shared" si="463"/>
        <v>0</v>
      </c>
      <c r="AO1187" s="150">
        <f t="shared" si="453"/>
        <v>0</v>
      </c>
      <c r="AQ1187" s="151">
        <f t="shared" si="454"/>
        <v>0</v>
      </c>
    </row>
    <row r="1188" spans="1:43" ht="15" customHeight="1">
      <c r="A1188" s="82" t="e">
        <f t="shared" ref="A1188:A1248" si="464">1+A1187</f>
        <v>#REF!</v>
      </c>
      <c r="B1188" s="152">
        <v>304</v>
      </c>
      <c r="C1188" s="153" t="s">
        <v>1334</v>
      </c>
      <c r="D1188" s="154" t="s">
        <v>1331</v>
      </c>
      <c r="E1188" s="155"/>
      <c r="F1188" s="64" t="s">
        <v>1389</v>
      </c>
      <c r="G1188" s="156" t="s">
        <v>116</v>
      </c>
      <c r="H1188" s="140" t="str">
        <f t="shared" si="444"/>
        <v>Niet van toepassing</v>
      </c>
      <c r="I1188" s="64" t="s">
        <v>195</v>
      </c>
      <c r="J1188" s="138" t="s">
        <v>1172</v>
      </c>
      <c r="K1188" s="141" t="str">
        <f t="shared" si="445"/>
        <v>NVT</v>
      </c>
      <c r="L1188" s="141" t="str">
        <f t="shared" si="446"/>
        <v>NVT</v>
      </c>
      <c r="M1188" s="141" t="str">
        <f t="shared" si="447"/>
        <v>NVT</v>
      </c>
      <c r="N1188" s="141" t="str">
        <f t="shared" si="448"/>
        <v>NVT</v>
      </c>
      <c r="O1188" s="141" t="str">
        <f t="shared" si="449"/>
        <v>NVT</v>
      </c>
      <c r="P1188" s="141" t="str">
        <f t="shared" si="450"/>
        <v>NVT</v>
      </c>
      <c r="Q1188" s="141" t="str">
        <f t="shared" si="451"/>
        <v>NVT</v>
      </c>
      <c r="R1188" s="63" t="s">
        <v>1221</v>
      </c>
      <c r="S1188" s="142">
        <f t="shared" si="459"/>
        <v>0</v>
      </c>
      <c r="T1188" s="157">
        <v>11</v>
      </c>
      <c r="U1188" s="158"/>
      <c r="V1188" s="158">
        <v>54</v>
      </c>
      <c r="W1188" s="158"/>
      <c r="X1188" s="158"/>
      <c r="Y1188" s="158"/>
      <c r="Z1188" s="159"/>
      <c r="AA1188" s="159"/>
      <c r="AB1188" s="159">
        <v>11</v>
      </c>
      <c r="AC1188" s="159"/>
      <c r="AD1188" s="160"/>
      <c r="AE1188" s="171">
        <v>1</v>
      </c>
      <c r="AF1188" s="162">
        <f t="shared" si="455"/>
        <v>0</v>
      </c>
      <c r="AG1188" s="162">
        <f t="shared" si="456"/>
        <v>0</v>
      </c>
      <c r="AH1188" s="162">
        <f t="shared" si="457"/>
        <v>0</v>
      </c>
      <c r="AI1188" s="162">
        <f t="shared" si="458"/>
        <v>0</v>
      </c>
      <c r="AJ1188" s="148">
        <f t="shared" si="452"/>
        <v>0</v>
      </c>
      <c r="AK1188" s="161">
        <f t="shared" si="460"/>
        <v>0</v>
      </c>
      <c r="AL1188" s="161">
        <f t="shared" si="461"/>
        <v>0</v>
      </c>
      <c r="AM1188" s="161">
        <f t="shared" si="462"/>
        <v>0</v>
      </c>
      <c r="AN1188" s="161">
        <f t="shared" si="463"/>
        <v>0</v>
      </c>
      <c r="AO1188" s="150">
        <f t="shared" si="453"/>
        <v>0</v>
      </c>
      <c r="AQ1188" s="151">
        <f t="shared" si="454"/>
        <v>0</v>
      </c>
    </row>
    <row r="1189" spans="1:43" ht="15" customHeight="1">
      <c r="A1189" s="82" t="e">
        <f t="shared" si="464"/>
        <v>#REF!</v>
      </c>
      <c r="B1189" s="152">
        <v>304</v>
      </c>
      <c r="C1189" s="153" t="s">
        <v>1334</v>
      </c>
      <c r="D1189" s="154" t="s">
        <v>1331</v>
      </c>
      <c r="E1189" s="155"/>
      <c r="F1189" s="64" t="s">
        <v>1402</v>
      </c>
      <c r="G1189" s="156" t="s">
        <v>1403</v>
      </c>
      <c r="H1189" s="140" t="str">
        <f t="shared" si="444"/>
        <v>Bestrating</v>
      </c>
      <c r="I1189" s="64" t="s">
        <v>1254</v>
      </c>
      <c r="J1189" s="138" t="s">
        <v>1171</v>
      </c>
      <c r="K1189" s="141" t="str">
        <f t="shared" si="445"/>
        <v>Omde dag Vol/Nal.</v>
      </c>
      <c r="L1189" s="141" t="str">
        <f t="shared" si="446"/>
        <v>Omde dag Nal./Vol</v>
      </c>
      <c r="M1189" s="141" t="str">
        <f t="shared" si="447"/>
        <v>Omde dag Vol/Nal.</v>
      </c>
      <c r="N1189" s="141" t="str">
        <f t="shared" si="448"/>
        <v>Omde dag Nal./Vol</v>
      </c>
      <c r="O1189" s="141" t="str">
        <f t="shared" si="449"/>
        <v>Omde dag Vol/Nal.</v>
      </c>
      <c r="P1189" s="141" t="str">
        <f t="shared" si="450"/>
        <v>Omde dag Nal./Vol</v>
      </c>
      <c r="Q1189" s="141" t="str">
        <f t="shared" si="451"/>
        <v>Omde dag Vol/Nal.</v>
      </c>
      <c r="R1189" s="64" t="s">
        <v>1470</v>
      </c>
      <c r="S1189" s="142">
        <f t="shared" si="459"/>
        <v>365</v>
      </c>
      <c r="T1189" s="157">
        <v>90</v>
      </c>
      <c r="U1189" s="158"/>
      <c r="V1189" s="158"/>
      <c r="W1189" s="158"/>
      <c r="X1189" s="158"/>
      <c r="Y1189" s="158"/>
      <c r="Z1189" s="159"/>
      <c r="AA1189" s="159"/>
      <c r="AB1189" s="159"/>
      <c r="AC1189" s="159"/>
      <c r="AD1189" s="160" t="s">
        <v>1404</v>
      </c>
      <c r="AE1189" s="171">
        <v>1</v>
      </c>
      <c r="AF1189" s="162">
        <f t="shared" si="455"/>
        <v>0</v>
      </c>
      <c r="AG1189" s="162">
        <f t="shared" si="456"/>
        <v>0</v>
      </c>
      <c r="AH1189" s="162">
        <f t="shared" si="457"/>
        <v>0</v>
      </c>
      <c r="AI1189" s="162">
        <f t="shared" si="458"/>
        <v>0</v>
      </c>
      <c r="AJ1189" s="148" t="str">
        <f t="shared" si="452"/>
        <v>ja</v>
      </c>
      <c r="AK1189" s="161">
        <f t="shared" si="460"/>
        <v>0</v>
      </c>
      <c r="AL1189" s="161">
        <f t="shared" si="461"/>
        <v>0</v>
      </c>
      <c r="AM1189" s="161">
        <f t="shared" si="462"/>
        <v>0</v>
      </c>
      <c r="AN1189" s="161">
        <f t="shared" si="463"/>
        <v>0</v>
      </c>
      <c r="AO1189" s="150" t="str">
        <f t="shared" si="453"/>
        <v>V</v>
      </c>
      <c r="AQ1189" s="151">
        <f t="shared" si="454"/>
        <v>32850</v>
      </c>
    </row>
    <row r="1190" spans="1:43" ht="15" customHeight="1">
      <c r="A1190" s="82" t="e">
        <f t="shared" si="464"/>
        <v>#REF!</v>
      </c>
      <c r="B1190" s="152">
        <v>304</v>
      </c>
      <c r="C1190" s="153" t="s">
        <v>1334</v>
      </c>
      <c r="D1190" s="154" t="s">
        <v>1331</v>
      </c>
      <c r="E1190" s="155"/>
      <c r="F1190" s="64" t="s">
        <v>1377</v>
      </c>
      <c r="G1190" s="156" t="s">
        <v>36</v>
      </c>
      <c r="H1190" s="140" t="str">
        <f t="shared" si="444"/>
        <v>Liften</v>
      </c>
      <c r="I1190" s="64" t="s">
        <v>1109</v>
      </c>
      <c r="J1190" s="138" t="s">
        <v>1171</v>
      </c>
      <c r="K1190" s="141" t="str">
        <f t="shared" si="445"/>
        <v>Omde dag Vol/Nal.</v>
      </c>
      <c r="L1190" s="141" t="str">
        <f t="shared" si="446"/>
        <v>Omde dag Nal./Vol</v>
      </c>
      <c r="M1190" s="141" t="str">
        <f t="shared" si="447"/>
        <v>Omde dag Vol/Nal.</v>
      </c>
      <c r="N1190" s="141" t="str">
        <f t="shared" si="448"/>
        <v>Omde dag Nal./Vol</v>
      </c>
      <c r="O1190" s="141" t="str">
        <f t="shared" si="449"/>
        <v>Omde dag Vol/Nal.</v>
      </c>
      <c r="P1190" s="141" t="str">
        <f t="shared" si="450"/>
        <v>Omde dag Nal./Vol</v>
      </c>
      <c r="Q1190" s="141" t="str">
        <f t="shared" si="451"/>
        <v>Omde dag Vol/Nal.</v>
      </c>
      <c r="R1190" s="63" t="s">
        <v>1213</v>
      </c>
      <c r="S1190" s="142">
        <f t="shared" si="459"/>
        <v>365</v>
      </c>
      <c r="T1190" s="157">
        <v>5</v>
      </c>
      <c r="U1190" s="158"/>
      <c r="V1190" s="158"/>
      <c r="W1190" s="158"/>
      <c r="X1190" s="158"/>
      <c r="Y1190" s="158"/>
      <c r="Z1190" s="159"/>
      <c r="AA1190" s="159"/>
      <c r="AB1190" s="159"/>
      <c r="AC1190" s="159"/>
      <c r="AD1190" s="160"/>
      <c r="AE1190" s="171">
        <v>1</v>
      </c>
      <c r="AF1190" s="162">
        <f t="shared" si="455"/>
        <v>0</v>
      </c>
      <c r="AG1190" s="162">
        <f t="shared" si="456"/>
        <v>0</v>
      </c>
      <c r="AH1190" s="162">
        <f t="shared" si="457"/>
        <v>0</v>
      </c>
      <c r="AI1190" s="162">
        <f t="shared" si="458"/>
        <v>0</v>
      </c>
      <c r="AJ1190" s="148" t="str">
        <f t="shared" si="452"/>
        <v>ja</v>
      </c>
      <c r="AK1190" s="161">
        <f t="shared" si="460"/>
        <v>0</v>
      </c>
      <c r="AL1190" s="161">
        <f t="shared" si="461"/>
        <v>0</v>
      </c>
      <c r="AM1190" s="161">
        <f t="shared" si="462"/>
        <v>0</v>
      </c>
      <c r="AN1190" s="161">
        <f t="shared" si="463"/>
        <v>0</v>
      </c>
      <c r="AO1190" s="150" t="str">
        <f t="shared" si="453"/>
        <v>V</v>
      </c>
      <c r="AQ1190" s="151">
        <f t="shared" si="454"/>
        <v>1825</v>
      </c>
    </row>
    <row r="1191" spans="1:43" ht="15" customHeight="1">
      <c r="A1191" s="82" t="e">
        <f t="shared" si="464"/>
        <v>#REF!</v>
      </c>
      <c r="B1191" s="152">
        <v>305</v>
      </c>
      <c r="C1191" s="153" t="s">
        <v>1337</v>
      </c>
      <c r="D1191" s="154" t="s">
        <v>1331</v>
      </c>
      <c r="E1191" s="155"/>
      <c r="F1191" s="64" t="s">
        <v>117</v>
      </c>
      <c r="G1191" s="156" t="s">
        <v>1405</v>
      </c>
      <c r="H1191" s="140" t="str">
        <f t="shared" si="444"/>
        <v>Perrons</v>
      </c>
      <c r="I1191" s="64" t="s">
        <v>1394</v>
      </c>
      <c r="J1191" s="64" t="s">
        <v>1255</v>
      </c>
      <c r="K1191" s="141" t="str">
        <f t="shared" si="445"/>
        <v>Volledig</v>
      </c>
      <c r="L1191" s="141" t="str">
        <f t="shared" si="446"/>
        <v>naloop</v>
      </c>
      <c r="M1191" s="141" t="str">
        <f t="shared" si="447"/>
        <v>naloop</v>
      </c>
      <c r="N1191" s="141" t="str">
        <f t="shared" si="448"/>
        <v>Volledig</v>
      </c>
      <c r="O1191" s="141" t="str">
        <f t="shared" si="449"/>
        <v>naloop</v>
      </c>
      <c r="P1191" s="141" t="str">
        <f t="shared" si="450"/>
        <v>naloop</v>
      </c>
      <c r="Q1191" s="141" t="str">
        <f t="shared" si="451"/>
        <v>naloop</v>
      </c>
      <c r="R1191" s="64" t="s">
        <v>1208</v>
      </c>
      <c r="S1191" s="142">
        <f t="shared" si="459"/>
        <v>365</v>
      </c>
      <c r="T1191" s="157">
        <v>608</v>
      </c>
      <c r="U1191" s="158"/>
      <c r="V1191" s="158"/>
      <c r="W1191" s="158"/>
      <c r="X1191" s="158"/>
      <c r="Y1191" s="158"/>
      <c r="Z1191" s="159"/>
      <c r="AA1191" s="159"/>
      <c r="AB1191" s="159"/>
      <c r="AC1191" s="159"/>
      <c r="AD1191" s="160"/>
      <c r="AE1191" s="171">
        <v>1</v>
      </c>
      <c r="AF1191" s="162">
        <f t="shared" si="455"/>
        <v>0</v>
      </c>
      <c r="AG1191" s="162">
        <f t="shared" si="456"/>
        <v>0</v>
      </c>
      <c r="AH1191" s="162">
        <f t="shared" si="457"/>
        <v>0</v>
      </c>
      <c r="AI1191" s="162">
        <f t="shared" si="458"/>
        <v>0</v>
      </c>
      <c r="AJ1191" s="148" t="str">
        <f t="shared" si="452"/>
        <v>ja</v>
      </c>
      <c r="AK1191" s="161">
        <f t="shared" si="460"/>
        <v>0</v>
      </c>
      <c r="AL1191" s="161">
        <f t="shared" si="461"/>
        <v>0</v>
      </c>
      <c r="AM1191" s="161">
        <f t="shared" si="462"/>
        <v>0</v>
      </c>
      <c r="AN1191" s="161">
        <f t="shared" si="463"/>
        <v>0</v>
      </c>
      <c r="AO1191" s="150" t="str">
        <f t="shared" si="453"/>
        <v>V</v>
      </c>
      <c r="AQ1191" s="151">
        <f t="shared" si="454"/>
        <v>221920</v>
      </c>
    </row>
    <row r="1192" spans="1:43" ht="15" customHeight="1">
      <c r="A1192" s="82" t="e">
        <f t="shared" si="464"/>
        <v>#REF!</v>
      </c>
      <c r="B1192" s="152">
        <v>305</v>
      </c>
      <c r="C1192" s="153" t="s">
        <v>1337</v>
      </c>
      <c r="D1192" s="154" t="s">
        <v>1331</v>
      </c>
      <c r="E1192" s="155"/>
      <c r="F1192" s="64" t="s">
        <v>1395</v>
      </c>
      <c r="G1192" s="156" t="s">
        <v>1405</v>
      </c>
      <c r="H1192" s="140" t="str">
        <f t="shared" si="444"/>
        <v>Perrons</v>
      </c>
      <c r="I1192" s="64" t="s">
        <v>1396</v>
      </c>
      <c r="J1192" s="64" t="s">
        <v>1255</v>
      </c>
      <c r="K1192" s="141" t="str">
        <f t="shared" si="445"/>
        <v>Volledig</v>
      </c>
      <c r="L1192" s="141" t="str">
        <f t="shared" si="446"/>
        <v>naloop</v>
      </c>
      <c r="M1192" s="141" t="str">
        <f t="shared" si="447"/>
        <v>naloop</v>
      </c>
      <c r="N1192" s="141" t="str">
        <f t="shared" si="448"/>
        <v>Volledig</v>
      </c>
      <c r="O1192" s="141" t="str">
        <f t="shared" si="449"/>
        <v>naloop</v>
      </c>
      <c r="P1192" s="141" t="str">
        <f t="shared" si="450"/>
        <v>naloop</v>
      </c>
      <c r="Q1192" s="141" t="str">
        <f t="shared" si="451"/>
        <v>naloop</v>
      </c>
      <c r="R1192" s="64" t="s">
        <v>1208</v>
      </c>
      <c r="S1192" s="142">
        <f t="shared" si="459"/>
        <v>365</v>
      </c>
      <c r="T1192" s="157">
        <v>358</v>
      </c>
      <c r="U1192" s="158"/>
      <c r="V1192" s="158"/>
      <c r="W1192" s="158"/>
      <c r="X1192" s="158"/>
      <c r="Y1192" s="158"/>
      <c r="Z1192" s="159"/>
      <c r="AA1192" s="159"/>
      <c r="AB1192" s="159"/>
      <c r="AC1192" s="159"/>
      <c r="AD1192" s="160"/>
      <c r="AE1192" s="171">
        <v>1</v>
      </c>
      <c r="AF1192" s="162">
        <f t="shared" si="455"/>
        <v>0</v>
      </c>
      <c r="AG1192" s="162">
        <f t="shared" si="456"/>
        <v>0</v>
      </c>
      <c r="AH1192" s="162">
        <f t="shared" si="457"/>
        <v>0</v>
      </c>
      <c r="AI1192" s="162">
        <f t="shared" si="458"/>
        <v>0</v>
      </c>
      <c r="AJ1192" s="148" t="str">
        <f t="shared" si="452"/>
        <v>ja</v>
      </c>
      <c r="AK1192" s="161">
        <f t="shared" si="460"/>
        <v>0</v>
      </c>
      <c r="AL1192" s="161">
        <f t="shared" si="461"/>
        <v>0</v>
      </c>
      <c r="AM1192" s="161">
        <f t="shared" si="462"/>
        <v>0</v>
      </c>
      <c r="AN1192" s="161">
        <f t="shared" si="463"/>
        <v>0</v>
      </c>
      <c r="AO1192" s="150" t="str">
        <f t="shared" si="453"/>
        <v>V</v>
      </c>
      <c r="AQ1192" s="151">
        <f t="shared" si="454"/>
        <v>130670</v>
      </c>
    </row>
    <row r="1193" spans="1:43" ht="15" customHeight="1">
      <c r="A1193" s="82" t="e">
        <f t="shared" si="464"/>
        <v>#REF!</v>
      </c>
      <c r="B1193" s="152">
        <v>305</v>
      </c>
      <c r="C1193" s="153" t="s">
        <v>1337</v>
      </c>
      <c r="D1193" s="154" t="s">
        <v>1331</v>
      </c>
      <c r="E1193" s="155"/>
      <c r="F1193" s="64" t="s">
        <v>1397</v>
      </c>
      <c r="G1193" s="156" t="s">
        <v>1405</v>
      </c>
      <c r="H1193" s="140" t="str">
        <f t="shared" si="444"/>
        <v>Perrons</v>
      </c>
      <c r="I1193" s="64" t="s">
        <v>18</v>
      </c>
      <c r="J1193" s="64" t="s">
        <v>1255</v>
      </c>
      <c r="K1193" s="141" t="str">
        <f t="shared" si="445"/>
        <v>Volledig</v>
      </c>
      <c r="L1193" s="141" t="str">
        <f t="shared" si="446"/>
        <v>naloop</v>
      </c>
      <c r="M1193" s="141" t="str">
        <f t="shared" si="447"/>
        <v>naloop</v>
      </c>
      <c r="N1193" s="141" t="str">
        <f t="shared" si="448"/>
        <v>Volledig</v>
      </c>
      <c r="O1193" s="141" t="str">
        <f t="shared" si="449"/>
        <v>naloop</v>
      </c>
      <c r="P1193" s="141" t="str">
        <f t="shared" si="450"/>
        <v>naloop</v>
      </c>
      <c r="Q1193" s="141" t="str">
        <f t="shared" si="451"/>
        <v>naloop</v>
      </c>
      <c r="R1193" s="64" t="s">
        <v>1208</v>
      </c>
      <c r="S1193" s="142">
        <f t="shared" si="459"/>
        <v>365</v>
      </c>
      <c r="T1193" s="157">
        <v>204</v>
      </c>
      <c r="U1193" s="158"/>
      <c r="V1193" s="158"/>
      <c r="W1193" s="158"/>
      <c r="X1193" s="158"/>
      <c r="Y1193" s="158"/>
      <c r="Z1193" s="159"/>
      <c r="AA1193" s="159"/>
      <c r="AB1193" s="159"/>
      <c r="AC1193" s="159"/>
      <c r="AD1193" s="160"/>
      <c r="AE1193" s="171">
        <v>1</v>
      </c>
      <c r="AF1193" s="162">
        <f t="shared" si="455"/>
        <v>0</v>
      </c>
      <c r="AG1193" s="162">
        <f t="shared" si="456"/>
        <v>0</v>
      </c>
      <c r="AH1193" s="162">
        <f t="shared" si="457"/>
        <v>0</v>
      </c>
      <c r="AI1193" s="162">
        <f t="shared" si="458"/>
        <v>0</v>
      </c>
      <c r="AJ1193" s="148" t="str">
        <f t="shared" si="452"/>
        <v>ja</v>
      </c>
      <c r="AK1193" s="161">
        <f t="shared" si="460"/>
        <v>0</v>
      </c>
      <c r="AL1193" s="161">
        <f t="shared" si="461"/>
        <v>0</v>
      </c>
      <c r="AM1193" s="161">
        <f t="shared" si="462"/>
        <v>0</v>
      </c>
      <c r="AN1193" s="161">
        <f t="shared" si="463"/>
        <v>0</v>
      </c>
      <c r="AO1193" s="150" t="str">
        <f t="shared" si="453"/>
        <v>V</v>
      </c>
      <c r="AQ1193" s="151">
        <f t="shared" si="454"/>
        <v>74460</v>
      </c>
    </row>
    <row r="1194" spans="1:43" ht="15" customHeight="1">
      <c r="A1194" s="82" t="e">
        <f t="shared" si="464"/>
        <v>#REF!</v>
      </c>
      <c r="B1194" s="152">
        <v>305</v>
      </c>
      <c r="C1194" s="153" t="s">
        <v>1337</v>
      </c>
      <c r="D1194" s="154" t="s">
        <v>1331</v>
      </c>
      <c r="E1194" s="155"/>
      <c r="F1194" s="64" t="s">
        <v>1406</v>
      </c>
      <c r="G1194" s="156"/>
      <c r="H1194" s="140" t="str">
        <f t="shared" si="444"/>
        <v>Bestrating</v>
      </c>
      <c r="I1194" s="64" t="s">
        <v>1254</v>
      </c>
      <c r="J1194" s="64" t="s">
        <v>1255</v>
      </c>
      <c r="K1194" s="141" t="str">
        <f t="shared" si="445"/>
        <v>Volledig</v>
      </c>
      <c r="L1194" s="141" t="str">
        <f t="shared" si="446"/>
        <v>naloop</v>
      </c>
      <c r="M1194" s="141" t="str">
        <f t="shared" si="447"/>
        <v>naloop</v>
      </c>
      <c r="N1194" s="141" t="str">
        <f t="shared" si="448"/>
        <v>Volledig</v>
      </c>
      <c r="O1194" s="141" t="str">
        <f t="shared" si="449"/>
        <v>naloop</v>
      </c>
      <c r="P1194" s="141" t="str">
        <f t="shared" si="450"/>
        <v>naloop</v>
      </c>
      <c r="Q1194" s="141" t="str">
        <f t="shared" si="451"/>
        <v>naloop</v>
      </c>
      <c r="R1194" s="64" t="s">
        <v>1271</v>
      </c>
      <c r="S1194" s="142">
        <f t="shared" si="459"/>
        <v>365</v>
      </c>
      <c r="T1194" s="157">
        <v>146</v>
      </c>
      <c r="U1194" s="158" t="s">
        <v>1407</v>
      </c>
      <c r="V1194" s="158"/>
      <c r="W1194" s="158"/>
      <c r="X1194" s="158"/>
      <c r="Y1194" s="158"/>
      <c r="Z1194" s="159"/>
      <c r="AA1194" s="159"/>
      <c r="AB1194" s="159"/>
      <c r="AC1194" s="159"/>
      <c r="AD1194" s="160"/>
      <c r="AE1194" s="171">
        <v>1</v>
      </c>
      <c r="AF1194" s="162">
        <f t="shared" si="455"/>
        <v>0</v>
      </c>
      <c r="AG1194" s="162">
        <f t="shared" si="456"/>
        <v>0</v>
      </c>
      <c r="AH1194" s="162">
        <f t="shared" si="457"/>
        <v>0</v>
      </c>
      <c r="AI1194" s="162">
        <f t="shared" si="458"/>
        <v>0</v>
      </c>
      <c r="AJ1194" s="148" t="str">
        <f t="shared" si="452"/>
        <v>ja</v>
      </c>
      <c r="AK1194" s="161">
        <f t="shared" si="460"/>
        <v>0</v>
      </c>
      <c r="AL1194" s="161">
        <f t="shared" si="461"/>
        <v>0</v>
      </c>
      <c r="AM1194" s="161">
        <f t="shared" si="462"/>
        <v>0</v>
      </c>
      <c r="AN1194" s="161">
        <f t="shared" si="463"/>
        <v>0</v>
      </c>
      <c r="AO1194" s="150" t="str">
        <f t="shared" si="453"/>
        <v>V</v>
      </c>
      <c r="AQ1194" s="151">
        <f t="shared" si="454"/>
        <v>53290</v>
      </c>
    </row>
    <row r="1195" spans="1:43" ht="15" customHeight="1">
      <c r="A1195" s="82" t="e">
        <f t="shared" si="464"/>
        <v>#REF!</v>
      </c>
      <c r="B1195" s="152">
        <v>305</v>
      </c>
      <c r="C1195" s="153" t="s">
        <v>1337</v>
      </c>
      <c r="D1195" s="154" t="s">
        <v>1331</v>
      </c>
      <c r="E1195" s="155"/>
      <c r="F1195" s="64" t="s">
        <v>1351</v>
      </c>
      <c r="G1195" s="156" t="s">
        <v>1408</v>
      </c>
      <c r="H1195" s="140" t="str">
        <f t="shared" si="444"/>
        <v>Trappen</v>
      </c>
      <c r="I1195" s="64" t="s">
        <v>118</v>
      </c>
      <c r="J1195" s="64" t="s">
        <v>1255</v>
      </c>
      <c r="K1195" s="141" t="str">
        <f t="shared" si="445"/>
        <v>Volledig</v>
      </c>
      <c r="L1195" s="141" t="str">
        <f t="shared" si="446"/>
        <v>naloop</v>
      </c>
      <c r="M1195" s="141" t="str">
        <f t="shared" si="447"/>
        <v>naloop</v>
      </c>
      <c r="N1195" s="141" t="str">
        <f t="shared" si="448"/>
        <v>Volledig</v>
      </c>
      <c r="O1195" s="141" t="str">
        <f t="shared" si="449"/>
        <v>naloop</v>
      </c>
      <c r="P1195" s="141" t="str">
        <f t="shared" si="450"/>
        <v>naloop</v>
      </c>
      <c r="Q1195" s="141" t="str">
        <f t="shared" si="451"/>
        <v>naloop</v>
      </c>
      <c r="R1195" s="64" t="s">
        <v>1214</v>
      </c>
      <c r="S1195" s="142">
        <f t="shared" si="459"/>
        <v>365</v>
      </c>
      <c r="T1195" s="157">
        <v>51</v>
      </c>
      <c r="U1195" s="158" t="s">
        <v>1407</v>
      </c>
      <c r="V1195" s="158"/>
      <c r="W1195" s="158"/>
      <c r="X1195" s="158"/>
      <c r="Y1195" s="158"/>
      <c r="Z1195" s="159"/>
      <c r="AA1195" s="159"/>
      <c r="AB1195" s="159"/>
      <c r="AC1195" s="159"/>
      <c r="AD1195" s="160"/>
      <c r="AE1195" s="171">
        <v>1</v>
      </c>
      <c r="AF1195" s="162">
        <f t="shared" si="455"/>
        <v>0</v>
      </c>
      <c r="AG1195" s="162">
        <f t="shared" si="456"/>
        <v>0</v>
      </c>
      <c r="AH1195" s="162">
        <f t="shared" si="457"/>
        <v>0</v>
      </c>
      <c r="AI1195" s="162">
        <f t="shared" si="458"/>
        <v>0</v>
      </c>
      <c r="AJ1195" s="148" t="str">
        <f t="shared" si="452"/>
        <v>ja</v>
      </c>
      <c r="AK1195" s="161">
        <f t="shared" si="460"/>
        <v>0</v>
      </c>
      <c r="AL1195" s="161">
        <f t="shared" si="461"/>
        <v>0</v>
      </c>
      <c r="AM1195" s="161">
        <f t="shared" si="462"/>
        <v>0</v>
      </c>
      <c r="AN1195" s="161">
        <f t="shared" si="463"/>
        <v>0</v>
      </c>
      <c r="AO1195" s="150" t="str">
        <f t="shared" si="453"/>
        <v>V</v>
      </c>
      <c r="AQ1195" s="151">
        <f t="shared" si="454"/>
        <v>18615</v>
      </c>
    </row>
    <row r="1196" spans="1:43" ht="15" customHeight="1">
      <c r="A1196" s="82" t="e">
        <f t="shared" si="464"/>
        <v>#REF!</v>
      </c>
      <c r="B1196" s="152">
        <v>305</v>
      </c>
      <c r="C1196" s="153" t="s">
        <v>1337</v>
      </c>
      <c r="D1196" s="154" t="s">
        <v>1331</v>
      </c>
      <c r="E1196" s="155"/>
      <c r="F1196" s="64" t="s">
        <v>1351</v>
      </c>
      <c r="G1196" s="156" t="s">
        <v>1409</v>
      </c>
      <c r="H1196" s="140" t="str">
        <f t="shared" si="444"/>
        <v>Trappen</v>
      </c>
      <c r="I1196" s="64" t="s">
        <v>118</v>
      </c>
      <c r="J1196" s="64" t="s">
        <v>1255</v>
      </c>
      <c r="K1196" s="141" t="str">
        <f t="shared" si="445"/>
        <v>Volledig</v>
      </c>
      <c r="L1196" s="141" t="str">
        <f t="shared" si="446"/>
        <v>naloop</v>
      </c>
      <c r="M1196" s="141" t="str">
        <f t="shared" si="447"/>
        <v>naloop</v>
      </c>
      <c r="N1196" s="141" t="str">
        <f t="shared" si="448"/>
        <v>Volledig</v>
      </c>
      <c r="O1196" s="141" t="str">
        <f t="shared" si="449"/>
        <v>naloop</v>
      </c>
      <c r="P1196" s="141" t="str">
        <f t="shared" si="450"/>
        <v>naloop</v>
      </c>
      <c r="Q1196" s="141" t="str">
        <f t="shared" si="451"/>
        <v>naloop</v>
      </c>
      <c r="R1196" s="64" t="s">
        <v>1214</v>
      </c>
      <c r="S1196" s="142">
        <f t="shared" si="459"/>
        <v>365</v>
      </c>
      <c r="T1196" s="157">
        <v>51</v>
      </c>
      <c r="U1196" s="158" t="s">
        <v>1407</v>
      </c>
      <c r="V1196" s="158"/>
      <c r="W1196" s="158"/>
      <c r="X1196" s="158"/>
      <c r="Y1196" s="158"/>
      <c r="Z1196" s="159"/>
      <c r="AA1196" s="159"/>
      <c r="AB1196" s="159"/>
      <c r="AC1196" s="159"/>
      <c r="AD1196" s="160"/>
      <c r="AE1196" s="171">
        <v>1</v>
      </c>
      <c r="AF1196" s="162">
        <f t="shared" si="455"/>
        <v>0</v>
      </c>
      <c r="AG1196" s="162">
        <f t="shared" si="456"/>
        <v>0</v>
      </c>
      <c r="AH1196" s="162">
        <f t="shared" si="457"/>
        <v>0</v>
      </c>
      <c r="AI1196" s="162">
        <f t="shared" si="458"/>
        <v>0</v>
      </c>
      <c r="AJ1196" s="148" t="str">
        <f t="shared" si="452"/>
        <v>ja</v>
      </c>
      <c r="AK1196" s="161">
        <f t="shared" si="460"/>
        <v>0</v>
      </c>
      <c r="AL1196" s="161">
        <f t="shared" si="461"/>
        <v>0</v>
      </c>
      <c r="AM1196" s="161">
        <f t="shared" si="462"/>
        <v>0</v>
      </c>
      <c r="AN1196" s="161">
        <f t="shared" si="463"/>
        <v>0</v>
      </c>
      <c r="AO1196" s="150" t="str">
        <f t="shared" si="453"/>
        <v>V</v>
      </c>
      <c r="AQ1196" s="151">
        <f t="shared" si="454"/>
        <v>18615</v>
      </c>
    </row>
    <row r="1197" spans="1:43" ht="15" customHeight="1">
      <c r="A1197" s="82" t="e">
        <f t="shared" si="464"/>
        <v>#REF!</v>
      </c>
      <c r="B1197" s="152">
        <v>305</v>
      </c>
      <c r="C1197" s="153" t="s">
        <v>1337</v>
      </c>
      <c r="D1197" s="154" t="s">
        <v>1331</v>
      </c>
      <c r="E1197" s="155"/>
      <c r="F1197" s="64" t="s">
        <v>1410</v>
      </c>
      <c r="G1197" s="156" t="s">
        <v>1411</v>
      </c>
      <c r="H1197" s="140" t="str">
        <f t="shared" ref="H1197:H1255" si="465">VLOOKUP(R1197,Kengetal,3,FALSE)</f>
        <v>Sanitair</v>
      </c>
      <c r="I1197" s="64" t="s">
        <v>124</v>
      </c>
      <c r="J1197" s="64" t="s">
        <v>1255</v>
      </c>
      <c r="K1197" s="141" t="str">
        <f t="shared" ref="K1197:K1255" si="466">IF($R1197="",0,VLOOKUP($R1197,Kengetal,14,FALSE))</f>
        <v>Volledig</v>
      </c>
      <c r="L1197" s="141" t="str">
        <f t="shared" ref="L1197:L1255" si="467">IF($R1197="",0,VLOOKUP($R1197,Kengetal,15,FALSE))</f>
        <v>naloop</v>
      </c>
      <c r="M1197" s="141" t="str">
        <f t="shared" ref="M1197:M1255" si="468">IF($R1197="",0,VLOOKUP($R1197,Kengetal,16,FALSE))</f>
        <v>naloop</v>
      </c>
      <c r="N1197" s="141" t="str">
        <f t="shared" ref="N1197:N1255" si="469">IF($R1197="",0,VLOOKUP($R1197,Kengetal,17,FALSE))</f>
        <v>Volledig</v>
      </c>
      <c r="O1197" s="141" t="str">
        <f t="shared" ref="O1197:O1255" si="470">IF($R1197="",0,VLOOKUP($R1197,Kengetal,18,FALSE))</f>
        <v>naloop</v>
      </c>
      <c r="P1197" s="141" t="str">
        <f t="shared" ref="P1197:P1255" si="471">IF($R1197="",0,VLOOKUP($R1197,Kengetal,19,FALSE))</f>
        <v>naloop</v>
      </c>
      <c r="Q1197" s="141" t="str">
        <f t="shared" ref="Q1197:Q1255" si="472">IF($R1197="",0,VLOOKUP($R1197,Kengetal,20,FALSE))</f>
        <v>naloop</v>
      </c>
      <c r="R1197" s="64" t="s">
        <v>1210</v>
      </c>
      <c r="S1197" s="142">
        <f t="shared" si="459"/>
        <v>365</v>
      </c>
      <c r="T1197" s="157">
        <v>1</v>
      </c>
      <c r="U1197" s="158"/>
      <c r="V1197" s="158"/>
      <c r="W1197" s="158"/>
      <c r="X1197" s="158">
        <v>22</v>
      </c>
      <c r="Y1197" s="158">
        <v>17</v>
      </c>
      <c r="Z1197" s="159"/>
      <c r="AA1197" s="159"/>
      <c r="AB1197" s="159"/>
      <c r="AC1197" s="159">
        <v>9</v>
      </c>
      <c r="AD1197" s="160"/>
      <c r="AE1197" s="171">
        <v>1</v>
      </c>
      <c r="AF1197" s="162">
        <f t="shared" si="455"/>
        <v>0</v>
      </c>
      <c r="AG1197" s="162">
        <f t="shared" si="456"/>
        <v>0</v>
      </c>
      <c r="AH1197" s="162">
        <f t="shared" si="457"/>
        <v>0</v>
      </c>
      <c r="AI1197" s="162">
        <f t="shared" si="458"/>
        <v>0</v>
      </c>
      <c r="AJ1197" s="148" t="str">
        <f t="shared" ref="AJ1197:AJ1255" si="473">IF($R1197="",0,VLOOKUP($R1197,Kengetal,12,FALSE))</f>
        <v>ja</v>
      </c>
      <c r="AK1197" s="161">
        <f t="shared" si="460"/>
        <v>0</v>
      </c>
      <c r="AL1197" s="161">
        <f t="shared" si="461"/>
        <v>0</v>
      </c>
      <c r="AM1197" s="161">
        <f t="shared" si="462"/>
        <v>0</v>
      </c>
      <c r="AN1197" s="161">
        <f t="shared" si="463"/>
        <v>0</v>
      </c>
      <c r="AO1197" s="150" t="str">
        <f t="shared" ref="AO1197:AO1255" si="474">IF($R1197="",0,VLOOKUP($R1197,Kengetal,13,FALSE))</f>
        <v>S</v>
      </c>
      <c r="AQ1197" s="151">
        <f t="shared" ref="AQ1197:AQ1255" si="475">T1197*S1197</f>
        <v>365</v>
      </c>
    </row>
    <row r="1198" spans="1:43" ht="15" customHeight="1">
      <c r="A1198" s="82" t="e">
        <f t="shared" si="464"/>
        <v>#REF!</v>
      </c>
      <c r="B1198" s="152">
        <v>305</v>
      </c>
      <c r="C1198" s="153" t="s">
        <v>1337</v>
      </c>
      <c r="D1198" s="154" t="s">
        <v>1331</v>
      </c>
      <c r="E1198" s="155"/>
      <c r="F1198" s="64" t="s">
        <v>1410</v>
      </c>
      <c r="G1198" s="156" t="s">
        <v>1411</v>
      </c>
      <c r="H1198" s="140" t="str">
        <f t="shared" si="465"/>
        <v>Kantoren/spreekkamers</v>
      </c>
      <c r="I1198" s="64" t="s">
        <v>124</v>
      </c>
      <c r="J1198" s="64" t="s">
        <v>1255</v>
      </c>
      <c r="K1198" s="141" t="str">
        <f t="shared" si="466"/>
        <v>Volledig</v>
      </c>
      <c r="L1198" s="141" t="str">
        <f t="shared" si="467"/>
        <v>naloop</v>
      </c>
      <c r="M1198" s="141" t="str">
        <f t="shared" si="468"/>
        <v>naloop</v>
      </c>
      <c r="N1198" s="141" t="str">
        <f t="shared" si="469"/>
        <v>Volledig</v>
      </c>
      <c r="O1198" s="141" t="str">
        <f t="shared" si="470"/>
        <v>naloop</v>
      </c>
      <c r="P1198" s="141" t="str">
        <f t="shared" si="471"/>
        <v>naloop</v>
      </c>
      <c r="Q1198" s="141" t="str">
        <f t="shared" si="472"/>
        <v>naloop</v>
      </c>
      <c r="R1198" s="64" t="s">
        <v>1219</v>
      </c>
      <c r="S1198" s="142">
        <f t="shared" si="459"/>
        <v>365</v>
      </c>
      <c r="T1198" s="157">
        <v>8</v>
      </c>
      <c r="U1198" s="158"/>
      <c r="V1198" s="158"/>
      <c r="W1198" s="158"/>
      <c r="X1198" s="158">
        <v>22</v>
      </c>
      <c r="Y1198" s="158">
        <v>17</v>
      </c>
      <c r="Z1198" s="159"/>
      <c r="AA1198" s="159"/>
      <c r="AB1198" s="159"/>
      <c r="AC1198" s="159">
        <v>9</v>
      </c>
      <c r="AD1198" s="160"/>
      <c r="AE1198" s="171">
        <v>1</v>
      </c>
      <c r="AF1198" s="162">
        <f t="shared" si="455"/>
        <v>0</v>
      </c>
      <c r="AG1198" s="162">
        <f t="shared" si="456"/>
        <v>0</v>
      </c>
      <c r="AH1198" s="162">
        <f t="shared" si="457"/>
        <v>0</v>
      </c>
      <c r="AI1198" s="162">
        <f t="shared" si="458"/>
        <v>0</v>
      </c>
      <c r="AJ1198" s="148" t="str">
        <f t="shared" si="473"/>
        <v>nee</v>
      </c>
      <c r="AK1198" s="161">
        <f t="shared" si="460"/>
        <v>0</v>
      </c>
      <c r="AL1198" s="161">
        <f t="shared" si="461"/>
        <v>0</v>
      </c>
      <c r="AM1198" s="161">
        <f t="shared" si="462"/>
        <v>0</v>
      </c>
      <c r="AN1198" s="161">
        <f t="shared" si="463"/>
        <v>0</v>
      </c>
      <c r="AO1198" s="150" t="str">
        <f t="shared" si="474"/>
        <v>B</v>
      </c>
      <c r="AQ1198" s="151">
        <f t="shared" si="475"/>
        <v>2920</v>
      </c>
    </row>
    <row r="1199" spans="1:43" ht="15" customHeight="1">
      <c r="A1199" s="82" t="e">
        <f t="shared" si="464"/>
        <v>#REF!</v>
      </c>
      <c r="B1199" s="152">
        <v>305</v>
      </c>
      <c r="C1199" s="153" t="s">
        <v>1337</v>
      </c>
      <c r="D1199" s="154" t="s">
        <v>1331</v>
      </c>
      <c r="E1199" s="155"/>
      <c r="F1199" s="64" t="s">
        <v>115</v>
      </c>
      <c r="G1199" s="156" t="s">
        <v>1412</v>
      </c>
      <c r="H1199" s="140" t="str">
        <f t="shared" si="465"/>
        <v>Niet van toepassing</v>
      </c>
      <c r="I1199" s="64" t="s">
        <v>195</v>
      </c>
      <c r="J1199" s="138" t="s">
        <v>1172</v>
      </c>
      <c r="K1199" s="141" t="str">
        <f t="shared" si="466"/>
        <v>NVT</v>
      </c>
      <c r="L1199" s="141" t="str">
        <f t="shared" si="467"/>
        <v>NVT</v>
      </c>
      <c r="M1199" s="141" t="str">
        <f t="shared" si="468"/>
        <v>NVT</v>
      </c>
      <c r="N1199" s="141" t="str">
        <f t="shared" si="469"/>
        <v>NVT</v>
      </c>
      <c r="O1199" s="141" t="str">
        <f t="shared" si="470"/>
        <v>NVT</v>
      </c>
      <c r="P1199" s="141" t="str">
        <f t="shared" si="471"/>
        <v>NVT</v>
      </c>
      <c r="Q1199" s="141" t="str">
        <f t="shared" si="472"/>
        <v>NVT</v>
      </c>
      <c r="R1199" s="63" t="s">
        <v>1221</v>
      </c>
      <c r="S1199" s="142">
        <f t="shared" si="459"/>
        <v>0</v>
      </c>
      <c r="T1199" s="157">
        <v>10</v>
      </c>
      <c r="U1199" s="158"/>
      <c r="V1199" s="158">
        <v>46</v>
      </c>
      <c r="W1199" s="158"/>
      <c r="X1199" s="158"/>
      <c r="Y1199" s="158"/>
      <c r="Z1199" s="159"/>
      <c r="AA1199" s="159"/>
      <c r="AB1199" s="159">
        <v>10</v>
      </c>
      <c r="AC1199" s="159"/>
      <c r="AD1199" s="160"/>
      <c r="AE1199" s="171">
        <v>1</v>
      </c>
      <c r="AF1199" s="162">
        <f t="shared" si="455"/>
        <v>0</v>
      </c>
      <c r="AG1199" s="162">
        <f t="shared" si="456"/>
        <v>0</v>
      </c>
      <c r="AH1199" s="162">
        <f t="shared" si="457"/>
        <v>0</v>
      </c>
      <c r="AI1199" s="162">
        <f t="shared" si="458"/>
        <v>0</v>
      </c>
      <c r="AJ1199" s="148">
        <f t="shared" si="473"/>
        <v>0</v>
      </c>
      <c r="AK1199" s="161">
        <f t="shared" si="460"/>
        <v>0</v>
      </c>
      <c r="AL1199" s="161">
        <f t="shared" si="461"/>
        <v>0</v>
      </c>
      <c r="AM1199" s="161">
        <f t="shared" si="462"/>
        <v>0</v>
      </c>
      <c r="AN1199" s="161">
        <f t="shared" si="463"/>
        <v>0</v>
      </c>
      <c r="AO1199" s="150">
        <f t="shared" si="474"/>
        <v>0</v>
      </c>
      <c r="AQ1199" s="151">
        <f t="shared" si="475"/>
        <v>0</v>
      </c>
    </row>
    <row r="1200" spans="1:43" ht="15" customHeight="1">
      <c r="A1200" s="82" t="e">
        <f t="shared" si="464"/>
        <v>#REF!</v>
      </c>
      <c r="B1200" s="152">
        <v>305</v>
      </c>
      <c r="C1200" s="153" t="s">
        <v>1337</v>
      </c>
      <c r="D1200" s="154" t="s">
        <v>1331</v>
      </c>
      <c r="E1200" s="155"/>
      <c r="F1200" s="64" t="s">
        <v>37</v>
      </c>
      <c r="G1200" s="156" t="s">
        <v>1413</v>
      </c>
      <c r="H1200" s="140" t="str">
        <f t="shared" si="465"/>
        <v>Gangen</v>
      </c>
      <c r="I1200" s="64" t="s">
        <v>195</v>
      </c>
      <c r="J1200" s="64" t="s">
        <v>1255</v>
      </c>
      <c r="K1200" s="141" t="str">
        <f t="shared" si="466"/>
        <v>Volledig</v>
      </c>
      <c r="L1200" s="141" t="str">
        <f t="shared" si="467"/>
        <v>naloop</v>
      </c>
      <c r="M1200" s="141" t="str">
        <f t="shared" si="468"/>
        <v>naloop</v>
      </c>
      <c r="N1200" s="141" t="str">
        <f t="shared" si="469"/>
        <v>Volledig</v>
      </c>
      <c r="O1200" s="141" t="str">
        <f t="shared" si="470"/>
        <v>naloop</v>
      </c>
      <c r="P1200" s="141" t="str">
        <f t="shared" si="471"/>
        <v>naloop</v>
      </c>
      <c r="Q1200" s="141" t="str">
        <f t="shared" si="472"/>
        <v>naloop</v>
      </c>
      <c r="R1200" s="64" t="s">
        <v>1222</v>
      </c>
      <c r="S1200" s="142">
        <f t="shared" si="459"/>
        <v>365</v>
      </c>
      <c r="T1200" s="157">
        <v>6</v>
      </c>
      <c r="U1200" s="158"/>
      <c r="V1200" s="158">
        <v>34</v>
      </c>
      <c r="W1200" s="158"/>
      <c r="X1200" s="158"/>
      <c r="Y1200" s="158"/>
      <c r="Z1200" s="159"/>
      <c r="AA1200" s="159"/>
      <c r="AB1200" s="159">
        <v>6</v>
      </c>
      <c r="AC1200" s="159"/>
      <c r="AD1200" s="160"/>
      <c r="AE1200" s="171">
        <v>1</v>
      </c>
      <c r="AF1200" s="162">
        <f t="shared" si="455"/>
        <v>0</v>
      </c>
      <c r="AG1200" s="162">
        <f t="shared" si="456"/>
        <v>0</v>
      </c>
      <c r="AH1200" s="162">
        <f t="shared" si="457"/>
        <v>0</v>
      </c>
      <c r="AI1200" s="162">
        <f t="shared" si="458"/>
        <v>0</v>
      </c>
      <c r="AJ1200" s="148" t="str">
        <f t="shared" si="473"/>
        <v>ja</v>
      </c>
      <c r="AK1200" s="161">
        <f t="shared" si="460"/>
        <v>0</v>
      </c>
      <c r="AL1200" s="161">
        <f t="shared" si="461"/>
        <v>0</v>
      </c>
      <c r="AM1200" s="161">
        <f t="shared" si="462"/>
        <v>0</v>
      </c>
      <c r="AN1200" s="161">
        <f t="shared" si="463"/>
        <v>0</v>
      </c>
      <c r="AO1200" s="150" t="str">
        <f t="shared" si="474"/>
        <v>V</v>
      </c>
      <c r="AQ1200" s="151">
        <f t="shared" si="475"/>
        <v>2190</v>
      </c>
    </row>
    <row r="1201" spans="1:43" ht="15" customHeight="1">
      <c r="A1201" s="82" t="e">
        <f t="shared" si="464"/>
        <v>#REF!</v>
      </c>
      <c r="B1201" s="152">
        <v>305</v>
      </c>
      <c r="C1201" s="153" t="s">
        <v>1337</v>
      </c>
      <c r="D1201" s="154" t="s">
        <v>1331</v>
      </c>
      <c r="E1201" s="155"/>
      <c r="F1201" s="64" t="s">
        <v>120</v>
      </c>
      <c r="G1201" s="156" t="s">
        <v>1414</v>
      </c>
      <c r="H1201" s="140" t="str">
        <f t="shared" si="465"/>
        <v>Niet van toepassing</v>
      </c>
      <c r="I1201" s="64" t="s">
        <v>195</v>
      </c>
      <c r="J1201" s="138" t="s">
        <v>1172</v>
      </c>
      <c r="K1201" s="141" t="str">
        <f t="shared" si="466"/>
        <v>NVT</v>
      </c>
      <c r="L1201" s="141" t="str">
        <f t="shared" si="467"/>
        <v>NVT</v>
      </c>
      <c r="M1201" s="141" t="str">
        <f t="shared" si="468"/>
        <v>NVT</v>
      </c>
      <c r="N1201" s="141" t="str">
        <f t="shared" si="469"/>
        <v>NVT</v>
      </c>
      <c r="O1201" s="141" t="str">
        <f t="shared" si="470"/>
        <v>NVT</v>
      </c>
      <c r="P1201" s="141" t="str">
        <f t="shared" si="471"/>
        <v>NVT</v>
      </c>
      <c r="Q1201" s="141" t="str">
        <f t="shared" si="472"/>
        <v>NVT</v>
      </c>
      <c r="R1201" s="63" t="s">
        <v>1221</v>
      </c>
      <c r="S1201" s="142">
        <f t="shared" si="459"/>
        <v>0</v>
      </c>
      <c r="T1201" s="157">
        <v>11</v>
      </c>
      <c r="U1201" s="158"/>
      <c r="V1201" s="158">
        <v>50</v>
      </c>
      <c r="W1201" s="158"/>
      <c r="X1201" s="158"/>
      <c r="Y1201" s="158"/>
      <c r="Z1201" s="159"/>
      <c r="AA1201" s="159"/>
      <c r="AB1201" s="159">
        <v>11</v>
      </c>
      <c r="AC1201" s="159"/>
      <c r="AD1201" s="160"/>
      <c r="AE1201" s="171">
        <v>1</v>
      </c>
      <c r="AF1201" s="162">
        <f t="shared" si="455"/>
        <v>0</v>
      </c>
      <c r="AG1201" s="162">
        <f t="shared" si="456"/>
        <v>0</v>
      </c>
      <c r="AH1201" s="162">
        <f t="shared" si="457"/>
        <v>0</v>
      </c>
      <c r="AI1201" s="162">
        <f t="shared" si="458"/>
        <v>0</v>
      </c>
      <c r="AJ1201" s="148">
        <f t="shared" si="473"/>
        <v>0</v>
      </c>
      <c r="AK1201" s="161">
        <f t="shared" si="460"/>
        <v>0</v>
      </c>
      <c r="AL1201" s="161">
        <f t="shared" si="461"/>
        <v>0</v>
      </c>
      <c r="AM1201" s="161">
        <f t="shared" si="462"/>
        <v>0</v>
      </c>
      <c r="AN1201" s="161">
        <f t="shared" si="463"/>
        <v>0</v>
      </c>
      <c r="AO1201" s="150">
        <f t="shared" si="474"/>
        <v>0</v>
      </c>
      <c r="AQ1201" s="151">
        <f t="shared" si="475"/>
        <v>0</v>
      </c>
    </row>
    <row r="1202" spans="1:43" ht="15" customHeight="1">
      <c r="A1202" s="82" t="e">
        <f t="shared" si="464"/>
        <v>#REF!</v>
      </c>
      <c r="B1202" s="152">
        <v>305</v>
      </c>
      <c r="C1202" s="153" t="s">
        <v>1337</v>
      </c>
      <c r="D1202" s="154" t="s">
        <v>1331</v>
      </c>
      <c r="E1202" s="155"/>
      <c r="F1202" s="64" t="s">
        <v>122</v>
      </c>
      <c r="G1202" s="156" t="s">
        <v>1415</v>
      </c>
      <c r="H1202" s="140" t="str">
        <f t="shared" si="465"/>
        <v>Niet van toepassing</v>
      </c>
      <c r="I1202" s="64" t="s">
        <v>195</v>
      </c>
      <c r="J1202" s="64" t="s">
        <v>1172</v>
      </c>
      <c r="K1202" s="141" t="str">
        <f t="shared" si="466"/>
        <v>NVT</v>
      </c>
      <c r="L1202" s="141" t="str">
        <f t="shared" si="467"/>
        <v>NVT</v>
      </c>
      <c r="M1202" s="141" t="str">
        <f t="shared" si="468"/>
        <v>NVT</v>
      </c>
      <c r="N1202" s="141" t="str">
        <f t="shared" si="469"/>
        <v>NVT</v>
      </c>
      <c r="O1202" s="141" t="str">
        <f t="shared" si="470"/>
        <v>NVT</v>
      </c>
      <c r="P1202" s="141" t="str">
        <f t="shared" si="471"/>
        <v>NVT</v>
      </c>
      <c r="Q1202" s="141" t="str">
        <f t="shared" si="472"/>
        <v>NVT</v>
      </c>
      <c r="R1202" s="64" t="s">
        <v>1221</v>
      </c>
      <c r="S1202" s="142">
        <f t="shared" si="459"/>
        <v>0</v>
      </c>
      <c r="T1202" s="157">
        <v>5</v>
      </c>
      <c r="U1202" s="158">
        <v>2</v>
      </c>
      <c r="V1202" s="158">
        <v>34</v>
      </c>
      <c r="W1202" s="158"/>
      <c r="X1202" s="158"/>
      <c r="Y1202" s="158"/>
      <c r="Z1202" s="159"/>
      <c r="AA1202" s="159"/>
      <c r="AB1202" s="159">
        <v>5</v>
      </c>
      <c r="AC1202" s="159"/>
      <c r="AD1202" s="160"/>
      <c r="AE1202" s="171">
        <v>1</v>
      </c>
      <c r="AF1202" s="162">
        <f t="shared" ref="AF1202:AF1260" si="476">T1202*AK1202*AE1202</f>
        <v>0</v>
      </c>
      <c r="AG1202" s="162">
        <f t="shared" ref="AG1202:AG1260" si="477">T1202*AL1202*AE1202</f>
        <v>0</v>
      </c>
      <c r="AH1202" s="162">
        <f t="shared" ref="AH1202:AH1260" si="478">T1202*AM1202*AE1202</f>
        <v>0</v>
      </c>
      <c r="AI1202" s="162">
        <f t="shared" ref="AI1202:AI1260" si="479">T1202*AN1202*AE1202</f>
        <v>0</v>
      </c>
      <c r="AJ1202" s="148">
        <f t="shared" si="473"/>
        <v>0</v>
      </c>
      <c r="AK1202" s="161">
        <f t="shared" si="460"/>
        <v>0</v>
      </c>
      <c r="AL1202" s="161">
        <f t="shared" si="461"/>
        <v>0</v>
      </c>
      <c r="AM1202" s="161">
        <f t="shared" si="462"/>
        <v>0</v>
      </c>
      <c r="AN1202" s="161">
        <f t="shared" si="463"/>
        <v>0</v>
      </c>
      <c r="AO1202" s="150">
        <f t="shared" si="474"/>
        <v>0</v>
      </c>
      <c r="AQ1202" s="151">
        <f t="shared" si="475"/>
        <v>0</v>
      </c>
    </row>
    <row r="1203" spans="1:43" ht="15" customHeight="1">
      <c r="A1203" s="82" t="e">
        <f t="shared" si="464"/>
        <v>#REF!</v>
      </c>
      <c r="B1203" s="152">
        <v>305</v>
      </c>
      <c r="C1203" s="153" t="s">
        <v>1337</v>
      </c>
      <c r="D1203" s="154" t="s">
        <v>1331</v>
      </c>
      <c r="E1203" s="155"/>
      <c r="F1203" s="64" t="s">
        <v>1416</v>
      </c>
      <c r="G1203" s="156" t="s">
        <v>1417</v>
      </c>
      <c r="H1203" s="140" t="str">
        <f t="shared" si="465"/>
        <v>Niet van toepassing</v>
      </c>
      <c r="I1203" s="64" t="s">
        <v>195</v>
      </c>
      <c r="J1203" s="138" t="s">
        <v>1172</v>
      </c>
      <c r="K1203" s="141" t="str">
        <f t="shared" si="466"/>
        <v>NVT</v>
      </c>
      <c r="L1203" s="141" t="str">
        <f t="shared" si="467"/>
        <v>NVT</v>
      </c>
      <c r="M1203" s="141" t="str">
        <f t="shared" si="468"/>
        <v>NVT</v>
      </c>
      <c r="N1203" s="141" t="str">
        <f t="shared" si="469"/>
        <v>NVT</v>
      </c>
      <c r="O1203" s="141" t="str">
        <f t="shared" si="470"/>
        <v>NVT</v>
      </c>
      <c r="P1203" s="141" t="str">
        <f t="shared" si="471"/>
        <v>NVT</v>
      </c>
      <c r="Q1203" s="141" t="str">
        <f t="shared" si="472"/>
        <v>NVT</v>
      </c>
      <c r="R1203" s="63" t="s">
        <v>1221</v>
      </c>
      <c r="S1203" s="142">
        <f t="shared" si="459"/>
        <v>0</v>
      </c>
      <c r="T1203" s="157">
        <v>2</v>
      </c>
      <c r="U1203" s="158"/>
      <c r="V1203" s="158">
        <v>16</v>
      </c>
      <c r="W1203" s="158"/>
      <c r="X1203" s="158"/>
      <c r="Y1203" s="158"/>
      <c r="Z1203" s="159"/>
      <c r="AA1203" s="159"/>
      <c r="AB1203" s="159">
        <v>2</v>
      </c>
      <c r="AC1203" s="159"/>
      <c r="AD1203" s="160"/>
      <c r="AE1203" s="171">
        <v>1</v>
      </c>
      <c r="AF1203" s="162">
        <f t="shared" si="476"/>
        <v>0</v>
      </c>
      <c r="AG1203" s="162">
        <f t="shared" si="477"/>
        <v>0</v>
      </c>
      <c r="AH1203" s="162">
        <f t="shared" si="478"/>
        <v>0</v>
      </c>
      <c r="AI1203" s="162">
        <f t="shared" si="479"/>
        <v>0</v>
      </c>
      <c r="AJ1203" s="148">
        <f t="shared" si="473"/>
        <v>0</v>
      </c>
      <c r="AK1203" s="161">
        <f t="shared" si="460"/>
        <v>0</v>
      </c>
      <c r="AL1203" s="161">
        <f t="shared" si="461"/>
        <v>0</v>
      </c>
      <c r="AM1203" s="161">
        <f t="shared" si="462"/>
        <v>0</v>
      </c>
      <c r="AN1203" s="161">
        <f t="shared" si="463"/>
        <v>0</v>
      </c>
      <c r="AO1203" s="150">
        <f t="shared" si="474"/>
        <v>0</v>
      </c>
      <c r="AQ1203" s="151">
        <f t="shared" si="475"/>
        <v>0</v>
      </c>
    </row>
    <row r="1204" spans="1:43" ht="15" customHeight="1">
      <c r="A1204" s="82" t="e">
        <f t="shared" si="464"/>
        <v>#REF!</v>
      </c>
      <c r="B1204" s="152">
        <v>305</v>
      </c>
      <c r="C1204" s="153" t="s">
        <v>1337</v>
      </c>
      <c r="D1204" s="154" t="s">
        <v>1331</v>
      </c>
      <c r="E1204" s="155"/>
      <c r="F1204" s="64" t="s">
        <v>1377</v>
      </c>
      <c r="G1204" s="156"/>
      <c r="H1204" s="140" t="str">
        <f t="shared" si="465"/>
        <v>Liften</v>
      </c>
      <c r="I1204" s="64" t="s">
        <v>1109</v>
      </c>
      <c r="J1204" s="64" t="s">
        <v>1255</v>
      </c>
      <c r="K1204" s="141" t="str">
        <f t="shared" si="466"/>
        <v>Volledig</v>
      </c>
      <c r="L1204" s="141" t="str">
        <f t="shared" si="467"/>
        <v>naloop</v>
      </c>
      <c r="M1204" s="141" t="str">
        <f t="shared" si="468"/>
        <v>naloop</v>
      </c>
      <c r="N1204" s="141" t="str">
        <f t="shared" si="469"/>
        <v>Volledig</v>
      </c>
      <c r="O1204" s="141" t="str">
        <f t="shared" si="470"/>
        <v>naloop</v>
      </c>
      <c r="P1204" s="141" t="str">
        <f t="shared" si="471"/>
        <v>naloop</v>
      </c>
      <c r="Q1204" s="141" t="str">
        <f t="shared" si="472"/>
        <v>naloop</v>
      </c>
      <c r="R1204" s="64" t="s">
        <v>1212</v>
      </c>
      <c r="S1204" s="142">
        <f t="shared" si="459"/>
        <v>365</v>
      </c>
      <c r="T1204" s="157">
        <v>5</v>
      </c>
      <c r="U1204" s="158"/>
      <c r="V1204" s="158"/>
      <c r="W1204" s="158"/>
      <c r="X1204" s="158"/>
      <c r="Y1204" s="158"/>
      <c r="Z1204" s="159"/>
      <c r="AA1204" s="159"/>
      <c r="AB1204" s="159"/>
      <c r="AC1204" s="159"/>
      <c r="AD1204" s="160"/>
      <c r="AE1204" s="171">
        <v>1</v>
      </c>
      <c r="AF1204" s="162">
        <f t="shared" si="476"/>
        <v>0</v>
      </c>
      <c r="AG1204" s="162">
        <f t="shared" si="477"/>
        <v>0</v>
      </c>
      <c r="AH1204" s="162">
        <f t="shared" si="478"/>
        <v>0</v>
      </c>
      <c r="AI1204" s="162">
        <f t="shared" si="479"/>
        <v>0</v>
      </c>
      <c r="AJ1204" s="148" t="str">
        <f t="shared" si="473"/>
        <v>ja</v>
      </c>
      <c r="AK1204" s="161">
        <f>IF($R1204="",0,VLOOKUP($R1204,Kengetal,5,FALSE))</f>
        <v>0</v>
      </c>
      <c r="AL1204" s="161">
        <f>IF($R1204="",0,VLOOKUP($R1204,Kengetal,6,FALSE))</f>
        <v>0</v>
      </c>
      <c r="AM1204" s="161">
        <f>IF($R1204="",0,VLOOKUP($R1204,Kengetal,7,FALSE))</f>
        <v>0</v>
      </c>
      <c r="AN1204" s="161">
        <f>IF($R1204="",0,VLOOKUP($R1204,Kengetal,8,FALSE))</f>
        <v>0</v>
      </c>
      <c r="AO1204" s="150" t="str">
        <f t="shared" si="474"/>
        <v>V</v>
      </c>
      <c r="AQ1204" s="151">
        <f t="shared" si="475"/>
        <v>1825</v>
      </c>
    </row>
    <row r="1205" spans="1:43" ht="15" customHeight="1">
      <c r="A1205" s="82" t="e">
        <f t="shared" si="464"/>
        <v>#REF!</v>
      </c>
      <c r="B1205" s="152">
        <v>305</v>
      </c>
      <c r="C1205" s="153" t="s">
        <v>1337</v>
      </c>
      <c r="D1205" s="154" t="s">
        <v>1331</v>
      </c>
      <c r="E1205" s="155"/>
      <c r="F1205" s="64" t="s">
        <v>1418</v>
      </c>
      <c r="G1205" s="156"/>
      <c r="H1205" s="140" t="str">
        <f t="shared" si="465"/>
        <v>Roltrappen(inclusief aangrenzende bouwdelen)</v>
      </c>
      <c r="I1205" s="64" t="s">
        <v>1251</v>
      </c>
      <c r="J1205" s="64" t="s">
        <v>1255</v>
      </c>
      <c r="K1205" s="141" t="str">
        <f t="shared" si="466"/>
        <v>Volledig</v>
      </c>
      <c r="L1205" s="141" t="str">
        <f t="shared" si="467"/>
        <v>naloop</v>
      </c>
      <c r="M1205" s="141" t="str">
        <f t="shared" si="468"/>
        <v>naloop</v>
      </c>
      <c r="N1205" s="141" t="str">
        <f t="shared" si="469"/>
        <v>Volledig</v>
      </c>
      <c r="O1205" s="141" t="str">
        <f t="shared" si="470"/>
        <v>naloop</v>
      </c>
      <c r="P1205" s="141" t="str">
        <f t="shared" si="471"/>
        <v>naloop</v>
      </c>
      <c r="Q1205" s="141" t="str">
        <f t="shared" si="472"/>
        <v>naloop</v>
      </c>
      <c r="R1205" s="64" t="s">
        <v>1217</v>
      </c>
      <c r="S1205" s="142">
        <f t="shared" si="459"/>
        <v>365</v>
      </c>
      <c r="T1205" s="157">
        <v>33</v>
      </c>
      <c r="U1205" s="158"/>
      <c r="V1205" s="158"/>
      <c r="W1205" s="158"/>
      <c r="X1205" s="158">
        <v>18</v>
      </c>
      <c r="Y1205" s="158"/>
      <c r="Z1205" s="159"/>
      <c r="AA1205" s="159"/>
      <c r="AB1205" s="159"/>
      <c r="AC1205" s="159"/>
      <c r="AD1205" s="160"/>
      <c r="AE1205" s="171">
        <v>1</v>
      </c>
      <c r="AF1205" s="162">
        <f t="shared" si="476"/>
        <v>0</v>
      </c>
      <c r="AG1205" s="162">
        <f t="shared" si="477"/>
        <v>0</v>
      </c>
      <c r="AH1205" s="162">
        <f t="shared" si="478"/>
        <v>0</v>
      </c>
      <c r="AI1205" s="162">
        <f t="shared" si="479"/>
        <v>0</v>
      </c>
      <c r="AJ1205" s="148" t="str">
        <f t="shared" si="473"/>
        <v>ja</v>
      </c>
      <c r="AK1205" s="161">
        <f t="shared" si="460"/>
        <v>0</v>
      </c>
      <c r="AL1205" s="161">
        <f t="shared" si="461"/>
        <v>0</v>
      </c>
      <c r="AM1205" s="161">
        <f t="shared" si="462"/>
        <v>0</v>
      </c>
      <c r="AN1205" s="161">
        <f t="shared" si="463"/>
        <v>0</v>
      </c>
      <c r="AO1205" s="150" t="str">
        <f t="shared" si="474"/>
        <v>V</v>
      </c>
      <c r="AQ1205" s="151">
        <f t="shared" si="475"/>
        <v>12045</v>
      </c>
    </row>
    <row r="1206" spans="1:43" ht="15" customHeight="1">
      <c r="A1206" s="82" t="e">
        <f t="shared" si="464"/>
        <v>#REF!</v>
      </c>
      <c r="B1206" s="152">
        <v>306</v>
      </c>
      <c r="C1206" s="153" t="s">
        <v>1338</v>
      </c>
      <c r="D1206" s="154" t="s">
        <v>1331</v>
      </c>
      <c r="E1206" s="155"/>
      <c r="F1206" s="64" t="s">
        <v>117</v>
      </c>
      <c r="G1206" s="156" t="s">
        <v>1405</v>
      </c>
      <c r="H1206" s="140" t="str">
        <f t="shared" si="465"/>
        <v>Perrons</v>
      </c>
      <c r="I1206" s="64" t="s">
        <v>1394</v>
      </c>
      <c r="J1206" s="64" t="s">
        <v>1255</v>
      </c>
      <c r="K1206" s="141" t="str">
        <f t="shared" si="466"/>
        <v>Volledig</v>
      </c>
      <c r="L1206" s="141" t="str">
        <f t="shared" si="467"/>
        <v>naloop</v>
      </c>
      <c r="M1206" s="141" t="str">
        <f t="shared" si="468"/>
        <v>naloop</v>
      </c>
      <c r="N1206" s="141" t="str">
        <f t="shared" si="469"/>
        <v>Volledig</v>
      </c>
      <c r="O1206" s="141" t="str">
        <f t="shared" si="470"/>
        <v>naloop</v>
      </c>
      <c r="P1206" s="141" t="str">
        <f t="shared" si="471"/>
        <v>naloop</v>
      </c>
      <c r="Q1206" s="141" t="str">
        <f t="shared" si="472"/>
        <v>naloop</v>
      </c>
      <c r="R1206" s="64" t="s">
        <v>1208</v>
      </c>
      <c r="S1206" s="142">
        <f t="shared" si="459"/>
        <v>365</v>
      </c>
      <c r="T1206" s="157">
        <v>975</v>
      </c>
      <c r="U1206" s="158"/>
      <c r="V1206" s="158"/>
      <c r="W1206" s="158"/>
      <c r="X1206" s="158"/>
      <c r="Y1206" s="158"/>
      <c r="Z1206" s="159"/>
      <c r="AA1206" s="159"/>
      <c r="AB1206" s="159"/>
      <c r="AC1206" s="159"/>
      <c r="AD1206" s="160"/>
      <c r="AE1206" s="171">
        <v>1</v>
      </c>
      <c r="AF1206" s="162">
        <f t="shared" si="476"/>
        <v>0</v>
      </c>
      <c r="AG1206" s="162">
        <f t="shared" si="477"/>
        <v>0</v>
      </c>
      <c r="AH1206" s="162">
        <f t="shared" si="478"/>
        <v>0</v>
      </c>
      <c r="AI1206" s="162">
        <f t="shared" si="479"/>
        <v>0</v>
      </c>
      <c r="AJ1206" s="148" t="str">
        <f t="shared" si="473"/>
        <v>ja</v>
      </c>
      <c r="AK1206" s="161">
        <f t="shared" si="460"/>
        <v>0</v>
      </c>
      <c r="AL1206" s="161">
        <f t="shared" si="461"/>
        <v>0</v>
      </c>
      <c r="AM1206" s="161">
        <f t="shared" si="462"/>
        <v>0</v>
      </c>
      <c r="AN1206" s="161">
        <f t="shared" si="463"/>
        <v>0</v>
      </c>
      <c r="AO1206" s="150" t="str">
        <f t="shared" si="474"/>
        <v>V</v>
      </c>
      <c r="AQ1206" s="151">
        <f t="shared" si="475"/>
        <v>355875</v>
      </c>
    </row>
    <row r="1207" spans="1:43" ht="15" customHeight="1">
      <c r="A1207" s="82" t="e">
        <f t="shared" si="464"/>
        <v>#REF!</v>
      </c>
      <c r="B1207" s="152">
        <v>306</v>
      </c>
      <c r="C1207" s="153" t="s">
        <v>1338</v>
      </c>
      <c r="D1207" s="154" t="s">
        <v>1331</v>
      </c>
      <c r="E1207" s="155"/>
      <c r="F1207" s="64" t="s">
        <v>1395</v>
      </c>
      <c r="G1207" s="156" t="s">
        <v>1405</v>
      </c>
      <c r="H1207" s="140" t="str">
        <f t="shared" si="465"/>
        <v>Perrons</v>
      </c>
      <c r="I1207" s="64" t="s">
        <v>1396</v>
      </c>
      <c r="J1207" s="64" t="s">
        <v>1255</v>
      </c>
      <c r="K1207" s="141" t="str">
        <f t="shared" si="466"/>
        <v>Volledig</v>
      </c>
      <c r="L1207" s="141" t="str">
        <f t="shared" si="467"/>
        <v>naloop</v>
      </c>
      <c r="M1207" s="141" t="str">
        <f t="shared" si="468"/>
        <v>naloop</v>
      </c>
      <c r="N1207" s="141" t="str">
        <f t="shared" si="469"/>
        <v>Volledig</v>
      </c>
      <c r="O1207" s="141" t="str">
        <f t="shared" si="470"/>
        <v>naloop</v>
      </c>
      <c r="P1207" s="141" t="str">
        <f t="shared" si="471"/>
        <v>naloop</v>
      </c>
      <c r="Q1207" s="141" t="str">
        <f t="shared" si="472"/>
        <v>naloop</v>
      </c>
      <c r="R1207" s="64" t="s">
        <v>1208</v>
      </c>
      <c r="S1207" s="142">
        <f t="shared" si="459"/>
        <v>365</v>
      </c>
      <c r="T1207" s="157">
        <v>347</v>
      </c>
      <c r="U1207" s="158"/>
      <c r="V1207" s="158"/>
      <c r="W1207" s="158"/>
      <c r="X1207" s="158"/>
      <c r="Y1207" s="158"/>
      <c r="Z1207" s="159"/>
      <c r="AA1207" s="159"/>
      <c r="AB1207" s="159"/>
      <c r="AC1207" s="159"/>
      <c r="AD1207" s="160"/>
      <c r="AE1207" s="171">
        <v>1</v>
      </c>
      <c r="AF1207" s="162">
        <f t="shared" si="476"/>
        <v>0</v>
      </c>
      <c r="AG1207" s="162">
        <f t="shared" si="477"/>
        <v>0</v>
      </c>
      <c r="AH1207" s="162">
        <f t="shared" si="478"/>
        <v>0</v>
      </c>
      <c r="AI1207" s="162">
        <f t="shared" si="479"/>
        <v>0</v>
      </c>
      <c r="AJ1207" s="148" t="str">
        <f t="shared" si="473"/>
        <v>ja</v>
      </c>
      <c r="AK1207" s="161">
        <f t="shared" si="460"/>
        <v>0</v>
      </c>
      <c r="AL1207" s="161">
        <f t="shared" si="461"/>
        <v>0</v>
      </c>
      <c r="AM1207" s="161">
        <f t="shared" si="462"/>
        <v>0</v>
      </c>
      <c r="AN1207" s="161">
        <f t="shared" si="463"/>
        <v>0</v>
      </c>
      <c r="AO1207" s="150" t="str">
        <f t="shared" si="474"/>
        <v>V</v>
      </c>
      <c r="AQ1207" s="151">
        <f t="shared" si="475"/>
        <v>126655</v>
      </c>
    </row>
    <row r="1208" spans="1:43" ht="15" customHeight="1">
      <c r="A1208" s="82" t="e">
        <f t="shared" si="464"/>
        <v>#REF!</v>
      </c>
      <c r="B1208" s="152">
        <v>306</v>
      </c>
      <c r="C1208" s="153" t="s">
        <v>1338</v>
      </c>
      <c r="D1208" s="154" t="s">
        <v>1331</v>
      </c>
      <c r="E1208" s="155"/>
      <c r="F1208" s="64" t="s">
        <v>1397</v>
      </c>
      <c r="G1208" s="156" t="s">
        <v>1405</v>
      </c>
      <c r="H1208" s="140" t="str">
        <f t="shared" si="465"/>
        <v>Perrons</v>
      </c>
      <c r="I1208" s="64" t="s">
        <v>18</v>
      </c>
      <c r="J1208" s="64" t="s">
        <v>1255</v>
      </c>
      <c r="K1208" s="141" t="str">
        <f t="shared" si="466"/>
        <v>Volledig</v>
      </c>
      <c r="L1208" s="141" t="str">
        <f t="shared" si="467"/>
        <v>naloop</v>
      </c>
      <c r="M1208" s="141" t="str">
        <f t="shared" si="468"/>
        <v>naloop</v>
      </c>
      <c r="N1208" s="141" t="str">
        <f t="shared" si="469"/>
        <v>Volledig</v>
      </c>
      <c r="O1208" s="141" t="str">
        <f t="shared" si="470"/>
        <v>naloop</v>
      </c>
      <c r="P1208" s="141" t="str">
        <f t="shared" si="471"/>
        <v>naloop</v>
      </c>
      <c r="Q1208" s="141" t="str">
        <f t="shared" si="472"/>
        <v>naloop</v>
      </c>
      <c r="R1208" s="64" t="s">
        <v>1208</v>
      </c>
      <c r="S1208" s="142">
        <f t="shared" si="459"/>
        <v>365</v>
      </c>
      <c r="T1208" s="157">
        <v>203</v>
      </c>
      <c r="U1208" s="158"/>
      <c r="V1208" s="158"/>
      <c r="W1208" s="158"/>
      <c r="X1208" s="158"/>
      <c r="Y1208" s="158"/>
      <c r="Z1208" s="159"/>
      <c r="AA1208" s="159"/>
      <c r="AB1208" s="159"/>
      <c r="AC1208" s="159"/>
      <c r="AD1208" s="160"/>
      <c r="AE1208" s="171">
        <v>1</v>
      </c>
      <c r="AF1208" s="162">
        <f t="shared" si="476"/>
        <v>0</v>
      </c>
      <c r="AG1208" s="162">
        <f t="shared" si="477"/>
        <v>0</v>
      </c>
      <c r="AH1208" s="162">
        <f t="shared" si="478"/>
        <v>0</v>
      </c>
      <c r="AI1208" s="162">
        <f t="shared" si="479"/>
        <v>0</v>
      </c>
      <c r="AJ1208" s="148" t="str">
        <f t="shared" si="473"/>
        <v>ja</v>
      </c>
      <c r="AK1208" s="161">
        <f t="shared" si="460"/>
        <v>0</v>
      </c>
      <c r="AL1208" s="161">
        <f t="shared" si="461"/>
        <v>0</v>
      </c>
      <c r="AM1208" s="161">
        <f t="shared" si="462"/>
        <v>0</v>
      </c>
      <c r="AN1208" s="161">
        <f t="shared" si="463"/>
        <v>0</v>
      </c>
      <c r="AO1208" s="150" t="str">
        <f t="shared" si="474"/>
        <v>V</v>
      </c>
      <c r="AQ1208" s="151">
        <f t="shared" si="475"/>
        <v>74095</v>
      </c>
    </row>
    <row r="1209" spans="1:43" ht="15" customHeight="1">
      <c r="A1209" s="82" t="e">
        <f t="shared" si="464"/>
        <v>#REF!</v>
      </c>
      <c r="B1209" s="152">
        <v>306</v>
      </c>
      <c r="C1209" s="153" t="s">
        <v>1338</v>
      </c>
      <c r="D1209" s="154" t="s">
        <v>1331</v>
      </c>
      <c r="E1209" s="155"/>
      <c r="F1209" s="64" t="s">
        <v>1377</v>
      </c>
      <c r="G1209" s="156"/>
      <c r="H1209" s="140" t="str">
        <f t="shared" si="465"/>
        <v>Liften</v>
      </c>
      <c r="I1209" s="64" t="s">
        <v>1109</v>
      </c>
      <c r="J1209" s="64" t="s">
        <v>1255</v>
      </c>
      <c r="K1209" s="141" t="str">
        <f t="shared" si="466"/>
        <v>Volledig</v>
      </c>
      <c r="L1209" s="141" t="str">
        <f t="shared" si="467"/>
        <v>naloop</v>
      </c>
      <c r="M1209" s="141" t="str">
        <f t="shared" si="468"/>
        <v>naloop</v>
      </c>
      <c r="N1209" s="141" t="str">
        <f t="shared" si="469"/>
        <v>Volledig</v>
      </c>
      <c r="O1209" s="141" t="str">
        <f t="shared" si="470"/>
        <v>naloop</v>
      </c>
      <c r="P1209" s="141" t="str">
        <f t="shared" si="471"/>
        <v>naloop</v>
      </c>
      <c r="Q1209" s="141" t="str">
        <f t="shared" si="472"/>
        <v>naloop</v>
      </c>
      <c r="R1209" s="64" t="s">
        <v>1212</v>
      </c>
      <c r="S1209" s="142">
        <f t="shared" si="459"/>
        <v>365</v>
      </c>
      <c r="T1209" s="157">
        <v>5</v>
      </c>
      <c r="U1209" s="158"/>
      <c r="V1209" s="158"/>
      <c r="W1209" s="158"/>
      <c r="X1209" s="158"/>
      <c r="Y1209" s="158"/>
      <c r="Z1209" s="159"/>
      <c r="AA1209" s="159"/>
      <c r="AB1209" s="159"/>
      <c r="AC1209" s="159"/>
      <c r="AD1209" s="160"/>
      <c r="AE1209" s="171">
        <v>1</v>
      </c>
      <c r="AF1209" s="162">
        <f t="shared" si="476"/>
        <v>0</v>
      </c>
      <c r="AG1209" s="162">
        <f t="shared" si="477"/>
        <v>0</v>
      </c>
      <c r="AH1209" s="162">
        <f t="shared" si="478"/>
        <v>0</v>
      </c>
      <c r="AI1209" s="162">
        <f t="shared" si="479"/>
        <v>0</v>
      </c>
      <c r="AJ1209" s="148" t="str">
        <f t="shared" si="473"/>
        <v>ja</v>
      </c>
      <c r="AK1209" s="161">
        <f>IF($R1209="",0,VLOOKUP($R1209,Kengetal,5,FALSE))</f>
        <v>0</v>
      </c>
      <c r="AL1209" s="161">
        <f>IF($R1209="",0,VLOOKUP($R1209,Kengetal,6,FALSE))</f>
        <v>0</v>
      </c>
      <c r="AM1209" s="161">
        <f>IF($R1209="",0,VLOOKUP($R1209,Kengetal,7,FALSE))</f>
        <v>0</v>
      </c>
      <c r="AN1209" s="161">
        <f>IF($R1209="",0,VLOOKUP($R1209,Kengetal,8,FALSE))</f>
        <v>0</v>
      </c>
      <c r="AO1209" s="150" t="str">
        <f t="shared" si="474"/>
        <v>V</v>
      </c>
      <c r="AQ1209" s="151">
        <f t="shared" si="475"/>
        <v>1825</v>
      </c>
    </row>
    <row r="1210" spans="1:43" ht="15" customHeight="1">
      <c r="A1210" s="82" t="e">
        <f t="shared" si="464"/>
        <v>#REF!</v>
      </c>
      <c r="B1210" s="152">
        <v>306</v>
      </c>
      <c r="C1210" s="153" t="s">
        <v>1338</v>
      </c>
      <c r="D1210" s="154" t="s">
        <v>1331</v>
      </c>
      <c r="E1210" s="155"/>
      <c r="F1210" s="64" t="s">
        <v>1406</v>
      </c>
      <c r="G1210" s="156"/>
      <c r="H1210" s="140" t="str">
        <f t="shared" si="465"/>
        <v>Bestrating</v>
      </c>
      <c r="I1210" s="64" t="s">
        <v>1254</v>
      </c>
      <c r="J1210" s="64" t="s">
        <v>1255</v>
      </c>
      <c r="K1210" s="141" t="str">
        <f t="shared" si="466"/>
        <v>Volledig</v>
      </c>
      <c r="L1210" s="141" t="str">
        <f t="shared" si="467"/>
        <v>naloop</v>
      </c>
      <c r="M1210" s="141" t="str">
        <f t="shared" si="468"/>
        <v>naloop</v>
      </c>
      <c r="N1210" s="141" t="str">
        <f t="shared" si="469"/>
        <v>Volledig</v>
      </c>
      <c r="O1210" s="141" t="str">
        <f t="shared" si="470"/>
        <v>naloop</v>
      </c>
      <c r="P1210" s="141" t="str">
        <f t="shared" si="471"/>
        <v>naloop</v>
      </c>
      <c r="Q1210" s="141" t="str">
        <f t="shared" si="472"/>
        <v>naloop</v>
      </c>
      <c r="R1210" s="64" t="s">
        <v>1271</v>
      </c>
      <c r="S1210" s="142">
        <f t="shared" si="459"/>
        <v>365</v>
      </c>
      <c r="T1210" s="157">
        <v>32</v>
      </c>
      <c r="U1210" s="158" t="s">
        <v>1407</v>
      </c>
      <c r="V1210" s="158"/>
      <c r="W1210" s="158"/>
      <c r="X1210" s="158"/>
      <c r="Y1210" s="158"/>
      <c r="Z1210" s="159"/>
      <c r="AA1210" s="159"/>
      <c r="AB1210" s="159"/>
      <c r="AC1210" s="159"/>
      <c r="AD1210" s="160"/>
      <c r="AE1210" s="171">
        <v>1</v>
      </c>
      <c r="AF1210" s="162">
        <f t="shared" si="476"/>
        <v>0</v>
      </c>
      <c r="AG1210" s="162">
        <f t="shared" si="477"/>
        <v>0</v>
      </c>
      <c r="AH1210" s="162">
        <f t="shared" si="478"/>
        <v>0</v>
      </c>
      <c r="AI1210" s="162">
        <f t="shared" si="479"/>
        <v>0</v>
      </c>
      <c r="AJ1210" s="148" t="str">
        <f t="shared" si="473"/>
        <v>ja</v>
      </c>
      <c r="AK1210" s="161">
        <f t="shared" si="460"/>
        <v>0</v>
      </c>
      <c r="AL1210" s="161">
        <f t="shared" si="461"/>
        <v>0</v>
      </c>
      <c r="AM1210" s="161">
        <f t="shared" si="462"/>
        <v>0</v>
      </c>
      <c r="AN1210" s="161">
        <f t="shared" si="463"/>
        <v>0</v>
      </c>
      <c r="AO1210" s="150" t="str">
        <f t="shared" si="474"/>
        <v>V</v>
      </c>
      <c r="AQ1210" s="151">
        <f t="shared" si="475"/>
        <v>11680</v>
      </c>
    </row>
    <row r="1211" spans="1:43" ht="15" customHeight="1">
      <c r="A1211" s="82" t="e">
        <f t="shared" si="464"/>
        <v>#REF!</v>
      </c>
      <c r="B1211" s="152">
        <v>306</v>
      </c>
      <c r="C1211" s="153" t="s">
        <v>1338</v>
      </c>
      <c r="D1211" s="154" t="s">
        <v>1331</v>
      </c>
      <c r="E1211" s="155"/>
      <c r="F1211" s="64" t="s">
        <v>1351</v>
      </c>
      <c r="G1211" s="156" t="s">
        <v>1408</v>
      </c>
      <c r="H1211" s="140" t="str">
        <f t="shared" si="465"/>
        <v>Trappen</v>
      </c>
      <c r="I1211" s="64" t="s">
        <v>118</v>
      </c>
      <c r="J1211" s="64" t="s">
        <v>1255</v>
      </c>
      <c r="K1211" s="141" t="str">
        <f t="shared" si="466"/>
        <v>Volledig</v>
      </c>
      <c r="L1211" s="141" t="str">
        <f t="shared" si="467"/>
        <v>naloop</v>
      </c>
      <c r="M1211" s="141" t="str">
        <f t="shared" si="468"/>
        <v>naloop</v>
      </c>
      <c r="N1211" s="141" t="str">
        <f t="shared" si="469"/>
        <v>Volledig</v>
      </c>
      <c r="O1211" s="141" t="str">
        <f t="shared" si="470"/>
        <v>naloop</v>
      </c>
      <c r="P1211" s="141" t="str">
        <f t="shared" si="471"/>
        <v>naloop</v>
      </c>
      <c r="Q1211" s="141" t="str">
        <f t="shared" si="472"/>
        <v>naloop</v>
      </c>
      <c r="R1211" s="64" t="s">
        <v>1214</v>
      </c>
      <c r="S1211" s="142">
        <f t="shared" si="459"/>
        <v>365</v>
      </c>
      <c r="T1211" s="157">
        <v>50</v>
      </c>
      <c r="U1211" s="158" t="s">
        <v>1407</v>
      </c>
      <c r="V1211" s="158"/>
      <c r="W1211" s="158"/>
      <c r="X1211" s="158"/>
      <c r="Y1211" s="158"/>
      <c r="Z1211" s="159"/>
      <c r="AA1211" s="159"/>
      <c r="AB1211" s="159"/>
      <c r="AC1211" s="159"/>
      <c r="AD1211" s="160"/>
      <c r="AE1211" s="171">
        <v>1</v>
      </c>
      <c r="AF1211" s="162">
        <f t="shared" si="476"/>
        <v>0</v>
      </c>
      <c r="AG1211" s="162">
        <f t="shared" si="477"/>
        <v>0</v>
      </c>
      <c r="AH1211" s="162">
        <f t="shared" si="478"/>
        <v>0</v>
      </c>
      <c r="AI1211" s="162">
        <f t="shared" si="479"/>
        <v>0</v>
      </c>
      <c r="AJ1211" s="148" t="str">
        <f t="shared" si="473"/>
        <v>ja</v>
      </c>
      <c r="AK1211" s="161">
        <f t="shared" si="460"/>
        <v>0</v>
      </c>
      <c r="AL1211" s="161">
        <f t="shared" si="461"/>
        <v>0</v>
      </c>
      <c r="AM1211" s="161">
        <f t="shared" si="462"/>
        <v>0</v>
      </c>
      <c r="AN1211" s="161">
        <f t="shared" si="463"/>
        <v>0</v>
      </c>
      <c r="AO1211" s="150" t="str">
        <f t="shared" si="474"/>
        <v>V</v>
      </c>
      <c r="AQ1211" s="151">
        <f t="shared" si="475"/>
        <v>18250</v>
      </c>
    </row>
    <row r="1212" spans="1:43" ht="15" customHeight="1">
      <c r="A1212" s="82" t="e">
        <f t="shared" si="464"/>
        <v>#REF!</v>
      </c>
      <c r="B1212" s="152">
        <v>306</v>
      </c>
      <c r="C1212" s="153" t="s">
        <v>1338</v>
      </c>
      <c r="D1212" s="154" t="s">
        <v>1331</v>
      </c>
      <c r="E1212" s="155"/>
      <c r="F1212" s="64" t="s">
        <v>1410</v>
      </c>
      <c r="G1212" s="156" t="s">
        <v>1411</v>
      </c>
      <c r="H1212" s="140" t="str">
        <f t="shared" si="465"/>
        <v>Sanitair</v>
      </c>
      <c r="I1212" s="64" t="s">
        <v>124</v>
      </c>
      <c r="J1212" s="64" t="s">
        <v>1255</v>
      </c>
      <c r="K1212" s="141" t="str">
        <f t="shared" si="466"/>
        <v>Volledig</v>
      </c>
      <c r="L1212" s="141" t="str">
        <f t="shared" si="467"/>
        <v>naloop</v>
      </c>
      <c r="M1212" s="141" t="str">
        <f t="shared" si="468"/>
        <v>naloop</v>
      </c>
      <c r="N1212" s="141" t="str">
        <f t="shared" si="469"/>
        <v>Volledig</v>
      </c>
      <c r="O1212" s="141" t="str">
        <f t="shared" si="470"/>
        <v>naloop</v>
      </c>
      <c r="P1212" s="141" t="str">
        <f t="shared" si="471"/>
        <v>naloop</v>
      </c>
      <c r="Q1212" s="141" t="str">
        <f t="shared" si="472"/>
        <v>naloop</v>
      </c>
      <c r="R1212" s="64" t="s">
        <v>1210</v>
      </c>
      <c r="S1212" s="142">
        <f t="shared" si="459"/>
        <v>365</v>
      </c>
      <c r="T1212" s="157">
        <v>1</v>
      </c>
      <c r="U1212" s="158"/>
      <c r="V1212" s="158"/>
      <c r="W1212" s="158"/>
      <c r="X1212" s="158">
        <v>22</v>
      </c>
      <c r="Y1212" s="158">
        <v>17</v>
      </c>
      <c r="Z1212" s="159"/>
      <c r="AA1212" s="159"/>
      <c r="AB1212" s="159"/>
      <c r="AC1212" s="159">
        <v>9</v>
      </c>
      <c r="AD1212" s="160"/>
      <c r="AE1212" s="171">
        <v>1</v>
      </c>
      <c r="AF1212" s="162">
        <f t="shared" si="476"/>
        <v>0</v>
      </c>
      <c r="AG1212" s="162">
        <f t="shared" si="477"/>
        <v>0</v>
      </c>
      <c r="AH1212" s="162">
        <f t="shared" si="478"/>
        <v>0</v>
      </c>
      <c r="AI1212" s="162">
        <f t="shared" si="479"/>
        <v>0</v>
      </c>
      <c r="AJ1212" s="148" t="str">
        <f t="shared" si="473"/>
        <v>ja</v>
      </c>
      <c r="AK1212" s="161">
        <f t="shared" si="460"/>
        <v>0</v>
      </c>
      <c r="AL1212" s="161">
        <f t="shared" si="461"/>
        <v>0</v>
      </c>
      <c r="AM1212" s="161">
        <f t="shared" si="462"/>
        <v>0</v>
      </c>
      <c r="AN1212" s="161">
        <f t="shared" si="463"/>
        <v>0</v>
      </c>
      <c r="AO1212" s="150" t="str">
        <f t="shared" si="474"/>
        <v>S</v>
      </c>
      <c r="AQ1212" s="151">
        <f t="shared" si="475"/>
        <v>365</v>
      </c>
    </row>
    <row r="1213" spans="1:43" ht="15" customHeight="1">
      <c r="A1213" s="82" t="e">
        <f t="shared" si="464"/>
        <v>#REF!</v>
      </c>
      <c r="B1213" s="152">
        <v>306</v>
      </c>
      <c r="C1213" s="153" t="s">
        <v>1338</v>
      </c>
      <c r="D1213" s="154" t="s">
        <v>1331</v>
      </c>
      <c r="E1213" s="155"/>
      <c r="F1213" s="64" t="s">
        <v>1410</v>
      </c>
      <c r="G1213" s="156" t="s">
        <v>1411</v>
      </c>
      <c r="H1213" s="140" t="str">
        <f t="shared" si="465"/>
        <v>Kantoren/spreekkamers</v>
      </c>
      <c r="I1213" s="64" t="s">
        <v>124</v>
      </c>
      <c r="J1213" s="64" t="s">
        <v>1255</v>
      </c>
      <c r="K1213" s="141" t="str">
        <f t="shared" si="466"/>
        <v>Volledig</v>
      </c>
      <c r="L1213" s="141" t="str">
        <f t="shared" si="467"/>
        <v>naloop</v>
      </c>
      <c r="M1213" s="141" t="str">
        <f t="shared" si="468"/>
        <v>naloop</v>
      </c>
      <c r="N1213" s="141" t="str">
        <f t="shared" si="469"/>
        <v>Volledig</v>
      </c>
      <c r="O1213" s="141" t="str">
        <f t="shared" si="470"/>
        <v>naloop</v>
      </c>
      <c r="P1213" s="141" t="str">
        <f t="shared" si="471"/>
        <v>naloop</v>
      </c>
      <c r="Q1213" s="141" t="str">
        <f t="shared" si="472"/>
        <v>naloop</v>
      </c>
      <c r="R1213" s="64" t="s">
        <v>1219</v>
      </c>
      <c r="S1213" s="142">
        <f t="shared" si="459"/>
        <v>365</v>
      </c>
      <c r="T1213" s="157">
        <v>8</v>
      </c>
      <c r="U1213" s="158"/>
      <c r="V1213" s="158"/>
      <c r="W1213" s="158"/>
      <c r="X1213" s="158">
        <v>22</v>
      </c>
      <c r="Y1213" s="158">
        <v>17</v>
      </c>
      <c r="Z1213" s="159"/>
      <c r="AA1213" s="159"/>
      <c r="AB1213" s="159"/>
      <c r="AC1213" s="159">
        <v>9</v>
      </c>
      <c r="AD1213" s="160"/>
      <c r="AE1213" s="171">
        <v>1</v>
      </c>
      <c r="AF1213" s="162">
        <f t="shared" si="476"/>
        <v>0</v>
      </c>
      <c r="AG1213" s="162">
        <f t="shared" si="477"/>
        <v>0</v>
      </c>
      <c r="AH1213" s="162">
        <f t="shared" si="478"/>
        <v>0</v>
      </c>
      <c r="AI1213" s="162">
        <f t="shared" si="479"/>
        <v>0</v>
      </c>
      <c r="AJ1213" s="148" t="str">
        <f t="shared" si="473"/>
        <v>nee</v>
      </c>
      <c r="AK1213" s="161">
        <f t="shared" si="460"/>
        <v>0</v>
      </c>
      <c r="AL1213" s="161">
        <f t="shared" si="461"/>
        <v>0</v>
      </c>
      <c r="AM1213" s="161">
        <f t="shared" si="462"/>
        <v>0</v>
      </c>
      <c r="AN1213" s="161">
        <f t="shared" si="463"/>
        <v>0</v>
      </c>
      <c r="AO1213" s="150" t="str">
        <f t="shared" si="474"/>
        <v>B</v>
      </c>
      <c r="AQ1213" s="151">
        <f t="shared" si="475"/>
        <v>2920</v>
      </c>
    </row>
    <row r="1214" spans="1:43" ht="15" customHeight="1">
      <c r="A1214" s="82" t="e">
        <f t="shared" si="464"/>
        <v>#REF!</v>
      </c>
      <c r="B1214" s="152">
        <v>306</v>
      </c>
      <c r="C1214" s="153" t="s">
        <v>1338</v>
      </c>
      <c r="D1214" s="154" t="s">
        <v>1331</v>
      </c>
      <c r="E1214" s="155"/>
      <c r="F1214" s="64" t="s">
        <v>115</v>
      </c>
      <c r="G1214" s="156" t="s">
        <v>1412</v>
      </c>
      <c r="H1214" s="140" t="str">
        <f t="shared" si="465"/>
        <v>Niet van toepassing</v>
      </c>
      <c r="I1214" s="64" t="s">
        <v>195</v>
      </c>
      <c r="J1214" s="138" t="s">
        <v>1172</v>
      </c>
      <c r="K1214" s="141" t="str">
        <f t="shared" si="466"/>
        <v>NVT</v>
      </c>
      <c r="L1214" s="141" t="str">
        <f t="shared" si="467"/>
        <v>NVT</v>
      </c>
      <c r="M1214" s="141" t="str">
        <f t="shared" si="468"/>
        <v>NVT</v>
      </c>
      <c r="N1214" s="141" t="str">
        <f t="shared" si="469"/>
        <v>NVT</v>
      </c>
      <c r="O1214" s="141" t="str">
        <f t="shared" si="470"/>
        <v>NVT</v>
      </c>
      <c r="P1214" s="141" t="str">
        <f t="shared" si="471"/>
        <v>NVT</v>
      </c>
      <c r="Q1214" s="141" t="str">
        <f t="shared" si="472"/>
        <v>NVT</v>
      </c>
      <c r="R1214" s="63" t="s">
        <v>1221</v>
      </c>
      <c r="S1214" s="142">
        <f t="shared" si="459"/>
        <v>0</v>
      </c>
      <c r="T1214" s="157">
        <v>15</v>
      </c>
      <c r="U1214" s="158"/>
      <c r="V1214" s="158">
        <v>40</v>
      </c>
      <c r="W1214" s="158"/>
      <c r="X1214" s="158"/>
      <c r="Y1214" s="158"/>
      <c r="Z1214" s="159"/>
      <c r="AA1214" s="159"/>
      <c r="AB1214" s="159">
        <v>15</v>
      </c>
      <c r="AC1214" s="159"/>
      <c r="AD1214" s="160"/>
      <c r="AE1214" s="171">
        <v>1</v>
      </c>
      <c r="AF1214" s="162">
        <f t="shared" si="476"/>
        <v>0</v>
      </c>
      <c r="AG1214" s="162">
        <f t="shared" si="477"/>
        <v>0</v>
      </c>
      <c r="AH1214" s="162">
        <f t="shared" si="478"/>
        <v>0</v>
      </c>
      <c r="AI1214" s="162">
        <f t="shared" si="479"/>
        <v>0</v>
      </c>
      <c r="AJ1214" s="148">
        <f t="shared" si="473"/>
        <v>0</v>
      </c>
      <c r="AK1214" s="161">
        <f t="shared" si="460"/>
        <v>0</v>
      </c>
      <c r="AL1214" s="161">
        <f t="shared" si="461"/>
        <v>0</v>
      </c>
      <c r="AM1214" s="161">
        <f t="shared" si="462"/>
        <v>0</v>
      </c>
      <c r="AN1214" s="161">
        <f t="shared" si="463"/>
        <v>0</v>
      </c>
      <c r="AO1214" s="150">
        <f t="shared" si="474"/>
        <v>0</v>
      </c>
      <c r="AQ1214" s="151">
        <f t="shared" si="475"/>
        <v>0</v>
      </c>
    </row>
    <row r="1215" spans="1:43" ht="15" customHeight="1">
      <c r="A1215" s="82" t="e">
        <f t="shared" si="464"/>
        <v>#REF!</v>
      </c>
      <c r="B1215" s="152">
        <v>306</v>
      </c>
      <c r="C1215" s="153" t="s">
        <v>1338</v>
      </c>
      <c r="D1215" s="154" t="s">
        <v>1331</v>
      </c>
      <c r="E1215" s="155"/>
      <c r="F1215" s="64" t="s">
        <v>37</v>
      </c>
      <c r="G1215" s="156" t="s">
        <v>1419</v>
      </c>
      <c r="H1215" s="140" t="str">
        <f t="shared" si="465"/>
        <v>Gangen</v>
      </c>
      <c r="I1215" s="64" t="s">
        <v>195</v>
      </c>
      <c r="J1215" s="64" t="s">
        <v>1255</v>
      </c>
      <c r="K1215" s="141" t="str">
        <f t="shared" si="466"/>
        <v>Volledig</v>
      </c>
      <c r="L1215" s="141" t="str">
        <f t="shared" si="467"/>
        <v>naloop</v>
      </c>
      <c r="M1215" s="141" t="str">
        <f t="shared" si="468"/>
        <v>naloop</v>
      </c>
      <c r="N1215" s="141" t="str">
        <f t="shared" si="469"/>
        <v>Volledig</v>
      </c>
      <c r="O1215" s="141" t="str">
        <f t="shared" si="470"/>
        <v>naloop</v>
      </c>
      <c r="P1215" s="141" t="str">
        <f t="shared" si="471"/>
        <v>naloop</v>
      </c>
      <c r="Q1215" s="141" t="str">
        <f t="shared" si="472"/>
        <v>naloop</v>
      </c>
      <c r="R1215" s="64" t="s">
        <v>1222</v>
      </c>
      <c r="S1215" s="142">
        <f t="shared" si="459"/>
        <v>365</v>
      </c>
      <c r="T1215" s="157">
        <v>7</v>
      </c>
      <c r="U1215" s="158"/>
      <c r="V1215" s="158">
        <v>32</v>
      </c>
      <c r="W1215" s="158"/>
      <c r="X1215" s="158"/>
      <c r="Y1215" s="158"/>
      <c r="Z1215" s="159"/>
      <c r="AA1215" s="159"/>
      <c r="AB1215" s="159">
        <v>7</v>
      </c>
      <c r="AC1215" s="159"/>
      <c r="AD1215" s="160"/>
      <c r="AE1215" s="171">
        <v>1</v>
      </c>
      <c r="AF1215" s="162">
        <f t="shared" si="476"/>
        <v>0</v>
      </c>
      <c r="AG1215" s="162">
        <f t="shared" si="477"/>
        <v>0</v>
      </c>
      <c r="AH1215" s="162">
        <f t="shared" si="478"/>
        <v>0</v>
      </c>
      <c r="AI1215" s="162">
        <f t="shared" si="479"/>
        <v>0</v>
      </c>
      <c r="AJ1215" s="148" t="str">
        <f t="shared" si="473"/>
        <v>ja</v>
      </c>
      <c r="AK1215" s="161">
        <f t="shared" si="460"/>
        <v>0</v>
      </c>
      <c r="AL1215" s="161">
        <f t="shared" si="461"/>
        <v>0</v>
      </c>
      <c r="AM1215" s="161">
        <f t="shared" si="462"/>
        <v>0</v>
      </c>
      <c r="AN1215" s="161">
        <f t="shared" si="463"/>
        <v>0</v>
      </c>
      <c r="AO1215" s="150" t="str">
        <f t="shared" si="474"/>
        <v>V</v>
      </c>
      <c r="AQ1215" s="151">
        <f t="shared" si="475"/>
        <v>2555</v>
      </c>
    </row>
    <row r="1216" spans="1:43" ht="15" customHeight="1">
      <c r="A1216" s="82" t="e">
        <f t="shared" si="464"/>
        <v>#REF!</v>
      </c>
      <c r="B1216" s="152">
        <v>306</v>
      </c>
      <c r="C1216" s="153" t="s">
        <v>1338</v>
      </c>
      <c r="D1216" s="154" t="s">
        <v>1331</v>
      </c>
      <c r="E1216" s="155"/>
      <c r="F1216" s="64" t="s">
        <v>120</v>
      </c>
      <c r="G1216" s="156" t="s">
        <v>1414</v>
      </c>
      <c r="H1216" s="140" t="str">
        <f t="shared" si="465"/>
        <v>Niet van toepassing</v>
      </c>
      <c r="I1216" s="64" t="s">
        <v>195</v>
      </c>
      <c r="J1216" s="138" t="s">
        <v>1172</v>
      </c>
      <c r="K1216" s="141" t="str">
        <f t="shared" si="466"/>
        <v>NVT</v>
      </c>
      <c r="L1216" s="141" t="str">
        <f t="shared" si="467"/>
        <v>NVT</v>
      </c>
      <c r="M1216" s="141" t="str">
        <f t="shared" si="468"/>
        <v>NVT</v>
      </c>
      <c r="N1216" s="141" t="str">
        <f t="shared" si="469"/>
        <v>NVT</v>
      </c>
      <c r="O1216" s="141" t="str">
        <f t="shared" si="470"/>
        <v>NVT</v>
      </c>
      <c r="P1216" s="141" t="str">
        <f t="shared" si="471"/>
        <v>NVT</v>
      </c>
      <c r="Q1216" s="141" t="str">
        <f t="shared" si="472"/>
        <v>NVT</v>
      </c>
      <c r="R1216" s="63" t="s">
        <v>1221</v>
      </c>
      <c r="S1216" s="142">
        <f t="shared" si="459"/>
        <v>0</v>
      </c>
      <c r="T1216" s="157">
        <v>12</v>
      </c>
      <c r="U1216" s="158"/>
      <c r="V1216" s="158">
        <v>42</v>
      </c>
      <c r="W1216" s="158"/>
      <c r="X1216" s="158"/>
      <c r="Y1216" s="158"/>
      <c r="Z1216" s="159"/>
      <c r="AA1216" s="159"/>
      <c r="AB1216" s="159">
        <v>12</v>
      </c>
      <c r="AC1216" s="159"/>
      <c r="AD1216" s="160"/>
      <c r="AE1216" s="171">
        <v>1</v>
      </c>
      <c r="AF1216" s="162">
        <f t="shared" si="476"/>
        <v>0</v>
      </c>
      <c r="AG1216" s="162">
        <f t="shared" si="477"/>
        <v>0</v>
      </c>
      <c r="AH1216" s="162">
        <f t="shared" si="478"/>
        <v>0</v>
      </c>
      <c r="AI1216" s="162">
        <f t="shared" si="479"/>
        <v>0</v>
      </c>
      <c r="AJ1216" s="148">
        <f t="shared" si="473"/>
        <v>0</v>
      </c>
      <c r="AK1216" s="161">
        <f t="shared" si="460"/>
        <v>0</v>
      </c>
      <c r="AL1216" s="161">
        <f t="shared" si="461"/>
        <v>0</v>
      </c>
      <c r="AM1216" s="161">
        <f t="shared" si="462"/>
        <v>0</v>
      </c>
      <c r="AN1216" s="161">
        <f t="shared" si="463"/>
        <v>0</v>
      </c>
      <c r="AO1216" s="150">
        <f t="shared" si="474"/>
        <v>0</v>
      </c>
      <c r="AQ1216" s="151">
        <f t="shared" si="475"/>
        <v>0</v>
      </c>
    </row>
    <row r="1217" spans="1:43" ht="15" customHeight="1">
      <c r="A1217" s="82" t="e">
        <f t="shared" si="464"/>
        <v>#REF!</v>
      </c>
      <c r="B1217" s="152">
        <v>306</v>
      </c>
      <c r="C1217" s="153" t="s">
        <v>1338</v>
      </c>
      <c r="D1217" s="154" t="s">
        <v>1331</v>
      </c>
      <c r="E1217" s="155"/>
      <c r="F1217" s="64" t="s">
        <v>122</v>
      </c>
      <c r="G1217" s="156" t="s">
        <v>1415</v>
      </c>
      <c r="H1217" s="140" t="str">
        <f t="shared" si="465"/>
        <v>Niet van toepassing</v>
      </c>
      <c r="I1217" s="64" t="s">
        <v>195</v>
      </c>
      <c r="J1217" s="64" t="s">
        <v>1172</v>
      </c>
      <c r="K1217" s="141" t="str">
        <f t="shared" si="466"/>
        <v>NVT</v>
      </c>
      <c r="L1217" s="141" t="str">
        <f t="shared" si="467"/>
        <v>NVT</v>
      </c>
      <c r="M1217" s="141" t="str">
        <f t="shared" si="468"/>
        <v>NVT</v>
      </c>
      <c r="N1217" s="141" t="str">
        <f t="shared" si="469"/>
        <v>NVT</v>
      </c>
      <c r="O1217" s="141" t="str">
        <f t="shared" si="470"/>
        <v>NVT</v>
      </c>
      <c r="P1217" s="141" t="str">
        <f t="shared" si="471"/>
        <v>NVT</v>
      </c>
      <c r="Q1217" s="141" t="str">
        <f t="shared" si="472"/>
        <v>NVT</v>
      </c>
      <c r="R1217" s="64" t="s">
        <v>1221</v>
      </c>
      <c r="S1217" s="142">
        <f t="shared" si="459"/>
        <v>0</v>
      </c>
      <c r="T1217" s="157">
        <v>6</v>
      </c>
      <c r="U1217" s="158">
        <v>2</v>
      </c>
      <c r="V1217" s="158">
        <v>26</v>
      </c>
      <c r="W1217" s="158"/>
      <c r="X1217" s="158"/>
      <c r="Y1217" s="158"/>
      <c r="Z1217" s="159"/>
      <c r="AA1217" s="159"/>
      <c r="AB1217" s="159">
        <v>6</v>
      </c>
      <c r="AC1217" s="159"/>
      <c r="AD1217" s="160"/>
      <c r="AE1217" s="171">
        <v>1</v>
      </c>
      <c r="AF1217" s="162">
        <f t="shared" si="476"/>
        <v>0</v>
      </c>
      <c r="AG1217" s="162">
        <f t="shared" si="477"/>
        <v>0</v>
      </c>
      <c r="AH1217" s="162">
        <f t="shared" si="478"/>
        <v>0</v>
      </c>
      <c r="AI1217" s="162">
        <f t="shared" si="479"/>
        <v>0</v>
      </c>
      <c r="AJ1217" s="148">
        <f t="shared" si="473"/>
        <v>0</v>
      </c>
      <c r="AK1217" s="161">
        <f t="shared" si="460"/>
        <v>0</v>
      </c>
      <c r="AL1217" s="161">
        <f t="shared" si="461"/>
        <v>0</v>
      </c>
      <c r="AM1217" s="161">
        <f t="shared" si="462"/>
        <v>0</v>
      </c>
      <c r="AN1217" s="161">
        <f t="shared" si="463"/>
        <v>0</v>
      </c>
      <c r="AO1217" s="150">
        <f t="shared" si="474"/>
        <v>0</v>
      </c>
      <c r="AQ1217" s="151">
        <f t="shared" si="475"/>
        <v>0</v>
      </c>
    </row>
    <row r="1218" spans="1:43" ht="15" customHeight="1">
      <c r="A1218" s="82" t="e">
        <f t="shared" si="464"/>
        <v>#REF!</v>
      </c>
      <c r="B1218" s="152">
        <v>306</v>
      </c>
      <c r="C1218" s="153" t="s">
        <v>1338</v>
      </c>
      <c r="D1218" s="154" t="s">
        <v>1331</v>
      </c>
      <c r="E1218" s="155"/>
      <c r="F1218" s="64" t="s">
        <v>1416</v>
      </c>
      <c r="G1218" s="156" t="s">
        <v>1417</v>
      </c>
      <c r="H1218" s="140" t="str">
        <f t="shared" si="465"/>
        <v>Niet van toepassing</v>
      </c>
      <c r="I1218" s="64" t="s">
        <v>195</v>
      </c>
      <c r="J1218" s="138" t="s">
        <v>1172</v>
      </c>
      <c r="K1218" s="141" t="str">
        <f t="shared" si="466"/>
        <v>NVT</v>
      </c>
      <c r="L1218" s="141" t="str">
        <f t="shared" si="467"/>
        <v>NVT</v>
      </c>
      <c r="M1218" s="141" t="str">
        <f t="shared" si="468"/>
        <v>NVT</v>
      </c>
      <c r="N1218" s="141" t="str">
        <f t="shared" si="469"/>
        <v>NVT</v>
      </c>
      <c r="O1218" s="141" t="str">
        <f t="shared" si="470"/>
        <v>NVT</v>
      </c>
      <c r="P1218" s="141" t="str">
        <f t="shared" si="471"/>
        <v>NVT</v>
      </c>
      <c r="Q1218" s="141" t="str">
        <f t="shared" si="472"/>
        <v>NVT</v>
      </c>
      <c r="R1218" s="63" t="s">
        <v>1221</v>
      </c>
      <c r="S1218" s="142">
        <f t="shared" si="459"/>
        <v>0</v>
      </c>
      <c r="T1218" s="157">
        <v>2</v>
      </c>
      <c r="U1218" s="158"/>
      <c r="V1218" s="158">
        <v>18</v>
      </c>
      <c r="W1218" s="158"/>
      <c r="X1218" s="158"/>
      <c r="Y1218" s="158"/>
      <c r="Z1218" s="159"/>
      <c r="AA1218" s="159"/>
      <c r="AB1218" s="159">
        <v>2</v>
      </c>
      <c r="AC1218" s="159"/>
      <c r="AD1218" s="160"/>
      <c r="AE1218" s="171">
        <v>1</v>
      </c>
      <c r="AF1218" s="162">
        <f t="shared" si="476"/>
        <v>0</v>
      </c>
      <c r="AG1218" s="162">
        <f t="shared" si="477"/>
        <v>0</v>
      </c>
      <c r="AH1218" s="162">
        <f t="shared" si="478"/>
        <v>0</v>
      </c>
      <c r="AI1218" s="162">
        <f t="shared" si="479"/>
        <v>0</v>
      </c>
      <c r="AJ1218" s="148">
        <f t="shared" si="473"/>
        <v>0</v>
      </c>
      <c r="AK1218" s="161">
        <f t="shared" si="460"/>
        <v>0</v>
      </c>
      <c r="AL1218" s="161">
        <f t="shared" si="461"/>
        <v>0</v>
      </c>
      <c r="AM1218" s="161">
        <f t="shared" si="462"/>
        <v>0</v>
      </c>
      <c r="AN1218" s="161">
        <f t="shared" si="463"/>
        <v>0</v>
      </c>
      <c r="AO1218" s="150">
        <f t="shared" si="474"/>
        <v>0</v>
      </c>
      <c r="AQ1218" s="151">
        <f t="shared" si="475"/>
        <v>0</v>
      </c>
    </row>
    <row r="1219" spans="1:43" ht="15" customHeight="1">
      <c r="A1219" s="82" t="e">
        <f t="shared" si="464"/>
        <v>#REF!</v>
      </c>
      <c r="B1219" s="152">
        <v>306</v>
      </c>
      <c r="C1219" s="153" t="s">
        <v>1338</v>
      </c>
      <c r="D1219" s="154" t="s">
        <v>1331</v>
      </c>
      <c r="E1219" s="155"/>
      <c r="F1219" s="64" t="s">
        <v>1420</v>
      </c>
      <c r="G1219" s="156" t="s">
        <v>1421</v>
      </c>
      <c r="H1219" s="140" t="str">
        <f t="shared" si="465"/>
        <v>Niet van toepassing</v>
      </c>
      <c r="I1219" s="64" t="s">
        <v>195</v>
      </c>
      <c r="J1219" s="138" t="s">
        <v>1172</v>
      </c>
      <c r="K1219" s="141" t="str">
        <f t="shared" si="466"/>
        <v>NVT</v>
      </c>
      <c r="L1219" s="141" t="str">
        <f t="shared" si="467"/>
        <v>NVT</v>
      </c>
      <c r="M1219" s="141" t="str">
        <f t="shared" si="468"/>
        <v>NVT</v>
      </c>
      <c r="N1219" s="141" t="str">
        <f t="shared" si="469"/>
        <v>NVT</v>
      </c>
      <c r="O1219" s="141" t="str">
        <f t="shared" si="470"/>
        <v>NVT</v>
      </c>
      <c r="P1219" s="141" t="str">
        <f t="shared" si="471"/>
        <v>NVT</v>
      </c>
      <c r="Q1219" s="141" t="str">
        <f t="shared" si="472"/>
        <v>NVT</v>
      </c>
      <c r="R1219" s="63" t="s">
        <v>1221</v>
      </c>
      <c r="S1219" s="142">
        <f t="shared" si="459"/>
        <v>0</v>
      </c>
      <c r="T1219" s="157">
        <v>13</v>
      </c>
      <c r="U1219" s="158"/>
      <c r="V1219" s="158">
        <v>44</v>
      </c>
      <c r="W1219" s="158"/>
      <c r="X1219" s="158"/>
      <c r="Y1219" s="158"/>
      <c r="Z1219" s="159"/>
      <c r="AA1219" s="159"/>
      <c r="AB1219" s="159">
        <v>13</v>
      </c>
      <c r="AC1219" s="159"/>
      <c r="AD1219" s="160"/>
      <c r="AE1219" s="171">
        <v>1</v>
      </c>
      <c r="AF1219" s="162">
        <f t="shared" si="476"/>
        <v>0</v>
      </c>
      <c r="AG1219" s="162">
        <f t="shared" si="477"/>
        <v>0</v>
      </c>
      <c r="AH1219" s="162">
        <f t="shared" si="478"/>
        <v>0</v>
      </c>
      <c r="AI1219" s="162">
        <f t="shared" si="479"/>
        <v>0</v>
      </c>
      <c r="AJ1219" s="148">
        <f t="shared" si="473"/>
        <v>0</v>
      </c>
      <c r="AK1219" s="161">
        <f t="shared" si="460"/>
        <v>0</v>
      </c>
      <c r="AL1219" s="161">
        <f t="shared" si="461"/>
        <v>0</v>
      </c>
      <c r="AM1219" s="161">
        <f t="shared" si="462"/>
        <v>0</v>
      </c>
      <c r="AN1219" s="161">
        <f t="shared" si="463"/>
        <v>0</v>
      </c>
      <c r="AO1219" s="150">
        <f t="shared" si="474"/>
        <v>0</v>
      </c>
      <c r="AQ1219" s="151">
        <f t="shared" si="475"/>
        <v>0</v>
      </c>
    </row>
    <row r="1220" spans="1:43" ht="15" customHeight="1">
      <c r="A1220" s="82" t="e">
        <f>1+#REF!</f>
        <v>#REF!</v>
      </c>
      <c r="B1220" s="152">
        <v>306</v>
      </c>
      <c r="C1220" s="153" t="s">
        <v>1338</v>
      </c>
      <c r="D1220" s="154" t="s">
        <v>1331</v>
      </c>
      <c r="E1220" s="155"/>
      <c r="F1220" s="64" t="s">
        <v>34</v>
      </c>
      <c r="G1220" s="156"/>
      <c r="H1220" s="140" t="str">
        <f t="shared" si="465"/>
        <v>Roltrappen(inclusief aangrenzende bouwdelen)</v>
      </c>
      <c r="I1220" s="64" t="s">
        <v>1251</v>
      </c>
      <c r="J1220" s="64" t="s">
        <v>1255</v>
      </c>
      <c r="K1220" s="141" t="str">
        <f t="shared" si="466"/>
        <v>Volledig</v>
      </c>
      <c r="L1220" s="141" t="str">
        <f t="shared" si="467"/>
        <v>naloop</v>
      </c>
      <c r="M1220" s="141" t="str">
        <f t="shared" si="468"/>
        <v>naloop</v>
      </c>
      <c r="N1220" s="141" t="str">
        <f t="shared" si="469"/>
        <v>Volledig</v>
      </c>
      <c r="O1220" s="141" t="str">
        <f t="shared" si="470"/>
        <v>naloop</v>
      </c>
      <c r="P1220" s="141" t="str">
        <f t="shared" si="471"/>
        <v>naloop</v>
      </c>
      <c r="Q1220" s="141" t="str">
        <f t="shared" si="472"/>
        <v>naloop</v>
      </c>
      <c r="R1220" s="64" t="s">
        <v>1217</v>
      </c>
      <c r="S1220" s="142">
        <f t="shared" si="459"/>
        <v>365</v>
      </c>
      <c r="T1220" s="157">
        <v>33</v>
      </c>
      <c r="U1220" s="158"/>
      <c r="V1220" s="158"/>
      <c r="W1220" s="158"/>
      <c r="X1220" s="158">
        <v>18</v>
      </c>
      <c r="Y1220" s="158"/>
      <c r="Z1220" s="159"/>
      <c r="AA1220" s="159"/>
      <c r="AB1220" s="159"/>
      <c r="AC1220" s="159"/>
      <c r="AD1220" s="160"/>
      <c r="AE1220" s="171">
        <v>1</v>
      </c>
      <c r="AF1220" s="162">
        <f t="shared" si="476"/>
        <v>0</v>
      </c>
      <c r="AG1220" s="162">
        <f t="shared" si="477"/>
        <v>0</v>
      </c>
      <c r="AH1220" s="162">
        <f t="shared" si="478"/>
        <v>0</v>
      </c>
      <c r="AI1220" s="162">
        <f t="shared" si="479"/>
        <v>0</v>
      </c>
      <c r="AJ1220" s="148" t="str">
        <f t="shared" si="473"/>
        <v>ja</v>
      </c>
      <c r="AK1220" s="161">
        <f t="shared" si="460"/>
        <v>0</v>
      </c>
      <c r="AL1220" s="161">
        <f t="shared" si="461"/>
        <v>0</v>
      </c>
      <c r="AM1220" s="161">
        <f t="shared" si="462"/>
        <v>0</v>
      </c>
      <c r="AN1220" s="161">
        <f t="shared" si="463"/>
        <v>0</v>
      </c>
      <c r="AO1220" s="150" t="str">
        <f t="shared" si="474"/>
        <v>V</v>
      </c>
      <c r="AQ1220" s="151">
        <f t="shared" si="475"/>
        <v>12045</v>
      </c>
    </row>
    <row r="1221" spans="1:43" ht="15" customHeight="1">
      <c r="A1221" s="82" t="e">
        <f t="shared" si="464"/>
        <v>#REF!</v>
      </c>
      <c r="B1221" s="152">
        <v>307</v>
      </c>
      <c r="C1221" s="153" t="s">
        <v>1332</v>
      </c>
      <c r="D1221" s="154" t="s">
        <v>1331</v>
      </c>
      <c r="E1221" s="155"/>
      <c r="F1221" s="64" t="s">
        <v>1422</v>
      </c>
      <c r="G1221" s="156"/>
      <c r="H1221" s="140" t="str">
        <f t="shared" si="465"/>
        <v>Bestrating</v>
      </c>
      <c r="I1221" s="64" t="s">
        <v>1254</v>
      </c>
      <c r="J1221" s="138" t="s">
        <v>1171</v>
      </c>
      <c r="K1221" s="141" t="str">
        <f t="shared" si="466"/>
        <v>Omde dag Vol/Nal.</v>
      </c>
      <c r="L1221" s="141" t="str">
        <f t="shared" si="467"/>
        <v>Omde dag Nal./Vol</v>
      </c>
      <c r="M1221" s="141" t="str">
        <f t="shared" si="468"/>
        <v>Omde dag Vol/Nal.</v>
      </c>
      <c r="N1221" s="141" t="str">
        <f t="shared" si="469"/>
        <v>Omde dag Nal./Vol</v>
      </c>
      <c r="O1221" s="141" t="str">
        <f t="shared" si="470"/>
        <v>Omde dag Vol/Nal.</v>
      </c>
      <c r="P1221" s="141" t="str">
        <f t="shared" si="471"/>
        <v>Omde dag Nal./Vol</v>
      </c>
      <c r="Q1221" s="141" t="str">
        <f t="shared" si="472"/>
        <v>Omde dag Vol/Nal.</v>
      </c>
      <c r="R1221" s="64" t="s">
        <v>1470</v>
      </c>
      <c r="S1221" s="142">
        <f t="shared" si="459"/>
        <v>365</v>
      </c>
      <c r="T1221" s="157">
        <v>366</v>
      </c>
      <c r="U1221" s="158">
        <v>60</v>
      </c>
      <c r="V1221" s="158"/>
      <c r="W1221" s="158"/>
      <c r="X1221" s="158"/>
      <c r="Y1221" s="158"/>
      <c r="Z1221" s="159"/>
      <c r="AA1221" s="159"/>
      <c r="AB1221" s="159"/>
      <c r="AC1221" s="159"/>
      <c r="AD1221" s="160"/>
      <c r="AE1221" s="171">
        <v>1</v>
      </c>
      <c r="AF1221" s="162">
        <f t="shared" si="476"/>
        <v>0</v>
      </c>
      <c r="AG1221" s="162">
        <f t="shared" si="477"/>
        <v>0</v>
      </c>
      <c r="AH1221" s="162">
        <f t="shared" si="478"/>
        <v>0</v>
      </c>
      <c r="AI1221" s="162">
        <f t="shared" si="479"/>
        <v>0</v>
      </c>
      <c r="AJ1221" s="148" t="str">
        <f t="shared" si="473"/>
        <v>ja</v>
      </c>
      <c r="AK1221" s="161">
        <f t="shared" si="460"/>
        <v>0</v>
      </c>
      <c r="AL1221" s="161">
        <f t="shared" si="461"/>
        <v>0</v>
      </c>
      <c r="AM1221" s="161">
        <f t="shared" si="462"/>
        <v>0</v>
      </c>
      <c r="AN1221" s="161">
        <f t="shared" si="463"/>
        <v>0</v>
      </c>
      <c r="AO1221" s="150" t="str">
        <f t="shared" si="474"/>
        <v>V</v>
      </c>
      <c r="AQ1221" s="151">
        <f t="shared" si="475"/>
        <v>133590</v>
      </c>
    </row>
    <row r="1222" spans="1:43" ht="15" customHeight="1">
      <c r="A1222" s="82" t="e">
        <f t="shared" si="464"/>
        <v>#REF!</v>
      </c>
      <c r="B1222" s="152">
        <v>307</v>
      </c>
      <c r="C1222" s="153" t="s">
        <v>1332</v>
      </c>
      <c r="D1222" s="154" t="s">
        <v>1331</v>
      </c>
      <c r="E1222" s="155"/>
      <c r="F1222" s="64" t="s">
        <v>117</v>
      </c>
      <c r="G1222" s="156" t="s">
        <v>1423</v>
      </c>
      <c r="H1222" s="140" t="str">
        <f t="shared" si="465"/>
        <v>Perrons</v>
      </c>
      <c r="I1222" s="64" t="s">
        <v>231</v>
      </c>
      <c r="J1222" s="138" t="s">
        <v>1171</v>
      </c>
      <c r="K1222" s="141" t="str">
        <f t="shared" si="466"/>
        <v>Omde dag Vol/Nal.</v>
      </c>
      <c r="L1222" s="141" t="str">
        <f t="shared" si="467"/>
        <v>Omde dag Nal./Vol</v>
      </c>
      <c r="M1222" s="141" t="str">
        <f t="shared" si="468"/>
        <v>Omde dag Vol/Nal.</v>
      </c>
      <c r="N1222" s="141" t="str">
        <f t="shared" si="469"/>
        <v>Omde dag Nal./Vol</v>
      </c>
      <c r="O1222" s="141" t="str">
        <f t="shared" si="470"/>
        <v>Omde dag Vol/Nal.</v>
      </c>
      <c r="P1222" s="141" t="str">
        <f t="shared" si="471"/>
        <v>Omde dag Nal./Vol</v>
      </c>
      <c r="Q1222" s="141" t="str">
        <f t="shared" si="472"/>
        <v>Omde dag Vol/Nal.</v>
      </c>
      <c r="R1222" s="63" t="s">
        <v>1209</v>
      </c>
      <c r="S1222" s="142">
        <f t="shared" si="459"/>
        <v>365</v>
      </c>
      <c r="T1222" s="157">
        <v>472</v>
      </c>
      <c r="U1222" s="158"/>
      <c r="V1222" s="158"/>
      <c r="W1222" s="158"/>
      <c r="X1222" s="158"/>
      <c r="Y1222" s="158"/>
      <c r="Z1222" s="159"/>
      <c r="AA1222" s="159"/>
      <c r="AB1222" s="159">
        <v>50</v>
      </c>
      <c r="AC1222" s="159"/>
      <c r="AD1222" s="160"/>
      <c r="AE1222" s="171">
        <v>1</v>
      </c>
      <c r="AF1222" s="162">
        <f t="shared" si="476"/>
        <v>0</v>
      </c>
      <c r="AG1222" s="162">
        <f t="shared" si="477"/>
        <v>0</v>
      </c>
      <c r="AH1222" s="162">
        <f t="shared" si="478"/>
        <v>0</v>
      </c>
      <c r="AI1222" s="162">
        <f t="shared" si="479"/>
        <v>0</v>
      </c>
      <c r="AJ1222" s="148" t="str">
        <f t="shared" si="473"/>
        <v>ja</v>
      </c>
      <c r="AK1222" s="161">
        <f t="shared" si="460"/>
        <v>0</v>
      </c>
      <c r="AL1222" s="161">
        <f t="shared" si="461"/>
        <v>0</v>
      </c>
      <c r="AM1222" s="161">
        <f t="shared" si="462"/>
        <v>0</v>
      </c>
      <c r="AN1222" s="161">
        <f t="shared" si="463"/>
        <v>0</v>
      </c>
      <c r="AO1222" s="150" t="str">
        <f t="shared" si="474"/>
        <v>V</v>
      </c>
      <c r="AQ1222" s="151">
        <f t="shared" si="475"/>
        <v>172280</v>
      </c>
    </row>
    <row r="1223" spans="1:43" ht="15" customHeight="1">
      <c r="A1223" s="82" t="e">
        <f t="shared" si="464"/>
        <v>#REF!</v>
      </c>
      <c r="B1223" s="152">
        <v>307</v>
      </c>
      <c r="C1223" s="153" t="s">
        <v>1332</v>
      </c>
      <c r="D1223" s="154" t="s">
        <v>1331</v>
      </c>
      <c r="E1223" s="155"/>
      <c r="F1223" s="64" t="s">
        <v>117</v>
      </c>
      <c r="G1223" s="156" t="s">
        <v>25</v>
      </c>
      <c r="H1223" s="140" t="str">
        <f t="shared" si="465"/>
        <v>Perrons</v>
      </c>
      <c r="I1223" s="64" t="s">
        <v>1394</v>
      </c>
      <c r="J1223" s="138" t="s">
        <v>1171</v>
      </c>
      <c r="K1223" s="141" t="str">
        <f t="shared" si="466"/>
        <v>Omde dag Vol/Nal.</v>
      </c>
      <c r="L1223" s="141" t="str">
        <f t="shared" si="467"/>
        <v>Omde dag Nal./Vol</v>
      </c>
      <c r="M1223" s="141" t="str">
        <f t="shared" si="468"/>
        <v>Omde dag Vol/Nal.</v>
      </c>
      <c r="N1223" s="141" t="str">
        <f t="shared" si="469"/>
        <v>Omde dag Nal./Vol</v>
      </c>
      <c r="O1223" s="141" t="str">
        <f t="shared" si="470"/>
        <v>Omde dag Vol/Nal.</v>
      </c>
      <c r="P1223" s="141" t="str">
        <f t="shared" si="471"/>
        <v>Omde dag Nal./Vol</v>
      </c>
      <c r="Q1223" s="141" t="str">
        <f t="shared" si="472"/>
        <v>Omde dag Vol/Nal.</v>
      </c>
      <c r="R1223" s="63" t="s">
        <v>1209</v>
      </c>
      <c r="S1223" s="142">
        <f t="shared" si="459"/>
        <v>365</v>
      </c>
      <c r="T1223" s="157">
        <v>966</v>
      </c>
      <c r="U1223" s="158"/>
      <c r="V1223" s="158"/>
      <c r="W1223" s="158"/>
      <c r="X1223" s="158"/>
      <c r="Y1223" s="158"/>
      <c r="Z1223" s="159"/>
      <c r="AA1223" s="159"/>
      <c r="AB1223" s="159">
        <v>966</v>
      </c>
      <c r="AC1223" s="159"/>
      <c r="AD1223" s="160"/>
      <c r="AE1223" s="171">
        <v>1</v>
      </c>
      <c r="AF1223" s="162">
        <f t="shared" si="476"/>
        <v>0</v>
      </c>
      <c r="AG1223" s="162">
        <f t="shared" si="477"/>
        <v>0</v>
      </c>
      <c r="AH1223" s="162">
        <f t="shared" si="478"/>
        <v>0</v>
      </c>
      <c r="AI1223" s="162">
        <f t="shared" si="479"/>
        <v>0</v>
      </c>
      <c r="AJ1223" s="148" t="str">
        <f t="shared" si="473"/>
        <v>ja</v>
      </c>
      <c r="AK1223" s="161">
        <f t="shared" si="460"/>
        <v>0</v>
      </c>
      <c r="AL1223" s="161">
        <f t="shared" si="461"/>
        <v>0</v>
      </c>
      <c r="AM1223" s="161">
        <f t="shared" si="462"/>
        <v>0</v>
      </c>
      <c r="AN1223" s="161">
        <f t="shared" si="463"/>
        <v>0</v>
      </c>
      <c r="AO1223" s="150" t="str">
        <f t="shared" si="474"/>
        <v>V</v>
      </c>
      <c r="AQ1223" s="151">
        <f t="shared" si="475"/>
        <v>352590</v>
      </c>
    </row>
    <row r="1224" spans="1:43" ht="15" customHeight="1">
      <c r="A1224" s="82" t="e">
        <f t="shared" si="464"/>
        <v>#REF!</v>
      </c>
      <c r="B1224" s="152">
        <v>307</v>
      </c>
      <c r="C1224" s="153" t="s">
        <v>1332</v>
      </c>
      <c r="D1224" s="154" t="s">
        <v>1331</v>
      </c>
      <c r="E1224" s="155"/>
      <c r="F1224" s="64" t="s">
        <v>117</v>
      </c>
      <c r="G1224" s="156" t="s">
        <v>25</v>
      </c>
      <c r="H1224" s="140" t="str">
        <f t="shared" si="465"/>
        <v>Perrons</v>
      </c>
      <c r="I1224" s="64" t="s">
        <v>1254</v>
      </c>
      <c r="J1224" s="138" t="s">
        <v>1171</v>
      </c>
      <c r="K1224" s="141" t="str">
        <f t="shared" si="466"/>
        <v>Omde dag Vol/Nal.</v>
      </c>
      <c r="L1224" s="141" t="str">
        <f t="shared" si="467"/>
        <v>Omde dag Nal./Vol</v>
      </c>
      <c r="M1224" s="141" t="str">
        <f t="shared" si="468"/>
        <v>Omde dag Vol/Nal.</v>
      </c>
      <c r="N1224" s="141" t="str">
        <f t="shared" si="469"/>
        <v>Omde dag Nal./Vol</v>
      </c>
      <c r="O1224" s="141" t="str">
        <f t="shared" si="470"/>
        <v>Omde dag Vol/Nal.</v>
      </c>
      <c r="P1224" s="141" t="str">
        <f t="shared" si="471"/>
        <v>Omde dag Nal./Vol</v>
      </c>
      <c r="Q1224" s="141" t="str">
        <f t="shared" si="472"/>
        <v>Omde dag Vol/Nal.</v>
      </c>
      <c r="R1224" s="63" t="s">
        <v>1209</v>
      </c>
      <c r="S1224" s="142">
        <f t="shared" si="459"/>
        <v>365</v>
      </c>
      <c r="T1224" s="157">
        <v>188</v>
      </c>
      <c r="U1224" s="158"/>
      <c r="V1224" s="158"/>
      <c r="W1224" s="158"/>
      <c r="X1224" s="158"/>
      <c r="Y1224" s="158"/>
      <c r="Z1224" s="159"/>
      <c r="AA1224" s="159"/>
      <c r="AB1224" s="159">
        <v>188</v>
      </c>
      <c r="AC1224" s="159"/>
      <c r="AD1224" s="160"/>
      <c r="AE1224" s="171">
        <v>1</v>
      </c>
      <c r="AF1224" s="162">
        <f t="shared" si="476"/>
        <v>0</v>
      </c>
      <c r="AG1224" s="162">
        <f t="shared" si="477"/>
        <v>0</v>
      </c>
      <c r="AH1224" s="162">
        <f t="shared" si="478"/>
        <v>0</v>
      </c>
      <c r="AI1224" s="162">
        <f t="shared" si="479"/>
        <v>0</v>
      </c>
      <c r="AJ1224" s="148" t="str">
        <f t="shared" si="473"/>
        <v>ja</v>
      </c>
      <c r="AK1224" s="161">
        <f t="shared" si="460"/>
        <v>0</v>
      </c>
      <c r="AL1224" s="161">
        <f t="shared" si="461"/>
        <v>0</v>
      </c>
      <c r="AM1224" s="161">
        <f t="shared" si="462"/>
        <v>0</v>
      </c>
      <c r="AN1224" s="161">
        <f t="shared" si="463"/>
        <v>0</v>
      </c>
      <c r="AO1224" s="150" t="str">
        <f t="shared" si="474"/>
        <v>V</v>
      </c>
      <c r="AQ1224" s="151">
        <f t="shared" si="475"/>
        <v>68620</v>
      </c>
    </row>
    <row r="1225" spans="1:43" ht="15" customHeight="1">
      <c r="A1225" s="82" t="e">
        <f t="shared" si="464"/>
        <v>#REF!</v>
      </c>
      <c r="B1225" s="152">
        <v>307</v>
      </c>
      <c r="C1225" s="153" t="s">
        <v>1332</v>
      </c>
      <c r="D1225" s="154" t="s">
        <v>1331</v>
      </c>
      <c r="E1225" s="155"/>
      <c r="F1225" s="64" t="s">
        <v>1349</v>
      </c>
      <c r="G1225" s="156" t="s">
        <v>1424</v>
      </c>
      <c r="H1225" s="140" t="str">
        <f t="shared" si="465"/>
        <v>Niet van toepassing</v>
      </c>
      <c r="I1225" s="64" t="s">
        <v>270</v>
      </c>
      <c r="J1225" s="138" t="s">
        <v>1172</v>
      </c>
      <c r="K1225" s="141" t="str">
        <f t="shared" si="466"/>
        <v>NVT</v>
      </c>
      <c r="L1225" s="141" t="str">
        <f t="shared" si="467"/>
        <v>NVT</v>
      </c>
      <c r="M1225" s="141" t="str">
        <f t="shared" si="468"/>
        <v>NVT</v>
      </c>
      <c r="N1225" s="141" t="str">
        <f t="shared" si="469"/>
        <v>NVT</v>
      </c>
      <c r="O1225" s="141" t="str">
        <f t="shared" si="470"/>
        <v>NVT</v>
      </c>
      <c r="P1225" s="141" t="str">
        <f t="shared" si="471"/>
        <v>NVT</v>
      </c>
      <c r="Q1225" s="141" t="str">
        <f t="shared" si="472"/>
        <v>NVT</v>
      </c>
      <c r="R1225" s="63" t="s">
        <v>1221</v>
      </c>
      <c r="S1225" s="142">
        <f t="shared" si="459"/>
        <v>0</v>
      </c>
      <c r="T1225" s="157">
        <v>53.8</v>
      </c>
      <c r="U1225" s="158">
        <v>10</v>
      </c>
      <c r="V1225" s="158">
        <v>84</v>
      </c>
      <c r="W1225" s="158"/>
      <c r="X1225" s="158"/>
      <c r="Y1225" s="158"/>
      <c r="Z1225" s="159"/>
      <c r="AA1225" s="159"/>
      <c r="AB1225" s="159"/>
      <c r="AC1225" s="159"/>
      <c r="AD1225" s="160"/>
      <c r="AE1225" s="171">
        <v>1</v>
      </c>
      <c r="AF1225" s="162">
        <f t="shared" si="476"/>
        <v>0</v>
      </c>
      <c r="AG1225" s="162">
        <f t="shared" si="477"/>
        <v>0</v>
      </c>
      <c r="AH1225" s="162">
        <f t="shared" si="478"/>
        <v>0</v>
      </c>
      <c r="AI1225" s="162">
        <f t="shared" si="479"/>
        <v>0</v>
      </c>
      <c r="AJ1225" s="148">
        <f t="shared" si="473"/>
        <v>0</v>
      </c>
      <c r="AK1225" s="161">
        <f t="shared" si="460"/>
        <v>0</v>
      </c>
      <c r="AL1225" s="161">
        <f t="shared" si="461"/>
        <v>0</v>
      </c>
      <c r="AM1225" s="161">
        <f t="shared" si="462"/>
        <v>0</v>
      </c>
      <c r="AN1225" s="161">
        <f t="shared" si="463"/>
        <v>0</v>
      </c>
      <c r="AO1225" s="150">
        <f t="shared" si="474"/>
        <v>0</v>
      </c>
      <c r="AQ1225" s="151">
        <f t="shared" si="475"/>
        <v>0</v>
      </c>
    </row>
    <row r="1226" spans="1:43" ht="15" customHeight="1">
      <c r="A1226" s="82" t="e">
        <f t="shared" si="464"/>
        <v>#REF!</v>
      </c>
      <c r="B1226" s="152">
        <v>307</v>
      </c>
      <c r="C1226" s="153" t="s">
        <v>1332</v>
      </c>
      <c r="D1226" s="154" t="s">
        <v>1331</v>
      </c>
      <c r="E1226" s="155"/>
      <c r="F1226" s="64" t="s">
        <v>123</v>
      </c>
      <c r="G1226" s="156" t="s">
        <v>113</v>
      </c>
      <c r="H1226" s="140" t="str">
        <f t="shared" si="465"/>
        <v>Bestrating</v>
      </c>
      <c r="I1226" s="64" t="s">
        <v>1254</v>
      </c>
      <c r="J1226" s="138" t="s">
        <v>1171</v>
      </c>
      <c r="K1226" s="141" t="str">
        <f t="shared" si="466"/>
        <v>Omde dag Vol/Nal.</v>
      </c>
      <c r="L1226" s="141" t="str">
        <f t="shared" si="467"/>
        <v>Omde dag Nal./Vol</v>
      </c>
      <c r="M1226" s="141" t="str">
        <f t="shared" si="468"/>
        <v>Omde dag Vol/Nal.</v>
      </c>
      <c r="N1226" s="141" t="str">
        <f t="shared" si="469"/>
        <v>Omde dag Nal./Vol</v>
      </c>
      <c r="O1226" s="141" t="str">
        <f t="shared" si="470"/>
        <v>Omde dag Vol/Nal.</v>
      </c>
      <c r="P1226" s="141" t="str">
        <f t="shared" si="471"/>
        <v>Omde dag Nal./Vol</v>
      </c>
      <c r="Q1226" s="141" t="str">
        <f t="shared" si="472"/>
        <v>Omde dag Vol/Nal.</v>
      </c>
      <c r="R1226" s="64" t="s">
        <v>1470</v>
      </c>
      <c r="S1226" s="142">
        <f t="shared" si="459"/>
        <v>365</v>
      </c>
      <c r="T1226" s="157">
        <v>135</v>
      </c>
      <c r="U1226" s="158">
        <v>130</v>
      </c>
      <c r="V1226" s="158"/>
      <c r="W1226" s="158"/>
      <c r="X1226" s="158"/>
      <c r="Y1226" s="158"/>
      <c r="Z1226" s="159"/>
      <c r="AA1226" s="159"/>
      <c r="AB1226" s="159"/>
      <c r="AC1226" s="159">
        <v>43</v>
      </c>
      <c r="AD1226" s="160"/>
      <c r="AE1226" s="171">
        <v>1</v>
      </c>
      <c r="AF1226" s="162">
        <f t="shared" si="476"/>
        <v>0</v>
      </c>
      <c r="AG1226" s="162">
        <f t="shared" si="477"/>
        <v>0</v>
      </c>
      <c r="AH1226" s="162">
        <f t="shared" si="478"/>
        <v>0</v>
      </c>
      <c r="AI1226" s="162">
        <f t="shared" si="479"/>
        <v>0</v>
      </c>
      <c r="AJ1226" s="148" t="str">
        <f t="shared" si="473"/>
        <v>ja</v>
      </c>
      <c r="AK1226" s="161">
        <f t="shared" si="460"/>
        <v>0</v>
      </c>
      <c r="AL1226" s="161">
        <f t="shared" si="461"/>
        <v>0</v>
      </c>
      <c r="AM1226" s="161">
        <f t="shared" si="462"/>
        <v>0</v>
      </c>
      <c r="AN1226" s="161">
        <f t="shared" si="463"/>
        <v>0</v>
      </c>
      <c r="AO1226" s="150" t="str">
        <f t="shared" si="474"/>
        <v>V</v>
      </c>
      <c r="AQ1226" s="151">
        <f t="shared" si="475"/>
        <v>49275</v>
      </c>
    </row>
    <row r="1227" spans="1:43" ht="15" customHeight="1">
      <c r="A1227" s="82" t="e">
        <f t="shared" si="464"/>
        <v>#REF!</v>
      </c>
      <c r="B1227" s="152">
        <v>307</v>
      </c>
      <c r="C1227" s="153" t="s">
        <v>1332</v>
      </c>
      <c r="D1227" s="154" t="s">
        <v>1331</v>
      </c>
      <c r="E1227" s="155"/>
      <c r="F1227" s="64" t="s">
        <v>1425</v>
      </c>
      <c r="G1227" s="156" t="s">
        <v>24</v>
      </c>
      <c r="H1227" s="140" t="str">
        <f t="shared" si="465"/>
        <v>Niet van toepassing</v>
      </c>
      <c r="I1227" s="64" t="s">
        <v>195</v>
      </c>
      <c r="J1227" s="138" t="s">
        <v>1172</v>
      </c>
      <c r="K1227" s="141" t="str">
        <f t="shared" si="466"/>
        <v>NVT</v>
      </c>
      <c r="L1227" s="141" t="str">
        <f t="shared" si="467"/>
        <v>NVT</v>
      </c>
      <c r="M1227" s="141" t="str">
        <f t="shared" si="468"/>
        <v>NVT</v>
      </c>
      <c r="N1227" s="141" t="str">
        <f t="shared" si="469"/>
        <v>NVT</v>
      </c>
      <c r="O1227" s="141" t="str">
        <f t="shared" si="470"/>
        <v>NVT</v>
      </c>
      <c r="P1227" s="141" t="str">
        <f t="shared" si="471"/>
        <v>NVT</v>
      </c>
      <c r="Q1227" s="141" t="str">
        <f t="shared" si="472"/>
        <v>NVT</v>
      </c>
      <c r="R1227" s="63" t="s">
        <v>1221</v>
      </c>
      <c r="S1227" s="142">
        <f t="shared" si="459"/>
        <v>0</v>
      </c>
      <c r="T1227" s="157">
        <v>31</v>
      </c>
      <c r="U1227" s="158"/>
      <c r="V1227" s="158">
        <v>27</v>
      </c>
      <c r="W1227" s="158"/>
      <c r="X1227" s="158"/>
      <c r="Y1227" s="158"/>
      <c r="Z1227" s="159"/>
      <c r="AA1227" s="159"/>
      <c r="AB1227" s="159">
        <v>31</v>
      </c>
      <c r="AC1227" s="159"/>
      <c r="AD1227" s="160"/>
      <c r="AE1227" s="171">
        <v>1</v>
      </c>
      <c r="AF1227" s="162">
        <f t="shared" si="476"/>
        <v>0</v>
      </c>
      <c r="AG1227" s="162">
        <f t="shared" si="477"/>
        <v>0</v>
      </c>
      <c r="AH1227" s="162">
        <f t="shared" si="478"/>
        <v>0</v>
      </c>
      <c r="AI1227" s="162">
        <f t="shared" si="479"/>
        <v>0</v>
      </c>
      <c r="AJ1227" s="148">
        <f t="shared" si="473"/>
        <v>0</v>
      </c>
      <c r="AK1227" s="161">
        <f t="shared" si="460"/>
        <v>0</v>
      </c>
      <c r="AL1227" s="161">
        <f t="shared" si="461"/>
        <v>0</v>
      </c>
      <c r="AM1227" s="161">
        <f t="shared" si="462"/>
        <v>0</v>
      </c>
      <c r="AN1227" s="161">
        <f t="shared" si="463"/>
        <v>0</v>
      </c>
      <c r="AO1227" s="150">
        <f t="shared" si="474"/>
        <v>0</v>
      </c>
      <c r="AQ1227" s="151">
        <f t="shared" si="475"/>
        <v>0</v>
      </c>
    </row>
    <row r="1228" spans="1:43" ht="15" customHeight="1">
      <c r="A1228" s="82" t="e">
        <f t="shared" si="464"/>
        <v>#REF!</v>
      </c>
      <c r="B1228" s="152">
        <v>307</v>
      </c>
      <c r="C1228" s="153" t="s">
        <v>1332</v>
      </c>
      <c r="D1228" s="154" t="s">
        <v>1331</v>
      </c>
      <c r="E1228" s="155"/>
      <c r="F1228" s="64" t="s">
        <v>1425</v>
      </c>
      <c r="G1228" s="156" t="s">
        <v>116</v>
      </c>
      <c r="H1228" s="140" t="str">
        <f t="shared" si="465"/>
        <v>Niet van toepassing</v>
      </c>
      <c r="I1228" s="64" t="s">
        <v>195</v>
      </c>
      <c r="J1228" s="138" t="s">
        <v>1172</v>
      </c>
      <c r="K1228" s="141" t="str">
        <f t="shared" si="466"/>
        <v>NVT</v>
      </c>
      <c r="L1228" s="141" t="str">
        <f t="shared" si="467"/>
        <v>NVT</v>
      </c>
      <c r="M1228" s="141" t="str">
        <f t="shared" si="468"/>
        <v>NVT</v>
      </c>
      <c r="N1228" s="141" t="str">
        <f t="shared" si="469"/>
        <v>NVT</v>
      </c>
      <c r="O1228" s="141" t="str">
        <f t="shared" si="470"/>
        <v>NVT</v>
      </c>
      <c r="P1228" s="141" t="str">
        <f t="shared" si="471"/>
        <v>NVT</v>
      </c>
      <c r="Q1228" s="141" t="str">
        <f t="shared" si="472"/>
        <v>NVT</v>
      </c>
      <c r="R1228" s="63" t="s">
        <v>1221</v>
      </c>
      <c r="S1228" s="142">
        <f t="shared" ref="S1228:S1291" si="480">VLOOKUP(R1228,Kengetal,2,FALSE)</f>
        <v>0</v>
      </c>
      <c r="T1228" s="157">
        <v>5</v>
      </c>
      <c r="U1228" s="158"/>
      <c r="V1228" s="158">
        <v>38</v>
      </c>
      <c r="W1228" s="158"/>
      <c r="X1228" s="158"/>
      <c r="Y1228" s="158"/>
      <c r="Z1228" s="159"/>
      <c r="AA1228" s="159"/>
      <c r="AB1228" s="159">
        <v>5</v>
      </c>
      <c r="AC1228" s="159"/>
      <c r="AD1228" s="160"/>
      <c r="AE1228" s="171">
        <v>1</v>
      </c>
      <c r="AF1228" s="162">
        <f t="shared" si="476"/>
        <v>0</v>
      </c>
      <c r="AG1228" s="162">
        <f t="shared" si="477"/>
        <v>0</v>
      </c>
      <c r="AH1228" s="162">
        <f t="shared" si="478"/>
        <v>0</v>
      </c>
      <c r="AI1228" s="162">
        <f t="shared" si="479"/>
        <v>0</v>
      </c>
      <c r="AJ1228" s="148">
        <f t="shared" si="473"/>
        <v>0</v>
      </c>
      <c r="AK1228" s="161">
        <f t="shared" si="460"/>
        <v>0</v>
      </c>
      <c r="AL1228" s="161">
        <f t="shared" si="461"/>
        <v>0</v>
      </c>
      <c r="AM1228" s="161">
        <f t="shared" si="462"/>
        <v>0</v>
      </c>
      <c r="AN1228" s="161">
        <f t="shared" si="463"/>
        <v>0</v>
      </c>
      <c r="AO1228" s="150">
        <f t="shared" si="474"/>
        <v>0</v>
      </c>
      <c r="AQ1228" s="151">
        <f t="shared" si="475"/>
        <v>0</v>
      </c>
    </row>
    <row r="1229" spans="1:43" ht="15" customHeight="1">
      <c r="A1229" s="82" t="e">
        <f t="shared" si="464"/>
        <v>#REF!</v>
      </c>
      <c r="B1229" s="152">
        <v>307</v>
      </c>
      <c r="C1229" s="153" t="s">
        <v>1332</v>
      </c>
      <c r="D1229" s="154" t="s">
        <v>1331</v>
      </c>
      <c r="E1229" s="155"/>
      <c r="F1229" s="64" t="s">
        <v>1425</v>
      </c>
      <c r="G1229" s="156" t="s">
        <v>36</v>
      </c>
      <c r="H1229" s="140" t="str">
        <f t="shared" si="465"/>
        <v>Niet van toepassing</v>
      </c>
      <c r="I1229" s="64" t="s">
        <v>195</v>
      </c>
      <c r="J1229" s="138" t="s">
        <v>1172</v>
      </c>
      <c r="K1229" s="141" t="str">
        <f t="shared" si="466"/>
        <v>NVT</v>
      </c>
      <c r="L1229" s="141" t="str">
        <f t="shared" si="467"/>
        <v>NVT</v>
      </c>
      <c r="M1229" s="141" t="str">
        <f t="shared" si="468"/>
        <v>NVT</v>
      </c>
      <c r="N1229" s="141" t="str">
        <f t="shared" si="469"/>
        <v>NVT</v>
      </c>
      <c r="O1229" s="141" t="str">
        <f t="shared" si="470"/>
        <v>NVT</v>
      </c>
      <c r="P1229" s="141" t="str">
        <f t="shared" si="471"/>
        <v>NVT</v>
      </c>
      <c r="Q1229" s="141" t="str">
        <f t="shared" si="472"/>
        <v>NVT</v>
      </c>
      <c r="R1229" s="63" t="s">
        <v>1221</v>
      </c>
      <c r="S1229" s="142">
        <f t="shared" si="480"/>
        <v>0</v>
      </c>
      <c r="T1229" s="157">
        <v>36</v>
      </c>
      <c r="U1229" s="158"/>
      <c r="V1229" s="158">
        <v>38</v>
      </c>
      <c r="W1229" s="158"/>
      <c r="X1229" s="158"/>
      <c r="Y1229" s="158"/>
      <c r="Z1229" s="159"/>
      <c r="AA1229" s="159"/>
      <c r="AB1229" s="159">
        <v>36</v>
      </c>
      <c r="AC1229" s="159"/>
      <c r="AD1229" s="160"/>
      <c r="AE1229" s="171">
        <v>1</v>
      </c>
      <c r="AF1229" s="162">
        <f t="shared" si="476"/>
        <v>0</v>
      </c>
      <c r="AG1229" s="162">
        <f t="shared" si="477"/>
        <v>0</v>
      </c>
      <c r="AH1229" s="162">
        <f t="shared" si="478"/>
        <v>0</v>
      </c>
      <c r="AI1229" s="162">
        <f t="shared" si="479"/>
        <v>0</v>
      </c>
      <c r="AJ1229" s="148">
        <f t="shared" si="473"/>
        <v>0</v>
      </c>
      <c r="AK1229" s="161">
        <f t="shared" si="460"/>
        <v>0</v>
      </c>
      <c r="AL1229" s="161">
        <f t="shared" si="461"/>
        <v>0</v>
      </c>
      <c r="AM1229" s="161">
        <f t="shared" si="462"/>
        <v>0</v>
      </c>
      <c r="AN1229" s="161">
        <f t="shared" si="463"/>
        <v>0</v>
      </c>
      <c r="AO1229" s="150">
        <f t="shared" si="474"/>
        <v>0</v>
      </c>
      <c r="AQ1229" s="151">
        <f t="shared" si="475"/>
        <v>0</v>
      </c>
    </row>
    <row r="1230" spans="1:43" ht="15" customHeight="1">
      <c r="A1230" s="82" t="e">
        <f t="shared" si="464"/>
        <v>#REF!</v>
      </c>
      <c r="B1230" s="152">
        <v>307</v>
      </c>
      <c r="C1230" s="153" t="s">
        <v>1332</v>
      </c>
      <c r="D1230" s="154" t="s">
        <v>1331</v>
      </c>
      <c r="E1230" s="155"/>
      <c r="F1230" s="64" t="s">
        <v>1425</v>
      </c>
      <c r="G1230" s="156" t="s">
        <v>291</v>
      </c>
      <c r="H1230" s="140" t="str">
        <f t="shared" si="465"/>
        <v>Niet van toepassing</v>
      </c>
      <c r="I1230" s="64" t="s">
        <v>195</v>
      </c>
      <c r="J1230" s="138" t="s">
        <v>1172</v>
      </c>
      <c r="K1230" s="141" t="str">
        <f t="shared" si="466"/>
        <v>NVT</v>
      </c>
      <c r="L1230" s="141" t="str">
        <f t="shared" si="467"/>
        <v>NVT</v>
      </c>
      <c r="M1230" s="141" t="str">
        <f t="shared" si="468"/>
        <v>NVT</v>
      </c>
      <c r="N1230" s="141" t="str">
        <f t="shared" si="469"/>
        <v>NVT</v>
      </c>
      <c r="O1230" s="141" t="str">
        <f t="shared" si="470"/>
        <v>NVT</v>
      </c>
      <c r="P1230" s="141" t="str">
        <f t="shared" si="471"/>
        <v>NVT</v>
      </c>
      <c r="Q1230" s="141" t="str">
        <f t="shared" si="472"/>
        <v>NVT</v>
      </c>
      <c r="R1230" s="63" t="s">
        <v>1221</v>
      </c>
      <c r="S1230" s="142">
        <f t="shared" si="480"/>
        <v>0</v>
      </c>
      <c r="T1230" s="157">
        <v>11</v>
      </c>
      <c r="U1230" s="158"/>
      <c r="V1230" s="158">
        <v>38</v>
      </c>
      <c r="W1230" s="158"/>
      <c r="X1230" s="158"/>
      <c r="Y1230" s="158"/>
      <c r="Z1230" s="159"/>
      <c r="AA1230" s="159"/>
      <c r="AB1230" s="159">
        <v>11</v>
      </c>
      <c r="AC1230" s="159"/>
      <c r="AD1230" s="160"/>
      <c r="AE1230" s="171">
        <v>1</v>
      </c>
      <c r="AF1230" s="162">
        <f t="shared" si="476"/>
        <v>0</v>
      </c>
      <c r="AG1230" s="162">
        <f t="shared" si="477"/>
        <v>0</v>
      </c>
      <c r="AH1230" s="162">
        <f t="shared" si="478"/>
        <v>0</v>
      </c>
      <c r="AI1230" s="162">
        <f t="shared" si="479"/>
        <v>0</v>
      </c>
      <c r="AJ1230" s="148">
        <f t="shared" si="473"/>
        <v>0</v>
      </c>
      <c r="AK1230" s="161">
        <f t="shared" si="460"/>
        <v>0</v>
      </c>
      <c r="AL1230" s="161">
        <f t="shared" si="461"/>
        <v>0</v>
      </c>
      <c r="AM1230" s="161">
        <f t="shared" si="462"/>
        <v>0</v>
      </c>
      <c r="AN1230" s="161">
        <f t="shared" si="463"/>
        <v>0</v>
      </c>
      <c r="AO1230" s="150">
        <f t="shared" si="474"/>
        <v>0</v>
      </c>
      <c r="AQ1230" s="151">
        <f t="shared" si="475"/>
        <v>0</v>
      </c>
    </row>
    <row r="1231" spans="1:43" ht="15" customHeight="1">
      <c r="A1231" s="82" t="e">
        <f>1+#REF!</f>
        <v>#REF!</v>
      </c>
      <c r="B1231" s="152">
        <v>307</v>
      </c>
      <c r="C1231" s="153" t="s">
        <v>1332</v>
      </c>
      <c r="D1231" s="154" t="s">
        <v>1331</v>
      </c>
      <c r="E1231" s="155"/>
      <c r="F1231" s="64" t="s">
        <v>1426</v>
      </c>
      <c r="G1231" s="156" t="s">
        <v>288</v>
      </c>
      <c r="H1231" s="140" t="str">
        <f t="shared" si="465"/>
        <v>Sanitair</v>
      </c>
      <c r="I1231" s="64" t="s">
        <v>195</v>
      </c>
      <c r="J1231" s="138" t="s">
        <v>1171</v>
      </c>
      <c r="K1231" s="141" t="str">
        <f t="shared" si="466"/>
        <v>Omde dag Vol/Nal.</v>
      </c>
      <c r="L1231" s="141" t="str">
        <f t="shared" si="467"/>
        <v>Omde dag Nal./Vol</v>
      </c>
      <c r="M1231" s="141" t="str">
        <f t="shared" si="468"/>
        <v>Omde dag Vol/Nal.</v>
      </c>
      <c r="N1231" s="141" t="str">
        <f t="shared" si="469"/>
        <v>Omde dag Nal./Vol</v>
      </c>
      <c r="O1231" s="141" t="str">
        <f t="shared" si="470"/>
        <v>Omde dag Vol/Nal.</v>
      </c>
      <c r="P1231" s="141" t="str">
        <f t="shared" si="471"/>
        <v>Omde dag Nal./Vol</v>
      </c>
      <c r="Q1231" s="141" t="str">
        <f t="shared" si="472"/>
        <v>Omde dag Vol/Nal.</v>
      </c>
      <c r="R1231" s="63" t="s">
        <v>1211</v>
      </c>
      <c r="S1231" s="142">
        <f t="shared" si="480"/>
        <v>365</v>
      </c>
      <c r="T1231" s="157">
        <v>2</v>
      </c>
      <c r="U1231" s="158">
        <v>14</v>
      </c>
      <c r="V1231" s="158"/>
      <c r="W1231" s="158"/>
      <c r="X1231" s="158"/>
      <c r="Y1231" s="158"/>
      <c r="Z1231" s="159"/>
      <c r="AA1231" s="159"/>
      <c r="AB1231" s="159"/>
      <c r="AC1231" s="159">
        <v>2</v>
      </c>
      <c r="AD1231" s="160"/>
      <c r="AE1231" s="171">
        <v>1</v>
      </c>
      <c r="AF1231" s="162">
        <f t="shared" si="476"/>
        <v>0</v>
      </c>
      <c r="AG1231" s="162">
        <f t="shared" si="477"/>
        <v>0</v>
      </c>
      <c r="AH1231" s="162">
        <f t="shared" si="478"/>
        <v>0</v>
      </c>
      <c r="AI1231" s="162">
        <f t="shared" si="479"/>
        <v>0</v>
      </c>
      <c r="AJ1231" s="148" t="str">
        <f t="shared" si="473"/>
        <v>ja</v>
      </c>
      <c r="AK1231" s="161">
        <f t="shared" si="460"/>
        <v>0</v>
      </c>
      <c r="AL1231" s="161">
        <f t="shared" si="461"/>
        <v>0</v>
      </c>
      <c r="AM1231" s="161">
        <f t="shared" si="462"/>
        <v>0</v>
      </c>
      <c r="AN1231" s="161">
        <f t="shared" si="463"/>
        <v>0</v>
      </c>
      <c r="AO1231" s="150" t="str">
        <f t="shared" si="474"/>
        <v>S</v>
      </c>
      <c r="AQ1231" s="151">
        <f t="shared" si="475"/>
        <v>730</v>
      </c>
    </row>
    <row r="1232" spans="1:43" ht="15" customHeight="1">
      <c r="A1232" s="82" t="e">
        <f t="shared" si="464"/>
        <v>#REF!</v>
      </c>
      <c r="B1232" s="152">
        <v>307</v>
      </c>
      <c r="C1232" s="153" t="s">
        <v>1332</v>
      </c>
      <c r="D1232" s="154" t="s">
        <v>1331</v>
      </c>
      <c r="E1232" s="155"/>
      <c r="F1232" s="64" t="s">
        <v>1426</v>
      </c>
      <c r="G1232" s="156" t="s">
        <v>287</v>
      </c>
      <c r="H1232" s="140" t="str">
        <f t="shared" si="465"/>
        <v>Sanitair</v>
      </c>
      <c r="I1232" s="64" t="s">
        <v>195</v>
      </c>
      <c r="J1232" s="138" t="s">
        <v>1171</v>
      </c>
      <c r="K1232" s="141" t="str">
        <f t="shared" si="466"/>
        <v>Omde dag Vol/Nal.</v>
      </c>
      <c r="L1232" s="141" t="str">
        <f t="shared" si="467"/>
        <v>Omde dag Nal./Vol</v>
      </c>
      <c r="M1232" s="141" t="str">
        <f t="shared" si="468"/>
        <v>Omde dag Vol/Nal.</v>
      </c>
      <c r="N1232" s="141" t="str">
        <f t="shared" si="469"/>
        <v>Omde dag Nal./Vol</v>
      </c>
      <c r="O1232" s="141" t="str">
        <f t="shared" si="470"/>
        <v>Omde dag Vol/Nal.</v>
      </c>
      <c r="P1232" s="141" t="str">
        <f t="shared" si="471"/>
        <v>Omde dag Nal./Vol</v>
      </c>
      <c r="Q1232" s="141" t="str">
        <f t="shared" si="472"/>
        <v>Omde dag Vol/Nal.</v>
      </c>
      <c r="R1232" s="63" t="s">
        <v>1211</v>
      </c>
      <c r="S1232" s="142">
        <f t="shared" si="480"/>
        <v>365</v>
      </c>
      <c r="T1232" s="157">
        <v>2.4</v>
      </c>
      <c r="U1232" s="158">
        <v>14</v>
      </c>
      <c r="V1232" s="158"/>
      <c r="W1232" s="158"/>
      <c r="X1232" s="158"/>
      <c r="Y1232" s="158"/>
      <c r="Z1232" s="159"/>
      <c r="AA1232" s="159"/>
      <c r="AB1232" s="159"/>
      <c r="AC1232" s="159">
        <v>2</v>
      </c>
      <c r="AD1232" s="160"/>
      <c r="AE1232" s="171">
        <v>1</v>
      </c>
      <c r="AF1232" s="162">
        <f t="shared" si="476"/>
        <v>0</v>
      </c>
      <c r="AG1232" s="162">
        <f t="shared" si="477"/>
        <v>0</v>
      </c>
      <c r="AH1232" s="162">
        <f t="shared" si="478"/>
        <v>0</v>
      </c>
      <c r="AI1232" s="162">
        <f t="shared" si="479"/>
        <v>0</v>
      </c>
      <c r="AJ1232" s="148" t="str">
        <f t="shared" si="473"/>
        <v>ja</v>
      </c>
      <c r="AK1232" s="161">
        <f t="shared" si="460"/>
        <v>0</v>
      </c>
      <c r="AL1232" s="161">
        <f t="shared" si="461"/>
        <v>0</v>
      </c>
      <c r="AM1232" s="161">
        <f t="shared" si="462"/>
        <v>0</v>
      </c>
      <c r="AN1232" s="161">
        <f t="shared" si="463"/>
        <v>0</v>
      </c>
      <c r="AO1232" s="150" t="str">
        <f t="shared" si="474"/>
        <v>S</v>
      </c>
      <c r="AQ1232" s="151">
        <f t="shared" si="475"/>
        <v>876</v>
      </c>
    </row>
    <row r="1233" spans="1:43" ht="15" customHeight="1">
      <c r="A1233" s="82" t="e">
        <f t="shared" si="464"/>
        <v>#REF!</v>
      </c>
      <c r="B1233" s="152">
        <v>307</v>
      </c>
      <c r="C1233" s="153" t="s">
        <v>1332</v>
      </c>
      <c r="D1233" s="154" t="s">
        <v>1331</v>
      </c>
      <c r="E1233" s="155"/>
      <c r="F1233" s="64" t="s">
        <v>1427</v>
      </c>
      <c r="G1233" s="156" t="s">
        <v>32</v>
      </c>
      <c r="H1233" s="140" t="str">
        <f t="shared" si="465"/>
        <v>Niet van toepassing</v>
      </c>
      <c r="I1233" s="64" t="s">
        <v>195</v>
      </c>
      <c r="J1233" s="64" t="s">
        <v>1207</v>
      </c>
      <c r="K1233" s="141" t="str">
        <f t="shared" si="466"/>
        <v>NVT</v>
      </c>
      <c r="L1233" s="141" t="str">
        <f t="shared" si="467"/>
        <v>NVT</v>
      </c>
      <c r="M1233" s="141" t="str">
        <f t="shared" si="468"/>
        <v>NVT</v>
      </c>
      <c r="N1233" s="141" t="str">
        <f t="shared" si="469"/>
        <v>NVT</v>
      </c>
      <c r="O1233" s="141" t="str">
        <f t="shared" si="470"/>
        <v>NVT</v>
      </c>
      <c r="P1233" s="141" t="str">
        <f t="shared" si="471"/>
        <v>NVT</v>
      </c>
      <c r="Q1233" s="141" t="str">
        <f t="shared" si="472"/>
        <v>NVT</v>
      </c>
      <c r="R1233" s="197" t="s">
        <v>1221</v>
      </c>
      <c r="S1233" s="142">
        <f t="shared" si="480"/>
        <v>0</v>
      </c>
      <c r="T1233" s="157">
        <v>3</v>
      </c>
      <c r="U1233" s="158">
        <v>17</v>
      </c>
      <c r="V1233" s="158"/>
      <c r="W1233" s="158"/>
      <c r="X1233" s="158"/>
      <c r="Y1233" s="158"/>
      <c r="Z1233" s="159"/>
      <c r="AA1233" s="159"/>
      <c r="AB1233" s="159"/>
      <c r="AC1233" s="159">
        <v>3</v>
      </c>
      <c r="AD1233" s="160"/>
      <c r="AE1233" s="171">
        <v>1</v>
      </c>
      <c r="AF1233" s="162">
        <f t="shared" si="476"/>
        <v>0</v>
      </c>
      <c r="AG1233" s="162">
        <f t="shared" si="477"/>
        <v>0</v>
      </c>
      <c r="AH1233" s="162">
        <f t="shared" si="478"/>
        <v>0</v>
      </c>
      <c r="AI1233" s="162">
        <f t="shared" si="479"/>
        <v>0</v>
      </c>
      <c r="AJ1233" s="148">
        <f t="shared" si="473"/>
        <v>0</v>
      </c>
      <c r="AK1233" s="161">
        <f t="shared" si="460"/>
        <v>0</v>
      </c>
      <c r="AL1233" s="161">
        <f t="shared" si="461"/>
        <v>0</v>
      </c>
      <c r="AM1233" s="161">
        <f t="shared" si="462"/>
        <v>0</v>
      </c>
      <c r="AN1233" s="161">
        <f t="shared" si="463"/>
        <v>0</v>
      </c>
      <c r="AO1233" s="150">
        <f t="shared" si="474"/>
        <v>0</v>
      </c>
      <c r="AQ1233" s="151">
        <f t="shared" si="475"/>
        <v>0</v>
      </c>
    </row>
    <row r="1234" spans="1:43" ht="15" customHeight="1">
      <c r="A1234" s="82" t="e">
        <f t="shared" si="464"/>
        <v>#REF!</v>
      </c>
      <c r="B1234" s="152">
        <v>307</v>
      </c>
      <c r="C1234" s="153" t="s">
        <v>1332</v>
      </c>
      <c r="D1234" s="154" t="s">
        <v>1331</v>
      </c>
      <c r="E1234" s="155"/>
      <c r="F1234" s="64" t="s">
        <v>1428</v>
      </c>
      <c r="G1234" s="156" t="s">
        <v>1429</v>
      </c>
      <c r="H1234" s="140" t="str">
        <f t="shared" si="465"/>
        <v>Gangen</v>
      </c>
      <c r="I1234" s="64" t="s">
        <v>195</v>
      </c>
      <c r="J1234" s="138" t="s">
        <v>1171</v>
      </c>
      <c r="K1234" s="141" t="str">
        <f t="shared" si="466"/>
        <v>Omde dag Vol/Nal.</v>
      </c>
      <c r="L1234" s="141" t="str">
        <f t="shared" si="467"/>
        <v>Omde dag Nal./Vol</v>
      </c>
      <c r="M1234" s="141" t="str">
        <f t="shared" si="468"/>
        <v>Omde dag Vol/Nal.</v>
      </c>
      <c r="N1234" s="141" t="str">
        <f t="shared" si="469"/>
        <v>Omde dag Nal./Vol</v>
      </c>
      <c r="O1234" s="141" t="str">
        <f t="shared" si="470"/>
        <v>Omde dag Vol/Nal.</v>
      </c>
      <c r="P1234" s="141" t="str">
        <f t="shared" si="471"/>
        <v>Omde dag Nal./Vol</v>
      </c>
      <c r="Q1234" s="141" t="str">
        <f t="shared" si="472"/>
        <v>Omde dag Vol/Nal.</v>
      </c>
      <c r="R1234" s="64" t="s">
        <v>1265</v>
      </c>
      <c r="S1234" s="142">
        <f t="shared" si="480"/>
        <v>365</v>
      </c>
      <c r="T1234" s="157">
        <v>9</v>
      </c>
      <c r="U1234" s="158">
        <v>16</v>
      </c>
      <c r="V1234" s="158">
        <v>16</v>
      </c>
      <c r="W1234" s="158"/>
      <c r="X1234" s="158"/>
      <c r="Y1234" s="158"/>
      <c r="Z1234" s="159"/>
      <c r="AA1234" s="159"/>
      <c r="AB1234" s="159"/>
      <c r="AC1234" s="159">
        <v>9</v>
      </c>
      <c r="AD1234" s="160"/>
      <c r="AE1234" s="171">
        <v>1</v>
      </c>
      <c r="AF1234" s="162">
        <f t="shared" si="476"/>
        <v>0</v>
      </c>
      <c r="AG1234" s="162">
        <f t="shared" si="477"/>
        <v>0</v>
      </c>
      <c r="AH1234" s="162">
        <f t="shared" si="478"/>
        <v>0</v>
      </c>
      <c r="AI1234" s="162">
        <f t="shared" si="479"/>
        <v>0</v>
      </c>
      <c r="AJ1234" s="148" t="str">
        <f t="shared" si="473"/>
        <v>ja</v>
      </c>
      <c r="AK1234" s="161">
        <f t="shared" si="460"/>
        <v>0</v>
      </c>
      <c r="AL1234" s="161">
        <f t="shared" si="461"/>
        <v>0</v>
      </c>
      <c r="AM1234" s="161">
        <f t="shared" si="462"/>
        <v>0</v>
      </c>
      <c r="AN1234" s="161">
        <f t="shared" si="463"/>
        <v>0</v>
      </c>
      <c r="AO1234" s="150" t="str">
        <f t="shared" si="474"/>
        <v>V</v>
      </c>
      <c r="AQ1234" s="151">
        <f t="shared" si="475"/>
        <v>3285</v>
      </c>
    </row>
    <row r="1235" spans="1:43" ht="15" customHeight="1">
      <c r="A1235" s="82" t="e">
        <f t="shared" si="464"/>
        <v>#REF!</v>
      </c>
      <c r="B1235" s="152">
        <v>307</v>
      </c>
      <c r="C1235" s="153" t="s">
        <v>1332</v>
      </c>
      <c r="D1235" s="154" t="s">
        <v>1331</v>
      </c>
      <c r="E1235" s="155"/>
      <c r="F1235" s="64" t="s">
        <v>441</v>
      </c>
      <c r="G1235" s="156" t="s">
        <v>28</v>
      </c>
      <c r="H1235" s="140" t="str">
        <f t="shared" si="465"/>
        <v>Niet van toepassing</v>
      </c>
      <c r="I1235" s="64" t="s">
        <v>195</v>
      </c>
      <c r="J1235" s="138" t="s">
        <v>1172</v>
      </c>
      <c r="K1235" s="141" t="str">
        <f t="shared" si="466"/>
        <v>NVT</v>
      </c>
      <c r="L1235" s="141" t="str">
        <f t="shared" si="467"/>
        <v>NVT</v>
      </c>
      <c r="M1235" s="141" t="str">
        <f t="shared" si="468"/>
        <v>NVT</v>
      </c>
      <c r="N1235" s="141" t="str">
        <f t="shared" si="469"/>
        <v>NVT</v>
      </c>
      <c r="O1235" s="141" t="str">
        <f t="shared" si="470"/>
        <v>NVT</v>
      </c>
      <c r="P1235" s="141" t="str">
        <f t="shared" si="471"/>
        <v>NVT</v>
      </c>
      <c r="Q1235" s="141" t="str">
        <f t="shared" si="472"/>
        <v>NVT</v>
      </c>
      <c r="R1235" s="63" t="s">
        <v>1221</v>
      </c>
      <c r="S1235" s="142">
        <f t="shared" si="480"/>
        <v>0</v>
      </c>
      <c r="T1235" s="157">
        <v>13</v>
      </c>
      <c r="U1235" s="158"/>
      <c r="V1235" s="158">
        <v>35</v>
      </c>
      <c r="W1235" s="158"/>
      <c r="X1235" s="158"/>
      <c r="Y1235" s="158"/>
      <c r="Z1235" s="159"/>
      <c r="AA1235" s="159"/>
      <c r="AB1235" s="159"/>
      <c r="AC1235" s="159">
        <v>13</v>
      </c>
      <c r="AD1235" s="160"/>
      <c r="AE1235" s="171">
        <v>1</v>
      </c>
      <c r="AF1235" s="162">
        <f t="shared" si="476"/>
        <v>0</v>
      </c>
      <c r="AG1235" s="162">
        <f t="shared" si="477"/>
        <v>0</v>
      </c>
      <c r="AH1235" s="162">
        <f t="shared" si="478"/>
        <v>0</v>
      </c>
      <c r="AI1235" s="162">
        <f t="shared" si="479"/>
        <v>0</v>
      </c>
      <c r="AJ1235" s="148">
        <f t="shared" si="473"/>
        <v>0</v>
      </c>
      <c r="AK1235" s="161">
        <f t="shared" si="460"/>
        <v>0</v>
      </c>
      <c r="AL1235" s="161">
        <f t="shared" si="461"/>
        <v>0</v>
      </c>
      <c r="AM1235" s="161">
        <f t="shared" si="462"/>
        <v>0</v>
      </c>
      <c r="AN1235" s="161">
        <f t="shared" si="463"/>
        <v>0</v>
      </c>
      <c r="AO1235" s="150">
        <f t="shared" si="474"/>
        <v>0</v>
      </c>
      <c r="AQ1235" s="151">
        <f t="shared" si="475"/>
        <v>0</v>
      </c>
    </row>
    <row r="1236" spans="1:43" ht="15" customHeight="1">
      <c r="A1236" s="82" t="e">
        <f t="shared" si="464"/>
        <v>#REF!</v>
      </c>
      <c r="B1236" s="152">
        <v>307</v>
      </c>
      <c r="C1236" s="153" t="s">
        <v>1332</v>
      </c>
      <c r="D1236" s="154" t="s">
        <v>1331</v>
      </c>
      <c r="E1236" s="155"/>
      <c r="F1236" s="64" t="s">
        <v>1430</v>
      </c>
      <c r="G1236" s="156" t="s">
        <v>29</v>
      </c>
      <c r="H1236" s="140" t="str">
        <f t="shared" si="465"/>
        <v>Niet van toepassing</v>
      </c>
      <c r="I1236" s="64" t="s">
        <v>195</v>
      </c>
      <c r="J1236" s="138" t="s">
        <v>1172</v>
      </c>
      <c r="K1236" s="141" t="str">
        <f t="shared" si="466"/>
        <v>NVT</v>
      </c>
      <c r="L1236" s="141" t="str">
        <f t="shared" si="467"/>
        <v>NVT</v>
      </c>
      <c r="M1236" s="141" t="str">
        <f t="shared" si="468"/>
        <v>NVT</v>
      </c>
      <c r="N1236" s="141" t="str">
        <f t="shared" si="469"/>
        <v>NVT</v>
      </c>
      <c r="O1236" s="141" t="str">
        <f t="shared" si="470"/>
        <v>NVT</v>
      </c>
      <c r="P1236" s="141" t="str">
        <f t="shared" si="471"/>
        <v>NVT</v>
      </c>
      <c r="Q1236" s="141" t="str">
        <f t="shared" si="472"/>
        <v>NVT</v>
      </c>
      <c r="R1236" s="63" t="s">
        <v>1221</v>
      </c>
      <c r="S1236" s="142">
        <f t="shared" si="480"/>
        <v>0</v>
      </c>
      <c r="T1236" s="157">
        <v>6</v>
      </c>
      <c r="U1236" s="158"/>
      <c r="V1236" s="158">
        <v>21</v>
      </c>
      <c r="W1236" s="158"/>
      <c r="X1236" s="158"/>
      <c r="Y1236" s="158"/>
      <c r="Z1236" s="159"/>
      <c r="AA1236" s="159"/>
      <c r="AB1236" s="159"/>
      <c r="AC1236" s="159">
        <v>6</v>
      </c>
      <c r="AD1236" s="160"/>
      <c r="AE1236" s="171">
        <v>1</v>
      </c>
      <c r="AF1236" s="162">
        <f t="shared" si="476"/>
        <v>0</v>
      </c>
      <c r="AG1236" s="162">
        <f t="shared" si="477"/>
        <v>0</v>
      </c>
      <c r="AH1236" s="162">
        <f t="shared" si="478"/>
        <v>0</v>
      </c>
      <c r="AI1236" s="162">
        <f t="shared" si="479"/>
        <v>0</v>
      </c>
      <c r="AJ1236" s="148">
        <f t="shared" si="473"/>
        <v>0</v>
      </c>
      <c r="AK1236" s="161">
        <f t="shared" si="460"/>
        <v>0</v>
      </c>
      <c r="AL1236" s="161">
        <f t="shared" si="461"/>
        <v>0</v>
      </c>
      <c r="AM1236" s="161">
        <f t="shared" si="462"/>
        <v>0</v>
      </c>
      <c r="AN1236" s="161">
        <f t="shared" si="463"/>
        <v>0</v>
      </c>
      <c r="AO1236" s="150">
        <f t="shared" si="474"/>
        <v>0</v>
      </c>
      <c r="AQ1236" s="151">
        <f t="shared" si="475"/>
        <v>0</v>
      </c>
    </row>
    <row r="1237" spans="1:43" ht="15" customHeight="1">
      <c r="A1237" s="82" t="e">
        <f t="shared" si="464"/>
        <v>#REF!</v>
      </c>
      <c r="B1237" s="152">
        <v>307</v>
      </c>
      <c r="C1237" s="153" t="s">
        <v>1332</v>
      </c>
      <c r="D1237" s="154" t="s">
        <v>1331</v>
      </c>
      <c r="E1237" s="155"/>
      <c r="F1237" s="64" t="s">
        <v>1431</v>
      </c>
      <c r="G1237" s="156" t="s">
        <v>1432</v>
      </c>
      <c r="H1237" s="140" t="str">
        <f t="shared" si="465"/>
        <v>Roltrappen(inclusief aangrenzende bouwdelen)</v>
      </c>
      <c r="I1237" s="64" t="s">
        <v>1251</v>
      </c>
      <c r="J1237" s="138" t="s">
        <v>1171</v>
      </c>
      <c r="K1237" s="141" t="str">
        <f t="shared" si="466"/>
        <v>Omde dag Vol/Nal.</v>
      </c>
      <c r="L1237" s="141" t="str">
        <f t="shared" si="467"/>
        <v>Omde dag Nal./Vol</v>
      </c>
      <c r="M1237" s="141" t="str">
        <f t="shared" si="468"/>
        <v>Omde dag Vol/Nal.</v>
      </c>
      <c r="N1237" s="141" t="str">
        <f t="shared" si="469"/>
        <v>Omde dag Nal./Vol</v>
      </c>
      <c r="O1237" s="141" t="str">
        <f t="shared" si="470"/>
        <v>Omde dag Vol/Nal.</v>
      </c>
      <c r="P1237" s="141" t="str">
        <f t="shared" si="471"/>
        <v>Omde dag Nal./Vol</v>
      </c>
      <c r="Q1237" s="141" t="str">
        <f t="shared" si="472"/>
        <v>Omde dag Vol/Nal.</v>
      </c>
      <c r="R1237" s="63" t="s">
        <v>1218</v>
      </c>
      <c r="S1237" s="142">
        <f t="shared" si="480"/>
        <v>365</v>
      </c>
      <c r="T1237" s="157">
        <v>99</v>
      </c>
      <c r="U1237" s="158"/>
      <c r="V1237" s="158"/>
      <c r="W1237" s="158"/>
      <c r="X1237" s="158">
        <v>78</v>
      </c>
      <c r="Y1237" s="158"/>
      <c r="Z1237" s="159"/>
      <c r="AA1237" s="159"/>
      <c r="AB1237" s="159"/>
      <c r="AC1237" s="159"/>
      <c r="AD1237" s="160"/>
      <c r="AE1237" s="171">
        <v>1</v>
      </c>
      <c r="AF1237" s="162">
        <f t="shared" si="476"/>
        <v>0</v>
      </c>
      <c r="AG1237" s="162">
        <f t="shared" si="477"/>
        <v>0</v>
      </c>
      <c r="AH1237" s="162">
        <f t="shared" si="478"/>
        <v>0</v>
      </c>
      <c r="AI1237" s="162">
        <f t="shared" si="479"/>
        <v>0</v>
      </c>
      <c r="AJ1237" s="148" t="str">
        <f t="shared" si="473"/>
        <v>ja</v>
      </c>
      <c r="AK1237" s="161">
        <f t="shared" si="460"/>
        <v>0</v>
      </c>
      <c r="AL1237" s="161">
        <f t="shared" si="461"/>
        <v>0</v>
      </c>
      <c r="AM1237" s="161">
        <f t="shared" si="462"/>
        <v>0</v>
      </c>
      <c r="AN1237" s="161">
        <f t="shared" si="463"/>
        <v>0</v>
      </c>
      <c r="AO1237" s="150" t="str">
        <f t="shared" si="474"/>
        <v>V</v>
      </c>
      <c r="AQ1237" s="151">
        <f t="shared" si="475"/>
        <v>36135</v>
      </c>
    </row>
    <row r="1238" spans="1:43" ht="15" customHeight="1">
      <c r="A1238" s="82" t="e">
        <f t="shared" si="464"/>
        <v>#REF!</v>
      </c>
      <c r="B1238" s="152">
        <v>307</v>
      </c>
      <c r="C1238" s="153" t="s">
        <v>1332</v>
      </c>
      <c r="D1238" s="154" t="s">
        <v>1331</v>
      </c>
      <c r="E1238" s="155"/>
      <c r="F1238" s="64" t="s">
        <v>1351</v>
      </c>
      <c r="G1238" s="156" t="s">
        <v>1433</v>
      </c>
      <c r="H1238" s="140" t="str">
        <f t="shared" si="465"/>
        <v>Trappen</v>
      </c>
      <c r="I1238" s="64" t="s">
        <v>118</v>
      </c>
      <c r="J1238" s="138" t="s">
        <v>1171</v>
      </c>
      <c r="K1238" s="141" t="str">
        <f t="shared" si="466"/>
        <v>Omde dag Vol/Nal.</v>
      </c>
      <c r="L1238" s="141" t="str">
        <f t="shared" si="467"/>
        <v>Omde dag Nal./Vol</v>
      </c>
      <c r="M1238" s="141" t="str">
        <f t="shared" si="468"/>
        <v>Omde dag Vol/Nal.</v>
      </c>
      <c r="N1238" s="141" t="str">
        <f t="shared" si="469"/>
        <v>Omde dag Nal./Vol</v>
      </c>
      <c r="O1238" s="141" t="str">
        <f t="shared" si="470"/>
        <v>Omde dag Vol/Nal.</v>
      </c>
      <c r="P1238" s="141" t="str">
        <f t="shared" si="471"/>
        <v>Omde dag Nal./Vol</v>
      </c>
      <c r="Q1238" s="141" t="str">
        <f t="shared" si="472"/>
        <v>Omde dag Vol/Nal.</v>
      </c>
      <c r="R1238" s="63" t="s">
        <v>1215</v>
      </c>
      <c r="S1238" s="142">
        <f t="shared" si="480"/>
        <v>365</v>
      </c>
      <c r="T1238" s="157">
        <v>147</v>
      </c>
      <c r="U1238" s="158">
        <v>180</v>
      </c>
      <c r="V1238" s="158"/>
      <c r="W1238" s="158"/>
      <c r="X1238" s="158"/>
      <c r="Y1238" s="158"/>
      <c r="Z1238" s="159"/>
      <c r="AA1238" s="159"/>
      <c r="AB1238" s="159"/>
      <c r="AC1238" s="159"/>
      <c r="AD1238" s="160"/>
      <c r="AE1238" s="171">
        <v>1</v>
      </c>
      <c r="AF1238" s="162">
        <f t="shared" si="476"/>
        <v>0</v>
      </c>
      <c r="AG1238" s="162">
        <f t="shared" si="477"/>
        <v>0</v>
      </c>
      <c r="AH1238" s="162">
        <f t="shared" si="478"/>
        <v>0</v>
      </c>
      <c r="AI1238" s="162">
        <f t="shared" si="479"/>
        <v>0</v>
      </c>
      <c r="AJ1238" s="148" t="str">
        <f t="shared" si="473"/>
        <v>ja</v>
      </c>
      <c r="AK1238" s="161">
        <f t="shared" ref="AK1238:AK1300" si="481">IF($R1238="",0,VLOOKUP($R1238,Kengetal,5,FALSE))</f>
        <v>0</v>
      </c>
      <c r="AL1238" s="161">
        <f t="shared" ref="AL1238:AL1300" si="482">IF($R1238="",0,VLOOKUP($R1238,Kengetal,6,FALSE))</f>
        <v>0</v>
      </c>
      <c r="AM1238" s="161">
        <f t="shared" ref="AM1238:AM1300" si="483">IF($R1238="",0,VLOOKUP($R1238,Kengetal,7,FALSE))</f>
        <v>0</v>
      </c>
      <c r="AN1238" s="161">
        <f t="shared" ref="AN1238:AN1300" si="484">IF($R1238="",0,VLOOKUP($R1238,Kengetal,8,FALSE))</f>
        <v>0</v>
      </c>
      <c r="AO1238" s="150" t="str">
        <f t="shared" si="474"/>
        <v>V</v>
      </c>
      <c r="AQ1238" s="151">
        <f t="shared" si="475"/>
        <v>53655</v>
      </c>
    </row>
    <row r="1239" spans="1:43" ht="15" customHeight="1">
      <c r="A1239" s="82" t="e">
        <f t="shared" si="464"/>
        <v>#REF!</v>
      </c>
      <c r="B1239" s="152">
        <v>307</v>
      </c>
      <c r="C1239" s="153" t="s">
        <v>1332</v>
      </c>
      <c r="D1239" s="154" t="s">
        <v>1331</v>
      </c>
      <c r="E1239" s="155"/>
      <c r="F1239" s="64" t="s">
        <v>123</v>
      </c>
      <c r="G1239" s="156" t="s">
        <v>113</v>
      </c>
      <c r="H1239" s="140" t="str">
        <f t="shared" si="465"/>
        <v>Hallen</v>
      </c>
      <c r="I1239" s="64" t="s">
        <v>1254</v>
      </c>
      <c r="J1239" s="138" t="s">
        <v>1171</v>
      </c>
      <c r="K1239" s="141" t="str">
        <f t="shared" si="466"/>
        <v>Omde dag Vol/Nal.</v>
      </c>
      <c r="L1239" s="141" t="str">
        <f t="shared" si="467"/>
        <v>Omde dag Nal./Vol</v>
      </c>
      <c r="M1239" s="141" t="str">
        <f t="shared" si="468"/>
        <v>Omde dag Vol/Nal.</v>
      </c>
      <c r="N1239" s="141" t="str">
        <f t="shared" si="469"/>
        <v>Omde dag Nal./Vol</v>
      </c>
      <c r="O1239" s="141" t="str">
        <f t="shared" si="470"/>
        <v>Omde dag Vol/Nal.</v>
      </c>
      <c r="P1239" s="141" t="str">
        <f t="shared" si="471"/>
        <v>Omde dag Nal./Vol</v>
      </c>
      <c r="Q1239" s="141" t="str">
        <f t="shared" si="472"/>
        <v>Omde dag Vol/Nal.</v>
      </c>
      <c r="R1239" s="63" t="s">
        <v>1216</v>
      </c>
      <c r="S1239" s="142">
        <f t="shared" si="480"/>
        <v>365</v>
      </c>
      <c r="T1239" s="157">
        <v>391</v>
      </c>
      <c r="U1239" s="158"/>
      <c r="V1239" s="158"/>
      <c r="W1239" s="158"/>
      <c r="X1239" s="158"/>
      <c r="Y1239" s="158"/>
      <c r="Z1239" s="159"/>
      <c r="AA1239" s="159"/>
      <c r="AB1239" s="159"/>
      <c r="AC1239" s="159"/>
      <c r="AD1239" s="160"/>
      <c r="AE1239" s="171">
        <v>1</v>
      </c>
      <c r="AF1239" s="162">
        <f t="shared" si="476"/>
        <v>0</v>
      </c>
      <c r="AG1239" s="162">
        <f t="shared" si="477"/>
        <v>0</v>
      </c>
      <c r="AH1239" s="162">
        <f t="shared" si="478"/>
        <v>0</v>
      </c>
      <c r="AI1239" s="162">
        <f t="shared" si="479"/>
        <v>0</v>
      </c>
      <c r="AJ1239" s="148" t="str">
        <f t="shared" si="473"/>
        <v>ja</v>
      </c>
      <c r="AK1239" s="161">
        <f t="shared" si="481"/>
        <v>0</v>
      </c>
      <c r="AL1239" s="161">
        <f t="shared" si="482"/>
        <v>0</v>
      </c>
      <c r="AM1239" s="161">
        <f t="shared" si="483"/>
        <v>0</v>
      </c>
      <c r="AN1239" s="161">
        <f t="shared" si="484"/>
        <v>0</v>
      </c>
      <c r="AO1239" s="150" t="str">
        <f t="shared" si="474"/>
        <v>V</v>
      </c>
      <c r="AQ1239" s="151">
        <f t="shared" si="475"/>
        <v>142715</v>
      </c>
    </row>
    <row r="1240" spans="1:43" ht="15" customHeight="1">
      <c r="A1240" s="82" t="e">
        <f t="shared" si="464"/>
        <v>#REF!</v>
      </c>
      <c r="B1240" s="152">
        <v>307</v>
      </c>
      <c r="C1240" s="153" t="s">
        <v>1332</v>
      </c>
      <c r="D1240" s="154" t="s">
        <v>1331</v>
      </c>
      <c r="E1240" s="155"/>
      <c r="F1240" s="64" t="s">
        <v>6</v>
      </c>
      <c r="G1240" s="156"/>
      <c r="H1240" s="140" t="str">
        <f t="shared" si="465"/>
        <v>Liften</v>
      </c>
      <c r="I1240" s="64" t="s">
        <v>1109</v>
      </c>
      <c r="J1240" s="138" t="s">
        <v>1171</v>
      </c>
      <c r="K1240" s="141" t="str">
        <f t="shared" si="466"/>
        <v>Omde dag Vol/Nal.</v>
      </c>
      <c r="L1240" s="141" t="str">
        <f t="shared" si="467"/>
        <v>Omde dag Nal./Vol</v>
      </c>
      <c r="M1240" s="141" t="str">
        <f t="shared" si="468"/>
        <v>Omde dag Vol/Nal.</v>
      </c>
      <c r="N1240" s="141" t="str">
        <f t="shared" si="469"/>
        <v>Omde dag Nal./Vol</v>
      </c>
      <c r="O1240" s="141" t="str">
        <f t="shared" si="470"/>
        <v>Omde dag Vol/Nal.</v>
      </c>
      <c r="P1240" s="141" t="str">
        <f t="shared" si="471"/>
        <v>Omde dag Nal./Vol</v>
      </c>
      <c r="Q1240" s="141" t="str">
        <f t="shared" si="472"/>
        <v>Omde dag Vol/Nal.</v>
      </c>
      <c r="R1240" s="63" t="s">
        <v>1213</v>
      </c>
      <c r="S1240" s="142">
        <f t="shared" si="480"/>
        <v>365</v>
      </c>
      <c r="T1240" s="157">
        <v>5</v>
      </c>
      <c r="U1240" s="158"/>
      <c r="V1240" s="158"/>
      <c r="W1240" s="158"/>
      <c r="X1240" s="158"/>
      <c r="Y1240" s="158"/>
      <c r="Z1240" s="159"/>
      <c r="AA1240" s="159"/>
      <c r="AB1240" s="159"/>
      <c r="AC1240" s="159"/>
      <c r="AD1240" s="160"/>
      <c r="AE1240" s="171">
        <v>1</v>
      </c>
      <c r="AF1240" s="162">
        <f t="shared" si="476"/>
        <v>0</v>
      </c>
      <c r="AG1240" s="162">
        <f t="shared" si="477"/>
        <v>0</v>
      </c>
      <c r="AH1240" s="162">
        <f t="shared" si="478"/>
        <v>0</v>
      </c>
      <c r="AI1240" s="162">
        <f t="shared" si="479"/>
        <v>0</v>
      </c>
      <c r="AJ1240" s="148" t="str">
        <f t="shared" si="473"/>
        <v>ja</v>
      </c>
      <c r="AK1240" s="161">
        <f t="shared" si="481"/>
        <v>0</v>
      </c>
      <c r="AL1240" s="161">
        <f t="shared" si="482"/>
        <v>0</v>
      </c>
      <c r="AM1240" s="161">
        <f t="shared" si="483"/>
        <v>0</v>
      </c>
      <c r="AN1240" s="161">
        <f t="shared" si="484"/>
        <v>0</v>
      </c>
      <c r="AO1240" s="150" t="str">
        <f t="shared" si="474"/>
        <v>V</v>
      </c>
      <c r="AQ1240" s="151">
        <f t="shared" si="475"/>
        <v>1825</v>
      </c>
    </row>
    <row r="1241" spans="1:43" ht="15" customHeight="1">
      <c r="A1241" s="82" t="e">
        <f t="shared" si="464"/>
        <v>#REF!</v>
      </c>
      <c r="B1241" s="152">
        <v>307</v>
      </c>
      <c r="C1241" s="153" t="s">
        <v>1332</v>
      </c>
      <c r="D1241" s="154" t="s">
        <v>1331</v>
      </c>
      <c r="E1241" s="155"/>
      <c r="F1241" s="64" t="s">
        <v>6</v>
      </c>
      <c r="G1241" s="156"/>
      <c r="H1241" s="140" t="str">
        <f t="shared" si="465"/>
        <v>Liften</v>
      </c>
      <c r="I1241" s="64" t="s">
        <v>1109</v>
      </c>
      <c r="J1241" s="138" t="s">
        <v>1171</v>
      </c>
      <c r="K1241" s="141" t="str">
        <f t="shared" si="466"/>
        <v>Omde dag Vol/Nal.</v>
      </c>
      <c r="L1241" s="141" t="str">
        <f t="shared" si="467"/>
        <v>Omde dag Nal./Vol</v>
      </c>
      <c r="M1241" s="141" t="str">
        <f t="shared" si="468"/>
        <v>Omde dag Vol/Nal.</v>
      </c>
      <c r="N1241" s="141" t="str">
        <f t="shared" si="469"/>
        <v>Omde dag Nal./Vol</v>
      </c>
      <c r="O1241" s="141" t="str">
        <f t="shared" si="470"/>
        <v>Omde dag Vol/Nal.</v>
      </c>
      <c r="P1241" s="141" t="str">
        <f t="shared" si="471"/>
        <v>Omde dag Nal./Vol</v>
      </c>
      <c r="Q1241" s="141" t="str">
        <f t="shared" si="472"/>
        <v>Omde dag Vol/Nal.</v>
      </c>
      <c r="R1241" s="63" t="s">
        <v>1213</v>
      </c>
      <c r="S1241" s="142">
        <f t="shared" si="480"/>
        <v>365</v>
      </c>
      <c r="T1241" s="157">
        <v>5</v>
      </c>
      <c r="U1241" s="158"/>
      <c r="V1241" s="158"/>
      <c r="W1241" s="158"/>
      <c r="X1241" s="158"/>
      <c r="Y1241" s="158"/>
      <c r="Z1241" s="159"/>
      <c r="AA1241" s="159"/>
      <c r="AB1241" s="159"/>
      <c r="AC1241" s="159"/>
      <c r="AD1241" s="160"/>
      <c r="AE1241" s="171">
        <v>1</v>
      </c>
      <c r="AF1241" s="162">
        <f t="shared" si="476"/>
        <v>0</v>
      </c>
      <c r="AG1241" s="162">
        <f t="shared" si="477"/>
        <v>0</v>
      </c>
      <c r="AH1241" s="162">
        <f t="shared" si="478"/>
        <v>0</v>
      </c>
      <c r="AI1241" s="162">
        <f t="shared" si="479"/>
        <v>0</v>
      </c>
      <c r="AJ1241" s="148" t="str">
        <f t="shared" si="473"/>
        <v>ja</v>
      </c>
      <c r="AK1241" s="161">
        <f t="shared" si="481"/>
        <v>0</v>
      </c>
      <c r="AL1241" s="161">
        <f t="shared" si="482"/>
        <v>0</v>
      </c>
      <c r="AM1241" s="161">
        <f t="shared" si="483"/>
        <v>0</v>
      </c>
      <c r="AN1241" s="161">
        <f t="shared" si="484"/>
        <v>0</v>
      </c>
      <c r="AO1241" s="150" t="str">
        <f t="shared" si="474"/>
        <v>V</v>
      </c>
      <c r="AQ1241" s="151">
        <f t="shared" si="475"/>
        <v>1825</v>
      </c>
    </row>
    <row r="1242" spans="1:43" ht="15" customHeight="1">
      <c r="A1242" s="82" t="e">
        <f t="shared" si="464"/>
        <v>#REF!</v>
      </c>
      <c r="B1242" s="152">
        <v>308</v>
      </c>
      <c r="C1242" s="153" t="s">
        <v>1339</v>
      </c>
      <c r="D1242" s="154" t="s">
        <v>1331</v>
      </c>
      <c r="E1242" s="155"/>
      <c r="F1242" s="64" t="s">
        <v>1358</v>
      </c>
      <c r="G1242" s="156" t="s">
        <v>25</v>
      </c>
      <c r="H1242" s="140" t="str">
        <f t="shared" si="465"/>
        <v>Trappen</v>
      </c>
      <c r="I1242" s="64" t="s">
        <v>118</v>
      </c>
      <c r="J1242" s="64" t="s">
        <v>1255</v>
      </c>
      <c r="K1242" s="141" t="str">
        <f t="shared" si="466"/>
        <v>Volledig</v>
      </c>
      <c r="L1242" s="141" t="str">
        <f t="shared" si="467"/>
        <v>naloop</v>
      </c>
      <c r="M1242" s="141" t="str">
        <f t="shared" si="468"/>
        <v>naloop</v>
      </c>
      <c r="N1242" s="141" t="str">
        <f t="shared" si="469"/>
        <v>Volledig</v>
      </c>
      <c r="O1242" s="141" t="str">
        <f t="shared" si="470"/>
        <v>naloop</v>
      </c>
      <c r="P1242" s="141" t="str">
        <f t="shared" si="471"/>
        <v>naloop</v>
      </c>
      <c r="Q1242" s="141" t="str">
        <f t="shared" si="472"/>
        <v>naloop</v>
      </c>
      <c r="R1242" s="64" t="s">
        <v>1214</v>
      </c>
      <c r="S1242" s="142">
        <f t="shared" si="480"/>
        <v>365</v>
      </c>
      <c r="T1242" s="157">
        <v>42</v>
      </c>
      <c r="U1242" s="158" t="s">
        <v>1407</v>
      </c>
      <c r="V1242" s="158"/>
      <c r="W1242" s="158"/>
      <c r="X1242" s="158"/>
      <c r="Y1242" s="158"/>
      <c r="Z1242" s="159"/>
      <c r="AA1242" s="159"/>
      <c r="AB1242" s="159"/>
      <c r="AC1242" s="159"/>
      <c r="AD1242" s="160"/>
      <c r="AE1242" s="171">
        <v>1</v>
      </c>
      <c r="AF1242" s="162">
        <f t="shared" si="476"/>
        <v>0</v>
      </c>
      <c r="AG1242" s="162">
        <f t="shared" si="477"/>
        <v>0</v>
      </c>
      <c r="AH1242" s="162">
        <f t="shared" si="478"/>
        <v>0</v>
      </c>
      <c r="AI1242" s="162">
        <f t="shared" si="479"/>
        <v>0</v>
      </c>
      <c r="AJ1242" s="148" t="str">
        <f t="shared" si="473"/>
        <v>ja</v>
      </c>
      <c r="AK1242" s="161">
        <f t="shared" si="481"/>
        <v>0</v>
      </c>
      <c r="AL1242" s="161">
        <f t="shared" si="482"/>
        <v>0</v>
      </c>
      <c r="AM1242" s="161">
        <f t="shared" si="483"/>
        <v>0</v>
      </c>
      <c r="AN1242" s="161">
        <f t="shared" si="484"/>
        <v>0</v>
      </c>
      <c r="AO1242" s="150" t="str">
        <f t="shared" si="474"/>
        <v>V</v>
      </c>
      <c r="AQ1242" s="151">
        <f t="shared" si="475"/>
        <v>15330</v>
      </c>
    </row>
    <row r="1243" spans="1:43" ht="15" customHeight="1">
      <c r="A1243" s="82" t="e">
        <f t="shared" si="464"/>
        <v>#REF!</v>
      </c>
      <c r="B1243" s="152">
        <v>308</v>
      </c>
      <c r="C1243" s="153" t="s">
        <v>1339</v>
      </c>
      <c r="D1243" s="154" t="s">
        <v>1331</v>
      </c>
      <c r="E1243" s="155"/>
      <c r="F1243" s="64" t="s">
        <v>1359</v>
      </c>
      <c r="G1243" s="156" t="s">
        <v>1360</v>
      </c>
      <c r="H1243" s="140" t="str">
        <f t="shared" si="465"/>
        <v>Perrons</v>
      </c>
      <c r="I1243" s="64" t="s">
        <v>1394</v>
      </c>
      <c r="J1243" s="64" t="s">
        <v>1255</v>
      </c>
      <c r="K1243" s="141" t="str">
        <f t="shared" si="466"/>
        <v>Volledig</v>
      </c>
      <c r="L1243" s="141" t="str">
        <f t="shared" si="467"/>
        <v>naloop</v>
      </c>
      <c r="M1243" s="141" t="str">
        <f t="shared" si="468"/>
        <v>naloop</v>
      </c>
      <c r="N1243" s="141" t="str">
        <f t="shared" si="469"/>
        <v>Volledig</v>
      </c>
      <c r="O1243" s="141" t="str">
        <f t="shared" si="470"/>
        <v>naloop</v>
      </c>
      <c r="P1243" s="141" t="str">
        <f t="shared" si="471"/>
        <v>naloop</v>
      </c>
      <c r="Q1243" s="141" t="str">
        <f t="shared" si="472"/>
        <v>naloop</v>
      </c>
      <c r="R1243" s="64" t="s">
        <v>1208</v>
      </c>
      <c r="S1243" s="142">
        <f t="shared" si="480"/>
        <v>365</v>
      </c>
      <c r="T1243" s="157">
        <v>623</v>
      </c>
      <c r="U1243" s="158"/>
      <c r="V1243" s="158"/>
      <c r="W1243" s="158"/>
      <c r="X1243" s="158"/>
      <c r="Y1243" s="158"/>
      <c r="Z1243" s="159"/>
      <c r="AA1243" s="159"/>
      <c r="AB1243" s="159"/>
      <c r="AC1243" s="159"/>
      <c r="AD1243" s="160"/>
      <c r="AE1243" s="171">
        <v>1</v>
      </c>
      <c r="AF1243" s="162">
        <f t="shared" si="476"/>
        <v>0</v>
      </c>
      <c r="AG1243" s="162">
        <f t="shared" si="477"/>
        <v>0</v>
      </c>
      <c r="AH1243" s="162">
        <f t="shared" si="478"/>
        <v>0</v>
      </c>
      <c r="AI1243" s="162">
        <f t="shared" si="479"/>
        <v>0</v>
      </c>
      <c r="AJ1243" s="148" t="str">
        <f t="shared" si="473"/>
        <v>ja</v>
      </c>
      <c r="AK1243" s="161">
        <f t="shared" si="481"/>
        <v>0</v>
      </c>
      <c r="AL1243" s="161">
        <f t="shared" si="482"/>
        <v>0</v>
      </c>
      <c r="AM1243" s="161">
        <f t="shared" si="483"/>
        <v>0</v>
      </c>
      <c r="AN1243" s="161">
        <f t="shared" si="484"/>
        <v>0</v>
      </c>
      <c r="AO1243" s="150" t="str">
        <f t="shared" si="474"/>
        <v>V</v>
      </c>
      <c r="AQ1243" s="151">
        <f t="shared" si="475"/>
        <v>227395</v>
      </c>
    </row>
    <row r="1244" spans="1:43" ht="15" customHeight="1">
      <c r="A1244" s="82" t="e">
        <f t="shared" si="464"/>
        <v>#REF!</v>
      </c>
      <c r="B1244" s="152">
        <v>308</v>
      </c>
      <c r="C1244" s="153" t="s">
        <v>1339</v>
      </c>
      <c r="D1244" s="154" t="s">
        <v>1331</v>
      </c>
      <c r="E1244" s="155"/>
      <c r="F1244" s="64" t="s">
        <v>1395</v>
      </c>
      <c r="G1244" s="156" t="s">
        <v>1360</v>
      </c>
      <c r="H1244" s="140" t="str">
        <f t="shared" si="465"/>
        <v>Perrons</v>
      </c>
      <c r="I1244" s="64" t="s">
        <v>1396</v>
      </c>
      <c r="J1244" s="64" t="s">
        <v>1255</v>
      </c>
      <c r="K1244" s="141" t="str">
        <f t="shared" si="466"/>
        <v>Volledig</v>
      </c>
      <c r="L1244" s="141" t="str">
        <f t="shared" si="467"/>
        <v>naloop</v>
      </c>
      <c r="M1244" s="141" t="str">
        <f t="shared" si="468"/>
        <v>naloop</v>
      </c>
      <c r="N1244" s="141" t="str">
        <f t="shared" si="469"/>
        <v>Volledig</v>
      </c>
      <c r="O1244" s="141" t="str">
        <f t="shared" si="470"/>
        <v>naloop</v>
      </c>
      <c r="P1244" s="141" t="str">
        <f t="shared" si="471"/>
        <v>naloop</v>
      </c>
      <c r="Q1244" s="141" t="str">
        <f t="shared" si="472"/>
        <v>naloop</v>
      </c>
      <c r="R1244" s="64" t="s">
        <v>1208</v>
      </c>
      <c r="S1244" s="142">
        <f t="shared" si="480"/>
        <v>365</v>
      </c>
      <c r="T1244" s="157">
        <v>421</v>
      </c>
      <c r="U1244" s="158"/>
      <c r="V1244" s="158"/>
      <c r="W1244" s="158"/>
      <c r="X1244" s="158"/>
      <c r="Y1244" s="158"/>
      <c r="Z1244" s="159"/>
      <c r="AA1244" s="159"/>
      <c r="AB1244" s="159"/>
      <c r="AC1244" s="159"/>
      <c r="AD1244" s="160"/>
      <c r="AE1244" s="171">
        <v>1</v>
      </c>
      <c r="AF1244" s="162">
        <f t="shared" si="476"/>
        <v>0</v>
      </c>
      <c r="AG1244" s="162">
        <f t="shared" si="477"/>
        <v>0</v>
      </c>
      <c r="AH1244" s="162">
        <f t="shared" si="478"/>
        <v>0</v>
      </c>
      <c r="AI1244" s="162">
        <f t="shared" si="479"/>
        <v>0</v>
      </c>
      <c r="AJ1244" s="148" t="str">
        <f t="shared" si="473"/>
        <v>ja</v>
      </c>
      <c r="AK1244" s="161">
        <f t="shared" si="481"/>
        <v>0</v>
      </c>
      <c r="AL1244" s="161">
        <f t="shared" si="482"/>
        <v>0</v>
      </c>
      <c r="AM1244" s="161">
        <f t="shared" si="483"/>
        <v>0</v>
      </c>
      <c r="AN1244" s="161">
        <f t="shared" si="484"/>
        <v>0</v>
      </c>
      <c r="AO1244" s="150" t="str">
        <f t="shared" si="474"/>
        <v>V</v>
      </c>
      <c r="AQ1244" s="151">
        <f t="shared" si="475"/>
        <v>153665</v>
      </c>
    </row>
    <row r="1245" spans="1:43" ht="15" customHeight="1">
      <c r="A1245" s="82" t="e">
        <f t="shared" si="464"/>
        <v>#REF!</v>
      </c>
      <c r="B1245" s="152">
        <v>308</v>
      </c>
      <c r="C1245" s="153" t="s">
        <v>1339</v>
      </c>
      <c r="D1245" s="154" t="s">
        <v>1331</v>
      </c>
      <c r="E1245" s="155"/>
      <c r="F1245" s="64" t="s">
        <v>1397</v>
      </c>
      <c r="G1245" s="156" t="s">
        <v>1360</v>
      </c>
      <c r="H1245" s="140" t="str">
        <f t="shared" si="465"/>
        <v>Perrons</v>
      </c>
      <c r="I1245" s="64" t="s">
        <v>18</v>
      </c>
      <c r="J1245" s="64" t="s">
        <v>1255</v>
      </c>
      <c r="K1245" s="141" t="str">
        <f t="shared" si="466"/>
        <v>Volledig</v>
      </c>
      <c r="L1245" s="141" t="str">
        <f t="shared" si="467"/>
        <v>naloop</v>
      </c>
      <c r="M1245" s="141" t="str">
        <f t="shared" si="468"/>
        <v>naloop</v>
      </c>
      <c r="N1245" s="141" t="str">
        <f t="shared" si="469"/>
        <v>Volledig</v>
      </c>
      <c r="O1245" s="141" t="str">
        <f t="shared" si="470"/>
        <v>naloop</v>
      </c>
      <c r="P1245" s="141" t="str">
        <f t="shared" si="471"/>
        <v>naloop</v>
      </c>
      <c r="Q1245" s="141" t="str">
        <f t="shared" si="472"/>
        <v>naloop</v>
      </c>
      <c r="R1245" s="64" t="s">
        <v>1208</v>
      </c>
      <c r="S1245" s="142">
        <f t="shared" si="480"/>
        <v>365</v>
      </c>
      <c r="T1245" s="157">
        <v>199</v>
      </c>
      <c r="U1245" s="158"/>
      <c r="V1245" s="158"/>
      <c r="W1245" s="158"/>
      <c r="X1245" s="158"/>
      <c r="Y1245" s="158"/>
      <c r="Z1245" s="159"/>
      <c r="AA1245" s="159"/>
      <c r="AB1245" s="159"/>
      <c r="AC1245" s="159"/>
      <c r="AD1245" s="160"/>
      <c r="AE1245" s="171">
        <v>1</v>
      </c>
      <c r="AF1245" s="162">
        <f t="shared" si="476"/>
        <v>0</v>
      </c>
      <c r="AG1245" s="162">
        <f t="shared" si="477"/>
        <v>0</v>
      </c>
      <c r="AH1245" s="162">
        <f t="shared" si="478"/>
        <v>0</v>
      </c>
      <c r="AI1245" s="162">
        <f t="shared" si="479"/>
        <v>0</v>
      </c>
      <c r="AJ1245" s="148" t="str">
        <f t="shared" si="473"/>
        <v>ja</v>
      </c>
      <c r="AK1245" s="161">
        <f t="shared" si="481"/>
        <v>0</v>
      </c>
      <c r="AL1245" s="161">
        <f t="shared" si="482"/>
        <v>0</v>
      </c>
      <c r="AM1245" s="161">
        <f t="shared" si="483"/>
        <v>0</v>
      </c>
      <c r="AN1245" s="161">
        <f t="shared" si="484"/>
        <v>0</v>
      </c>
      <c r="AO1245" s="150" t="str">
        <f t="shared" si="474"/>
        <v>V</v>
      </c>
      <c r="AQ1245" s="151">
        <f t="shared" si="475"/>
        <v>72635</v>
      </c>
    </row>
    <row r="1246" spans="1:43" ht="15" customHeight="1">
      <c r="A1246" s="82" t="e">
        <f t="shared" si="464"/>
        <v>#REF!</v>
      </c>
      <c r="B1246" s="152">
        <v>308</v>
      </c>
      <c r="C1246" s="153" t="s">
        <v>1339</v>
      </c>
      <c r="D1246" s="154" t="s">
        <v>1331</v>
      </c>
      <c r="E1246" s="155"/>
      <c r="F1246" s="64" t="s">
        <v>1398</v>
      </c>
      <c r="G1246" s="156" t="s">
        <v>1399</v>
      </c>
      <c r="H1246" s="140" t="str">
        <f t="shared" si="465"/>
        <v>Sanitair</v>
      </c>
      <c r="I1246" s="64" t="s">
        <v>270</v>
      </c>
      <c r="J1246" s="64" t="s">
        <v>1255</v>
      </c>
      <c r="K1246" s="141" t="str">
        <f t="shared" si="466"/>
        <v>Volledig</v>
      </c>
      <c r="L1246" s="141" t="str">
        <f t="shared" si="467"/>
        <v>naloop</v>
      </c>
      <c r="M1246" s="141" t="str">
        <f t="shared" si="468"/>
        <v>naloop</v>
      </c>
      <c r="N1246" s="141" t="str">
        <f t="shared" si="469"/>
        <v>Volledig</v>
      </c>
      <c r="O1246" s="141" t="str">
        <f t="shared" si="470"/>
        <v>naloop</v>
      </c>
      <c r="P1246" s="141" t="str">
        <f t="shared" si="471"/>
        <v>naloop</v>
      </c>
      <c r="Q1246" s="141" t="str">
        <f t="shared" si="472"/>
        <v>naloop</v>
      </c>
      <c r="R1246" s="64" t="s">
        <v>1210</v>
      </c>
      <c r="S1246" s="142">
        <f t="shared" si="480"/>
        <v>365</v>
      </c>
      <c r="T1246" s="157">
        <v>1</v>
      </c>
      <c r="U1246" s="158"/>
      <c r="V1246" s="158"/>
      <c r="W1246" s="158"/>
      <c r="X1246" s="158">
        <v>22</v>
      </c>
      <c r="Y1246" s="158">
        <v>17</v>
      </c>
      <c r="Z1246" s="159"/>
      <c r="AA1246" s="159"/>
      <c r="AB1246" s="159"/>
      <c r="AC1246" s="159">
        <v>9</v>
      </c>
      <c r="AD1246" s="160"/>
      <c r="AE1246" s="171">
        <v>1</v>
      </c>
      <c r="AF1246" s="162">
        <f t="shared" si="476"/>
        <v>0</v>
      </c>
      <c r="AG1246" s="162">
        <f t="shared" si="477"/>
        <v>0</v>
      </c>
      <c r="AH1246" s="162">
        <f t="shared" si="478"/>
        <v>0</v>
      </c>
      <c r="AI1246" s="162">
        <f t="shared" si="479"/>
        <v>0</v>
      </c>
      <c r="AJ1246" s="148" t="str">
        <f t="shared" si="473"/>
        <v>ja</v>
      </c>
      <c r="AK1246" s="161">
        <f t="shared" si="481"/>
        <v>0</v>
      </c>
      <c r="AL1246" s="161">
        <f t="shared" si="482"/>
        <v>0</v>
      </c>
      <c r="AM1246" s="161">
        <f t="shared" si="483"/>
        <v>0</v>
      </c>
      <c r="AN1246" s="161">
        <f t="shared" si="484"/>
        <v>0</v>
      </c>
      <c r="AO1246" s="150" t="str">
        <f t="shared" si="474"/>
        <v>S</v>
      </c>
      <c r="AQ1246" s="151">
        <f t="shared" si="475"/>
        <v>365</v>
      </c>
    </row>
    <row r="1247" spans="1:43" ht="15" customHeight="1">
      <c r="A1247" s="82" t="e">
        <f t="shared" si="464"/>
        <v>#REF!</v>
      </c>
      <c r="B1247" s="152">
        <v>308</v>
      </c>
      <c r="C1247" s="153" t="s">
        <v>1339</v>
      </c>
      <c r="D1247" s="154" t="s">
        <v>1331</v>
      </c>
      <c r="E1247" s="155"/>
      <c r="F1247" s="64" t="s">
        <v>1398</v>
      </c>
      <c r="G1247" s="156" t="s">
        <v>1399</v>
      </c>
      <c r="H1247" s="140" t="str">
        <f t="shared" si="465"/>
        <v>Kantoren/spreekkamers</v>
      </c>
      <c r="I1247" s="64" t="s">
        <v>270</v>
      </c>
      <c r="J1247" s="64" t="s">
        <v>1255</v>
      </c>
      <c r="K1247" s="141" t="str">
        <f t="shared" si="466"/>
        <v>Volledig</v>
      </c>
      <c r="L1247" s="141" t="str">
        <f t="shared" si="467"/>
        <v>naloop</v>
      </c>
      <c r="M1247" s="141" t="str">
        <f t="shared" si="468"/>
        <v>naloop</v>
      </c>
      <c r="N1247" s="141" t="str">
        <f t="shared" si="469"/>
        <v>Volledig</v>
      </c>
      <c r="O1247" s="141" t="str">
        <f t="shared" si="470"/>
        <v>naloop</v>
      </c>
      <c r="P1247" s="141" t="str">
        <f t="shared" si="471"/>
        <v>naloop</v>
      </c>
      <c r="Q1247" s="141" t="str">
        <f t="shared" si="472"/>
        <v>naloop</v>
      </c>
      <c r="R1247" s="64" t="s">
        <v>1219</v>
      </c>
      <c r="S1247" s="142">
        <f t="shared" si="480"/>
        <v>365</v>
      </c>
      <c r="T1247" s="157">
        <v>8</v>
      </c>
      <c r="U1247" s="158"/>
      <c r="V1247" s="158"/>
      <c r="W1247" s="158"/>
      <c r="X1247" s="158">
        <v>22</v>
      </c>
      <c r="Y1247" s="158">
        <v>17</v>
      </c>
      <c r="Z1247" s="159"/>
      <c r="AA1247" s="159"/>
      <c r="AB1247" s="159"/>
      <c r="AC1247" s="159">
        <v>9</v>
      </c>
      <c r="AD1247" s="160"/>
      <c r="AE1247" s="171">
        <v>1</v>
      </c>
      <c r="AF1247" s="162">
        <f t="shared" si="476"/>
        <v>0</v>
      </c>
      <c r="AG1247" s="162">
        <f t="shared" si="477"/>
        <v>0</v>
      </c>
      <c r="AH1247" s="162">
        <f t="shared" si="478"/>
        <v>0</v>
      </c>
      <c r="AI1247" s="162">
        <f t="shared" si="479"/>
        <v>0</v>
      </c>
      <c r="AJ1247" s="148" t="str">
        <f t="shared" si="473"/>
        <v>nee</v>
      </c>
      <c r="AK1247" s="161">
        <f t="shared" si="481"/>
        <v>0</v>
      </c>
      <c r="AL1247" s="161">
        <f t="shared" si="482"/>
        <v>0</v>
      </c>
      <c r="AM1247" s="161">
        <f t="shared" si="483"/>
        <v>0</v>
      </c>
      <c r="AN1247" s="161">
        <f t="shared" si="484"/>
        <v>0</v>
      </c>
      <c r="AO1247" s="150" t="str">
        <f t="shared" si="474"/>
        <v>B</v>
      </c>
      <c r="AQ1247" s="151">
        <f t="shared" si="475"/>
        <v>2920</v>
      </c>
    </row>
    <row r="1248" spans="1:43" ht="15" customHeight="1">
      <c r="A1248" s="82" t="e">
        <f t="shared" si="464"/>
        <v>#REF!</v>
      </c>
      <c r="B1248" s="152">
        <v>308</v>
      </c>
      <c r="C1248" s="153" t="s">
        <v>1339</v>
      </c>
      <c r="D1248" s="154" t="s">
        <v>1331</v>
      </c>
      <c r="E1248" s="155"/>
      <c r="F1248" s="64" t="s">
        <v>34</v>
      </c>
      <c r="G1248" s="156" t="s">
        <v>1371</v>
      </c>
      <c r="H1248" s="140" t="str">
        <f t="shared" si="465"/>
        <v>Roltrappen(inclusief aangrenzende bouwdelen)</v>
      </c>
      <c r="I1248" s="64" t="s">
        <v>1251</v>
      </c>
      <c r="J1248" s="64" t="s">
        <v>1255</v>
      </c>
      <c r="K1248" s="141" t="str">
        <f t="shared" si="466"/>
        <v>Volledig</v>
      </c>
      <c r="L1248" s="141" t="str">
        <f t="shared" si="467"/>
        <v>naloop</v>
      </c>
      <c r="M1248" s="141" t="str">
        <f t="shared" si="468"/>
        <v>naloop</v>
      </c>
      <c r="N1248" s="141" t="str">
        <f t="shared" si="469"/>
        <v>Volledig</v>
      </c>
      <c r="O1248" s="141" t="str">
        <f t="shared" si="470"/>
        <v>naloop</v>
      </c>
      <c r="P1248" s="141" t="str">
        <f t="shared" si="471"/>
        <v>naloop</v>
      </c>
      <c r="Q1248" s="141" t="str">
        <f t="shared" si="472"/>
        <v>naloop</v>
      </c>
      <c r="R1248" s="64" t="s">
        <v>1217</v>
      </c>
      <c r="S1248" s="142">
        <f t="shared" si="480"/>
        <v>365</v>
      </c>
      <c r="T1248" s="157">
        <v>33</v>
      </c>
      <c r="U1248" s="158"/>
      <c r="V1248" s="158"/>
      <c r="W1248" s="158"/>
      <c r="X1248" s="158">
        <v>18</v>
      </c>
      <c r="Y1248" s="158"/>
      <c r="Z1248" s="159"/>
      <c r="AA1248" s="159"/>
      <c r="AB1248" s="159"/>
      <c r="AC1248" s="159"/>
      <c r="AD1248" s="160"/>
      <c r="AE1248" s="171">
        <v>1</v>
      </c>
      <c r="AF1248" s="162">
        <f t="shared" si="476"/>
        <v>0</v>
      </c>
      <c r="AG1248" s="162">
        <f t="shared" si="477"/>
        <v>0</v>
      </c>
      <c r="AH1248" s="162">
        <f t="shared" si="478"/>
        <v>0</v>
      </c>
      <c r="AI1248" s="162">
        <f t="shared" si="479"/>
        <v>0</v>
      </c>
      <c r="AJ1248" s="148" t="str">
        <f t="shared" si="473"/>
        <v>ja</v>
      </c>
      <c r="AK1248" s="161">
        <f t="shared" si="481"/>
        <v>0</v>
      </c>
      <c r="AL1248" s="161">
        <f t="shared" si="482"/>
        <v>0</v>
      </c>
      <c r="AM1248" s="161">
        <f t="shared" si="483"/>
        <v>0</v>
      </c>
      <c r="AN1248" s="161">
        <f t="shared" si="484"/>
        <v>0</v>
      </c>
      <c r="AO1248" s="150" t="str">
        <f t="shared" si="474"/>
        <v>V</v>
      </c>
      <c r="AQ1248" s="151">
        <f t="shared" si="475"/>
        <v>12045</v>
      </c>
    </row>
    <row r="1249" spans="1:43" ht="15" customHeight="1">
      <c r="A1249" s="82" t="e">
        <f t="shared" ref="A1249:A1308" si="485">1+A1248</f>
        <v>#REF!</v>
      </c>
      <c r="B1249" s="152">
        <v>308</v>
      </c>
      <c r="C1249" s="153" t="s">
        <v>1339</v>
      </c>
      <c r="D1249" s="154" t="s">
        <v>1331</v>
      </c>
      <c r="E1249" s="155"/>
      <c r="F1249" s="64" t="s">
        <v>1372</v>
      </c>
      <c r="G1249" s="156" t="s">
        <v>26</v>
      </c>
      <c r="H1249" s="140" t="str">
        <f t="shared" si="465"/>
        <v>Bestrating</v>
      </c>
      <c r="I1249" s="64" t="s">
        <v>1254</v>
      </c>
      <c r="J1249" s="138" t="s">
        <v>1171</v>
      </c>
      <c r="K1249" s="141" t="str">
        <f t="shared" si="466"/>
        <v>Omde dag Vol/Nal.</v>
      </c>
      <c r="L1249" s="141" t="str">
        <f t="shared" si="467"/>
        <v>Omde dag Nal./Vol</v>
      </c>
      <c r="M1249" s="141" t="str">
        <f t="shared" si="468"/>
        <v>Omde dag Vol/Nal.</v>
      </c>
      <c r="N1249" s="141" t="str">
        <f t="shared" si="469"/>
        <v>Omde dag Nal./Vol</v>
      </c>
      <c r="O1249" s="141" t="str">
        <f t="shared" si="470"/>
        <v>Omde dag Vol/Nal.</v>
      </c>
      <c r="P1249" s="141" t="str">
        <f t="shared" si="471"/>
        <v>Omde dag Nal./Vol</v>
      </c>
      <c r="Q1249" s="141" t="str">
        <f t="shared" si="472"/>
        <v>Omde dag Vol/Nal.</v>
      </c>
      <c r="R1249" s="64" t="s">
        <v>1470</v>
      </c>
      <c r="S1249" s="142">
        <f t="shared" si="480"/>
        <v>365</v>
      </c>
      <c r="T1249" s="157">
        <v>6.41</v>
      </c>
      <c r="U1249" s="158"/>
      <c r="V1249" s="158">
        <v>34</v>
      </c>
      <c r="W1249" s="158"/>
      <c r="X1249" s="158"/>
      <c r="Y1249" s="158"/>
      <c r="Z1249" s="159"/>
      <c r="AA1249" s="159"/>
      <c r="AB1249" s="159">
        <v>6</v>
      </c>
      <c r="AC1249" s="159"/>
      <c r="AD1249" s="160"/>
      <c r="AE1249" s="171">
        <v>1</v>
      </c>
      <c r="AF1249" s="162">
        <f t="shared" si="476"/>
        <v>0</v>
      </c>
      <c r="AG1249" s="162">
        <f t="shared" si="477"/>
        <v>0</v>
      </c>
      <c r="AH1249" s="162">
        <f t="shared" si="478"/>
        <v>0</v>
      </c>
      <c r="AI1249" s="162">
        <f t="shared" si="479"/>
        <v>0</v>
      </c>
      <c r="AJ1249" s="148" t="str">
        <f t="shared" si="473"/>
        <v>ja</v>
      </c>
      <c r="AK1249" s="161">
        <f t="shared" si="481"/>
        <v>0</v>
      </c>
      <c r="AL1249" s="161">
        <f t="shared" si="482"/>
        <v>0</v>
      </c>
      <c r="AM1249" s="161">
        <f t="shared" si="483"/>
        <v>0</v>
      </c>
      <c r="AN1249" s="161">
        <f t="shared" si="484"/>
        <v>0</v>
      </c>
      <c r="AO1249" s="150" t="str">
        <f t="shared" si="474"/>
        <v>V</v>
      </c>
      <c r="AQ1249" s="151">
        <f t="shared" si="475"/>
        <v>2339.65</v>
      </c>
    </row>
    <row r="1250" spans="1:43" ht="15" customHeight="1">
      <c r="A1250" s="82" t="e">
        <f t="shared" si="485"/>
        <v>#REF!</v>
      </c>
      <c r="B1250" s="152">
        <v>308</v>
      </c>
      <c r="C1250" s="153" t="s">
        <v>1339</v>
      </c>
      <c r="D1250" s="154" t="s">
        <v>1331</v>
      </c>
      <c r="E1250" s="155"/>
      <c r="F1250" s="64" t="s">
        <v>1361</v>
      </c>
      <c r="G1250" s="156" t="s">
        <v>28</v>
      </c>
      <c r="H1250" s="140" t="str">
        <f t="shared" si="465"/>
        <v>Niet van toepassing</v>
      </c>
      <c r="I1250" s="64" t="s">
        <v>195</v>
      </c>
      <c r="J1250" s="138" t="s">
        <v>1172</v>
      </c>
      <c r="K1250" s="141" t="str">
        <f t="shared" si="466"/>
        <v>NVT</v>
      </c>
      <c r="L1250" s="141" t="str">
        <f t="shared" si="467"/>
        <v>NVT</v>
      </c>
      <c r="M1250" s="141" t="str">
        <f t="shared" si="468"/>
        <v>NVT</v>
      </c>
      <c r="N1250" s="141" t="str">
        <f t="shared" si="469"/>
        <v>NVT</v>
      </c>
      <c r="O1250" s="141" t="str">
        <f t="shared" si="470"/>
        <v>NVT</v>
      </c>
      <c r="P1250" s="141" t="str">
        <f t="shared" si="471"/>
        <v>NVT</v>
      </c>
      <c r="Q1250" s="141" t="str">
        <f t="shared" si="472"/>
        <v>NVT</v>
      </c>
      <c r="R1250" s="63" t="s">
        <v>1221</v>
      </c>
      <c r="S1250" s="142">
        <f t="shared" si="480"/>
        <v>0</v>
      </c>
      <c r="T1250" s="157">
        <v>11</v>
      </c>
      <c r="U1250" s="158"/>
      <c r="V1250" s="158">
        <v>50</v>
      </c>
      <c r="W1250" s="158"/>
      <c r="X1250" s="158"/>
      <c r="Y1250" s="158"/>
      <c r="Z1250" s="159"/>
      <c r="AA1250" s="159"/>
      <c r="AB1250" s="159">
        <v>11</v>
      </c>
      <c r="AC1250" s="159"/>
      <c r="AD1250" s="160"/>
      <c r="AE1250" s="171">
        <v>1</v>
      </c>
      <c r="AF1250" s="162">
        <f t="shared" si="476"/>
        <v>0</v>
      </c>
      <c r="AG1250" s="162">
        <f t="shared" si="477"/>
        <v>0</v>
      </c>
      <c r="AH1250" s="162">
        <f t="shared" si="478"/>
        <v>0</v>
      </c>
      <c r="AI1250" s="162">
        <f t="shared" si="479"/>
        <v>0</v>
      </c>
      <c r="AJ1250" s="148">
        <f t="shared" si="473"/>
        <v>0</v>
      </c>
      <c r="AK1250" s="161">
        <f t="shared" si="481"/>
        <v>0</v>
      </c>
      <c r="AL1250" s="161">
        <f t="shared" si="482"/>
        <v>0</v>
      </c>
      <c r="AM1250" s="161">
        <f t="shared" si="483"/>
        <v>0</v>
      </c>
      <c r="AN1250" s="161">
        <f t="shared" si="484"/>
        <v>0</v>
      </c>
      <c r="AO1250" s="150">
        <f t="shared" si="474"/>
        <v>0</v>
      </c>
      <c r="AQ1250" s="151">
        <f t="shared" si="475"/>
        <v>0</v>
      </c>
    </row>
    <row r="1251" spans="1:43" ht="15" customHeight="1">
      <c r="A1251" s="82" t="e">
        <f t="shared" si="485"/>
        <v>#REF!</v>
      </c>
      <c r="B1251" s="152">
        <v>308</v>
      </c>
      <c r="C1251" s="153" t="s">
        <v>1339</v>
      </c>
      <c r="D1251" s="154" t="s">
        <v>1331</v>
      </c>
      <c r="E1251" s="155"/>
      <c r="F1251" s="64" t="s">
        <v>1362</v>
      </c>
      <c r="G1251" s="156" t="s">
        <v>29</v>
      </c>
      <c r="H1251" s="140" t="str">
        <f t="shared" si="465"/>
        <v>Niet van toepassing</v>
      </c>
      <c r="I1251" s="64" t="s">
        <v>195</v>
      </c>
      <c r="J1251" s="138" t="s">
        <v>1172</v>
      </c>
      <c r="K1251" s="141" t="str">
        <f t="shared" si="466"/>
        <v>NVT</v>
      </c>
      <c r="L1251" s="141" t="str">
        <f t="shared" si="467"/>
        <v>NVT</v>
      </c>
      <c r="M1251" s="141" t="str">
        <f t="shared" si="468"/>
        <v>NVT</v>
      </c>
      <c r="N1251" s="141" t="str">
        <f t="shared" si="469"/>
        <v>NVT</v>
      </c>
      <c r="O1251" s="141" t="str">
        <f t="shared" si="470"/>
        <v>NVT</v>
      </c>
      <c r="P1251" s="141" t="str">
        <f t="shared" si="471"/>
        <v>NVT</v>
      </c>
      <c r="Q1251" s="141" t="str">
        <f t="shared" si="472"/>
        <v>NVT</v>
      </c>
      <c r="R1251" s="63" t="s">
        <v>1221</v>
      </c>
      <c r="S1251" s="142">
        <f t="shared" si="480"/>
        <v>0</v>
      </c>
      <c r="T1251" s="157">
        <v>2</v>
      </c>
      <c r="U1251" s="158"/>
      <c r="V1251" s="158">
        <v>16</v>
      </c>
      <c r="W1251" s="158"/>
      <c r="X1251" s="158"/>
      <c r="Y1251" s="158"/>
      <c r="Z1251" s="159"/>
      <c r="AA1251" s="159"/>
      <c r="AB1251" s="159">
        <v>2</v>
      </c>
      <c r="AC1251" s="159"/>
      <c r="AD1251" s="160"/>
      <c r="AE1251" s="171">
        <v>1</v>
      </c>
      <c r="AF1251" s="162">
        <f t="shared" si="476"/>
        <v>0</v>
      </c>
      <c r="AG1251" s="162">
        <f t="shared" si="477"/>
        <v>0</v>
      </c>
      <c r="AH1251" s="162">
        <f t="shared" si="478"/>
        <v>0</v>
      </c>
      <c r="AI1251" s="162">
        <f t="shared" si="479"/>
        <v>0</v>
      </c>
      <c r="AJ1251" s="148">
        <f t="shared" si="473"/>
        <v>0</v>
      </c>
      <c r="AK1251" s="161">
        <f t="shared" si="481"/>
        <v>0</v>
      </c>
      <c r="AL1251" s="161">
        <f t="shared" si="482"/>
        <v>0</v>
      </c>
      <c r="AM1251" s="161">
        <f t="shared" si="483"/>
        <v>0</v>
      </c>
      <c r="AN1251" s="161">
        <f t="shared" si="484"/>
        <v>0</v>
      </c>
      <c r="AO1251" s="150">
        <f t="shared" si="474"/>
        <v>0</v>
      </c>
      <c r="AQ1251" s="151">
        <f t="shared" si="475"/>
        <v>0</v>
      </c>
    </row>
    <row r="1252" spans="1:43" ht="15" customHeight="1">
      <c r="A1252" s="82" t="e">
        <f>1+#REF!</f>
        <v>#REF!</v>
      </c>
      <c r="B1252" s="152">
        <v>308</v>
      </c>
      <c r="C1252" s="153" t="s">
        <v>1339</v>
      </c>
      <c r="D1252" s="154" t="s">
        <v>1331</v>
      </c>
      <c r="E1252" s="155"/>
      <c r="F1252" s="64" t="s">
        <v>122</v>
      </c>
      <c r="G1252" s="156" t="s">
        <v>32</v>
      </c>
      <c r="H1252" s="140" t="str">
        <f t="shared" si="465"/>
        <v>Niet van toepassing</v>
      </c>
      <c r="I1252" s="64" t="s">
        <v>195</v>
      </c>
      <c r="J1252" s="64" t="s">
        <v>1172</v>
      </c>
      <c r="K1252" s="141" t="str">
        <f t="shared" si="466"/>
        <v>NVT</v>
      </c>
      <c r="L1252" s="141" t="str">
        <f t="shared" si="467"/>
        <v>NVT</v>
      </c>
      <c r="M1252" s="141" t="str">
        <f t="shared" si="468"/>
        <v>NVT</v>
      </c>
      <c r="N1252" s="141" t="str">
        <f t="shared" si="469"/>
        <v>NVT</v>
      </c>
      <c r="O1252" s="141" t="str">
        <f t="shared" si="470"/>
        <v>NVT</v>
      </c>
      <c r="P1252" s="141" t="str">
        <f t="shared" si="471"/>
        <v>NVT</v>
      </c>
      <c r="Q1252" s="141" t="str">
        <f t="shared" si="472"/>
        <v>NVT</v>
      </c>
      <c r="R1252" s="64" t="s">
        <v>1221</v>
      </c>
      <c r="S1252" s="142">
        <f t="shared" si="480"/>
        <v>0</v>
      </c>
      <c r="T1252" s="157">
        <v>6</v>
      </c>
      <c r="U1252" s="158">
        <v>2</v>
      </c>
      <c r="V1252" s="158">
        <v>38</v>
      </c>
      <c r="W1252" s="158"/>
      <c r="X1252" s="158"/>
      <c r="Y1252" s="158"/>
      <c r="Z1252" s="159"/>
      <c r="AA1252" s="159"/>
      <c r="AB1252" s="159">
        <v>6</v>
      </c>
      <c r="AC1252" s="159"/>
      <c r="AD1252" s="160"/>
      <c r="AE1252" s="171">
        <v>1</v>
      </c>
      <c r="AF1252" s="162">
        <f t="shared" si="476"/>
        <v>0</v>
      </c>
      <c r="AG1252" s="162">
        <f t="shared" si="477"/>
        <v>0</v>
      </c>
      <c r="AH1252" s="162">
        <f t="shared" si="478"/>
        <v>0</v>
      </c>
      <c r="AI1252" s="162">
        <f t="shared" si="479"/>
        <v>0</v>
      </c>
      <c r="AJ1252" s="148">
        <f t="shared" si="473"/>
        <v>0</v>
      </c>
      <c r="AK1252" s="161">
        <f t="shared" si="481"/>
        <v>0</v>
      </c>
      <c r="AL1252" s="161">
        <f t="shared" si="482"/>
        <v>0</v>
      </c>
      <c r="AM1252" s="161">
        <f t="shared" si="483"/>
        <v>0</v>
      </c>
      <c r="AN1252" s="161">
        <f t="shared" si="484"/>
        <v>0</v>
      </c>
      <c r="AO1252" s="150">
        <f t="shared" si="474"/>
        <v>0</v>
      </c>
      <c r="AQ1252" s="151">
        <f t="shared" si="475"/>
        <v>0</v>
      </c>
    </row>
    <row r="1253" spans="1:43" ht="15" customHeight="1">
      <c r="A1253" s="82" t="e">
        <f t="shared" si="485"/>
        <v>#REF!</v>
      </c>
      <c r="B1253" s="152">
        <v>308</v>
      </c>
      <c r="C1253" s="153" t="s">
        <v>1339</v>
      </c>
      <c r="D1253" s="154" t="s">
        <v>1331</v>
      </c>
      <c r="E1253" s="155"/>
      <c r="F1253" s="64" t="s">
        <v>1389</v>
      </c>
      <c r="G1253" s="156" t="s">
        <v>24</v>
      </c>
      <c r="H1253" s="140" t="str">
        <f t="shared" si="465"/>
        <v>Niet van toepassing</v>
      </c>
      <c r="I1253" s="64" t="s">
        <v>195</v>
      </c>
      <c r="J1253" s="138" t="s">
        <v>1172</v>
      </c>
      <c r="K1253" s="141" t="str">
        <f t="shared" si="466"/>
        <v>NVT</v>
      </c>
      <c r="L1253" s="141" t="str">
        <f t="shared" si="467"/>
        <v>NVT</v>
      </c>
      <c r="M1253" s="141" t="str">
        <f t="shared" si="468"/>
        <v>NVT</v>
      </c>
      <c r="N1253" s="141" t="str">
        <f t="shared" si="469"/>
        <v>NVT</v>
      </c>
      <c r="O1253" s="141" t="str">
        <f t="shared" si="470"/>
        <v>NVT</v>
      </c>
      <c r="P1253" s="141" t="str">
        <f t="shared" si="471"/>
        <v>NVT</v>
      </c>
      <c r="Q1253" s="141" t="str">
        <f t="shared" si="472"/>
        <v>NVT</v>
      </c>
      <c r="R1253" s="63" t="s">
        <v>1221</v>
      </c>
      <c r="S1253" s="142">
        <f t="shared" si="480"/>
        <v>0</v>
      </c>
      <c r="T1253" s="157">
        <v>11</v>
      </c>
      <c r="U1253" s="158"/>
      <c r="V1253" s="158">
        <v>46</v>
      </c>
      <c r="W1253" s="158"/>
      <c r="X1253" s="158"/>
      <c r="Y1253" s="158"/>
      <c r="Z1253" s="159"/>
      <c r="AA1253" s="159"/>
      <c r="AB1253" s="159">
        <v>11</v>
      </c>
      <c r="AC1253" s="159"/>
      <c r="AD1253" s="160"/>
      <c r="AE1253" s="171">
        <v>1</v>
      </c>
      <c r="AF1253" s="162">
        <f t="shared" si="476"/>
        <v>0</v>
      </c>
      <c r="AG1253" s="162">
        <f t="shared" si="477"/>
        <v>0</v>
      </c>
      <c r="AH1253" s="162">
        <f t="shared" si="478"/>
        <v>0</v>
      </c>
      <c r="AI1253" s="162">
        <f t="shared" si="479"/>
        <v>0</v>
      </c>
      <c r="AJ1253" s="148">
        <f t="shared" si="473"/>
        <v>0</v>
      </c>
      <c r="AK1253" s="161">
        <f t="shared" si="481"/>
        <v>0</v>
      </c>
      <c r="AL1253" s="161">
        <f t="shared" si="482"/>
        <v>0</v>
      </c>
      <c r="AM1253" s="161">
        <f t="shared" si="483"/>
        <v>0</v>
      </c>
      <c r="AN1253" s="161">
        <f t="shared" si="484"/>
        <v>0</v>
      </c>
      <c r="AO1253" s="150">
        <f t="shared" si="474"/>
        <v>0</v>
      </c>
      <c r="AQ1253" s="151">
        <f t="shared" si="475"/>
        <v>0</v>
      </c>
    </row>
    <row r="1254" spans="1:43" ht="15" customHeight="1">
      <c r="A1254" s="82" t="e">
        <f t="shared" si="485"/>
        <v>#REF!</v>
      </c>
      <c r="B1254" s="152">
        <v>308</v>
      </c>
      <c r="C1254" s="153" t="s">
        <v>1339</v>
      </c>
      <c r="D1254" s="154" t="s">
        <v>1331</v>
      </c>
      <c r="E1254" s="155"/>
      <c r="F1254" s="64" t="s">
        <v>1402</v>
      </c>
      <c r="G1254" s="156"/>
      <c r="H1254" s="140" t="str">
        <f t="shared" si="465"/>
        <v>Bestrating</v>
      </c>
      <c r="I1254" s="64" t="s">
        <v>1254</v>
      </c>
      <c r="J1254" s="138" t="s">
        <v>1171</v>
      </c>
      <c r="K1254" s="141" t="str">
        <f t="shared" si="466"/>
        <v>Omde dag Vol/Nal.</v>
      </c>
      <c r="L1254" s="141" t="str">
        <f t="shared" si="467"/>
        <v>Omde dag Nal./Vol</v>
      </c>
      <c r="M1254" s="141" t="str">
        <f t="shared" si="468"/>
        <v>Omde dag Vol/Nal.</v>
      </c>
      <c r="N1254" s="141" t="str">
        <f t="shared" si="469"/>
        <v>Omde dag Nal./Vol</v>
      </c>
      <c r="O1254" s="141" t="str">
        <f t="shared" si="470"/>
        <v>Omde dag Vol/Nal.</v>
      </c>
      <c r="P1254" s="141" t="str">
        <f t="shared" si="471"/>
        <v>Omde dag Nal./Vol</v>
      </c>
      <c r="Q1254" s="141" t="str">
        <f t="shared" si="472"/>
        <v>Omde dag Vol/Nal.</v>
      </c>
      <c r="R1254" s="64" t="s">
        <v>1470</v>
      </c>
      <c r="S1254" s="142">
        <f t="shared" si="480"/>
        <v>365</v>
      </c>
      <c r="T1254" s="157">
        <v>32</v>
      </c>
      <c r="U1254" s="158"/>
      <c r="V1254" s="158"/>
      <c r="W1254" s="158"/>
      <c r="X1254" s="158"/>
      <c r="Y1254" s="158"/>
      <c r="Z1254" s="159"/>
      <c r="AA1254" s="159"/>
      <c r="AB1254" s="159"/>
      <c r="AC1254" s="159"/>
      <c r="AD1254" s="160"/>
      <c r="AE1254" s="171">
        <v>1</v>
      </c>
      <c r="AF1254" s="162">
        <f t="shared" si="476"/>
        <v>0</v>
      </c>
      <c r="AG1254" s="162">
        <f t="shared" si="477"/>
        <v>0</v>
      </c>
      <c r="AH1254" s="162">
        <f t="shared" si="478"/>
        <v>0</v>
      </c>
      <c r="AI1254" s="162">
        <f t="shared" si="479"/>
        <v>0</v>
      </c>
      <c r="AJ1254" s="148" t="str">
        <f t="shared" si="473"/>
        <v>ja</v>
      </c>
      <c r="AK1254" s="161">
        <f t="shared" si="481"/>
        <v>0</v>
      </c>
      <c r="AL1254" s="161">
        <f t="shared" si="482"/>
        <v>0</v>
      </c>
      <c r="AM1254" s="161">
        <f t="shared" si="483"/>
        <v>0</v>
      </c>
      <c r="AN1254" s="161">
        <f t="shared" si="484"/>
        <v>0</v>
      </c>
      <c r="AO1254" s="150" t="str">
        <f t="shared" si="474"/>
        <v>V</v>
      </c>
      <c r="AQ1254" s="151">
        <f t="shared" si="475"/>
        <v>11680</v>
      </c>
    </row>
    <row r="1255" spans="1:43" ht="15" customHeight="1">
      <c r="A1255" s="82" t="e">
        <f t="shared" si="485"/>
        <v>#REF!</v>
      </c>
      <c r="B1255" s="152">
        <v>308</v>
      </c>
      <c r="C1255" s="153" t="s">
        <v>1339</v>
      </c>
      <c r="D1255" s="154" t="s">
        <v>1331</v>
      </c>
      <c r="E1255" s="155"/>
      <c r="F1255" s="64" t="s">
        <v>1377</v>
      </c>
      <c r="G1255" s="156" t="s">
        <v>36</v>
      </c>
      <c r="H1255" s="140" t="str">
        <f t="shared" si="465"/>
        <v>Liften</v>
      </c>
      <c r="I1255" s="64" t="s">
        <v>1109</v>
      </c>
      <c r="J1255" s="64" t="s">
        <v>1255</v>
      </c>
      <c r="K1255" s="141" t="str">
        <f t="shared" si="466"/>
        <v>Volledig</v>
      </c>
      <c r="L1255" s="141" t="str">
        <f t="shared" si="467"/>
        <v>naloop</v>
      </c>
      <c r="M1255" s="141" t="str">
        <f t="shared" si="468"/>
        <v>naloop</v>
      </c>
      <c r="N1255" s="141" t="str">
        <f t="shared" si="469"/>
        <v>Volledig</v>
      </c>
      <c r="O1255" s="141" t="str">
        <f t="shared" si="470"/>
        <v>naloop</v>
      </c>
      <c r="P1255" s="141" t="str">
        <f t="shared" si="471"/>
        <v>naloop</v>
      </c>
      <c r="Q1255" s="141" t="str">
        <f t="shared" si="472"/>
        <v>naloop</v>
      </c>
      <c r="R1255" s="64" t="s">
        <v>1212</v>
      </c>
      <c r="S1255" s="142">
        <f t="shared" si="480"/>
        <v>365</v>
      </c>
      <c r="T1255" s="157">
        <v>5</v>
      </c>
      <c r="U1255" s="158"/>
      <c r="V1255" s="158"/>
      <c r="W1255" s="158"/>
      <c r="X1255" s="158"/>
      <c r="Y1255" s="158"/>
      <c r="Z1255" s="159"/>
      <c r="AA1255" s="159"/>
      <c r="AB1255" s="159"/>
      <c r="AC1255" s="159"/>
      <c r="AD1255" s="160"/>
      <c r="AE1255" s="171">
        <v>1</v>
      </c>
      <c r="AF1255" s="162">
        <f t="shared" si="476"/>
        <v>0</v>
      </c>
      <c r="AG1255" s="162">
        <f t="shared" si="477"/>
        <v>0</v>
      </c>
      <c r="AH1255" s="162">
        <f t="shared" si="478"/>
        <v>0</v>
      </c>
      <c r="AI1255" s="162">
        <f t="shared" si="479"/>
        <v>0</v>
      </c>
      <c r="AJ1255" s="148" t="str">
        <f t="shared" si="473"/>
        <v>ja</v>
      </c>
      <c r="AK1255" s="161">
        <f t="shared" si="481"/>
        <v>0</v>
      </c>
      <c r="AL1255" s="161">
        <f t="shared" si="482"/>
        <v>0</v>
      </c>
      <c r="AM1255" s="161">
        <f t="shared" si="483"/>
        <v>0</v>
      </c>
      <c r="AN1255" s="161">
        <f t="shared" si="484"/>
        <v>0</v>
      </c>
      <c r="AO1255" s="150" t="str">
        <f t="shared" si="474"/>
        <v>V</v>
      </c>
      <c r="AQ1255" s="151">
        <f t="shared" si="475"/>
        <v>1825</v>
      </c>
    </row>
    <row r="1256" spans="1:43" ht="15" customHeight="1">
      <c r="A1256" s="82" t="e">
        <f t="shared" si="485"/>
        <v>#REF!</v>
      </c>
      <c r="B1256" s="152">
        <v>309</v>
      </c>
      <c r="C1256" s="153" t="s">
        <v>1335</v>
      </c>
      <c r="D1256" s="154" t="s">
        <v>1331</v>
      </c>
      <c r="E1256" s="155"/>
      <c r="F1256" s="64" t="s">
        <v>1358</v>
      </c>
      <c r="G1256" s="156" t="s">
        <v>25</v>
      </c>
      <c r="H1256" s="140" t="str">
        <f t="shared" ref="H1256:H1310" si="486">VLOOKUP(R1256,Kengetal,3,FALSE)</f>
        <v>Trappen</v>
      </c>
      <c r="I1256" s="64" t="s">
        <v>118</v>
      </c>
      <c r="J1256" s="138" t="s">
        <v>1171</v>
      </c>
      <c r="K1256" s="141" t="str">
        <f t="shared" ref="K1256:K1310" si="487">IF($R1256="",0,VLOOKUP($R1256,Kengetal,14,FALSE))</f>
        <v>Omde dag Vol/Nal.</v>
      </c>
      <c r="L1256" s="141" t="str">
        <f t="shared" ref="L1256:L1310" si="488">IF($R1256="",0,VLOOKUP($R1256,Kengetal,15,FALSE))</f>
        <v>Omde dag Nal./Vol</v>
      </c>
      <c r="M1256" s="141" t="str">
        <f t="shared" ref="M1256:M1310" si="489">IF($R1256="",0,VLOOKUP($R1256,Kengetal,16,FALSE))</f>
        <v>Omde dag Vol/Nal.</v>
      </c>
      <c r="N1256" s="141" t="str">
        <f t="shared" ref="N1256:N1310" si="490">IF($R1256="",0,VLOOKUP($R1256,Kengetal,17,FALSE))</f>
        <v>Omde dag Nal./Vol</v>
      </c>
      <c r="O1256" s="141" t="str">
        <f t="shared" ref="O1256:O1310" si="491">IF($R1256="",0,VLOOKUP($R1256,Kengetal,18,FALSE))</f>
        <v>Omde dag Vol/Nal.</v>
      </c>
      <c r="P1256" s="141" t="str">
        <f t="shared" ref="P1256:P1310" si="492">IF($R1256="",0,VLOOKUP($R1256,Kengetal,19,FALSE))</f>
        <v>Omde dag Nal./Vol</v>
      </c>
      <c r="Q1256" s="141" t="str">
        <f t="shared" ref="Q1256:Q1310" si="493">IF($R1256="",0,VLOOKUP($R1256,Kengetal,20,FALSE))</f>
        <v>Omde dag Vol/Nal.</v>
      </c>
      <c r="R1256" s="63" t="s">
        <v>1215</v>
      </c>
      <c r="S1256" s="142">
        <f t="shared" si="480"/>
        <v>365</v>
      </c>
      <c r="T1256" s="157">
        <v>41</v>
      </c>
      <c r="U1256" s="158" t="s">
        <v>1407</v>
      </c>
      <c r="V1256" s="158"/>
      <c r="W1256" s="158"/>
      <c r="X1256" s="158"/>
      <c r="Y1256" s="158"/>
      <c r="Z1256" s="159"/>
      <c r="AA1256" s="159"/>
      <c r="AB1256" s="159"/>
      <c r="AC1256" s="159"/>
      <c r="AD1256" s="160"/>
      <c r="AE1256" s="171">
        <v>1</v>
      </c>
      <c r="AF1256" s="162">
        <f t="shared" si="476"/>
        <v>0</v>
      </c>
      <c r="AG1256" s="162">
        <f t="shared" si="477"/>
        <v>0</v>
      </c>
      <c r="AH1256" s="162">
        <f t="shared" si="478"/>
        <v>0</v>
      </c>
      <c r="AI1256" s="162">
        <f t="shared" si="479"/>
        <v>0</v>
      </c>
      <c r="AJ1256" s="148" t="str">
        <f t="shared" ref="AJ1256:AJ1310" si="494">IF($R1256="",0,VLOOKUP($R1256,Kengetal,12,FALSE))</f>
        <v>ja</v>
      </c>
      <c r="AK1256" s="161">
        <f t="shared" si="481"/>
        <v>0</v>
      </c>
      <c r="AL1256" s="161">
        <f t="shared" si="482"/>
        <v>0</v>
      </c>
      <c r="AM1256" s="161">
        <f t="shared" si="483"/>
        <v>0</v>
      </c>
      <c r="AN1256" s="161">
        <f t="shared" si="484"/>
        <v>0</v>
      </c>
      <c r="AO1256" s="150" t="str">
        <f t="shared" ref="AO1256:AO1310" si="495">IF($R1256="",0,VLOOKUP($R1256,Kengetal,13,FALSE))</f>
        <v>V</v>
      </c>
      <c r="AQ1256" s="151">
        <f t="shared" ref="AQ1256:AQ1310" si="496">T1256*S1256</f>
        <v>14965</v>
      </c>
    </row>
    <row r="1257" spans="1:43" ht="15" customHeight="1">
      <c r="A1257" s="82" t="e">
        <f t="shared" si="485"/>
        <v>#REF!</v>
      </c>
      <c r="B1257" s="152">
        <v>309</v>
      </c>
      <c r="C1257" s="153" t="s">
        <v>1335</v>
      </c>
      <c r="D1257" s="154" t="s">
        <v>1331</v>
      </c>
      <c r="E1257" s="155"/>
      <c r="F1257" s="64" t="s">
        <v>1359</v>
      </c>
      <c r="G1257" s="156" t="s">
        <v>1360</v>
      </c>
      <c r="H1257" s="140" t="str">
        <f t="shared" si="486"/>
        <v>Perrons</v>
      </c>
      <c r="I1257" s="64" t="s">
        <v>1394</v>
      </c>
      <c r="J1257" s="138" t="s">
        <v>1171</v>
      </c>
      <c r="K1257" s="141" t="str">
        <f t="shared" si="487"/>
        <v>Omde dag Vol/Nal.</v>
      </c>
      <c r="L1257" s="141" t="str">
        <f t="shared" si="488"/>
        <v>Omde dag Nal./Vol</v>
      </c>
      <c r="M1257" s="141" t="str">
        <f t="shared" si="489"/>
        <v>Omde dag Vol/Nal.</v>
      </c>
      <c r="N1257" s="141" t="str">
        <f t="shared" si="490"/>
        <v>Omde dag Nal./Vol</v>
      </c>
      <c r="O1257" s="141" t="str">
        <f t="shared" si="491"/>
        <v>Omde dag Vol/Nal.</v>
      </c>
      <c r="P1257" s="141" t="str">
        <f t="shared" si="492"/>
        <v>Omde dag Nal./Vol</v>
      </c>
      <c r="Q1257" s="141" t="str">
        <f t="shared" si="493"/>
        <v>Omde dag Vol/Nal.</v>
      </c>
      <c r="R1257" s="63" t="s">
        <v>1209</v>
      </c>
      <c r="S1257" s="142">
        <f t="shared" si="480"/>
        <v>365</v>
      </c>
      <c r="T1257" s="157">
        <v>496</v>
      </c>
      <c r="U1257" s="158"/>
      <c r="V1257" s="158"/>
      <c r="W1257" s="158"/>
      <c r="X1257" s="158"/>
      <c r="Y1257" s="158"/>
      <c r="Z1257" s="159"/>
      <c r="AA1257" s="159"/>
      <c r="AB1257" s="159"/>
      <c r="AC1257" s="159"/>
      <c r="AD1257" s="160"/>
      <c r="AE1257" s="171">
        <v>1</v>
      </c>
      <c r="AF1257" s="162">
        <f t="shared" si="476"/>
        <v>0</v>
      </c>
      <c r="AG1257" s="162">
        <f t="shared" si="477"/>
        <v>0</v>
      </c>
      <c r="AH1257" s="162">
        <f t="shared" si="478"/>
        <v>0</v>
      </c>
      <c r="AI1257" s="162">
        <f t="shared" si="479"/>
        <v>0</v>
      </c>
      <c r="AJ1257" s="148" t="str">
        <f t="shared" si="494"/>
        <v>ja</v>
      </c>
      <c r="AK1257" s="161">
        <f t="shared" si="481"/>
        <v>0</v>
      </c>
      <c r="AL1257" s="161">
        <f t="shared" si="482"/>
        <v>0</v>
      </c>
      <c r="AM1257" s="161">
        <f t="shared" si="483"/>
        <v>0</v>
      </c>
      <c r="AN1257" s="161">
        <f t="shared" si="484"/>
        <v>0</v>
      </c>
      <c r="AO1257" s="150" t="str">
        <f t="shared" si="495"/>
        <v>V</v>
      </c>
      <c r="AQ1257" s="151">
        <f t="shared" si="496"/>
        <v>181040</v>
      </c>
    </row>
    <row r="1258" spans="1:43" ht="15" customHeight="1">
      <c r="A1258" s="82" t="e">
        <f t="shared" si="485"/>
        <v>#REF!</v>
      </c>
      <c r="B1258" s="152">
        <v>309</v>
      </c>
      <c r="C1258" s="153" t="s">
        <v>1335</v>
      </c>
      <c r="D1258" s="154" t="s">
        <v>1331</v>
      </c>
      <c r="E1258" s="155"/>
      <c r="F1258" s="64" t="s">
        <v>1395</v>
      </c>
      <c r="G1258" s="156" t="s">
        <v>1360</v>
      </c>
      <c r="H1258" s="140" t="str">
        <f t="shared" si="486"/>
        <v>Perrons</v>
      </c>
      <c r="I1258" s="64" t="s">
        <v>1396</v>
      </c>
      <c r="J1258" s="138" t="s">
        <v>1171</v>
      </c>
      <c r="K1258" s="141" t="str">
        <f t="shared" si="487"/>
        <v>Omde dag Vol/Nal.</v>
      </c>
      <c r="L1258" s="141" t="str">
        <f t="shared" si="488"/>
        <v>Omde dag Nal./Vol</v>
      </c>
      <c r="M1258" s="141" t="str">
        <f t="shared" si="489"/>
        <v>Omde dag Vol/Nal.</v>
      </c>
      <c r="N1258" s="141" t="str">
        <f t="shared" si="490"/>
        <v>Omde dag Nal./Vol</v>
      </c>
      <c r="O1258" s="141" t="str">
        <f t="shared" si="491"/>
        <v>Omde dag Vol/Nal.</v>
      </c>
      <c r="P1258" s="141" t="str">
        <f t="shared" si="492"/>
        <v>Omde dag Nal./Vol</v>
      </c>
      <c r="Q1258" s="141" t="str">
        <f t="shared" si="493"/>
        <v>Omde dag Vol/Nal.</v>
      </c>
      <c r="R1258" s="63" t="s">
        <v>1209</v>
      </c>
      <c r="S1258" s="142">
        <f t="shared" si="480"/>
        <v>365</v>
      </c>
      <c r="T1258" s="157">
        <v>531</v>
      </c>
      <c r="U1258" s="158"/>
      <c r="V1258" s="158"/>
      <c r="W1258" s="158"/>
      <c r="X1258" s="158"/>
      <c r="Y1258" s="158"/>
      <c r="Z1258" s="159"/>
      <c r="AA1258" s="159"/>
      <c r="AB1258" s="159"/>
      <c r="AC1258" s="159"/>
      <c r="AD1258" s="160"/>
      <c r="AE1258" s="171">
        <v>1</v>
      </c>
      <c r="AF1258" s="162">
        <f t="shared" si="476"/>
        <v>0</v>
      </c>
      <c r="AG1258" s="162">
        <f t="shared" si="477"/>
        <v>0</v>
      </c>
      <c r="AH1258" s="162">
        <f t="shared" si="478"/>
        <v>0</v>
      </c>
      <c r="AI1258" s="162">
        <f t="shared" si="479"/>
        <v>0</v>
      </c>
      <c r="AJ1258" s="148" t="str">
        <f t="shared" si="494"/>
        <v>ja</v>
      </c>
      <c r="AK1258" s="161">
        <f t="shared" si="481"/>
        <v>0</v>
      </c>
      <c r="AL1258" s="161">
        <f t="shared" si="482"/>
        <v>0</v>
      </c>
      <c r="AM1258" s="161">
        <f t="shared" si="483"/>
        <v>0</v>
      </c>
      <c r="AN1258" s="161">
        <f t="shared" si="484"/>
        <v>0</v>
      </c>
      <c r="AO1258" s="150" t="str">
        <f t="shared" si="495"/>
        <v>V</v>
      </c>
      <c r="AQ1258" s="151">
        <f t="shared" si="496"/>
        <v>193815</v>
      </c>
    </row>
    <row r="1259" spans="1:43" ht="15" customHeight="1">
      <c r="A1259" s="82" t="e">
        <f t="shared" si="485"/>
        <v>#REF!</v>
      </c>
      <c r="B1259" s="152">
        <v>309</v>
      </c>
      <c r="C1259" s="153" t="s">
        <v>1335</v>
      </c>
      <c r="D1259" s="154" t="s">
        <v>1331</v>
      </c>
      <c r="E1259" s="155"/>
      <c r="F1259" s="64" t="s">
        <v>1434</v>
      </c>
      <c r="G1259" s="156" t="s">
        <v>1360</v>
      </c>
      <c r="H1259" s="140" t="str">
        <f t="shared" si="486"/>
        <v>Perrons</v>
      </c>
      <c r="I1259" s="64" t="s">
        <v>18</v>
      </c>
      <c r="J1259" s="138" t="s">
        <v>1171</v>
      </c>
      <c r="K1259" s="141" t="str">
        <f t="shared" si="487"/>
        <v>Omde dag Vol/Nal.</v>
      </c>
      <c r="L1259" s="141" t="str">
        <f t="shared" si="488"/>
        <v>Omde dag Nal./Vol</v>
      </c>
      <c r="M1259" s="141" t="str">
        <f t="shared" si="489"/>
        <v>Omde dag Vol/Nal.</v>
      </c>
      <c r="N1259" s="141" t="str">
        <f t="shared" si="490"/>
        <v>Omde dag Nal./Vol</v>
      </c>
      <c r="O1259" s="141" t="str">
        <f t="shared" si="491"/>
        <v>Omde dag Vol/Nal.</v>
      </c>
      <c r="P1259" s="141" t="str">
        <f t="shared" si="492"/>
        <v>Omde dag Nal./Vol</v>
      </c>
      <c r="Q1259" s="141" t="str">
        <f t="shared" si="493"/>
        <v>Omde dag Vol/Nal.</v>
      </c>
      <c r="R1259" s="63" t="s">
        <v>1209</v>
      </c>
      <c r="S1259" s="142">
        <f t="shared" si="480"/>
        <v>365</v>
      </c>
      <c r="T1259" s="157">
        <v>199</v>
      </c>
      <c r="U1259" s="158"/>
      <c r="V1259" s="158"/>
      <c r="W1259" s="158"/>
      <c r="X1259" s="158"/>
      <c r="Y1259" s="158"/>
      <c r="Z1259" s="159"/>
      <c r="AA1259" s="159"/>
      <c r="AB1259" s="159"/>
      <c r="AC1259" s="159"/>
      <c r="AD1259" s="160"/>
      <c r="AE1259" s="171">
        <v>1</v>
      </c>
      <c r="AF1259" s="162">
        <f t="shared" si="476"/>
        <v>0</v>
      </c>
      <c r="AG1259" s="162">
        <f t="shared" si="477"/>
        <v>0</v>
      </c>
      <c r="AH1259" s="162">
        <f t="shared" si="478"/>
        <v>0</v>
      </c>
      <c r="AI1259" s="162">
        <f t="shared" si="479"/>
        <v>0</v>
      </c>
      <c r="AJ1259" s="148" t="str">
        <f t="shared" si="494"/>
        <v>ja</v>
      </c>
      <c r="AK1259" s="161">
        <f t="shared" si="481"/>
        <v>0</v>
      </c>
      <c r="AL1259" s="161">
        <f t="shared" si="482"/>
        <v>0</v>
      </c>
      <c r="AM1259" s="161">
        <f t="shared" si="483"/>
        <v>0</v>
      </c>
      <c r="AN1259" s="161">
        <f t="shared" si="484"/>
        <v>0</v>
      </c>
      <c r="AO1259" s="150" t="str">
        <f t="shared" si="495"/>
        <v>V</v>
      </c>
      <c r="AQ1259" s="151">
        <f t="shared" si="496"/>
        <v>72635</v>
      </c>
    </row>
    <row r="1260" spans="1:43" ht="15" customHeight="1">
      <c r="A1260" s="82" t="e">
        <f t="shared" si="485"/>
        <v>#REF!</v>
      </c>
      <c r="B1260" s="152">
        <v>309</v>
      </c>
      <c r="C1260" s="153" t="s">
        <v>1335</v>
      </c>
      <c r="D1260" s="154" t="s">
        <v>1331</v>
      </c>
      <c r="E1260" s="155"/>
      <c r="F1260" s="64" t="s">
        <v>1398</v>
      </c>
      <c r="G1260" s="156" t="s">
        <v>1399</v>
      </c>
      <c r="H1260" s="140" t="str">
        <f t="shared" si="486"/>
        <v>Sanitair</v>
      </c>
      <c r="I1260" s="64" t="s">
        <v>270</v>
      </c>
      <c r="J1260" s="138" t="s">
        <v>1171</v>
      </c>
      <c r="K1260" s="141" t="str">
        <f t="shared" si="487"/>
        <v>Omde dag Vol/Nal.</v>
      </c>
      <c r="L1260" s="141" t="str">
        <f t="shared" si="488"/>
        <v>Omde dag Nal./Vol</v>
      </c>
      <c r="M1260" s="141" t="str">
        <f t="shared" si="489"/>
        <v>Omde dag Vol/Nal.</v>
      </c>
      <c r="N1260" s="141" t="str">
        <f t="shared" si="490"/>
        <v>Omde dag Nal./Vol</v>
      </c>
      <c r="O1260" s="141" t="str">
        <f t="shared" si="491"/>
        <v>Omde dag Vol/Nal.</v>
      </c>
      <c r="P1260" s="141" t="str">
        <f t="shared" si="492"/>
        <v>Omde dag Nal./Vol</v>
      </c>
      <c r="Q1260" s="141" t="str">
        <f t="shared" si="493"/>
        <v>Omde dag Vol/Nal.</v>
      </c>
      <c r="R1260" s="63" t="s">
        <v>1211</v>
      </c>
      <c r="S1260" s="142">
        <f t="shared" si="480"/>
        <v>365</v>
      </c>
      <c r="T1260" s="157">
        <v>1</v>
      </c>
      <c r="U1260" s="158"/>
      <c r="V1260" s="158"/>
      <c r="W1260" s="158"/>
      <c r="X1260" s="158">
        <v>22</v>
      </c>
      <c r="Y1260" s="158">
        <v>17</v>
      </c>
      <c r="Z1260" s="159"/>
      <c r="AA1260" s="159"/>
      <c r="AB1260" s="159"/>
      <c r="AC1260" s="159">
        <v>9</v>
      </c>
      <c r="AD1260" s="160"/>
      <c r="AE1260" s="171">
        <v>1</v>
      </c>
      <c r="AF1260" s="162">
        <f t="shared" si="476"/>
        <v>0</v>
      </c>
      <c r="AG1260" s="162">
        <f t="shared" si="477"/>
        <v>0</v>
      </c>
      <c r="AH1260" s="162">
        <f t="shared" si="478"/>
        <v>0</v>
      </c>
      <c r="AI1260" s="162">
        <f t="shared" si="479"/>
        <v>0</v>
      </c>
      <c r="AJ1260" s="148" t="str">
        <f t="shared" si="494"/>
        <v>ja</v>
      </c>
      <c r="AK1260" s="161">
        <f t="shared" si="481"/>
        <v>0</v>
      </c>
      <c r="AL1260" s="161">
        <f t="shared" si="482"/>
        <v>0</v>
      </c>
      <c r="AM1260" s="161">
        <f t="shared" si="483"/>
        <v>0</v>
      </c>
      <c r="AN1260" s="161">
        <f t="shared" si="484"/>
        <v>0</v>
      </c>
      <c r="AO1260" s="150" t="str">
        <f t="shared" si="495"/>
        <v>S</v>
      </c>
      <c r="AQ1260" s="151">
        <f t="shared" si="496"/>
        <v>365</v>
      </c>
    </row>
    <row r="1261" spans="1:43" ht="15" customHeight="1">
      <c r="A1261" s="82" t="e">
        <f t="shared" si="485"/>
        <v>#REF!</v>
      </c>
      <c r="B1261" s="152">
        <v>309</v>
      </c>
      <c r="C1261" s="153" t="s">
        <v>1335</v>
      </c>
      <c r="D1261" s="154" t="s">
        <v>1331</v>
      </c>
      <c r="E1261" s="155"/>
      <c r="F1261" s="64" t="s">
        <v>1398</v>
      </c>
      <c r="G1261" s="156" t="s">
        <v>1399</v>
      </c>
      <c r="H1261" s="140" t="str">
        <f t="shared" si="486"/>
        <v>Kantoren/spreekkamers</v>
      </c>
      <c r="I1261" s="64" t="s">
        <v>270</v>
      </c>
      <c r="J1261" s="138" t="s">
        <v>1171</v>
      </c>
      <c r="K1261" s="141" t="str">
        <f t="shared" si="487"/>
        <v>Omde dag Vol/Nal.</v>
      </c>
      <c r="L1261" s="141" t="str">
        <f t="shared" si="488"/>
        <v>Omde dag Nal./Vol</v>
      </c>
      <c r="M1261" s="141" t="str">
        <f t="shared" si="489"/>
        <v>Omde dag Vol/Nal.</v>
      </c>
      <c r="N1261" s="141" t="str">
        <f t="shared" si="490"/>
        <v>Omde dag Nal./Vol</v>
      </c>
      <c r="O1261" s="141" t="str">
        <f t="shared" si="491"/>
        <v>Omde dag Vol/Nal.</v>
      </c>
      <c r="P1261" s="141" t="str">
        <f t="shared" si="492"/>
        <v>Omde dag Nal./Vol</v>
      </c>
      <c r="Q1261" s="141" t="str">
        <f t="shared" si="493"/>
        <v>Omde dag Vol/Nal.</v>
      </c>
      <c r="R1261" s="63" t="s">
        <v>1220</v>
      </c>
      <c r="S1261" s="142">
        <f t="shared" si="480"/>
        <v>365</v>
      </c>
      <c r="T1261" s="157">
        <v>8</v>
      </c>
      <c r="U1261" s="158"/>
      <c r="V1261" s="158"/>
      <c r="W1261" s="158"/>
      <c r="X1261" s="158">
        <v>22</v>
      </c>
      <c r="Y1261" s="158">
        <v>17</v>
      </c>
      <c r="Z1261" s="159"/>
      <c r="AA1261" s="159"/>
      <c r="AB1261" s="159"/>
      <c r="AC1261" s="159">
        <v>9</v>
      </c>
      <c r="AD1261" s="160"/>
      <c r="AE1261" s="171">
        <v>1</v>
      </c>
      <c r="AF1261" s="162">
        <f t="shared" ref="AF1261:AF1310" si="497">T1261*AK1261*AE1261</f>
        <v>0</v>
      </c>
      <c r="AG1261" s="162">
        <f t="shared" ref="AG1261:AG1310" si="498">T1261*AL1261*AE1261</f>
        <v>0</v>
      </c>
      <c r="AH1261" s="162">
        <f t="shared" ref="AH1261:AH1310" si="499">T1261*AM1261*AE1261</f>
        <v>0</v>
      </c>
      <c r="AI1261" s="162">
        <f t="shared" ref="AI1261:AI1310" si="500">T1261*AN1261*AE1261</f>
        <v>0</v>
      </c>
      <c r="AJ1261" s="148" t="str">
        <f t="shared" si="494"/>
        <v>nee</v>
      </c>
      <c r="AK1261" s="161">
        <f t="shared" si="481"/>
        <v>0</v>
      </c>
      <c r="AL1261" s="161">
        <f t="shared" si="482"/>
        <v>0</v>
      </c>
      <c r="AM1261" s="161">
        <f t="shared" si="483"/>
        <v>0</v>
      </c>
      <c r="AN1261" s="161">
        <f t="shared" si="484"/>
        <v>0</v>
      </c>
      <c r="AO1261" s="150" t="str">
        <f t="shared" si="495"/>
        <v>B</v>
      </c>
      <c r="AQ1261" s="151">
        <f t="shared" si="496"/>
        <v>2920</v>
      </c>
    </row>
    <row r="1262" spans="1:43" ht="15" customHeight="1">
      <c r="A1262" s="82" t="e">
        <f t="shared" si="485"/>
        <v>#REF!</v>
      </c>
      <c r="B1262" s="152">
        <v>309</v>
      </c>
      <c r="C1262" s="153" t="s">
        <v>1335</v>
      </c>
      <c r="D1262" s="154" t="s">
        <v>1331</v>
      </c>
      <c r="E1262" s="155"/>
      <c r="F1262" s="64" t="s">
        <v>34</v>
      </c>
      <c r="G1262" s="156" t="s">
        <v>1371</v>
      </c>
      <c r="H1262" s="140" t="str">
        <f t="shared" si="486"/>
        <v>Roltrappen(inclusief aangrenzende bouwdelen)</v>
      </c>
      <c r="I1262" s="64" t="s">
        <v>1251</v>
      </c>
      <c r="J1262" s="138" t="s">
        <v>1171</v>
      </c>
      <c r="K1262" s="141" t="str">
        <f t="shared" si="487"/>
        <v>Omde dag Vol/Nal.</v>
      </c>
      <c r="L1262" s="141" t="str">
        <f t="shared" si="488"/>
        <v>Omde dag Nal./Vol</v>
      </c>
      <c r="M1262" s="141" t="str">
        <f t="shared" si="489"/>
        <v>Omde dag Vol/Nal.</v>
      </c>
      <c r="N1262" s="141" t="str">
        <f t="shared" si="490"/>
        <v>Omde dag Nal./Vol</v>
      </c>
      <c r="O1262" s="141" t="str">
        <f t="shared" si="491"/>
        <v>Omde dag Vol/Nal.</v>
      </c>
      <c r="P1262" s="141" t="str">
        <f t="shared" si="492"/>
        <v>Omde dag Nal./Vol</v>
      </c>
      <c r="Q1262" s="141" t="str">
        <f t="shared" si="493"/>
        <v>Omde dag Vol/Nal.</v>
      </c>
      <c r="R1262" s="63" t="s">
        <v>1218</v>
      </c>
      <c r="S1262" s="142">
        <f t="shared" si="480"/>
        <v>365</v>
      </c>
      <c r="T1262" s="157">
        <v>33</v>
      </c>
      <c r="U1262" s="158"/>
      <c r="V1262" s="158"/>
      <c r="W1262" s="158"/>
      <c r="X1262" s="158">
        <v>18</v>
      </c>
      <c r="Y1262" s="158"/>
      <c r="Z1262" s="159"/>
      <c r="AA1262" s="159"/>
      <c r="AB1262" s="159"/>
      <c r="AC1262" s="159"/>
      <c r="AD1262" s="160"/>
      <c r="AE1262" s="171">
        <v>1</v>
      </c>
      <c r="AF1262" s="162">
        <f t="shared" si="497"/>
        <v>0</v>
      </c>
      <c r="AG1262" s="162">
        <f t="shared" si="498"/>
        <v>0</v>
      </c>
      <c r="AH1262" s="162">
        <f t="shared" si="499"/>
        <v>0</v>
      </c>
      <c r="AI1262" s="162">
        <f t="shared" si="500"/>
        <v>0</v>
      </c>
      <c r="AJ1262" s="148" t="str">
        <f t="shared" si="494"/>
        <v>ja</v>
      </c>
      <c r="AK1262" s="161">
        <f t="shared" si="481"/>
        <v>0</v>
      </c>
      <c r="AL1262" s="161">
        <f t="shared" si="482"/>
        <v>0</v>
      </c>
      <c r="AM1262" s="161">
        <f t="shared" si="483"/>
        <v>0</v>
      </c>
      <c r="AN1262" s="161">
        <f t="shared" si="484"/>
        <v>0</v>
      </c>
      <c r="AO1262" s="150" t="str">
        <f t="shared" si="495"/>
        <v>V</v>
      </c>
      <c r="AQ1262" s="151">
        <f t="shared" si="496"/>
        <v>12045</v>
      </c>
    </row>
    <row r="1263" spans="1:43" ht="15" customHeight="1">
      <c r="A1263" s="82" t="e">
        <f t="shared" si="485"/>
        <v>#REF!</v>
      </c>
      <c r="B1263" s="152">
        <v>309</v>
      </c>
      <c r="C1263" s="153" t="s">
        <v>1335</v>
      </c>
      <c r="D1263" s="154" t="s">
        <v>1331</v>
      </c>
      <c r="E1263" s="155"/>
      <c r="F1263" s="64" t="s">
        <v>1435</v>
      </c>
      <c r="G1263" s="156" t="s">
        <v>26</v>
      </c>
      <c r="H1263" s="140" t="str">
        <f t="shared" si="486"/>
        <v>Bestrating</v>
      </c>
      <c r="I1263" s="64" t="s">
        <v>1254</v>
      </c>
      <c r="J1263" s="138" t="s">
        <v>1171</v>
      </c>
      <c r="K1263" s="141" t="str">
        <f t="shared" si="487"/>
        <v>Omde dag Vol/Nal.</v>
      </c>
      <c r="L1263" s="141" t="str">
        <f t="shared" si="488"/>
        <v>Omde dag Nal./Vol</v>
      </c>
      <c r="M1263" s="141" t="str">
        <f t="shared" si="489"/>
        <v>Omde dag Vol/Nal.</v>
      </c>
      <c r="N1263" s="141" t="str">
        <f t="shared" si="490"/>
        <v>Omde dag Nal./Vol</v>
      </c>
      <c r="O1263" s="141" t="str">
        <f t="shared" si="491"/>
        <v>Omde dag Vol/Nal.</v>
      </c>
      <c r="P1263" s="141" t="str">
        <f t="shared" si="492"/>
        <v>Omde dag Nal./Vol</v>
      </c>
      <c r="Q1263" s="141" t="str">
        <f t="shared" si="493"/>
        <v>Omde dag Vol/Nal.</v>
      </c>
      <c r="R1263" s="64" t="s">
        <v>1470</v>
      </c>
      <c r="S1263" s="142">
        <f t="shared" si="480"/>
        <v>365</v>
      </c>
      <c r="T1263" s="157">
        <v>6.41</v>
      </c>
      <c r="U1263" s="158"/>
      <c r="V1263" s="158">
        <v>44</v>
      </c>
      <c r="W1263" s="158"/>
      <c r="X1263" s="158"/>
      <c r="Y1263" s="158"/>
      <c r="Z1263" s="159"/>
      <c r="AA1263" s="159"/>
      <c r="AB1263" s="159">
        <v>6</v>
      </c>
      <c r="AC1263" s="159"/>
      <c r="AD1263" s="160"/>
      <c r="AE1263" s="171">
        <v>1</v>
      </c>
      <c r="AF1263" s="162">
        <f t="shared" si="497"/>
        <v>0</v>
      </c>
      <c r="AG1263" s="162">
        <f t="shared" si="498"/>
        <v>0</v>
      </c>
      <c r="AH1263" s="162">
        <f t="shared" si="499"/>
        <v>0</v>
      </c>
      <c r="AI1263" s="162">
        <f t="shared" si="500"/>
        <v>0</v>
      </c>
      <c r="AJ1263" s="148" t="str">
        <f t="shared" si="494"/>
        <v>ja</v>
      </c>
      <c r="AK1263" s="161">
        <f t="shared" si="481"/>
        <v>0</v>
      </c>
      <c r="AL1263" s="161">
        <f t="shared" si="482"/>
        <v>0</v>
      </c>
      <c r="AM1263" s="161">
        <f t="shared" si="483"/>
        <v>0</v>
      </c>
      <c r="AN1263" s="161">
        <f t="shared" si="484"/>
        <v>0</v>
      </c>
      <c r="AO1263" s="150" t="str">
        <f t="shared" si="495"/>
        <v>V</v>
      </c>
      <c r="AQ1263" s="151">
        <f t="shared" si="496"/>
        <v>2339.65</v>
      </c>
    </row>
    <row r="1264" spans="1:43" ht="15" customHeight="1">
      <c r="A1264" s="82" t="e">
        <f t="shared" si="485"/>
        <v>#REF!</v>
      </c>
      <c r="B1264" s="152">
        <v>309</v>
      </c>
      <c r="C1264" s="153" t="s">
        <v>1335</v>
      </c>
      <c r="D1264" s="154" t="s">
        <v>1331</v>
      </c>
      <c r="E1264" s="155"/>
      <c r="F1264" s="64" t="s">
        <v>1361</v>
      </c>
      <c r="G1264" s="156" t="s">
        <v>28</v>
      </c>
      <c r="H1264" s="140" t="str">
        <f t="shared" si="486"/>
        <v>Niet van toepassing</v>
      </c>
      <c r="I1264" s="64" t="s">
        <v>195</v>
      </c>
      <c r="J1264" s="138" t="s">
        <v>1172</v>
      </c>
      <c r="K1264" s="141" t="str">
        <f t="shared" si="487"/>
        <v>NVT</v>
      </c>
      <c r="L1264" s="141" t="str">
        <f t="shared" si="488"/>
        <v>NVT</v>
      </c>
      <c r="M1264" s="141" t="str">
        <f t="shared" si="489"/>
        <v>NVT</v>
      </c>
      <c r="N1264" s="141" t="str">
        <f t="shared" si="490"/>
        <v>NVT</v>
      </c>
      <c r="O1264" s="141" t="str">
        <f t="shared" si="491"/>
        <v>NVT</v>
      </c>
      <c r="P1264" s="141" t="str">
        <f t="shared" si="492"/>
        <v>NVT</v>
      </c>
      <c r="Q1264" s="141" t="str">
        <f t="shared" si="493"/>
        <v>NVT</v>
      </c>
      <c r="R1264" s="63" t="s">
        <v>1221</v>
      </c>
      <c r="S1264" s="142">
        <f t="shared" si="480"/>
        <v>0</v>
      </c>
      <c r="T1264" s="157">
        <v>11</v>
      </c>
      <c r="U1264" s="158"/>
      <c r="V1264" s="158">
        <v>68</v>
      </c>
      <c r="W1264" s="158"/>
      <c r="X1264" s="158"/>
      <c r="Y1264" s="158"/>
      <c r="Z1264" s="159"/>
      <c r="AA1264" s="159"/>
      <c r="AB1264" s="159">
        <v>11</v>
      </c>
      <c r="AC1264" s="159"/>
      <c r="AD1264" s="160"/>
      <c r="AE1264" s="171">
        <v>1</v>
      </c>
      <c r="AF1264" s="162">
        <f t="shared" si="497"/>
        <v>0</v>
      </c>
      <c r="AG1264" s="162">
        <f t="shared" si="498"/>
        <v>0</v>
      </c>
      <c r="AH1264" s="162">
        <f t="shared" si="499"/>
        <v>0</v>
      </c>
      <c r="AI1264" s="162">
        <f t="shared" si="500"/>
        <v>0</v>
      </c>
      <c r="AJ1264" s="148">
        <f t="shared" si="494"/>
        <v>0</v>
      </c>
      <c r="AK1264" s="161">
        <f t="shared" si="481"/>
        <v>0</v>
      </c>
      <c r="AL1264" s="161">
        <f t="shared" si="482"/>
        <v>0</v>
      </c>
      <c r="AM1264" s="161">
        <f t="shared" si="483"/>
        <v>0</v>
      </c>
      <c r="AN1264" s="161">
        <f t="shared" si="484"/>
        <v>0</v>
      </c>
      <c r="AO1264" s="150">
        <f t="shared" si="495"/>
        <v>0</v>
      </c>
      <c r="AQ1264" s="151">
        <f t="shared" si="496"/>
        <v>0</v>
      </c>
    </row>
    <row r="1265" spans="1:43" ht="15" customHeight="1">
      <c r="A1265" s="82" t="e">
        <f t="shared" si="485"/>
        <v>#REF!</v>
      </c>
      <c r="B1265" s="152">
        <v>309</v>
      </c>
      <c r="C1265" s="153" t="s">
        <v>1335</v>
      </c>
      <c r="D1265" s="154" t="s">
        <v>1331</v>
      </c>
      <c r="E1265" s="155"/>
      <c r="F1265" s="64" t="s">
        <v>1362</v>
      </c>
      <c r="G1265" s="156" t="s">
        <v>29</v>
      </c>
      <c r="H1265" s="140" t="str">
        <f t="shared" si="486"/>
        <v>Niet van toepassing</v>
      </c>
      <c r="I1265" s="64" t="s">
        <v>195</v>
      </c>
      <c r="J1265" s="138" t="s">
        <v>1172</v>
      </c>
      <c r="K1265" s="141" t="str">
        <f t="shared" si="487"/>
        <v>NVT</v>
      </c>
      <c r="L1265" s="141" t="str">
        <f t="shared" si="488"/>
        <v>NVT</v>
      </c>
      <c r="M1265" s="141" t="str">
        <f t="shared" si="489"/>
        <v>NVT</v>
      </c>
      <c r="N1265" s="141" t="str">
        <f t="shared" si="490"/>
        <v>NVT</v>
      </c>
      <c r="O1265" s="141" t="str">
        <f t="shared" si="491"/>
        <v>NVT</v>
      </c>
      <c r="P1265" s="141" t="str">
        <f t="shared" si="492"/>
        <v>NVT</v>
      </c>
      <c r="Q1265" s="141" t="str">
        <f t="shared" si="493"/>
        <v>NVT</v>
      </c>
      <c r="R1265" s="63" t="s">
        <v>1221</v>
      </c>
      <c r="S1265" s="142">
        <f t="shared" si="480"/>
        <v>0</v>
      </c>
      <c r="T1265" s="157">
        <v>3</v>
      </c>
      <c r="U1265" s="158"/>
      <c r="V1265" s="158">
        <v>16</v>
      </c>
      <c r="W1265" s="158"/>
      <c r="X1265" s="158"/>
      <c r="Y1265" s="158"/>
      <c r="Z1265" s="159"/>
      <c r="AA1265" s="159"/>
      <c r="AB1265" s="159">
        <v>3</v>
      </c>
      <c r="AC1265" s="159"/>
      <c r="AD1265" s="160"/>
      <c r="AE1265" s="171">
        <v>1</v>
      </c>
      <c r="AF1265" s="162">
        <f t="shared" si="497"/>
        <v>0</v>
      </c>
      <c r="AG1265" s="162">
        <f t="shared" si="498"/>
        <v>0</v>
      </c>
      <c r="AH1265" s="162">
        <f t="shared" si="499"/>
        <v>0</v>
      </c>
      <c r="AI1265" s="162">
        <f t="shared" si="500"/>
        <v>0</v>
      </c>
      <c r="AJ1265" s="148">
        <f t="shared" si="494"/>
        <v>0</v>
      </c>
      <c r="AK1265" s="161">
        <f t="shared" si="481"/>
        <v>0</v>
      </c>
      <c r="AL1265" s="161">
        <f t="shared" si="482"/>
        <v>0</v>
      </c>
      <c r="AM1265" s="161">
        <f t="shared" si="483"/>
        <v>0</v>
      </c>
      <c r="AN1265" s="161">
        <f t="shared" si="484"/>
        <v>0</v>
      </c>
      <c r="AO1265" s="150">
        <f t="shared" si="495"/>
        <v>0</v>
      </c>
      <c r="AQ1265" s="151">
        <f t="shared" si="496"/>
        <v>0</v>
      </c>
    </row>
    <row r="1266" spans="1:43" ht="15" customHeight="1">
      <c r="A1266" s="82" t="e">
        <f t="shared" si="485"/>
        <v>#REF!</v>
      </c>
      <c r="B1266" s="152">
        <v>309</v>
      </c>
      <c r="C1266" s="153" t="s">
        <v>1335</v>
      </c>
      <c r="D1266" s="154" t="s">
        <v>1331</v>
      </c>
      <c r="E1266" s="155"/>
      <c r="F1266" s="64" t="s">
        <v>122</v>
      </c>
      <c r="G1266" s="156" t="s">
        <v>32</v>
      </c>
      <c r="H1266" s="140" t="str">
        <f t="shared" si="486"/>
        <v>Niet van toepassing</v>
      </c>
      <c r="I1266" s="64" t="s">
        <v>195</v>
      </c>
      <c r="J1266" s="64" t="s">
        <v>1172</v>
      </c>
      <c r="K1266" s="141" t="str">
        <f t="shared" si="487"/>
        <v>NVT</v>
      </c>
      <c r="L1266" s="141" t="str">
        <f t="shared" si="488"/>
        <v>NVT</v>
      </c>
      <c r="M1266" s="141" t="str">
        <f t="shared" si="489"/>
        <v>NVT</v>
      </c>
      <c r="N1266" s="141" t="str">
        <f t="shared" si="490"/>
        <v>NVT</v>
      </c>
      <c r="O1266" s="141" t="str">
        <f t="shared" si="491"/>
        <v>NVT</v>
      </c>
      <c r="P1266" s="141" t="str">
        <f t="shared" si="492"/>
        <v>NVT</v>
      </c>
      <c r="Q1266" s="141" t="str">
        <f t="shared" si="493"/>
        <v>NVT</v>
      </c>
      <c r="R1266" s="64" t="s">
        <v>1221</v>
      </c>
      <c r="S1266" s="142">
        <f t="shared" si="480"/>
        <v>0</v>
      </c>
      <c r="T1266" s="157">
        <v>6</v>
      </c>
      <c r="U1266" s="158"/>
      <c r="V1266" s="158">
        <v>52</v>
      </c>
      <c r="W1266" s="158"/>
      <c r="X1266" s="158"/>
      <c r="Y1266" s="158"/>
      <c r="Z1266" s="159"/>
      <c r="AA1266" s="159"/>
      <c r="AB1266" s="159">
        <v>6</v>
      </c>
      <c r="AC1266" s="159"/>
      <c r="AD1266" s="160"/>
      <c r="AE1266" s="171">
        <v>1</v>
      </c>
      <c r="AF1266" s="162">
        <f t="shared" si="497"/>
        <v>0</v>
      </c>
      <c r="AG1266" s="162">
        <f t="shared" si="498"/>
        <v>0</v>
      </c>
      <c r="AH1266" s="162">
        <f t="shared" si="499"/>
        <v>0</v>
      </c>
      <c r="AI1266" s="162">
        <f t="shared" si="500"/>
        <v>0</v>
      </c>
      <c r="AJ1266" s="148">
        <f t="shared" si="494"/>
        <v>0</v>
      </c>
      <c r="AK1266" s="161">
        <f t="shared" si="481"/>
        <v>0</v>
      </c>
      <c r="AL1266" s="161">
        <f t="shared" si="482"/>
        <v>0</v>
      </c>
      <c r="AM1266" s="161">
        <f t="shared" si="483"/>
        <v>0</v>
      </c>
      <c r="AN1266" s="161">
        <f t="shared" si="484"/>
        <v>0</v>
      </c>
      <c r="AO1266" s="150">
        <f t="shared" si="495"/>
        <v>0</v>
      </c>
      <c r="AQ1266" s="151">
        <f t="shared" si="496"/>
        <v>0</v>
      </c>
    </row>
    <row r="1267" spans="1:43" ht="15" customHeight="1">
      <c r="A1267" s="82" t="e">
        <f t="shared" si="485"/>
        <v>#REF!</v>
      </c>
      <c r="B1267" s="152">
        <v>309</v>
      </c>
      <c r="C1267" s="153" t="s">
        <v>1335</v>
      </c>
      <c r="D1267" s="154" t="s">
        <v>1331</v>
      </c>
      <c r="E1267" s="155"/>
      <c r="F1267" s="64" t="s">
        <v>1389</v>
      </c>
      <c r="G1267" s="156" t="s">
        <v>24</v>
      </c>
      <c r="H1267" s="140" t="str">
        <f t="shared" si="486"/>
        <v>Niet van toepassing</v>
      </c>
      <c r="I1267" s="64" t="s">
        <v>195</v>
      </c>
      <c r="J1267" s="138" t="s">
        <v>1172</v>
      </c>
      <c r="K1267" s="141" t="str">
        <f t="shared" si="487"/>
        <v>NVT</v>
      </c>
      <c r="L1267" s="141" t="str">
        <f t="shared" si="488"/>
        <v>NVT</v>
      </c>
      <c r="M1267" s="141" t="str">
        <f t="shared" si="489"/>
        <v>NVT</v>
      </c>
      <c r="N1267" s="141" t="str">
        <f t="shared" si="490"/>
        <v>NVT</v>
      </c>
      <c r="O1267" s="141" t="str">
        <f t="shared" si="491"/>
        <v>NVT</v>
      </c>
      <c r="P1267" s="141" t="str">
        <f t="shared" si="492"/>
        <v>NVT</v>
      </c>
      <c r="Q1267" s="141" t="str">
        <f t="shared" si="493"/>
        <v>NVT</v>
      </c>
      <c r="R1267" s="63" t="s">
        <v>1221</v>
      </c>
      <c r="S1267" s="142">
        <f t="shared" si="480"/>
        <v>0</v>
      </c>
      <c r="T1267" s="157">
        <v>10</v>
      </c>
      <c r="U1267" s="158"/>
      <c r="V1267" s="158">
        <v>54</v>
      </c>
      <c r="W1267" s="158"/>
      <c r="X1267" s="158"/>
      <c r="Y1267" s="158"/>
      <c r="Z1267" s="159"/>
      <c r="AA1267" s="159"/>
      <c r="AB1267" s="159">
        <v>10</v>
      </c>
      <c r="AC1267" s="159"/>
      <c r="AD1267" s="160"/>
      <c r="AE1267" s="171">
        <v>1</v>
      </c>
      <c r="AF1267" s="162">
        <f t="shared" si="497"/>
        <v>0</v>
      </c>
      <c r="AG1267" s="162">
        <f t="shared" si="498"/>
        <v>0</v>
      </c>
      <c r="AH1267" s="162">
        <f t="shared" si="499"/>
        <v>0</v>
      </c>
      <c r="AI1267" s="162">
        <f t="shared" si="500"/>
        <v>0</v>
      </c>
      <c r="AJ1267" s="148">
        <f t="shared" si="494"/>
        <v>0</v>
      </c>
      <c r="AK1267" s="161">
        <f t="shared" si="481"/>
        <v>0</v>
      </c>
      <c r="AL1267" s="161">
        <f t="shared" si="482"/>
        <v>0</v>
      </c>
      <c r="AM1267" s="161">
        <f t="shared" si="483"/>
        <v>0</v>
      </c>
      <c r="AN1267" s="161">
        <f t="shared" si="484"/>
        <v>0</v>
      </c>
      <c r="AO1267" s="150">
        <f t="shared" si="495"/>
        <v>0</v>
      </c>
      <c r="AQ1267" s="151">
        <f t="shared" si="496"/>
        <v>0</v>
      </c>
    </row>
    <row r="1268" spans="1:43" ht="15" customHeight="1">
      <c r="A1268" s="82" t="e">
        <f t="shared" si="485"/>
        <v>#REF!</v>
      </c>
      <c r="B1268" s="152">
        <v>309</v>
      </c>
      <c r="C1268" s="153" t="s">
        <v>1335</v>
      </c>
      <c r="D1268" s="154" t="s">
        <v>1331</v>
      </c>
      <c r="E1268" s="155"/>
      <c r="F1268" s="64" t="s">
        <v>1402</v>
      </c>
      <c r="G1268" s="156"/>
      <c r="H1268" s="140" t="str">
        <f t="shared" si="486"/>
        <v>Bestrating</v>
      </c>
      <c r="I1268" s="64" t="s">
        <v>1254</v>
      </c>
      <c r="J1268" s="138" t="s">
        <v>1171</v>
      </c>
      <c r="K1268" s="141" t="str">
        <f t="shared" si="487"/>
        <v>Omde dag Vol/Nal.</v>
      </c>
      <c r="L1268" s="141" t="str">
        <f t="shared" si="488"/>
        <v>Omde dag Nal./Vol</v>
      </c>
      <c r="M1268" s="141" t="str">
        <f t="shared" si="489"/>
        <v>Omde dag Vol/Nal.</v>
      </c>
      <c r="N1268" s="141" t="str">
        <f t="shared" si="490"/>
        <v>Omde dag Nal./Vol</v>
      </c>
      <c r="O1268" s="141" t="str">
        <f t="shared" si="491"/>
        <v>Omde dag Vol/Nal.</v>
      </c>
      <c r="P1268" s="141" t="str">
        <f t="shared" si="492"/>
        <v>Omde dag Nal./Vol</v>
      </c>
      <c r="Q1268" s="141" t="str">
        <f t="shared" si="493"/>
        <v>Omde dag Vol/Nal.</v>
      </c>
      <c r="R1268" s="64" t="s">
        <v>1470</v>
      </c>
      <c r="S1268" s="142">
        <f t="shared" si="480"/>
        <v>365</v>
      </c>
      <c r="T1268" s="157">
        <v>32</v>
      </c>
      <c r="U1268" s="158"/>
      <c r="V1268" s="158"/>
      <c r="W1268" s="158"/>
      <c r="X1268" s="158"/>
      <c r="Y1268" s="158"/>
      <c r="Z1268" s="159"/>
      <c r="AA1268" s="159"/>
      <c r="AB1268" s="159"/>
      <c r="AC1268" s="159"/>
      <c r="AD1268" s="160" t="s">
        <v>1404</v>
      </c>
      <c r="AE1268" s="171">
        <v>1</v>
      </c>
      <c r="AF1268" s="162">
        <f t="shared" si="497"/>
        <v>0</v>
      </c>
      <c r="AG1268" s="162">
        <f t="shared" si="498"/>
        <v>0</v>
      </c>
      <c r="AH1268" s="162">
        <f t="shared" si="499"/>
        <v>0</v>
      </c>
      <c r="AI1268" s="162">
        <f t="shared" si="500"/>
        <v>0</v>
      </c>
      <c r="AJ1268" s="148" t="str">
        <f t="shared" si="494"/>
        <v>ja</v>
      </c>
      <c r="AK1268" s="161">
        <f t="shared" si="481"/>
        <v>0</v>
      </c>
      <c r="AL1268" s="161">
        <f t="shared" si="482"/>
        <v>0</v>
      </c>
      <c r="AM1268" s="161">
        <f t="shared" si="483"/>
        <v>0</v>
      </c>
      <c r="AN1268" s="161">
        <f t="shared" si="484"/>
        <v>0</v>
      </c>
      <c r="AO1268" s="150" t="str">
        <f t="shared" si="495"/>
        <v>V</v>
      </c>
      <c r="AQ1268" s="151">
        <f t="shared" si="496"/>
        <v>11680</v>
      </c>
    </row>
    <row r="1269" spans="1:43" ht="15" customHeight="1">
      <c r="A1269" s="82" t="e">
        <f t="shared" si="485"/>
        <v>#REF!</v>
      </c>
      <c r="B1269" s="152">
        <v>309</v>
      </c>
      <c r="C1269" s="153" t="s">
        <v>1335</v>
      </c>
      <c r="D1269" s="154" t="s">
        <v>1331</v>
      </c>
      <c r="E1269" s="155"/>
      <c r="F1269" s="64" t="s">
        <v>1377</v>
      </c>
      <c r="G1269" s="156" t="s">
        <v>1436</v>
      </c>
      <c r="H1269" s="140" t="str">
        <f t="shared" si="486"/>
        <v>Liften</v>
      </c>
      <c r="I1269" s="64" t="s">
        <v>1109</v>
      </c>
      <c r="J1269" s="138" t="s">
        <v>1171</v>
      </c>
      <c r="K1269" s="141" t="str">
        <f t="shared" si="487"/>
        <v>Omde dag Vol/Nal.</v>
      </c>
      <c r="L1269" s="141" t="str">
        <f t="shared" si="488"/>
        <v>Omde dag Nal./Vol</v>
      </c>
      <c r="M1269" s="141" t="str">
        <f t="shared" si="489"/>
        <v>Omde dag Vol/Nal.</v>
      </c>
      <c r="N1269" s="141" t="str">
        <f t="shared" si="490"/>
        <v>Omde dag Nal./Vol</v>
      </c>
      <c r="O1269" s="141" t="str">
        <f t="shared" si="491"/>
        <v>Omde dag Vol/Nal.</v>
      </c>
      <c r="P1269" s="141" t="str">
        <f t="shared" si="492"/>
        <v>Omde dag Nal./Vol</v>
      </c>
      <c r="Q1269" s="141" t="str">
        <f t="shared" si="493"/>
        <v>Omde dag Vol/Nal.</v>
      </c>
      <c r="R1269" s="63" t="s">
        <v>1213</v>
      </c>
      <c r="S1269" s="142">
        <f t="shared" si="480"/>
        <v>365</v>
      </c>
      <c r="T1269" s="157">
        <v>5</v>
      </c>
      <c r="U1269" s="158"/>
      <c r="V1269" s="158"/>
      <c r="W1269" s="158"/>
      <c r="X1269" s="158"/>
      <c r="Y1269" s="158"/>
      <c r="Z1269" s="159"/>
      <c r="AA1269" s="159"/>
      <c r="AB1269" s="159"/>
      <c r="AC1269" s="159"/>
      <c r="AD1269" s="160"/>
      <c r="AE1269" s="171">
        <v>1</v>
      </c>
      <c r="AF1269" s="162">
        <f t="shared" si="497"/>
        <v>0</v>
      </c>
      <c r="AG1269" s="162">
        <f t="shared" si="498"/>
        <v>0</v>
      </c>
      <c r="AH1269" s="162">
        <f t="shared" si="499"/>
        <v>0</v>
      </c>
      <c r="AI1269" s="162">
        <f t="shared" si="500"/>
        <v>0</v>
      </c>
      <c r="AJ1269" s="148" t="str">
        <f t="shared" si="494"/>
        <v>ja</v>
      </c>
      <c r="AK1269" s="161">
        <f t="shared" si="481"/>
        <v>0</v>
      </c>
      <c r="AL1269" s="161">
        <f t="shared" si="482"/>
        <v>0</v>
      </c>
      <c r="AM1269" s="161">
        <f t="shared" si="483"/>
        <v>0</v>
      </c>
      <c r="AN1269" s="161">
        <f t="shared" si="484"/>
        <v>0</v>
      </c>
      <c r="AO1269" s="150" t="str">
        <f t="shared" si="495"/>
        <v>V</v>
      </c>
      <c r="AQ1269" s="151">
        <f t="shared" si="496"/>
        <v>1825</v>
      </c>
    </row>
    <row r="1270" spans="1:43" ht="15" customHeight="1">
      <c r="A1270" s="82" t="e">
        <f t="shared" si="485"/>
        <v>#REF!</v>
      </c>
      <c r="B1270" s="152">
        <v>310</v>
      </c>
      <c r="C1270" s="153" t="s">
        <v>1336</v>
      </c>
      <c r="D1270" s="154" t="s">
        <v>1331</v>
      </c>
      <c r="E1270" s="155"/>
      <c r="F1270" s="64" t="s">
        <v>1358</v>
      </c>
      <c r="G1270" s="156" t="s">
        <v>25</v>
      </c>
      <c r="H1270" s="140" t="str">
        <f t="shared" si="486"/>
        <v>Trappen</v>
      </c>
      <c r="I1270" s="64" t="s">
        <v>118</v>
      </c>
      <c r="J1270" s="138" t="s">
        <v>1171</v>
      </c>
      <c r="K1270" s="141" t="str">
        <f t="shared" si="487"/>
        <v>Omde dag Vol/Nal.</v>
      </c>
      <c r="L1270" s="141" t="str">
        <f t="shared" si="488"/>
        <v>Omde dag Nal./Vol</v>
      </c>
      <c r="M1270" s="141" t="str">
        <f t="shared" si="489"/>
        <v>Omde dag Vol/Nal.</v>
      </c>
      <c r="N1270" s="141" t="str">
        <f t="shared" si="490"/>
        <v>Omde dag Nal./Vol</v>
      </c>
      <c r="O1270" s="141" t="str">
        <f t="shared" si="491"/>
        <v>Omde dag Vol/Nal.</v>
      </c>
      <c r="P1270" s="141" t="str">
        <f t="shared" si="492"/>
        <v>Omde dag Nal./Vol</v>
      </c>
      <c r="Q1270" s="141" t="str">
        <f t="shared" si="493"/>
        <v>Omde dag Vol/Nal.</v>
      </c>
      <c r="R1270" s="63" t="s">
        <v>1215</v>
      </c>
      <c r="S1270" s="142">
        <f t="shared" si="480"/>
        <v>365</v>
      </c>
      <c r="T1270" s="157">
        <v>50</v>
      </c>
      <c r="U1270" s="158" t="s">
        <v>1407</v>
      </c>
      <c r="V1270" s="158"/>
      <c r="W1270" s="158"/>
      <c r="X1270" s="158"/>
      <c r="Y1270" s="158"/>
      <c r="Z1270" s="159"/>
      <c r="AA1270" s="159"/>
      <c r="AB1270" s="159"/>
      <c r="AC1270" s="159"/>
      <c r="AD1270" s="160"/>
      <c r="AE1270" s="171">
        <v>1</v>
      </c>
      <c r="AF1270" s="162">
        <f t="shared" si="497"/>
        <v>0</v>
      </c>
      <c r="AG1270" s="162">
        <f t="shared" si="498"/>
        <v>0</v>
      </c>
      <c r="AH1270" s="162">
        <f t="shared" si="499"/>
        <v>0</v>
      </c>
      <c r="AI1270" s="162">
        <f t="shared" si="500"/>
        <v>0</v>
      </c>
      <c r="AJ1270" s="148" t="str">
        <f t="shared" si="494"/>
        <v>ja</v>
      </c>
      <c r="AK1270" s="161">
        <f t="shared" si="481"/>
        <v>0</v>
      </c>
      <c r="AL1270" s="161">
        <f t="shared" si="482"/>
        <v>0</v>
      </c>
      <c r="AM1270" s="161">
        <f t="shared" si="483"/>
        <v>0</v>
      </c>
      <c r="AN1270" s="161">
        <f t="shared" si="484"/>
        <v>0</v>
      </c>
      <c r="AO1270" s="150" t="str">
        <f t="shared" si="495"/>
        <v>V</v>
      </c>
      <c r="AQ1270" s="151">
        <f t="shared" si="496"/>
        <v>18250</v>
      </c>
    </row>
    <row r="1271" spans="1:43" ht="15" customHeight="1">
      <c r="A1271" s="82" t="e">
        <f t="shared" si="485"/>
        <v>#REF!</v>
      </c>
      <c r="B1271" s="152">
        <v>310</v>
      </c>
      <c r="C1271" s="153" t="s">
        <v>1336</v>
      </c>
      <c r="D1271" s="154" t="s">
        <v>1331</v>
      </c>
      <c r="E1271" s="155"/>
      <c r="F1271" s="64" t="s">
        <v>1359</v>
      </c>
      <c r="G1271" s="156" t="s">
        <v>1360</v>
      </c>
      <c r="H1271" s="140" t="str">
        <f t="shared" si="486"/>
        <v>Perrons</v>
      </c>
      <c r="I1271" s="64" t="s">
        <v>1394</v>
      </c>
      <c r="J1271" s="138" t="s">
        <v>1171</v>
      </c>
      <c r="K1271" s="141" t="str">
        <f t="shared" si="487"/>
        <v>Omde dag Vol/Nal.</v>
      </c>
      <c r="L1271" s="141" t="str">
        <f t="shared" si="488"/>
        <v>Omde dag Nal./Vol</v>
      </c>
      <c r="M1271" s="141" t="str">
        <f t="shared" si="489"/>
        <v>Omde dag Vol/Nal.</v>
      </c>
      <c r="N1271" s="141" t="str">
        <f t="shared" si="490"/>
        <v>Omde dag Nal./Vol</v>
      </c>
      <c r="O1271" s="141" t="str">
        <f t="shared" si="491"/>
        <v>Omde dag Vol/Nal.</v>
      </c>
      <c r="P1271" s="141" t="str">
        <f t="shared" si="492"/>
        <v>Omde dag Nal./Vol</v>
      </c>
      <c r="Q1271" s="141" t="str">
        <f t="shared" si="493"/>
        <v>Omde dag Vol/Nal.</v>
      </c>
      <c r="R1271" s="63" t="s">
        <v>1209</v>
      </c>
      <c r="S1271" s="142">
        <f t="shared" si="480"/>
        <v>365</v>
      </c>
      <c r="T1271" s="157">
        <v>790</v>
      </c>
      <c r="U1271" s="158"/>
      <c r="V1271" s="158"/>
      <c r="W1271" s="158"/>
      <c r="X1271" s="158"/>
      <c r="Y1271" s="158"/>
      <c r="Z1271" s="159"/>
      <c r="AA1271" s="159"/>
      <c r="AB1271" s="159"/>
      <c r="AC1271" s="159"/>
      <c r="AD1271" s="160"/>
      <c r="AE1271" s="171">
        <v>1</v>
      </c>
      <c r="AF1271" s="162">
        <f t="shared" si="497"/>
        <v>0</v>
      </c>
      <c r="AG1271" s="162">
        <f t="shared" si="498"/>
        <v>0</v>
      </c>
      <c r="AH1271" s="162">
        <f t="shared" si="499"/>
        <v>0</v>
      </c>
      <c r="AI1271" s="162">
        <f t="shared" si="500"/>
        <v>0</v>
      </c>
      <c r="AJ1271" s="148" t="str">
        <f t="shared" si="494"/>
        <v>ja</v>
      </c>
      <c r="AK1271" s="161">
        <f t="shared" si="481"/>
        <v>0</v>
      </c>
      <c r="AL1271" s="161">
        <f t="shared" si="482"/>
        <v>0</v>
      </c>
      <c r="AM1271" s="161">
        <f t="shared" si="483"/>
        <v>0</v>
      </c>
      <c r="AN1271" s="161">
        <f t="shared" si="484"/>
        <v>0</v>
      </c>
      <c r="AO1271" s="150" t="str">
        <f t="shared" si="495"/>
        <v>V</v>
      </c>
      <c r="AQ1271" s="151">
        <f t="shared" si="496"/>
        <v>288350</v>
      </c>
    </row>
    <row r="1272" spans="1:43" ht="15" customHeight="1">
      <c r="A1272" s="82" t="e">
        <f t="shared" si="485"/>
        <v>#REF!</v>
      </c>
      <c r="B1272" s="152">
        <v>310</v>
      </c>
      <c r="C1272" s="153" t="s">
        <v>1336</v>
      </c>
      <c r="D1272" s="154" t="s">
        <v>1331</v>
      </c>
      <c r="E1272" s="155"/>
      <c r="F1272" s="64" t="s">
        <v>1437</v>
      </c>
      <c r="G1272" s="156" t="s">
        <v>1360</v>
      </c>
      <c r="H1272" s="140" t="str">
        <f t="shared" si="486"/>
        <v>Perrons</v>
      </c>
      <c r="I1272" s="64" t="s">
        <v>1396</v>
      </c>
      <c r="J1272" s="138" t="s">
        <v>1171</v>
      </c>
      <c r="K1272" s="141" t="str">
        <f t="shared" si="487"/>
        <v>Omde dag Vol/Nal.</v>
      </c>
      <c r="L1272" s="141" t="str">
        <f t="shared" si="488"/>
        <v>Omde dag Nal./Vol</v>
      </c>
      <c r="M1272" s="141" t="str">
        <f t="shared" si="489"/>
        <v>Omde dag Vol/Nal.</v>
      </c>
      <c r="N1272" s="141" t="str">
        <f t="shared" si="490"/>
        <v>Omde dag Nal./Vol</v>
      </c>
      <c r="O1272" s="141" t="str">
        <f t="shared" si="491"/>
        <v>Omde dag Vol/Nal.</v>
      </c>
      <c r="P1272" s="141" t="str">
        <f t="shared" si="492"/>
        <v>Omde dag Nal./Vol</v>
      </c>
      <c r="Q1272" s="141" t="str">
        <f t="shared" si="493"/>
        <v>Omde dag Vol/Nal.</v>
      </c>
      <c r="R1272" s="63" t="s">
        <v>1209</v>
      </c>
      <c r="S1272" s="142">
        <f t="shared" si="480"/>
        <v>365</v>
      </c>
      <c r="T1272" s="157">
        <v>345</v>
      </c>
      <c r="U1272" s="158"/>
      <c r="V1272" s="158"/>
      <c r="W1272" s="158"/>
      <c r="X1272" s="158"/>
      <c r="Y1272" s="158"/>
      <c r="Z1272" s="159"/>
      <c r="AA1272" s="159"/>
      <c r="AB1272" s="159"/>
      <c r="AC1272" s="159"/>
      <c r="AD1272" s="160"/>
      <c r="AE1272" s="171">
        <v>1</v>
      </c>
      <c r="AF1272" s="162">
        <f t="shared" si="497"/>
        <v>0</v>
      </c>
      <c r="AG1272" s="162">
        <f t="shared" si="498"/>
        <v>0</v>
      </c>
      <c r="AH1272" s="162">
        <f t="shared" si="499"/>
        <v>0</v>
      </c>
      <c r="AI1272" s="162">
        <f t="shared" si="500"/>
        <v>0</v>
      </c>
      <c r="AJ1272" s="148" t="str">
        <f t="shared" si="494"/>
        <v>ja</v>
      </c>
      <c r="AK1272" s="161">
        <f t="shared" si="481"/>
        <v>0</v>
      </c>
      <c r="AL1272" s="161">
        <f t="shared" si="482"/>
        <v>0</v>
      </c>
      <c r="AM1272" s="161">
        <f t="shared" si="483"/>
        <v>0</v>
      </c>
      <c r="AN1272" s="161">
        <f t="shared" si="484"/>
        <v>0</v>
      </c>
      <c r="AO1272" s="150" t="str">
        <f t="shared" si="495"/>
        <v>V</v>
      </c>
      <c r="AQ1272" s="151">
        <f t="shared" si="496"/>
        <v>125925</v>
      </c>
    </row>
    <row r="1273" spans="1:43" ht="15" customHeight="1">
      <c r="A1273" s="82" t="e">
        <f t="shared" si="485"/>
        <v>#REF!</v>
      </c>
      <c r="B1273" s="152">
        <v>310</v>
      </c>
      <c r="C1273" s="153" t="s">
        <v>1336</v>
      </c>
      <c r="D1273" s="154" t="s">
        <v>1331</v>
      </c>
      <c r="E1273" s="155"/>
      <c r="F1273" s="64" t="s">
        <v>1397</v>
      </c>
      <c r="G1273" s="156" t="s">
        <v>1360</v>
      </c>
      <c r="H1273" s="140" t="str">
        <f t="shared" si="486"/>
        <v>Perrons</v>
      </c>
      <c r="I1273" s="64" t="s">
        <v>18</v>
      </c>
      <c r="J1273" s="138" t="s">
        <v>1171</v>
      </c>
      <c r="K1273" s="141" t="str">
        <f t="shared" si="487"/>
        <v>Omde dag Vol/Nal.</v>
      </c>
      <c r="L1273" s="141" t="str">
        <f t="shared" si="488"/>
        <v>Omde dag Nal./Vol</v>
      </c>
      <c r="M1273" s="141" t="str">
        <f t="shared" si="489"/>
        <v>Omde dag Vol/Nal.</v>
      </c>
      <c r="N1273" s="141" t="str">
        <f t="shared" si="490"/>
        <v>Omde dag Nal./Vol</v>
      </c>
      <c r="O1273" s="141" t="str">
        <f t="shared" si="491"/>
        <v>Omde dag Vol/Nal.</v>
      </c>
      <c r="P1273" s="141" t="str">
        <f t="shared" si="492"/>
        <v>Omde dag Nal./Vol</v>
      </c>
      <c r="Q1273" s="141" t="str">
        <f t="shared" si="493"/>
        <v>Omde dag Vol/Nal.</v>
      </c>
      <c r="R1273" s="63" t="s">
        <v>1209</v>
      </c>
      <c r="S1273" s="142">
        <f t="shared" si="480"/>
        <v>365</v>
      </c>
      <c r="T1273" s="157">
        <v>201</v>
      </c>
      <c r="U1273" s="158"/>
      <c r="V1273" s="158"/>
      <c r="W1273" s="158"/>
      <c r="X1273" s="158"/>
      <c r="Y1273" s="158"/>
      <c r="Z1273" s="159"/>
      <c r="AA1273" s="159"/>
      <c r="AB1273" s="159"/>
      <c r="AC1273" s="159"/>
      <c r="AD1273" s="160"/>
      <c r="AE1273" s="171">
        <v>1</v>
      </c>
      <c r="AF1273" s="162">
        <f t="shared" si="497"/>
        <v>0</v>
      </c>
      <c r="AG1273" s="162">
        <f t="shared" si="498"/>
        <v>0</v>
      </c>
      <c r="AH1273" s="162">
        <f t="shared" si="499"/>
        <v>0</v>
      </c>
      <c r="AI1273" s="162">
        <f t="shared" si="500"/>
        <v>0</v>
      </c>
      <c r="AJ1273" s="148" t="str">
        <f t="shared" si="494"/>
        <v>ja</v>
      </c>
      <c r="AK1273" s="161">
        <f t="shared" si="481"/>
        <v>0</v>
      </c>
      <c r="AL1273" s="161">
        <f t="shared" si="482"/>
        <v>0</v>
      </c>
      <c r="AM1273" s="161">
        <f t="shared" si="483"/>
        <v>0</v>
      </c>
      <c r="AN1273" s="161">
        <f t="shared" si="484"/>
        <v>0</v>
      </c>
      <c r="AO1273" s="150" t="str">
        <f t="shared" si="495"/>
        <v>V</v>
      </c>
      <c r="AQ1273" s="151">
        <f t="shared" si="496"/>
        <v>73365</v>
      </c>
    </row>
    <row r="1274" spans="1:43" ht="15" customHeight="1">
      <c r="A1274" s="82" t="e">
        <f t="shared" si="485"/>
        <v>#REF!</v>
      </c>
      <c r="B1274" s="152">
        <v>310</v>
      </c>
      <c r="C1274" s="153" t="s">
        <v>1336</v>
      </c>
      <c r="D1274" s="154" t="s">
        <v>1331</v>
      </c>
      <c r="E1274" s="155"/>
      <c r="F1274" s="64" t="s">
        <v>1398</v>
      </c>
      <c r="G1274" s="156" t="s">
        <v>1399</v>
      </c>
      <c r="H1274" s="140" t="str">
        <f t="shared" si="486"/>
        <v>Sanitair</v>
      </c>
      <c r="I1274" s="64" t="s">
        <v>270</v>
      </c>
      <c r="J1274" s="138" t="s">
        <v>1171</v>
      </c>
      <c r="K1274" s="141" t="str">
        <f t="shared" si="487"/>
        <v>Omde dag Vol/Nal.</v>
      </c>
      <c r="L1274" s="141" t="str">
        <f t="shared" si="488"/>
        <v>Omde dag Nal./Vol</v>
      </c>
      <c r="M1274" s="141" t="str">
        <f t="shared" si="489"/>
        <v>Omde dag Vol/Nal.</v>
      </c>
      <c r="N1274" s="141" t="str">
        <f t="shared" si="490"/>
        <v>Omde dag Nal./Vol</v>
      </c>
      <c r="O1274" s="141" t="str">
        <f t="shared" si="491"/>
        <v>Omde dag Vol/Nal.</v>
      </c>
      <c r="P1274" s="141" t="str">
        <f t="shared" si="492"/>
        <v>Omde dag Nal./Vol</v>
      </c>
      <c r="Q1274" s="141" t="str">
        <f t="shared" si="493"/>
        <v>Omde dag Vol/Nal.</v>
      </c>
      <c r="R1274" s="63" t="s">
        <v>1211</v>
      </c>
      <c r="S1274" s="142">
        <f t="shared" si="480"/>
        <v>365</v>
      </c>
      <c r="T1274" s="157">
        <v>1</v>
      </c>
      <c r="U1274" s="158"/>
      <c r="V1274" s="158"/>
      <c r="W1274" s="158"/>
      <c r="X1274" s="158">
        <v>22</v>
      </c>
      <c r="Y1274" s="158">
        <v>17</v>
      </c>
      <c r="Z1274" s="159"/>
      <c r="AA1274" s="159"/>
      <c r="AB1274" s="159"/>
      <c r="AC1274" s="159">
        <v>9</v>
      </c>
      <c r="AD1274" s="160"/>
      <c r="AE1274" s="171">
        <v>1</v>
      </c>
      <c r="AF1274" s="162">
        <f t="shared" si="497"/>
        <v>0</v>
      </c>
      <c r="AG1274" s="162">
        <f t="shared" si="498"/>
        <v>0</v>
      </c>
      <c r="AH1274" s="162">
        <f t="shared" si="499"/>
        <v>0</v>
      </c>
      <c r="AI1274" s="162">
        <f t="shared" si="500"/>
        <v>0</v>
      </c>
      <c r="AJ1274" s="148" t="str">
        <f t="shared" si="494"/>
        <v>ja</v>
      </c>
      <c r="AK1274" s="161">
        <f t="shared" si="481"/>
        <v>0</v>
      </c>
      <c r="AL1274" s="161">
        <f t="shared" si="482"/>
        <v>0</v>
      </c>
      <c r="AM1274" s="161">
        <f t="shared" si="483"/>
        <v>0</v>
      </c>
      <c r="AN1274" s="161">
        <f t="shared" si="484"/>
        <v>0</v>
      </c>
      <c r="AO1274" s="150" t="str">
        <f t="shared" si="495"/>
        <v>S</v>
      </c>
      <c r="AQ1274" s="151">
        <f t="shared" si="496"/>
        <v>365</v>
      </c>
    </row>
    <row r="1275" spans="1:43" ht="15" customHeight="1">
      <c r="A1275" s="82" t="e">
        <f t="shared" si="485"/>
        <v>#REF!</v>
      </c>
      <c r="B1275" s="152">
        <v>310</v>
      </c>
      <c r="C1275" s="153" t="s">
        <v>1336</v>
      </c>
      <c r="D1275" s="154" t="s">
        <v>1331</v>
      </c>
      <c r="E1275" s="155"/>
      <c r="F1275" s="64" t="s">
        <v>1398</v>
      </c>
      <c r="G1275" s="156" t="s">
        <v>1399</v>
      </c>
      <c r="H1275" s="140" t="str">
        <f t="shared" si="486"/>
        <v>Kantoren/spreekkamers</v>
      </c>
      <c r="I1275" s="64" t="s">
        <v>270</v>
      </c>
      <c r="J1275" s="138" t="s">
        <v>1171</v>
      </c>
      <c r="K1275" s="141" t="str">
        <f t="shared" si="487"/>
        <v>Omde dag Vol/Nal.</v>
      </c>
      <c r="L1275" s="141" t="str">
        <f t="shared" si="488"/>
        <v>Omde dag Nal./Vol</v>
      </c>
      <c r="M1275" s="141" t="str">
        <f t="shared" si="489"/>
        <v>Omde dag Vol/Nal.</v>
      </c>
      <c r="N1275" s="141" t="str">
        <f t="shared" si="490"/>
        <v>Omde dag Nal./Vol</v>
      </c>
      <c r="O1275" s="141" t="str">
        <f t="shared" si="491"/>
        <v>Omde dag Vol/Nal.</v>
      </c>
      <c r="P1275" s="141" t="str">
        <f t="shared" si="492"/>
        <v>Omde dag Nal./Vol</v>
      </c>
      <c r="Q1275" s="141" t="str">
        <f t="shared" si="493"/>
        <v>Omde dag Vol/Nal.</v>
      </c>
      <c r="R1275" s="63" t="s">
        <v>1220</v>
      </c>
      <c r="S1275" s="142">
        <f t="shared" si="480"/>
        <v>365</v>
      </c>
      <c r="T1275" s="157">
        <v>8</v>
      </c>
      <c r="U1275" s="158"/>
      <c r="V1275" s="158"/>
      <c r="W1275" s="158"/>
      <c r="X1275" s="158">
        <v>22</v>
      </c>
      <c r="Y1275" s="158">
        <v>17</v>
      </c>
      <c r="Z1275" s="159"/>
      <c r="AA1275" s="159"/>
      <c r="AB1275" s="159"/>
      <c r="AC1275" s="159">
        <v>9</v>
      </c>
      <c r="AD1275" s="160"/>
      <c r="AE1275" s="171">
        <v>1</v>
      </c>
      <c r="AF1275" s="162">
        <f t="shared" si="497"/>
        <v>0</v>
      </c>
      <c r="AG1275" s="162">
        <f t="shared" si="498"/>
        <v>0</v>
      </c>
      <c r="AH1275" s="162">
        <f t="shared" si="499"/>
        <v>0</v>
      </c>
      <c r="AI1275" s="162">
        <f t="shared" si="500"/>
        <v>0</v>
      </c>
      <c r="AJ1275" s="148" t="str">
        <f t="shared" si="494"/>
        <v>nee</v>
      </c>
      <c r="AK1275" s="161">
        <f t="shared" si="481"/>
        <v>0</v>
      </c>
      <c r="AL1275" s="161">
        <f t="shared" si="482"/>
        <v>0</v>
      </c>
      <c r="AM1275" s="161">
        <f t="shared" si="483"/>
        <v>0</v>
      </c>
      <c r="AN1275" s="161">
        <f t="shared" si="484"/>
        <v>0</v>
      </c>
      <c r="AO1275" s="150" t="str">
        <f t="shared" si="495"/>
        <v>B</v>
      </c>
      <c r="AQ1275" s="151">
        <f t="shared" si="496"/>
        <v>2920</v>
      </c>
    </row>
    <row r="1276" spans="1:43" ht="15" customHeight="1">
      <c r="A1276" s="82" t="e">
        <f t="shared" si="485"/>
        <v>#REF!</v>
      </c>
      <c r="B1276" s="152">
        <v>310</v>
      </c>
      <c r="C1276" s="153" t="s">
        <v>1336</v>
      </c>
      <c r="D1276" s="154" t="s">
        <v>1331</v>
      </c>
      <c r="E1276" s="155"/>
      <c r="F1276" s="64" t="s">
        <v>34</v>
      </c>
      <c r="G1276" s="156" t="s">
        <v>1371</v>
      </c>
      <c r="H1276" s="140" t="str">
        <f t="shared" si="486"/>
        <v>Roltrappen(inclusief aangrenzende bouwdelen)</v>
      </c>
      <c r="I1276" s="64" t="s">
        <v>1251</v>
      </c>
      <c r="J1276" s="138" t="s">
        <v>1171</v>
      </c>
      <c r="K1276" s="141" t="str">
        <f t="shared" si="487"/>
        <v>Omde dag Vol/Nal.</v>
      </c>
      <c r="L1276" s="141" t="str">
        <f t="shared" si="488"/>
        <v>Omde dag Nal./Vol</v>
      </c>
      <c r="M1276" s="141" t="str">
        <f t="shared" si="489"/>
        <v>Omde dag Vol/Nal.</v>
      </c>
      <c r="N1276" s="141" t="str">
        <f t="shared" si="490"/>
        <v>Omde dag Nal./Vol</v>
      </c>
      <c r="O1276" s="141" t="str">
        <f t="shared" si="491"/>
        <v>Omde dag Vol/Nal.</v>
      </c>
      <c r="P1276" s="141" t="str">
        <f t="shared" si="492"/>
        <v>Omde dag Nal./Vol</v>
      </c>
      <c r="Q1276" s="141" t="str">
        <f t="shared" si="493"/>
        <v>Omde dag Vol/Nal.</v>
      </c>
      <c r="R1276" s="63" t="s">
        <v>1218</v>
      </c>
      <c r="S1276" s="142">
        <f t="shared" si="480"/>
        <v>365</v>
      </c>
      <c r="T1276" s="157">
        <v>33</v>
      </c>
      <c r="U1276" s="158"/>
      <c r="V1276" s="158"/>
      <c r="W1276" s="158"/>
      <c r="X1276" s="158">
        <v>18</v>
      </c>
      <c r="Y1276" s="158"/>
      <c r="Z1276" s="159"/>
      <c r="AA1276" s="159"/>
      <c r="AB1276" s="159"/>
      <c r="AC1276" s="159"/>
      <c r="AD1276" s="160"/>
      <c r="AE1276" s="171">
        <v>1</v>
      </c>
      <c r="AF1276" s="162">
        <f t="shared" si="497"/>
        <v>0</v>
      </c>
      <c r="AG1276" s="162">
        <f t="shared" si="498"/>
        <v>0</v>
      </c>
      <c r="AH1276" s="162">
        <f t="shared" si="499"/>
        <v>0</v>
      </c>
      <c r="AI1276" s="162">
        <f t="shared" si="500"/>
        <v>0</v>
      </c>
      <c r="AJ1276" s="148" t="str">
        <f t="shared" si="494"/>
        <v>ja</v>
      </c>
      <c r="AK1276" s="161">
        <f t="shared" si="481"/>
        <v>0</v>
      </c>
      <c r="AL1276" s="161">
        <f t="shared" si="482"/>
        <v>0</v>
      </c>
      <c r="AM1276" s="161">
        <f t="shared" si="483"/>
        <v>0</v>
      </c>
      <c r="AN1276" s="161">
        <f t="shared" si="484"/>
        <v>0</v>
      </c>
      <c r="AO1276" s="150" t="str">
        <f t="shared" si="495"/>
        <v>V</v>
      </c>
      <c r="AQ1276" s="151">
        <f t="shared" si="496"/>
        <v>12045</v>
      </c>
    </row>
    <row r="1277" spans="1:43" ht="15" customHeight="1">
      <c r="A1277" s="82" t="e">
        <f t="shared" si="485"/>
        <v>#REF!</v>
      </c>
      <c r="B1277" s="152">
        <v>310</v>
      </c>
      <c r="C1277" s="153" t="s">
        <v>1336</v>
      </c>
      <c r="D1277" s="154" t="s">
        <v>1331</v>
      </c>
      <c r="E1277" s="155"/>
      <c r="F1277" s="64" t="s">
        <v>37</v>
      </c>
      <c r="G1277" s="156" t="s">
        <v>26</v>
      </c>
      <c r="H1277" s="140" t="str">
        <f t="shared" si="486"/>
        <v>Gangen</v>
      </c>
      <c r="I1277" s="64" t="s">
        <v>195</v>
      </c>
      <c r="J1277" s="138" t="s">
        <v>1171</v>
      </c>
      <c r="K1277" s="141" t="str">
        <f t="shared" si="487"/>
        <v>Omde dag Vol/Nal.</v>
      </c>
      <c r="L1277" s="141" t="str">
        <f t="shared" si="488"/>
        <v>Omde dag Nal./Vol</v>
      </c>
      <c r="M1277" s="141" t="str">
        <f t="shared" si="489"/>
        <v>Omde dag Vol/Nal.</v>
      </c>
      <c r="N1277" s="141" t="str">
        <f t="shared" si="490"/>
        <v>Omde dag Nal./Vol</v>
      </c>
      <c r="O1277" s="141" t="str">
        <f t="shared" si="491"/>
        <v>Omde dag Vol/Nal.</v>
      </c>
      <c r="P1277" s="141" t="str">
        <f t="shared" si="492"/>
        <v>Omde dag Nal./Vol</v>
      </c>
      <c r="Q1277" s="141" t="str">
        <f t="shared" si="493"/>
        <v>Omde dag Vol/Nal.</v>
      </c>
      <c r="R1277" s="64" t="s">
        <v>1265</v>
      </c>
      <c r="S1277" s="142">
        <f t="shared" si="480"/>
        <v>365</v>
      </c>
      <c r="T1277" s="157">
        <v>6.41</v>
      </c>
      <c r="U1277" s="158"/>
      <c r="V1277" s="158">
        <v>34</v>
      </c>
      <c r="W1277" s="158"/>
      <c r="X1277" s="158"/>
      <c r="Y1277" s="158"/>
      <c r="Z1277" s="159"/>
      <c r="AA1277" s="159"/>
      <c r="AB1277" s="159">
        <v>6</v>
      </c>
      <c r="AC1277" s="159"/>
      <c r="AD1277" s="160"/>
      <c r="AE1277" s="171">
        <v>1</v>
      </c>
      <c r="AF1277" s="162">
        <f t="shared" si="497"/>
        <v>0</v>
      </c>
      <c r="AG1277" s="162">
        <f t="shared" si="498"/>
        <v>0</v>
      </c>
      <c r="AH1277" s="162">
        <f t="shared" si="499"/>
        <v>0</v>
      </c>
      <c r="AI1277" s="162">
        <f t="shared" si="500"/>
        <v>0</v>
      </c>
      <c r="AJ1277" s="148" t="str">
        <f t="shared" si="494"/>
        <v>ja</v>
      </c>
      <c r="AK1277" s="161">
        <f t="shared" si="481"/>
        <v>0</v>
      </c>
      <c r="AL1277" s="161">
        <f t="shared" si="482"/>
        <v>0</v>
      </c>
      <c r="AM1277" s="161">
        <f t="shared" si="483"/>
        <v>0</v>
      </c>
      <c r="AN1277" s="161">
        <f t="shared" si="484"/>
        <v>0</v>
      </c>
      <c r="AO1277" s="150" t="str">
        <f t="shared" si="495"/>
        <v>V</v>
      </c>
      <c r="AQ1277" s="151">
        <f t="shared" si="496"/>
        <v>2339.65</v>
      </c>
    </row>
    <row r="1278" spans="1:43" ht="15" customHeight="1">
      <c r="A1278" s="82" t="e">
        <f t="shared" si="485"/>
        <v>#REF!</v>
      </c>
      <c r="B1278" s="152">
        <v>310</v>
      </c>
      <c r="C1278" s="153" t="s">
        <v>1336</v>
      </c>
      <c r="D1278" s="154" t="s">
        <v>1331</v>
      </c>
      <c r="E1278" s="155"/>
      <c r="F1278" s="64" t="s">
        <v>1438</v>
      </c>
      <c r="G1278" s="156" t="s">
        <v>27</v>
      </c>
      <c r="H1278" s="140" t="str">
        <f t="shared" si="486"/>
        <v>Niet van toepassing</v>
      </c>
      <c r="I1278" s="64" t="s">
        <v>195</v>
      </c>
      <c r="J1278" s="138" t="s">
        <v>1172</v>
      </c>
      <c r="K1278" s="141" t="str">
        <f t="shared" si="487"/>
        <v>NVT</v>
      </c>
      <c r="L1278" s="141" t="str">
        <f t="shared" si="488"/>
        <v>NVT</v>
      </c>
      <c r="M1278" s="141" t="str">
        <f t="shared" si="489"/>
        <v>NVT</v>
      </c>
      <c r="N1278" s="141" t="str">
        <f t="shared" si="490"/>
        <v>NVT</v>
      </c>
      <c r="O1278" s="141" t="str">
        <f t="shared" si="491"/>
        <v>NVT</v>
      </c>
      <c r="P1278" s="141" t="str">
        <f t="shared" si="492"/>
        <v>NVT</v>
      </c>
      <c r="Q1278" s="141" t="str">
        <f t="shared" si="493"/>
        <v>NVT</v>
      </c>
      <c r="R1278" s="63" t="s">
        <v>1221</v>
      </c>
      <c r="S1278" s="142">
        <f t="shared" si="480"/>
        <v>0</v>
      </c>
      <c r="T1278" s="157">
        <v>13</v>
      </c>
      <c r="U1278" s="158"/>
      <c r="V1278" s="158">
        <v>63</v>
      </c>
      <c r="W1278" s="158"/>
      <c r="X1278" s="158"/>
      <c r="Y1278" s="158"/>
      <c r="Z1278" s="159"/>
      <c r="AA1278" s="159"/>
      <c r="AB1278" s="159">
        <v>13</v>
      </c>
      <c r="AC1278" s="159"/>
      <c r="AD1278" s="160"/>
      <c r="AE1278" s="171">
        <v>1</v>
      </c>
      <c r="AF1278" s="162">
        <f t="shared" si="497"/>
        <v>0</v>
      </c>
      <c r="AG1278" s="162">
        <f t="shared" si="498"/>
        <v>0</v>
      </c>
      <c r="AH1278" s="162">
        <f t="shared" si="499"/>
        <v>0</v>
      </c>
      <c r="AI1278" s="162">
        <f t="shared" si="500"/>
        <v>0</v>
      </c>
      <c r="AJ1278" s="148">
        <f t="shared" si="494"/>
        <v>0</v>
      </c>
      <c r="AK1278" s="161">
        <f t="shared" si="481"/>
        <v>0</v>
      </c>
      <c r="AL1278" s="161">
        <f t="shared" si="482"/>
        <v>0</v>
      </c>
      <c r="AM1278" s="161">
        <f t="shared" si="483"/>
        <v>0</v>
      </c>
      <c r="AN1278" s="161">
        <f t="shared" si="484"/>
        <v>0</v>
      </c>
      <c r="AO1278" s="150">
        <f t="shared" si="495"/>
        <v>0</v>
      </c>
      <c r="AQ1278" s="151">
        <f t="shared" si="496"/>
        <v>0</v>
      </c>
    </row>
    <row r="1279" spans="1:43" ht="15" customHeight="1">
      <c r="A1279" s="82" t="e">
        <f t="shared" si="485"/>
        <v>#REF!</v>
      </c>
      <c r="B1279" s="152">
        <v>310</v>
      </c>
      <c r="C1279" s="153" t="s">
        <v>1336</v>
      </c>
      <c r="D1279" s="154" t="s">
        <v>1331</v>
      </c>
      <c r="E1279" s="155"/>
      <c r="F1279" s="64" t="s">
        <v>1361</v>
      </c>
      <c r="G1279" s="156" t="s">
        <v>28</v>
      </c>
      <c r="H1279" s="140" t="str">
        <f t="shared" si="486"/>
        <v>Niet van toepassing</v>
      </c>
      <c r="I1279" s="64" t="s">
        <v>195</v>
      </c>
      <c r="J1279" s="138" t="s">
        <v>1172</v>
      </c>
      <c r="K1279" s="141" t="str">
        <f t="shared" si="487"/>
        <v>NVT</v>
      </c>
      <c r="L1279" s="141" t="str">
        <f t="shared" si="488"/>
        <v>NVT</v>
      </c>
      <c r="M1279" s="141" t="str">
        <f t="shared" si="489"/>
        <v>NVT</v>
      </c>
      <c r="N1279" s="141" t="str">
        <f t="shared" si="490"/>
        <v>NVT</v>
      </c>
      <c r="O1279" s="141" t="str">
        <f t="shared" si="491"/>
        <v>NVT</v>
      </c>
      <c r="P1279" s="141" t="str">
        <f t="shared" si="492"/>
        <v>NVT</v>
      </c>
      <c r="Q1279" s="141" t="str">
        <f t="shared" si="493"/>
        <v>NVT</v>
      </c>
      <c r="R1279" s="63" t="s">
        <v>1221</v>
      </c>
      <c r="S1279" s="142">
        <f t="shared" si="480"/>
        <v>0</v>
      </c>
      <c r="T1279" s="157">
        <v>11</v>
      </c>
      <c r="U1279" s="158"/>
      <c r="V1279" s="158">
        <v>64</v>
      </c>
      <c r="W1279" s="158"/>
      <c r="X1279" s="158"/>
      <c r="Y1279" s="158"/>
      <c r="Z1279" s="159"/>
      <c r="AA1279" s="159"/>
      <c r="AB1279" s="159">
        <v>11</v>
      </c>
      <c r="AC1279" s="159"/>
      <c r="AD1279" s="160"/>
      <c r="AE1279" s="171">
        <v>1</v>
      </c>
      <c r="AF1279" s="162">
        <f t="shared" si="497"/>
        <v>0</v>
      </c>
      <c r="AG1279" s="162">
        <f t="shared" si="498"/>
        <v>0</v>
      </c>
      <c r="AH1279" s="162">
        <f t="shared" si="499"/>
        <v>0</v>
      </c>
      <c r="AI1279" s="162">
        <f t="shared" si="500"/>
        <v>0</v>
      </c>
      <c r="AJ1279" s="148">
        <f t="shared" si="494"/>
        <v>0</v>
      </c>
      <c r="AK1279" s="161">
        <f t="shared" si="481"/>
        <v>0</v>
      </c>
      <c r="AL1279" s="161">
        <f t="shared" si="482"/>
        <v>0</v>
      </c>
      <c r="AM1279" s="161">
        <f t="shared" si="483"/>
        <v>0</v>
      </c>
      <c r="AN1279" s="161">
        <f t="shared" si="484"/>
        <v>0</v>
      </c>
      <c r="AO1279" s="150">
        <f t="shared" si="495"/>
        <v>0</v>
      </c>
      <c r="AQ1279" s="151">
        <f t="shared" si="496"/>
        <v>0</v>
      </c>
    </row>
    <row r="1280" spans="1:43" ht="15" customHeight="1">
      <c r="A1280" s="82" t="e">
        <f t="shared" si="485"/>
        <v>#REF!</v>
      </c>
      <c r="B1280" s="152">
        <v>310</v>
      </c>
      <c r="C1280" s="153" t="s">
        <v>1336</v>
      </c>
      <c r="D1280" s="154" t="s">
        <v>1331</v>
      </c>
      <c r="E1280" s="155"/>
      <c r="F1280" s="64" t="s">
        <v>1362</v>
      </c>
      <c r="G1280" s="156" t="s">
        <v>29</v>
      </c>
      <c r="H1280" s="140" t="str">
        <f t="shared" si="486"/>
        <v>Niet van toepassing</v>
      </c>
      <c r="I1280" s="64" t="s">
        <v>195</v>
      </c>
      <c r="J1280" s="138" t="s">
        <v>1172</v>
      </c>
      <c r="K1280" s="141" t="str">
        <f t="shared" si="487"/>
        <v>NVT</v>
      </c>
      <c r="L1280" s="141" t="str">
        <f t="shared" si="488"/>
        <v>NVT</v>
      </c>
      <c r="M1280" s="141" t="str">
        <f t="shared" si="489"/>
        <v>NVT</v>
      </c>
      <c r="N1280" s="141" t="str">
        <f t="shared" si="490"/>
        <v>NVT</v>
      </c>
      <c r="O1280" s="141" t="str">
        <f t="shared" si="491"/>
        <v>NVT</v>
      </c>
      <c r="P1280" s="141" t="str">
        <f t="shared" si="492"/>
        <v>NVT</v>
      </c>
      <c r="Q1280" s="141" t="str">
        <f t="shared" si="493"/>
        <v>NVT</v>
      </c>
      <c r="R1280" s="63" t="s">
        <v>1221</v>
      </c>
      <c r="S1280" s="142">
        <f t="shared" si="480"/>
        <v>0</v>
      </c>
      <c r="T1280" s="157">
        <v>2</v>
      </c>
      <c r="U1280" s="158"/>
      <c r="V1280" s="158">
        <v>16</v>
      </c>
      <c r="W1280" s="158"/>
      <c r="X1280" s="158"/>
      <c r="Y1280" s="158"/>
      <c r="Z1280" s="159"/>
      <c r="AA1280" s="159"/>
      <c r="AB1280" s="159">
        <v>2</v>
      </c>
      <c r="AC1280" s="159"/>
      <c r="AD1280" s="160"/>
      <c r="AE1280" s="171">
        <v>1</v>
      </c>
      <c r="AF1280" s="162">
        <f t="shared" si="497"/>
        <v>0</v>
      </c>
      <c r="AG1280" s="162">
        <f t="shared" si="498"/>
        <v>0</v>
      </c>
      <c r="AH1280" s="162">
        <f t="shared" si="499"/>
        <v>0</v>
      </c>
      <c r="AI1280" s="162">
        <f t="shared" si="500"/>
        <v>0</v>
      </c>
      <c r="AJ1280" s="148">
        <f t="shared" si="494"/>
        <v>0</v>
      </c>
      <c r="AK1280" s="161">
        <f t="shared" si="481"/>
        <v>0</v>
      </c>
      <c r="AL1280" s="161">
        <f t="shared" si="482"/>
        <v>0</v>
      </c>
      <c r="AM1280" s="161">
        <f t="shared" si="483"/>
        <v>0</v>
      </c>
      <c r="AN1280" s="161">
        <f t="shared" si="484"/>
        <v>0</v>
      </c>
      <c r="AO1280" s="150">
        <f t="shared" si="495"/>
        <v>0</v>
      </c>
      <c r="AQ1280" s="151">
        <f t="shared" si="496"/>
        <v>0</v>
      </c>
    </row>
    <row r="1281" spans="1:43" ht="15" customHeight="1">
      <c r="A1281" s="82" t="e">
        <f t="shared" si="485"/>
        <v>#REF!</v>
      </c>
      <c r="B1281" s="152">
        <v>310</v>
      </c>
      <c r="C1281" s="153" t="s">
        <v>1336</v>
      </c>
      <c r="D1281" s="154" t="s">
        <v>1331</v>
      </c>
      <c r="E1281" s="155"/>
      <c r="F1281" s="64" t="s">
        <v>122</v>
      </c>
      <c r="G1281" s="156" t="s">
        <v>32</v>
      </c>
      <c r="H1281" s="140" t="str">
        <f t="shared" si="486"/>
        <v>Niet van toepassing</v>
      </c>
      <c r="I1281" s="64" t="s">
        <v>195</v>
      </c>
      <c r="J1281" s="64" t="s">
        <v>1172</v>
      </c>
      <c r="K1281" s="141" t="str">
        <f t="shared" si="487"/>
        <v>NVT</v>
      </c>
      <c r="L1281" s="141" t="str">
        <f t="shared" si="488"/>
        <v>NVT</v>
      </c>
      <c r="M1281" s="141" t="str">
        <f t="shared" si="489"/>
        <v>NVT</v>
      </c>
      <c r="N1281" s="141" t="str">
        <f t="shared" si="490"/>
        <v>NVT</v>
      </c>
      <c r="O1281" s="141" t="str">
        <f t="shared" si="491"/>
        <v>NVT</v>
      </c>
      <c r="P1281" s="141" t="str">
        <f t="shared" si="492"/>
        <v>NVT</v>
      </c>
      <c r="Q1281" s="141" t="str">
        <f t="shared" si="493"/>
        <v>NVT</v>
      </c>
      <c r="R1281" s="64" t="s">
        <v>1221</v>
      </c>
      <c r="S1281" s="142">
        <f t="shared" si="480"/>
        <v>0</v>
      </c>
      <c r="T1281" s="157">
        <v>6</v>
      </c>
      <c r="U1281" s="158">
        <v>3</v>
      </c>
      <c r="V1281" s="158">
        <v>42</v>
      </c>
      <c r="W1281" s="158"/>
      <c r="X1281" s="158"/>
      <c r="Y1281" s="158"/>
      <c r="Z1281" s="159"/>
      <c r="AA1281" s="159"/>
      <c r="AB1281" s="159">
        <v>6</v>
      </c>
      <c r="AC1281" s="159"/>
      <c r="AD1281" s="160"/>
      <c r="AE1281" s="171">
        <v>1</v>
      </c>
      <c r="AF1281" s="162">
        <f t="shared" si="497"/>
        <v>0</v>
      </c>
      <c r="AG1281" s="162">
        <f t="shared" si="498"/>
        <v>0</v>
      </c>
      <c r="AH1281" s="162">
        <f t="shared" si="499"/>
        <v>0</v>
      </c>
      <c r="AI1281" s="162">
        <f t="shared" si="500"/>
        <v>0</v>
      </c>
      <c r="AJ1281" s="148">
        <f t="shared" si="494"/>
        <v>0</v>
      </c>
      <c r="AK1281" s="161">
        <f t="shared" si="481"/>
        <v>0</v>
      </c>
      <c r="AL1281" s="161">
        <f t="shared" si="482"/>
        <v>0</v>
      </c>
      <c r="AM1281" s="161">
        <f t="shared" si="483"/>
        <v>0</v>
      </c>
      <c r="AN1281" s="161">
        <f t="shared" si="484"/>
        <v>0</v>
      </c>
      <c r="AO1281" s="150">
        <f t="shared" si="495"/>
        <v>0</v>
      </c>
      <c r="AQ1281" s="151">
        <f t="shared" si="496"/>
        <v>0</v>
      </c>
    </row>
    <row r="1282" spans="1:43" ht="15" customHeight="1">
      <c r="A1282" s="82" t="e">
        <f t="shared" si="485"/>
        <v>#REF!</v>
      </c>
      <c r="B1282" s="152">
        <v>310</v>
      </c>
      <c r="C1282" s="153" t="s">
        <v>1336</v>
      </c>
      <c r="D1282" s="154" t="s">
        <v>1331</v>
      </c>
      <c r="E1282" s="155"/>
      <c r="F1282" s="64" t="s">
        <v>1389</v>
      </c>
      <c r="G1282" s="156" t="s">
        <v>24</v>
      </c>
      <c r="H1282" s="140" t="str">
        <f t="shared" si="486"/>
        <v>Niet van toepassing</v>
      </c>
      <c r="I1282" s="64" t="s">
        <v>195</v>
      </c>
      <c r="J1282" s="138" t="s">
        <v>1172</v>
      </c>
      <c r="K1282" s="141" t="str">
        <f t="shared" si="487"/>
        <v>NVT</v>
      </c>
      <c r="L1282" s="141" t="str">
        <f t="shared" si="488"/>
        <v>NVT</v>
      </c>
      <c r="M1282" s="141" t="str">
        <f t="shared" si="489"/>
        <v>NVT</v>
      </c>
      <c r="N1282" s="141" t="str">
        <f t="shared" si="490"/>
        <v>NVT</v>
      </c>
      <c r="O1282" s="141" t="str">
        <f t="shared" si="491"/>
        <v>NVT</v>
      </c>
      <c r="P1282" s="141" t="str">
        <f t="shared" si="492"/>
        <v>NVT</v>
      </c>
      <c r="Q1282" s="141" t="str">
        <f t="shared" si="493"/>
        <v>NVT</v>
      </c>
      <c r="R1282" s="63" t="s">
        <v>1221</v>
      </c>
      <c r="S1282" s="142">
        <f t="shared" si="480"/>
        <v>0</v>
      </c>
      <c r="T1282" s="157">
        <v>11</v>
      </c>
      <c r="U1282" s="158"/>
      <c r="V1282" s="158">
        <v>52</v>
      </c>
      <c r="W1282" s="158"/>
      <c r="X1282" s="158"/>
      <c r="Y1282" s="158"/>
      <c r="Z1282" s="159"/>
      <c r="AA1282" s="159"/>
      <c r="AB1282" s="159">
        <v>11</v>
      </c>
      <c r="AC1282" s="159"/>
      <c r="AD1282" s="160"/>
      <c r="AE1282" s="171">
        <v>1</v>
      </c>
      <c r="AF1282" s="162">
        <f t="shared" si="497"/>
        <v>0</v>
      </c>
      <c r="AG1282" s="162">
        <f t="shared" si="498"/>
        <v>0</v>
      </c>
      <c r="AH1282" s="162">
        <f t="shared" si="499"/>
        <v>0</v>
      </c>
      <c r="AI1282" s="162">
        <f t="shared" si="500"/>
        <v>0</v>
      </c>
      <c r="AJ1282" s="148">
        <f t="shared" si="494"/>
        <v>0</v>
      </c>
      <c r="AK1282" s="161">
        <f t="shared" si="481"/>
        <v>0</v>
      </c>
      <c r="AL1282" s="161">
        <f t="shared" si="482"/>
        <v>0</v>
      </c>
      <c r="AM1282" s="161">
        <f t="shared" si="483"/>
        <v>0</v>
      </c>
      <c r="AN1282" s="161">
        <f t="shared" si="484"/>
        <v>0</v>
      </c>
      <c r="AO1282" s="150">
        <f t="shared" si="495"/>
        <v>0</v>
      </c>
      <c r="AQ1282" s="151">
        <f t="shared" si="496"/>
        <v>0</v>
      </c>
    </row>
    <row r="1283" spans="1:43" ht="15" customHeight="1">
      <c r="A1283" s="82" t="e">
        <f t="shared" si="485"/>
        <v>#REF!</v>
      </c>
      <c r="B1283" s="152">
        <v>310</v>
      </c>
      <c r="C1283" s="153" t="s">
        <v>1336</v>
      </c>
      <c r="D1283" s="154" t="s">
        <v>1331</v>
      </c>
      <c r="E1283" s="155"/>
      <c r="F1283" s="64" t="s">
        <v>1402</v>
      </c>
      <c r="G1283" s="156"/>
      <c r="H1283" s="140" t="str">
        <f t="shared" si="486"/>
        <v>Bestrating</v>
      </c>
      <c r="I1283" s="64" t="s">
        <v>1254</v>
      </c>
      <c r="J1283" s="138" t="s">
        <v>1171</v>
      </c>
      <c r="K1283" s="141" t="str">
        <f t="shared" si="487"/>
        <v>Omde dag Vol/Nal.</v>
      </c>
      <c r="L1283" s="141" t="str">
        <f t="shared" si="488"/>
        <v>Omde dag Nal./Vol</v>
      </c>
      <c r="M1283" s="141" t="str">
        <f t="shared" si="489"/>
        <v>Omde dag Vol/Nal.</v>
      </c>
      <c r="N1283" s="141" t="str">
        <f t="shared" si="490"/>
        <v>Omde dag Nal./Vol</v>
      </c>
      <c r="O1283" s="141" t="str">
        <f t="shared" si="491"/>
        <v>Omde dag Vol/Nal.</v>
      </c>
      <c r="P1283" s="141" t="str">
        <f t="shared" si="492"/>
        <v>Omde dag Nal./Vol</v>
      </c>
      <c r="Q1283" s="141" t="str">
        <f t="shared" si="493"/>
        <v>Omde dag Vol/Nal.</v>
      </c>
      <c r="R1283" s="64" t="s">
        <v>1470</v>
      </c>
      <c r="S1283" s="142">
        <f t="shared" si="480"/>
        <v>365</v>
      </c>
      <c r="T1283" s="157">
        <v>32</v>
      </c>
      <c r="U1283" s="158"/>
      <c r="V1283" s="158"/>
      <c r="W1283" s="158"/>
      <c r="X1283" s="158"/>
      <c r="Y1283" s="158"/>
      <c r="Z1283" s="159"/>
      <c r="AA1283" s="159"/>
      <c r="AB1283" s="159"/>
      <c r="AC1283" s="159"/>
      <c r="AD1283" s="160"/>
      <c r="AE1283" s="171">
        <v>1</v>
      </c>
      <c r="AF1283" s="162">
        <f t="shared" si="497"/>
        <v>0</v>
      </c>
      <c r="AG1283" s="162">
        <f t="shared" si="498"/>
        <v>0</v>
      </c>
      <c r="AH1283" s="162">
        <f t="shared" si="499"/>
        <v>0</v>
      </c>
      <c r="AI1283" s="162">
        <f t="shared" si="500"/>
        <v>0</v>
      </c>
      <c r="AJ1283" s="148" t="str">
        <f t="shared" si="494"/>
        <v>ja</v>
      </c>
      <c r="AK1283" s="161">
        <f t="shared" si="481"/>
        <v>0</v>
      </c>
      <c r="AL1283" s="161">
        <f t="shared" si="482"/>
        <v>0</v>
      </c>
      <c r="AM1283" s="161">
        <f t="shared" si="483"/>
        <v>0</v>
      </c>
      <c r="AN1283" s="161">
        <f t="shared" si="484"/>
        <v>0</v>
      </c>
      <c r="AO1283" s="150" t="str">
        <f t="shared" si="495"/>
        <v>V</v>
      </c>
      <c r="AQ1283" s="151">
        <f t="shared" si="496"/>
        <v>11680</v>
      </c>
    </row>
    <row r="1284" spans="1:43" ht="15" customHeight="1">
      <c r="A1284" s="82" t="e">
        <f t="shared" si="485"/>
        <v>#REF!</v>
      </c>
      <c r="B1284" s="152">
        <v>310</v>
      </c>
      <c r="C1284" s="153" t="s">
        <v>1336</v>
      </c>
      <c r="D1284" s="154" t="s">
        <v>1331</v>
      </c>
      <c r="E1284" s="155"/>
      <c r="F1284" s="64" t="s">
        <v>1377</v>
      </c>
      <c r="G1284" s="156"/>
      <c r="H1284" s="140" t="str">
        <f t="shared" si="486"/>
        <v>Liften</v>
      </c>
      <c r="I1284" s="64" t="s">
        <v>1109</v>
      </c>
      <c r="J1284" s="138" t="s">
        <v>1171</v>
      </c>
      <c r="K1284" s="141" t="str">
        <f t="shared" si="487"/>
        <v>Omde dag Vol/Nal.</v>
      </c>
      <c r="L1284" s="141" t="str">
        <f t="shared" si="488"/>
        <v>Omde dag Nal./Vol</v>
      </c>
      <c r="M1284" s="141" t="str">
        <f t="shared" si="489"/>
        <v>Omde dag Vol/Nal.</v>
      </c>
      <c r="N1284" s="141" t="str">
        <f t="shared" si="490"/>
        <v>Omde dag Nal./Vol</v>
      </c>
      <c r="O1284" s="141" t="str">
        <f t="shared" si="491"/>
        <v>Omde dag Vol/Nal.</v>
      </c>
      <c r="P1284" s="141" t="str">
        <f t="shared" si="492"/>
        <v>Omde dag Nal./Vol</v>
      </c>
      <c r="Q1284" s="141" t="str">
        <f t="shared" si="493"/>
        <v>Omde dag Vol/Nal.</v>
      </c>
      <c r="R1284" s="63" t="s">
        <v>1213</v>
      </c>
      <c r="S1284" s="142">
        <f t="shared" si="480"/>
        <v>365</v>
      </c>
      <c r="T1284" s="157">
        <v>5</v>
      </c>
      <c r="U1284" s="158"/>
      <c r="V1284" s="158"/>
      <c r="W1284" s="158"/>
      <c r="X1284" s="158"/>
      <c r="Y1284" s="158"/>
      <c r="Z1284" s="159"/>
      <c r="AA1284" s="159"/>
      <c r="AB1284" s="159"/>
      <c r="AC1284" s="159"/>
      <c r="AD1284" s="160"/>
      <c r="AE1284" s="171">
        <v>1</v>
      </c>
      <c r="AF1284" s="162">
        <f t="shared" si="497"/>
        <v>0</v>
      </c>
      <c r="AG1284" s="162">
        <f t="shared" si="498"/>
        <v>0</v>
      </c>
      <c r="AH1284" s="162">
        <f t="shared" si="499"/>
        <v>0</v>
      </c>
      <c r="AI1284" s="162">
        <f t="shared" si="500"/>
        <v>0</v>
      </c>
      <c r="AJ1284" s="148" t="str">
        <f t="shared" si="494"/>
        <v>ja</v>
      </c>
      <c r="AK1284" s="161">
        <f t="shared" si="481"/>
        <v>0</v>
      </c>
      <c r="AL1284" s="161">
        <f t="shared" si="482"/>
        <v>0</v>
      </c>
      <c r="AM1284" s="161">
        <f t="shared" si="483"/>
        <v>0</v>
      </c>
      <c r="AN1284" s="161">
        <f t="shared" si="484"/>
        <v>0</v>
      </c>
      <c r="AO1284" s="150" t="str">
        <f t="shared" si="495"/>
        <v>V</v>
      </c>
      <c r="AQ1284" s="151">
        <f t="shared" si="496"/>
        <v>1825</v>
      </c>
    </row>
    <row r="1285" spans="1:43" ht="15" customHeight="1">
      <c r="A1285" s="82" t="e">
        <f t="shared" si="485"/>
        <v>#REF!</v>
      </c>
      <c r="B1285" s="152">
        <v>311</v>
      </c>
      <c r="C1285" s="153" t="s">
        <v>1333</v>
      </c>
      <c r="D1285" s="154" t="s">
        <v>1331</v>
      </c>
      <c r="E1285" s="155"/>
      <c r="F1285" s="64" t="s">
        <v>1358</v>
      </c>
      <c r="G1285" s="156" t="s">
        <v>1439</v>
      </c>
      <c r="H1285" s="140" t="str">
        <f t="shared" si="486"/>
        <v>Trappen</v>
      </c>
      <c r="I1285" s="64" t="s">
        <v>1440</v>
      </c>
      <c r="J1285" s="138" t="s">
        <v>1171</v>
      </c>
      <c r="K1285" s="141" t="str">
        <f t="shared" si="487"/>
        <v>Omde dag Vol/Nal.</v>
      </c>
      <c r="L1285" s="141" t="str">
        <f t="shared" si="488"/>
        <v>Omde dag Nal./Vol</v>
      </c>
      <c r="M1285" s="141" t="str">
        <f t="shared" si="489"/>
        <v>Omde dag Vol/Nal.</v>
      </c>
      <c r="N1285" s="141" t="str">
        <f t="shared" si="490"/>
        <v>Omde dag Nal./Vol</v>
      </c>
      <c r="O1285" s="141" t="str">
        <f t="shared" si="491"/>
        <v>Omde dag Vol/Nal.</v>
      </c>
      <c r="P1285" s="141" t="str">
        <f t="shared" si="492"/>
        <v>Omde dag Nal./Vol</v>
      </c>
      <c r="Q1285" s="141" t="str">
        <f t="shared" si="493"/>
        <v>Omde dag Vol/Nal.</v>
      </c>
      <c r="R1285" s="63" t="s">
        <v>1215</v>
      </c>
      <c r="S1285" s="142">
        <f t="shared" si="480"/>
        <v>365</v>
      </c>
      <c r="T1285" s="157">
        <v>88</v>
      </c>
      <c r="U1285" s="158"/>
      <c r="V1285" s="158"/>
      <c r="W1285" s="158"/>
      <c r="X1285" s="158"/>
      <c r="Y1285" s="158"/>
      <c r="Z1285" s="159"/>
      <c r="AA1285" s="159"/>
      <c r="AB1285" s="159"/>
      <c r="AC1285" s="159"/>
      <c r="AD1285" s="160"/>
      <c r="AE1285" s="171">
        <v>1</v>
      </c>
      <c r="AF1285" s="162">
        <f t="shared" si="497"/>
        <v>0</v>
      </c>
      <c r="AG1285" s="162">
        <f t="shared" si="498"/>
        <v>0</v>
      </c>
      <c r="AH1285" s="162">
        <f t="shared" si="499"/>
        <v>0</v>
      </c>
      <c r="AI1285" s="162">
        <f t="shared" si="500"/>
        <v>0</v>
      </c>
      <c r="AJ1285" s="148" t="str">
        <f t="shared" si="494"/>
        <v>ja</v>
      </c>
      <c r="AK1285" s="161">
        <f t="shared" si="481"/>
        <v>0</v>
      </c>
      <c r="AL1285" s="161">
        <f t="shared" si="482"/>
        <v>0</v>
      </c>
      <c r="AM1285" s="161">
        <f t="shared" si="483"/>
        <v>0</v>
      </c>
      <c r="AN1285" s="161">
        <f t="shared" si="484"/>
        <v>0</v>
      </c>
      <c r="AO1285" s="150" t="str">
        <f t="shared" si="495"/>
        <v>V</v>
      </c>
      <c r="AQ1285" s="151">
        <f t="shared" si="496"/>
        <v>32120</v>
      </c>
    </row>
    <row r="1286" spans="1:43" ht="15" customHeight="1">
      <c r="A1286" s="82" t="e">
        <f t="shared" si="485"/>
        <v>#REF!</v>
      </c>
      <c r="B1286" s="152">
        <v>311</v>
      </c>
      <c r="C1286" s="153" t="s">
        <v>1333</v>
      </c>
      <c r="D1286" s="154" t="s">
        <v>1331</v>
      </c>
      <c r="E1286" s="155"/>
      <c r="F1286" s="64" t="s">
        <v>1441</v>
      </c>
      <c r="G1286" s="156" t="s">
        <v>357</v>
      </c>
      <c r="H1286" s="140" t="str">
        <f t="shared" si="486"/>
        <v>Perrons</v>
      </c>
      <c r="I1286" s="64" t="s">
        <v>18</v>
      </c>
      <c r="J1286" s="138" t="s">
        <v>1171</v>
      </c>
      <c r="K1286" s="141" t="str">
        <f t="shared" si="487"/>
        <v>Omde dag Vol/Nal.</v>
      </c>
      <c r="L1286" s="141" t="str">
        <f t="shared" si="488"/>
        <v>Omde dag Nal./Vol</v>
      </c>
      <c r="M1286" s="141" t="str">
        <f t="shared" si="489"/>
        <v>Omde dag Vol/Nal.</v>
      </c>
      <c r="N1286" s="141" t="str">
        <f t="shared" si="490"/>
        <v>Omde dag Nal./Vol</v>
      </c>
      <c r="O1286" s="141" t="str">
        <f t="shared" si="491"/>
        <v>Omde dag Vol/Nal.</v>
      </c>
      <c r="P1286" s="141" t="str">
        <f t="shared" si="492"/>
        <v>Omde dag Nal./Vol</v>
      </c>
      <c r="Q1286" s="141" t="str">
        <f t="shared" si="493"/>
        <v>Omde dag Vol/Nal.</v>
      </c>
      <c r="R1286" s="63" t="s">
        <v>1209</v>
      </c>
      <c r="S1286" s="142">
        <f t="shared" si="480"/>
        <v>365</v>
      </c>
      <c r="T1286" s="157">
        <v>1257</v>
      </c>
      <c r="U1286" s="158"/>
      <c r="V1286" s="158"/>
      <c r="W1286" s="158"/>
      <c r="X1286" s="158"/>
      <c r="Y1286" s="158"/>
      <c r="Z1286" s="159"/>
      <c r="AA1286" s="159"/>
      <c r="AB1286" s="159"/>
      <c r="AC1286" s="159"/>
      <c r="AD1286" s="160"/>
      <c r="AE1286" s="171">
        <v>1</v>
      </c>
      <c r="AF1286" s="162">
        <f t="shared" si="497"/>
        <v>0</v>
      </c>
      <c r="AG1286" s="162">
        <f t="shared" si="498"/>
        <v>0</v>
      </c>
      <c r="AH1286" s="162">
        <f t="shared" si="499"/>
        <v>0</v>
      </c>
      <c r="AI1286" s="162">
        <f t="shared" si="500"/>
        <v>0</v>
      </c>
      <c r="AJ1286" s="148" t="str">
        <f t="shared" si="494"/>
        <v>ja</v>
      </c>
      <c r="AK1286" s="161">
        <f t="shared" si="481"/>
        <v>0</v>
      </c>
      <c r="AL1286" s="161">
        <f t="shared" si="482"/>
        <v>0</v>
      </c>
      <c r="AM1286" s="161">
        <f t="shared" si="483"/>
        <v>0</v>
      </c>
      <c r="AN1286" s="161">
        <f t="shared" si="484"/>
        <v>0</v>
      </c>
      <c r="AO1286" s="150" t="str">
        <f t="shared" si="495"/>
        <v>V</v>
      </c>
      <c r="AQ1286" s="151">
        <f t="shared" si="496"/>
        <v>458805</v>
      </c>
    </row>
    <row r="1287" spans="1:43" ht="15" customHeight="1">
      <c r="A1287" s="82" t="e">
        <f t="shared" si="485"/>
        <v>#REF!</v>
      </c>
      <c r="B1287" s="152">
        <v>311</v>
      </c>
      <c r="C1287" s="153" t="s">
        <v>1333</v>
      </c>
      <c r="D1287" s="154" t="s">
        <v>1331</v>
      </c>
      <c r="E1287" s="155"/>
      <c r="F1287" s="64" t="s">
        <v>1442</v>
      </c>
      <c r="G1287" s="156" t="s">
        <v>357</v>
      </c>
      <c r="H1287" s="140" t="str">
        <f t="shared" si="486"/>
        <v>Perrons</v>
      </c>
      <c r="I1287" s="64" t="s">
        <v>18</v>
      </c>
      <c r="J1287" s="138" t="s">
        <v>1171</v>
      </c>
      <c r="K1287" s="141" t="str">
        <f t="shared" si="487"/>
        <v>Omde dag Vol/Nal.</v>
      </c>
      <c r="L1287" s="141" t="str">
        <f t="shared" si="488"/>
        <v>Omde dag Nal./Vol</v>
      </c>
      <c r="M1287" s="141" t="str">
        <f t="shared" si="489"/>
        <v>Omde dag Vol/Nal.</v>
      </c>
      <c r="N1287" s="141" t="str">
        <f t="shared" si="490"/>
        <v>Omde dag Nal./Vol</v>
      </c>
      <c r="O1287" s="141" t="str">
        <f t="shared" si="491"/>
        <v>Omde dag Vol/Nal.</v>
      </c>
      <c r="P1287" s="141" t="str">
        <f t="shared" si="492"/>
        <v>Omde dag Nal./Vol</v>
      </c>
      <c r="Q1287" s="141" t="str">
        <f t="shared" si="493"/>
        <v>Omde dag Vol/Nal.</v>
      </c>
      <c r="R1287" s="63" t="s">
        <v>1209</v>
      </c>
      <c r="S1287" s="142">
        <f t="shared" si="480"/>
        <v>365</v>
      </c>
      <c r="T1287" s="157">
        <v>305</v>
      </c>
      <c r="U1287" s="158"/>
      <c r="V1287" s="158"/>
      <c r="W1287" s="158"/>
      <c r="X1287" s="158"/>
      <c r="Y1287" s="158"/>
      <c r="Z1287" s="159"/>
      <c r="AA1287" s="159"/>
      <c r="AB1287" s="159"/>
      <c r="AC1287" s="159"/>
      <c r="AD1287" s="160"/>
      <c r="AE1287" s="171">
        <v>1</v>
      </c>
      <c r="AF1287" s="162">
        <f t="shared" si="497"/>
        <v>0</v>
      </c>
      <c r="AG1287" s="162">
        <f t="shared" si="498"/>
        <v>0</v>
      </c>
      <c r="AH1287" s="162">
        <f t="shared" si="499"/>
        <v>0</v>
      </c>
      <c r="AI1287" s="162">
        <f t="shared" si="500"/>
        <v>0</v>
      </c>
      <c r="AJ1287" s="148" t="str">
        <f t="shared" si="494"/>
        <v>ja</v>
      </c>
      <c r="AK1287" s="161">
        <f t="shared" si="481"/>
        <v>0</v>
      </c>
      <c r="AL1287" s="161">
        <f t="shared" si="482"/>
        <v>0</v>
      </c>
      <c r="AM1287" s="161">
        <f t="shared" si="483"/>
        <v>0</v>
      </c>
      <c r="AN1287" s="161">
        <f t="shared" si="484"/>
        <v>0</v>
      </c>
      <c r="AO1287" s="150" t="str">
        <f t="shared" si="495"/>
        <v>V</v>
      </c>
      <c r="AQ1287" s="151">
        <f t="shared" si="496"/>
        <v>111325</v>
      </c>
    </row>
    <row r="1288" spans="1:43" ht="15" customHeight="1">
      <c r="A1288" s="82" t="e">
        <f t="shared" si="485"/>
        <v>#REF!</v>
      </c>
      <c r="B1288" s="152">
        <v>311</v>
      </c>
      <c r="C1288" s="153" t="s">
        <v>1333</v>
      </c>
      <c r="D1288" s="154" t="s">
        <v>1331</v>
      </c>
      <c r="E1288" s="155"/>
      <c r="F1288" s="64" t="s">
        <v>34</v>
      </c>
      <c r="G1288" s="156" t="s">
        <v>1443</v>
      </c>
      <c r="H1288" s="140" t="str">
        <f t="shared" si="486"/>
        <v>Roltrappen(inclusief aangrenzende bouwdelen)</v>
      </c>
      <c r="I1288" s="64" t="s">
        <v>1251</v>
      </c>
      <c r="J1288" s="138" t="s">
        <v>1171</v>
      </c>
      <c r="K1288" s="141" t="str">
        <f t="shared" si="487"/>
        <v>Omde dag Vol/Nal.</v>
      </c>
      <c r="L1288" s="141" t="str">
        <f t="shared" si="488"/>
        <v>Omde dag Nal./Vol</v>
      </c>
      <c r="M1288" s="141" t="str">
        <f t="shared" si="489"/>
        <v>Omde dag Vol/Nal.</v>
      </c>
      <c r="N1288" s="141" t="str">
        <f t="shared" si="490"/>
        <v>Omde dag Nal./Vol</v>
      </c>
      <c r="O1288" s="141" t="str">
        <f t="shared" si="491"/>
        <v>Omde dag Vol/Nal.</v>
      </c>
      <c r="P1288" s="141" t="str">
        <f t="shared" si="492"/>
        <v>Omde dag Nal./Vol</v>
      </c>
      <c r="Q1288" s="141" t="str">
        <f t="shared" si="493"/>
        <v>Omde dag Vol/Nal.</v>
      </c>
      <c r="R1288" s="63" t="s">
        <v>1218</v>
      </c>
      <c r="S1288" s="142">
        <f t="shared" si="480"/>
        <v>365</v>
      </c>
      <c r="T1288" s="157">
        <v>48</v>
      </c>
      <c r="U1288" s="158"/>
      <c r="V1288" s="158"/>
      <c r="W1288" s="158"/>
      <c r="X1288" s="158"/>
      <c r="Y1288" s="158"/>
      <c r="Z1288" s="159"/>
      <c r="AA1288" s="159"/>
      <c r="AB1288" s="159"/>
      <c r="AC1288" s="159"/>
      <c r="AD1288" s="160"/>
      <c r="AE1288" s="171">
        <v>1</v>
      </c>
      <c r="AF1288" s="162">
        <f t="shared" si="497"/>
        <v>0</v>
      </c>
      <c r="AG1288" s="162">
        <f t="shared" si="498"/>
        <v>0</v>
      </c>
      <c r="AH1288" s="162">
        <f t="shared" si="499"/>
        <v>0</v>
      </c>
      <c r="AI1288" s="162">
        <f t="shared" si="500"/>
        <v>0</v>
      </c>
      <c r="AJ1288" s="148" t="str">
        <f t="shared" si="494"/>
        <v>ja</v>
      </c>
      <c r="AK1288" s="161">
        <f t="shared" si="481"/>
        <v>0</v>
      </c>
      <c r="AL1288" s="161">
        <f t="shared" si="482"/>
        <v>0</v>
      </c>
      <c r="AM1288" s="161">
        <f t="shared" si="483"/>
        <v>0</v>
      </c>
      <c r="AN1288" s="161">
        <f t="shared" si="484"/>
        <v>0</v>
      </c>
      <c r="AO1288" s="150" t="str">
        <f t="shared" si="495"/>
        <v>V</v>
      </c>
      <c r="AQ1288" s="151">
        <f t="shared" si="496"/>
        <v>17520</v>
      </c>
    </row>
    <row r="1289" spans="1:43" ht="15" customHeight="1">
      <c r="A1289" s="82" t="e">
        <f t="shared" si="485"/>
        <v>#REF!</v>
      </c>
      <c r="B1289" s="152">
        <v>311</v>
      </c>
      <c r="C1289" s="153" t="s">
        <v>1333</v>
      </c>
      <c r="D1289" s="154" t="s">
        <v>1331</v>
      </c>
      <c r="E1289" s="155"/>
      <c r="F1289" s="64" t="s">
        <v>1372</v>
      </c>
      <c r="G1289" s="156"/>
      <c r="H1289" s="140" t="str">
        <f t="shared" si="486"/>
        <v>Hallen</v>
      </c>
      <c r="I1289" s="64" t="s">
        <v>195</v>
      </c>
      <c r="J1289" s="138" t="s">
        <v>1171</v>
      </c>
      <c r="K1289" s="141" t="str">
        <f t="shared" si="487"/>
        <v>Omde dag Vol/Nal.</v>
      </c>
      <c r="L1289" s="141" t="str">
        <f t="shared" si="488"/>
        <v>Omde dag Nal./Vol</v>
      </c>
      <c r="M1289" s="141" t="str">
        <f t="shared" si="489"/>
        <v>Omde dag Vol/Nal.</v>
      </c>
      <c r="N1289" s="141" t="str">
        <f t="shared" si="490"/>
        <v>Omde dag Nal./Vol</v>
      </c>
      <c r="O1289" s="141" t="str">
        <f t="shared" si="491"/>
        <v>Omde dag Vol/Nal.</v>
      </c>
      <c r="P1289" s="141" t="str">
        <f t="shared" si="492"/>
        <v>Omde dag Nal./Vol</v>
      </c>
      <c r="Q1289" s="141" t="str">
        <f t="shared" si="493"/>
        <v>Omde dag Vol/Nal.</v>
      </c>
      <c r="R1289" s="63" t="s">
        <v>1216</v>
      </c>
      <c r="S1289" s="142">
        <f t="shared" si="480"/>
        <v>365</v>
      </c>
      <c r="T1289" s="157">
        <v>427</v>
      </c>
      <c r="U1289" s="158"/>
      <c r="V1289" s="158"/>
      <c r="W1289" s="158"/>
      <c r="X1289" s="158"/>
      <c r="Y1289" s="158"/>
      <c r="Z1289" s="159"/>
      <c r="AA1289" s="159"/>
      <c r="AB1289" s="159"/>
      <c r="AC1289" s="159"/>
      <c r="AD1289" s="160"/>
      <c r="AE1289" s="171">
        <v>1</v>
      </c>
      <c r="AF1289" s="162">
        <f t="shared" si="497"/>
        <v>0</v>
      </c>
      <c r="AG1289" s="162">
        <f t="shared" si="498"/>
        <v>0</v>
      </c>
      <c r="AH1289" s="162">
        <f t="shared" si="499"/>
        <v>0</v>
      </c>
      <c r="AI1289" s="162">
        <f t="shared" si="500"/>
        <v>0</v>
      </c>
      <c r="AJ1289" s="148" t="str">
        <f t="shared" si="494"/>
        <v>ja</v>
      </c>
      <c r="AK1289" s="161">
        <f t="shared" si="481"/>
        <v>0</v>
      </c>
      <c r="AL1289" s="161">
        <f t="shared" si="482"/>
        <v>0</v>
      </c>
      <c r="AM1289" s="161">
        <f t="shared" si="483"/>
        <v>0</v>
      </c>
      <c r="AN1289" s="161">
        <f t="shared" si="484"/>
        <v>0</v>
      </c>
      <c r="AO1289" s="150" t="str">
        <f t="shared" si="495"/>
        <v>V</v>
      </c>
      <c r="AQ1289" s="151">
        <f t="shared" si="496"/>
        <v>155855</v>
      </c>
    </row>
    <row r="1290" spans="1:43" ht="15" customHeight="1">
      <c r="A1290" s="82" t="e">
        <f t="shared" si="485"/>
        <v>#REF!</v>
      </c>
      <c r="B1290" s="152">
        <v>311</v>
      </c>
      <c r="C1290" s="153" t="s">
        <v>1333</v>
      </c>
      <c r="D1290" s="154" t="s">
        <v>1331</v>
      </c>
      <c r="E1290" s="155"/>
      <c r="F1290" s="64" t="s">
        <v>1372</v>
      </c>
      <c r="G1290" s="156" t="s">
        <v>1444</v>
      </c>
      <c r="H1290" s="140" t="str">
        <f t="shared" si="486"/>
        <v>Gangen</v>
      </c>
      <c r="I1290" s="64" t="s">
        <v>270</v>
      </c>
      <c r="J1290" s="138" t="s">
        <v>1171</v>
      </c>
      <c r="K1290" s="141" t="str">
        <f t="shared" si="487"/>
        <v>Omde dag Vol/Nal.</v>
      </c>
      <c r="L1290" s="141" t="str">
        <f t="shared" si="488"/>
        <v>Omde dag Nal./Vol</v>
      </c>
      <c r="M1290" s="141" t="str">
        <f t="shared" si="489"/>
        <v>Omde dag Vol/Nal.</v>
      </c>
      <c r="N1290" s="141" t="str">
        <f t="shared" si="490"/>
        <v>Omde dag Nal./Vol</v>
      </c>
      <c r="O1290" s="141" t="str">
        <f t="shared" si="491"/>
        <v>Omde dag Vol/Nal.</v>
      </c>
      <c r="P1290" s="141" t="str">
        <f t="shared" si="492"/>
        <v>Omde dag Nal./Vol</v>
      </c>
      <c r="Q1290" s="141" t="str">
        <f t="shared" si="493"/>
        <v>Omde dag Vol/Nal.</v>
      </c>
      <c r="R1290" s="64" t="s">
        <v>1265</v>
      </c>
      <c r="S1290" s="142">
        <f t="shared" si="480"/>
        <v>365</v>
      </c>
      <c r="T1290" s="157">
        <v>7</v>
      </c>
      <c r="U1290" s="158"/>
      <c r="V1290" s="158">
        <v>15</v>
      </c>
      <c r="W1290" s="158"/>
      <c r="X1290" s="158"/>
      <c r="Y1290" s="158"/>
      <c r="Z1290" s="159"/>
      <c r="AA1290" s="159"/>
      <c r="AB1290" s="159"/>
      <c r="AC1290" s="159"/>
      <c r="AD1290" s="160"/>
      <c r="AE1290" s="171">
        <v>1</v>
      </c>
      <c r="AF1290" s="162">
        <f t="shared" si="497"/>
        <v>0</v>
      </c>
      <c r="AG1290" s="162">
        <f t="shared" si="498"/>
        <v>0</v>
      </c>
      <c r="AH1290" s="162">
        <f t="shared" si="499"/>
        <v>0</v>
      </c>
      <c r="AI1290" s="162">
        <f t="shared" si="500"/>
        <v>0</v>
      </c>
      <c r="AJ1290" s="148" t="str">
        <f t="shared" si="494"/>
        <v>ja</v>
      </c>
      <c r="AK1290" s="161">
        <f t="shared" si="481"/>
        <v>0</v>
      </c>
      <c r="AL1290" s="161">
        <f t="shared" si="482"/>
        <v>0</v>
      </c>
      <c r="AM1290" s="161">
        <f t="shared" si="483"/>
        <v>0</v>
      </c>
      <c r="AN1290" s="161">
        <f t="shared" si="484"/>
        <v>0</v>
      </c>
      <c r="AO1290" s="150" t="str">
        <f t="shared" si="495"/>
        <v>V</v>
      </c>
      <c r="AQ1290" s="151">
        <f t="shared" si="496"/>
        <v>2555</v>
      </c>
    </row>
    <row r="1291" spans="1:43" ht="15" customHeight="1">
      <c r="A1291" s="82" t="e">
        <f t="shared" si="485"/>
        <v>#REF!</v>
      </c>
      <c r="B1291" s="152">
        <v>311</v>
      </c>
      <c r="C1291" s="153" t="s">
        <v>1333</v>
      </c>
      <c r="D1291" s="154" t="s">
        <v>1331</v>
      </c>
      <c r="E1291" s="155"/>
      <c r="F1291" s="64" t="s">
        <v>1358</v>
      </c>
      <c r="G1291" s="156" t="s">
        <v>346</v>
      </c>
      <c r="H1291" s="140" t="str">
        <f t="shared" si="486"/>
        <v>Trappen</v>
      </c>
      <c r="I1291" s="64" t="s">
        <v>270</v>
      </c>
      <c r="J1291" s="138" t="s">
        <v>1171</v>
      </c>
      <c r="K1291" s="141" t="str">
        <f t="shared" si="487"/>
        <v>Omde dag Vol/Nal.</v>
      </c>
      <c r="L1291" s="141" t="str">
        <f t="shared" si="488"/>
        <v>Omde dag Nal./Vol</v>
      </c>
      <c r="M1291" s="141" t="str">
        <f t="shared" si="489"/>
        <v>Omde dag Vol/Nal.</v>
      </c>
      <c r="N1291" s="141" t="str">
        <f t="shared" si="490"/>
        <v>Omde dag Nal./Vol</v>
      </c>
      <c r="O1291" s="141" t="str">
        <f t="shared" si="491"/>
        <v>Omde dag Vol/Nal.</v>
      </c>
      <c r="P1291" s="141" t="str">
        <f t="shared" si="492"/>
        <v>Omde dag Nal./Vol</v>
      </c>
      <c r="Q1291" s="141" t="str">
        <f t="shared" si="493"/>
        <v>Omde dag Vol/Nal.</v>
      </c>
      <c r="R1291" s="63" t="s">
        <v>1215</v>
      </c>
      <c r="S1291" s="142">
        <f t="shared" si="480"/>
        <v>365</v>
      </c>
      <c r="T1291" s="157">
        <v>5</v>
      </c>
      <c r="U1291" s="158"/>
      <c r="V1291" s="158"/>
      <c r="W1291" s="158"/>
      <c r="X1291" s="158"/>
      <c r="Y1291" s="158"/>
      <c r="Z1291" s="159"/>
      <c r="AA1291" s="159"/>
      <c r="AB1291" s="159"/>
      <c r="AC1291" s="159"/>
      <c r="AD1291" s="160"/>
      <c r="AE1291" s="171">
        <v>1</v>
      </c>
      <c r="AF1291" s="162">
        <f t="shared" si="497"/>
        <v>0</v>
      </c>
      <c r="AG1291" s="162">
        <f t="shared" si="498"/>
        <v>0</v>
      </c>
      <c r="AH1291" s="162">
        <f t="shared" si="499"/>
        <v>0</v>
      </c>
      <c r="AI1291" s="162">
        <f t="shared" si="500"/>
        <v>0</v>
      </c>
      <c r="AJ1291" s="148" t="str">
        <f t="shared" si="494"/>
        <v>ja</v>
      </c>
      <c r="AK1291" s="161">
        <f t="shared" si="481"/>
        <v>0</v>
      </c>
      <c r="AL1291" s="161">
        <f t="shared" si="482"/>
        <v>0</v>
      </c>
      <c r="AM1291" s="161">
        <f t="shared" si="483"/>
        <v>0</v>
      </c>
      <c r="AN1291" s="161">
        <f t="shared" si="484"/>
        <v>0</v>
      </c>
      <c r="AO1291" s="150" t="str">
        <f t="shared" si="495"/>
        <v>V</v>
      </c>
      <c r="AQ1291" s="151">
        <f t="shared" si="496"/>
        <v>1825</v>
      </c>
    </row>
    <row r="1292" spans="1:43" ht="15" customHeight="1">
      <c r="A1292" s="82" t="e">
        <f t="shared" si="485"/>
        <v>#REF!</v>
      </c>
      <c r="B1292" s="152">
        <v>311</v>
      </c>
      <c r="C1292" s="153" t="s">
        <v>1333</v>
      </c>
      <c r="D1292" s="154" t="s">
        <v>1331</v>
      </c>
      <c r="E1292" s="155"/>
      <c r="F1292" s="64" t="s">
        <v>122</v>
      </c>
      <c r="G1292" s="156" t="s">
        <v>1445</v>
      </c>
      <c r="H1292" s="140" t="str">
        <f t="shared" si="486"/>
        <v>Niet van toepassing</v>
      </c>
      <c r="I1292" s="64" t="s">
        <v>270</v>
      </c>
      <c r="J1292" s="64" t="s">
        <v>1172</v>
      </c>
      <c r="K1292" s="141" t="str">
        <f t="shared" si="487"/>
        <v>NVT</v>
      </c>
      <c r="L1292" s="141" t="str">
        <f t="shared" si="488"/>
        <v>NVT</v>
      </c>
      <c r="M1292" s="141" t="str">
        <f t="shared" si="489"/>
        <v>NVT</v>
      </c>
      <c r="N1292" s="141" t="str">
        <f t="shared" si="490"/>
        <v>NVT</v>
      </c>
      <c r="O1292" s="141" t="str">
        <f t="shared" si="491"/>
        <v>NVT</v>
      </c>
      <c r="P1292" s="141" t="str">
        <f t="shared" si="492"/>
        <v>NVT</v>
      </c>
      <c r="Q1292" s="141" t="str">
        <f t="shared" si="493"/>
        <v>NVT</v>
      </c>
      <c r="R1292" s="64" t="s">
        <v>1221</v>
      </c>
      <c r="S1292" s="142">
        <f t="shared" ref="S1292:S1310" si="501">VLOOKUP(R1292,Kengetal,2,FALSE)</f>
        <v>0</v>
      </c>
      <c r="T1292" s="157">
        <v>12</v>
      </c>
      <c r="U1292" s="158">
        <v>35</v>
      </c>
      <c r="V1292" s="158">
        <v>35</v>
      </c>
      <c r="W1292" s="158"/>
      <c r="X1292" s="158"/>
      <c r="Y1292" s="158"/>
      <c r="Z1292" s="159"/>
      <c r="AA1292" s="159"/>
      <c r="AB1292" s="159">
        <v>12</v>
      </c>
      <c r="AC1292" s="159"/>
      <c r="AD1292" s="160"/>
      <c r="AE1292" s="171">
        <v>1</v>
      </c>
      <c r="AF1292" s="162">
        <f t="shared" si="497"/>
        <v>0</v>
      </c>
      <c r="AG1292" s="162">
        <f t="shared" si="498"/>
        <v>0</v>
      </c>
      <c r="AH1292" s="162">
        <f t="shared" si="499"/>
        <v>0</v>
      </c>
      <c r="AI1292" s="162">
        <f t="shared" si="500"/>
        <v>0</v>
      </c>
      <c r="AJ1292" s="148">
        <f t="shared" si="494"/>
        <v>0</v>
      </c>
      <c r="AK1292" s="161">
        <f t="shared" si="481"/>
        <v>0</v>
      </c>
      <c r="AL1292" s="161">
        <f t="shared" si="482"/>
        <v>0</v>
      </c>
      <c r="AM1292" s="161">
        <f t="shared" si="483"/>
        <v>0</v>
      </c>
      <c r="AN1292" s="161">
        <f t="shared" si="484"/>
        <v>0</v>
      </c>
      <c r="AO1292" s="150">
        <f t="shared" si="495"/>
        <v>0</v>
      </c>
      <c r="AQ1292" s="151">
        <f t="shared" si="496"/>
        <v>0</v>
      </c>
    </row>
    <row r="1293" spans="1:43" ht="15" customHeight="1">
      <c r="A1293" s="82" t="e">
        <f t="shared" si="485"/>
        <v>#REF!</v>
      </c>
      <c r="B1293" s="152">
        <v>311</v>
      </c>
      <c r="C1293" s="153" t="s">
        <v>1333</v>
      </c>
      <c r="D1293" s="154" t="s">
        <v>1331</v>
      </c>
      <c r="E1293" s="155"/>
      <c r="F1293" s="64" t="s">
        <v>1426</v>
      </c>
      <c r="G1293" s="156" t="s">
        <v>1446</v>
      </c>
      <c r="H1293" s="140" t="str">
        <f t="shared" si="486"/>
        <v>Sanitair</v>
      </c>
      <c r="I1293" s="64" t="s">
        <v>195</v>
      </c>
      <c r="J1293" s="138" t="s">
        <v>1171</v>
      </c>
      <c r="K1293" s="141" t="str">
        <f t="shared" si="487"/>
        <v>Omde dag Vol/Nal.</v>
      </c>
      <c r="L1293" s="141" t="str">
        <f t="shared" si="488"/>
        <v>Omde dag Nal./Vol</v>
      </c>
      <c r="M1293" s="141" t="str">
        <f t="shared" si="489"/>
        <v>Omde dag Vol/Nal.</v>
      </c>
      <c r="N1293" s="141" t="str">
        <f t="shared" si="490"/>
        <v>Omde dag Nal./Vol</v>
      </c>
      <c r="O1293" s="141" t="str">
        <f t="shared" si="491"/>
        <v>Omde dag Vol/Nal.</v>
      </c>
      <c r="P1293" s="141" t="str">
        <f t="shared" si="492"/>
        <v>Omde dag Nal./Vol</v>
      </c>
      <c r="Q1293" s="141" t="str">
        <f t="shared" si="493"/>
        <v>Omde dag Vol/Nal.</v>
      </c>
      <c r="R1293" s="63" t="s">
        <v>1211</v>
      </c>
      <c r="S1293" s="142">
        <f t="shared" si="501"/>
        <v>365</v>
      </c>
      <c r="T1293" s="157">
        <v>2</v>
      </c>
      <c r="U1293" s="158">
        <v>12</v>
      </c>
      <c r="V1293" s="158"/>
      <c r="W1293" s="158"/>
      <c r="X1293" s="158"/>
      <c r="Y1293" s="158"/>
      <c r="Z1293" s="159"/>
      <c r="AA1293" s="159"/>
      <c r="AB1293" s="159">
        <v>2</v>
      </c>
      <c r="AC1293" s="159"/>
      <c r="AD1293" s="160"/>
      <c r="AE1293" s="171">
        <v>1</v>
      </c>
      <c r="AF1293" s="162">
        <f t="shared" si="497"/>
        <v>0</v>
      </c>
      <c r="AG1293" s="162">
        <f t="shared" si="498"/>
        <v>0</v>
      </c>
      <c r="AH1293" s="162">
        <f t="shared" si="499"/>
        <v>0</v>
      </c>
      <c r="AI1293" s="162">
        <f t="shared" si="500"/>
        <v>0</v>
      </c>
      <c r="AJ1293" s="148" t="str">
        <f t="shared" si="494"/>
        <v>ja</v>
      </c>
      <c r="AK1293" s="161">
        <f t="shared" si="481"/>
        <v>0</v>
      </c>
      <c r="AL1293" s="161">
        <f t="shared" si="482"/>
        <v>0</v>
      </c>
      <c r="AM1293" s="161">
        <f t="shared" si="483"/>
        <v>0</v>
      </c>
      <c r="AN1293" s="161">
        <f t="shared" si="484"/>
        <v>0</v>
      </c>
      <c r="AO1293" s="150" t="str">
        <f t="shared" si="495"/>
        <v>S</v>
      </c>
      <c r="AQ1293" s="151">
        <f t="shared" si="496"/>
        <v>730</v>
      </c>
    </row>
    <row r="1294" spans="1:43" ht="15" customHeight="1">
      <c r="A1294" s="82" t="e">
        <f t="shared" si="485"/>
        <v>#REF!</v>
      </c>
      <c r="B1294" s="152">
        <v>311</v>
      </c>
      <c r="C1294" s="153" t="s">
        <v>1333</v>
      </c>
      <c r="D1294" s="154" t="s">
        <v>1331</v>
      </c>
      <c r="E1294" s="155"/>
      <c r="F1294" s="64" t="s">
        <v>108</v>
      </c>
      <c r="G1294" s="156" t="s">
        <v>301</v>
      </c>
      <c r="H1294" s="140" t="str">
        <f t="shared" si="486"/>
        <v>Niet van toepassing</v>
      </c>
      <c r="I1294" s="64" t="s">
        <v>1447</v>
      </c>
      <c r="J1294" s="138" t="s">
        <v>1172</v>
      </c>
      <c r="K1294" s="141" t="str">
        <f t="shared" si="487"/>
        <v>NVT</v>
      </c>
      <c r="L1294" s="141" t="str">
        <f t="shared" si="488"/>
        <v>NVT</v>
      </c>
      <c r="M1294" s="141" t="str">
        <f t="shared" si="489"/>
        <v>NVT</v>
      </c>
      <c r="N1294" s="141" t="str">
        <f t="shared" si="490"/>
        <v>NVT</v>
      </c>
      <c r="O1294" s="141" t="str">
        <f t="shared" si="491"/>
        <v>NVT</v>
      </c>
      <c r="P1294" s="141" t="str">
        <f t="shared" si="492"/>
        <v>NVT</v>
      </c>
      <c r="Q1294" s="141" t="str">
        <f t="shared" si="493"/>
        <v>NVT</v>
      </c>
      <c r="R1294" s="63" t="s">
        <v>1221</v>
      </c>
      <c r="S1294" s="142">
        <f t="shared" si="501"/>
        <v>0</v>
      </c>
      <c r="T1294" s="157">
        <v>14</v>
      </c>
      <c r="U1294" s="158"/>
      <c r="V1294" s="158">
        <v>30</v>
      </c>
      <c r="W1294" s="158"/>
      <c r="X1294" s="158"/>
      <c r="Y1294" s="158"/>
      <c r="Z1294" s="159"/>
      <c r="AA1294" s="159"/>
      <c r="AB1294" s="159">
        <v>14</v>
      </c>
      <c r="AC1294" s="159"/>
      <c r="AD1294" s="160"/>
      <c r="AE1294" s="171">
        <v>1</v>
      </c>
      <c r="AF1294" s="162">
        <f t="shared" si="497"/>
        <v>0</v>
      </c>
      <c r="AG1294" s="162">
        <f t="shared" si="498"/>
        <v>0</v>
      </c>
      <c r="AH1294" s="162">
        <f t="shared" si="499"/>
        <v>0</v>
      </c>
      <c r="AI1294" s="162">
        <f t="shared" si="500"/>
        <v>0</v>
      </c>
      <c r="AJ1294" s="148">
        <f t="shared" si="494"/>
        <v>0</v>
      </c>
      <c r="AK1294" s="161">
        <f t="shared" si="481"/>
        <v>0</v>
      </c>
      <c r="AL1294" s="161">
        <f t="shared" si="482"/>
        <v>0</v>
      </c>
      <c r="AM1294" s="161">
        <f t="shared" si="483"/>
        <v>0</v>
      </c>
      <c r="AN1294" s="161">
        <f t="shared" si="484"/>
        <v>0</v>
      </c>
      <c r="AO1294" s="150">
        <f t="shared" si="495"/>
        <v>0</v>
      </c>
      <c r="AQ1294" s="151">
        <f t="shared" si="496"/>
        <v>0</v>
      </c>
    </row>
    <row r="1295" spans="1:43" ht="15" customHeight="1">
      <c r="A1295" s="82" t="e">
        <f t="shared" si="485"/>
        <v>#REF!</v>
      </c>
      <c r="B1295" s="152">
        <v>311</v>
      </c>
      <c r="C1295" s="153" t="s">
        <v>1333</v>
      </c>
      <c r="D1295" s="154" t="s">
        <v>1331</v>
      </c>
      <c r="E1295" s="155"/>
      <c r="F1295" s="64" t="s">
        <v>441</v>
      </c>
      <c r="G1295" s="156" t="s">
        <v>320</v>
      </c>
      <c r="H1295" s="140" t="str">
        <f t="shared" si="486"/>
        <v>Niet van toepassing</v>
      </c>
      <c r="I1295" s="64" t="s">
        <v>1447</v>
      </c>
      <c r="J1295" s="138" t="s">
        <v>1172</v>
      </c>
      <c r="K1295" s="141" t="str">
        <f t="shared" si="487"/>
        <v>NVT</v>
      </c>
      <c r="L1295" s="141" t="str">
        <f t="shared" si="488"/>
        <v>NVT</v>
      </c>
      <c r="M1295" s="141" t="str">
        <f t="shared" si="489"/>
        <v>NVT</v>
      </c>
      <c r="N1295" s="141" t="str">
        <f t="shared" si="490"/>
        <v>NVT</v>
      </c>
      <c r="O1295" s="141" t="str">
        <f t="shared" si="491"/>
        <v>NVT</v>
      </c>
      <c r="P1295" s="141" t="str">
        <f t="shared" si="492"/>
        <v>NVT</v>
      </c>
      <c r="Q1295" s="141" t="str">
        <f t="shared" si="493"/>
        <v>NVT</v>
      </c>
      <c r="R1295" s="63" t="s">
        <v>1221</v>
      </c>
      <c r="S1295" s="142">
        <f t="shared" si="501"/>
        <v>0</v>
      </c>
      <c r="T1295" s="157">
        <v>14</v>
      </c>
      <c r="U1295" s="158"/>
      <c r="V1295" s="158">
        <v>30</v>
      </c>
      <c r="W1295" s="158"/>
      <c r="X1295" s="158"/>
      <c r="Y1295" s="158"/>
      <c r="Z1295" s="159"/>
      <c r="AA1295" s="159"/>
      <c r="AB1295" s="159">
        <v>14</v>
      </c>
      <c r="AC1295" s="159"/>
      <c r="AD1295" s="160"/>
      <c r="AE1295" s="171">
        <v>1</v>
      </c>
      <c r="AF1295" s="162">
        <f t="shared" si="497"/>
        <v>0</v>
      </c>
      <c r="AG1295" s="162">
        <f t="shared" si="498"/>
        <v>0</v>
      </c>
      <c r="AH1295" s="162">
        <f t="shared" si="499"/>
        <v>0</v>
      </c>
      <c r="AI1295" s="162">
        <f t="shared" si="500"/>
        <v>0</v>
      </c>
      <c r="AJ1295" s="148">
        <f t="shared" si="494"/>
        <v>0</v>
      </c>
      <c r="AK1295" s="161">
        <f t="shared" si="481"/>
        <v>0</v>
      </c>
      <c r="AL1295" s="161">
        <f t="shared" si="482"/>
        <v>0</v>
      </c>
      <c r="AM1295" s="161">
        <f t="shared" si="483"/>
        <v>0</v>
      </c>
      <c r="AN1295" s="161">
        <f t="shared" si="484"/>
        <v>0</v>
      </c>
      <c r="AO1295" s="150">
        <f t="shared" si="495"/>
        <v>0</v>
      </c>
      <c r="AQ1295" s="151">
        <f t="shared" si="496"/>
        <v>0</v>
      </c>
    </row>
    <row r="1296" spans="1:43" ht="15" customHeight="1">
      <c r="A1296" s="82" t="e">
        <f t="shared" si="485"/>
        <v>#REF!</v>
      </c>
      <c r="B1296" s="152">
        <v>311</v>
      </c>
      <c r="C1296" s="153" t="s">
        <v>1333</v>
      </c>
      <c r="D1296" s="154" t="s">
        <v>1331</v>
      </c>
      <c r="E1296" s="155"/>
      <c r="F1296" s="64" t="s">
        <v>1430</v>
      </c>
      <c r="G1296" s="156" t="s">
        <v>1448</v>
      </c>
      <c r="H1296" s="140" t="str">
        <f t="shared" si="486"/>
        <v>Niet van toepassing</v>
      </c>
      <c r="I1296" s="64" t="s">
        <v>491</v>
      </c>
      <c r="J1296" s="138" t="s">
        <v>1172</v>
      </c>
      <c r="K1296" s="141" t="str">
        <f t="shared" si="487"/>
        <v>NVT</v>
      </c>
      <c r="L1296" s="141" t="str">
        <f t="shared" si="488"/>
        <v>NVT</v>
      </c>
      <c r="M1296" s="141" t="str">
        <f t="shared" si="489"/>
        <v>NVT</v>
      </c>
      <c r="N1296" s="141" t="str">
        <f t="shared" si="490"/>
        <v>NVT</v>
      </c>
      <c r="O1296" s="141" t="str">
        <f t="shared" si="491"/>
        <v>NVT</v>
      </c>
      <c r="P1296" s="141" t="str">
        <f t="shared" si="492"/>
        <v>NVT</v>
      </c>
      <c r="Q1296" s="141" t="str">
        <f t="shared" si="493"/>
        <v>NVT</v>
      </c>
      <c r="R1296" s="63" t="s">
        <v>1221</v>
      </c>
      <c r="S1296" s="142">
        <f t="shared" si="501"/>
        <v>0</v>
      </c>
      <c r="T1296" s="157">
        <v>2</v>
      </c>
      <c r="U1296" s="158"/>
      <c r="V1296" s="158">
        <v>9</v>
      </c>
      <c r="W1296" s="158"/>
      <c r="X1296" s="158"/>
      <c r="Y1296" s="158"/>
      <c r="Z1296" s="159"/>
      <c r="AA1296" s="159"/>
      <c r="AB1296" s="159">
        <v>2</v>
      </c>
      <c r="AC1296" s="159"/>
      <c r="AD1296" s="160"/>
      <c r="AE1296" s="171">
        <v>1</v>
      </c>
      <c r="AF1296" s="162">
        <f t="shared" si="497"/>
        <v>0</v>
      </c>
      <c r="AG1296" s="162">
        <f t="shared" si="498"/>
        <v>0</v>
      </c>
      <c r="AH1296" s="162">
        <f t="shared" si="499"/>
        <v>0</v>
      </c>
      <c r="AI1296" s="162">
        <f t="shared" si="500"/>
        <v>0</v>
      </c>
      <c r="AJ1296" s="148">
        <f t="shared" si="494"/>
        <v>0</v>
      </c>
      <c r="AK1296" s="161">
        <f t="shared" si="481"/>
        <v>0</v>
      </c>
      <c r="AL1296" s="161">
        <f t="shared" si="482"/>
        <v>0</v>
      </c>
      <c r="AM1296" s="161">
        <f t="shared" si="483"/>
        <v>0</v>
      </c>
      <c r="AN1296" s="161">
        <f t="shared" si="484"/>
        <v>0</v>
      </c>
      <c r="AO1296" s="150">
        <f t="shared" si="495"/>
        <v>0</v>
      </c>
      <c r="AQ1296" s="151">
        <f t="shared" si="496"/>
        <v>0</v>
      </c>
    </row>
    <row r="1297" spans="1:43" ht="15" customHeight="1">
      <c r="A1297" s="82" t="e">
        <f t="shared" si="485"/>
        <v>#REF!</v>
      </c>
      <c r="B1297" s="152">
        <v>311</v>
      </c>
      <c r="C1297" s="153" t="s">
        <v>1333</v>
      </c>
      <c r="D1297" s="154" t="s">
        <v>1331</v>
      </c>
      <c r="E1297" s="155"/>
      <c r="F1297" s="64" t="s">
        <v>6</v>
      </c>
      <c r="G1297" s="156" t="s">
        <v>36</v>
      </c>
      <c r="H1297" s="140" t="str">
        <f t="shared" si="486"/>
        <v>Liften</v>
      </c>
      <c r="I1297" s="64" t="s">
        <v>1109</v>
      </c>
      <c r="J1297" s="138" t="s">
        <v>1171</v>
      </c>
      <c r="K1297" s="141" t="str">
        <f t="shared" si="487"/>
        <v>Omde dag Vol/Nal.</v>
      </c>
      <c r="L1297" s="141" t="str">
        <f t="shared" si="488"/>
        <v>Omde dag Nal./Vol</v>
      </c>
      <c r="M1297" s="141" t="str">
        <f t="shared" si="489"/>
        <v>Omde dag Vol/Nal.</v>
      </c>
      <c r="N1297" s="141" t="str">
        <f t="shared" si="490"/>
        <v>Omde dag Nal./Vol</v>
      </c>
      <c r="O1297" s="141" t="str">
        <f t="shared" si="491"/>
        <v>Omde dag Vol/Nal.</v>
      </c>
      <c r="P1297" s="141" t="str">
        <f t="shared" si="492"/>
        <v>Omde dag Nal./Vol</v>
      </c>
      <c r="Q1297" s="141" t="str">
        <f t="shared" si="493"/>
        <v>Omde dag Vol/Nal.</v>
      </c>
      <c r="R1297" s="63" t="s">
        <v>1213</v>
      </c>
      <c r="S1297" s="142">
        <f t="shared" si="501"/>
        <v>365</v>
      </c>
      <c r="T1297" s="157">
        <v>5</v>
      </c>
      <c r="U1297" s="158"/>
      <c r="V1297" s="158"/>
      <c r="W1297" s="158"/>
      <c r="X1297" s="158"/>
      <c r="Y1297" s="158"/>
      <c r="Z1297" s="159"/>
      <c r="AA1297" s="159"/>
      <c r="AB1297" s="159"/>
      <c r="AC1297" s="159"/>
      <c r="AD1297" s="160"/>
      <c r="AE1297" s="171">
        <v>1</v>
      </c>
      <c r="AF1297" s="162">
        <f t="shared" si="497"/>
        <v>0</v>
      </c>
      <c r="AG1297" s="162">
        <f t="shared" si="498"/>
        <v>0</v>
      </c>
      <c r="AH1297" s="162">
        <f t="shared" si="499"/>
        <v>0</v>
      </c>
      <c r="AI1297" s="162">
        <f t="shared" si="500"/>
        <v>0</v>
      </c>
      <c r="AJ1297" s="148" t="str">
        <f t="shared" si="494"/>
        <v>ja</v>
      </c>
      <c r="AK1297" s="161">
        <f t="shared" si="481"/>
        <v>0</v>
      </c>
      <c r="AL1297" s="161">
        <f t="shared" si="482"/>
        <v>0</v>
      </c>
      <c r="AM1297" s="161">
        <f t="shared" si="483"/>
        <v>0</v>
      </c>
      <c r="AN1297" s="161">
        <f t="shared" si="484"/>
        <v>0</v>
      </c>
      <c r="AO1297" s="150" t="str">
        <f t="shared" si="495"/>
        <v>V</v>
      </c>
      <c r="AQ1297" s="151">
        <f t="shared" si="496"/>
        <v>1825</v>
      </c>
    </row>
    <row r="1298" spans="1:43" ht="15" customHeight="1">
      <c r="A1298" s="82" t="e">
        <f t="shared" si="485"/>
        <v>#REF!</v>
      </c>
      <c r="B1298" s="152">
        <v>312</v>
      </c>
      <c r="C1298" s="153" t="s">
        <v>1348</v>
      </c>
      <c r="D1298" s="154" t="s">
        <v>1331</v>
      </c>
      <c r="E1298" s="155"/>
      <c r="F1298" s="64" t="s">
        <v>1358</v>
      </c>
      <c r="G1298" s="156" t="s">
        <v>25</v>
      </c>
      <c r="H1298" s="140" t="str">
        <f t="shared" si="486"/>
        <v>Trappen</v>
      </c>
      <c r="I1298" s="64" t="s">
        <v>118</v>
      </c>
      <c r="J1298" s="64" t="s">
        <v>1255</v>
      </c>
      <c r="K1298" s="141" t="str">
        <f t="shared" si="487"/>
        <v>Volledig</v>
      </c>
      <c r="L1298" s="141" t="str">
        <f t="shared" si="488"/>
        <v>naloop</v>
      </c>
      <c r="M1298" s="141" t="str">
        <f t="shared" si="489"/>
        <v>naloop</v>
      </c>
      <c r="N1298" s="141" t="str">
        <f t="shared" si="490"/>
        <v>Volledig</v>
      </c>
      <c r="O1298" s="141" t="str">
        <f t="shared" si="491"/>
        <v>naloop</v>
      </c>
      <c r="P1298" s="141" t="str">
        <f t="shared" si="492"/>
        <v>naloop</v>
      </c>
      <c r="Q1298" s="141" t="str">
        <f t="shared" si="493"/>
        <v>naloop</v>
      </c>
      <c r="R1298" s="64" t="s">
        <v>1214</v>
      </c>
      <c r="S1298" s="142">
        <f t="shared" si="501"/>
        <v>365</v>
      </c>
      <c r="T1298" s="157">
        <v>86</v>
      </c>
      <c r="U1298" s="158"/>
      <c r="V1298" s="158"/>
      <c r="W1298" s="158"/>
      <c r="X1298" s="158"/>
      <c r="Y1298" s="158"/>
      <c r="Z1298" s="159"/>
      <c r="AA1298" s="159"/>
      <c r="AB1298" s="159"/>
      <c r="AC1298" s="159"/>
      <c r="AD1298" s="160"/>
      <c r="AE1298" s="171">
        <v>1</v>
      </c>
      <c r="AF1298" s="162">
        <f t="shared" si="497"/>
        <v>0</v>
      </c>
      <c r="AG1298" s="162">
        <f t="shared" si="498"/>
        <v>0</v>
      </c>
      <c r="AH1298" s="162">
        <f t="shared" si="499"/>
        <v>0</v>
      </c>
      <c r="AI1298" s="162">
        <f t="shared" si="500"/>
        <v>0</v>
      </c>
      <c r="AJ1298" s="148" t="str">
        <f t="shared" si="494"/>
        <v>ja</v>
      </c>
      <c r="AK1298" s="161">
        <f t="shared" si="481"/>
        <v>0</v>
      </c>
      <c r="AL1298" s="161">
        <f t="shared" si="482"/>
        <v>0</v>
      </c>
      <c r="AM1298" s="161">
        <f t="shared" si="483"/>
        <v>0</v>
      </c>
      <c r="AN1298" s="161">
        <f t="shared" si="484"/>
        <v>0</v>
      </c>
      <c r="AO1298" s="150" t="str">
        <f t="shared" si="495"/>
        <v>V</v>
      </c>
      <c r="AQ1298" s="151">
        <f t="shared" si="496"/>
        <v>31390</v>
      </c>
    </row>
    <row r="1299" spans="1:43" ht="15" customHeight="1">
      <c r="A1299" s="82" t="e">
        <f t="shared" si="485"/>
        <v>#REF!</v>
      </c>
      <c r="B1299" s="152">
        <v>312</v>
      </c>
      <c r="C1299" s="153" t="s">
        <v>1348</v>
      </c>
      <c r="D1299" s="154" t="s">
        <v>1331</v>
      </c>
      <c r="E1299" s="155"/>
      <c r="F1299" s="64" t="s">
        <v>1359</v>
      </c>
      <c r="G1299" s="156" t="s">
        <v>1360</v>
      </c>
      <c r="H1299" s="140" t="str">
        <f t="shared" si="486"/>
        <v>Perrons</v>
      </c>
      <c r="I1299" s="64" t="s">
        <v>1394</v>
      </c>
      <c r="J1299" s="64" t="s">
        <v>1255</v>
      </c>
      <c r="K1299" s="141" t="str">
        <f t="shared" si="487"/>
        <v>Volledig</v>
      </c>
      <c r="L1299" s="141" t="str">
        <f t="shared" si="488"/>
        <v>naloop</v>
      </c>
      <c r="M1299" s="141" t="str">
        <f t="shared" si="489"/>
        <v>naloop</v>
      </c>
      <c r="N1299" s="141" t="str">
        <f t="shared" si="490"/>
        <v>Volledig</v>
      </c>
      <c r="O1299" s="141" t="str">
        <f t="shared" si="491"/>
        <v>naloop</v>
      </c>
      <c r="P1299" s="141" t="str">
        <f t="shared" si="492"/>
        <v>naloop</v>
      </c>
      <c r="Q1299" s="141" t="str">
        <f t="shared" si="493"/>
        <v>naloop</v>
      </c>
      <c r="R1299" s="64" t="s">
        <v>1208</v>
      </c>
      <c r="S1299" s="142">
        <f t="shared" si="501"/>
        <v>365</v>
      </c>
      <c r="T1299" s="157">
        <v>1090</v>
      </c>
      <c r="U1299" s="158"/>
      <c r="V1299" s="158"/>
      <c r="W1299" s="158"/>
      <c r="X1299" s="158"/>
      <c r="Y1299" s="158"/>
      <c r="Z1299" s="159"/>
      <c r="AA1299" s="159"/>
      <c r="AB1299" s="159"/>
      <c r="AC1299" s="159"/>
      <c r="AD1299" s="160"/>
      <c r="AE1299" s="171">
        <v>1</v>
      </c>
      <c r="AF1299" s="162">
        <f t="shared" si="497"/>
        <v>0</v>
      </c>
      <c r="AG1299" s="162">
        <f t="shared" si="498"/>
        <v>0</v>
      </c>
      <c r="AH1299" s="162">
        <f t="shared" si="499"/>
        <v>0</v>
      </c>
      <c r="AI1299" s="162">
        <f t="shared" si="500"/>
        <v>0</v>
      </c>
      <c r="AJ1299" s="148" t="str">
        <f t="shared" si="494"/>
        <v>ja</v>
      </c>
      <c r="AK1299" s="161">
        <f t="shared" si="481"/>
        <v>0</v>
      </c>
      <c r="AL1299" s="161">
        <f t="shared" si="482"/>
        <v>0</v>
      </c>
      <c r="AM1299" s="161">
        <f t="shared" si="483"/>
        <v>0</v>
      </c>
      <c r="AN1299" s="161">
        <f t="shared" si="484"/>
        <v>0</v>
      </c>
      <c r="AO1299" s="150" t="str">
        <f t="shared" si="495"/>
        <v>V</v>
      </c>
      <c r="AQ1299" s="151">
        <f t="shared" si="496"/>
        <v>397850</v>
      </c>
    </row>
    <row r="1300" spans="1:43" ht="15" customHeight="1">
      <c r="A1300" s="82" t="e">
        <f t="shared" si="485"/>
        <v>#REF!</v>
      </c>
      <c r="B1300" s="152">
        <v>312</v>
      </c>
      <c r="C1300" s="153" t="s">
        <v>1348</v>
      </c>
      <c r="D1300" s="154" t="s">
        <v>1331</v>
      </c>
      <c r="E1300" s="155"/>
      <c r="F1300" s="64" t="s">
        <v>1395</v>
      </c>
      <c r="G1300" s="156" t="s">
        <v>1360</v>
      </c>
      <c r="H1300" s="140" t="str">
        <f t="shared" si="486"/>
        <v>Perrons</v>
      </c>
      <c r="I1300" s="64" t="s">
        <v>1396</v>
      </c>
      <c r="J1300" s="64" t="s">
        <v>1255</v>
      </c>
      <c r="K1300" s="141" t="str">
        <f t="shared" si="487"/>
        <v>Volledig</v>
      </c>
      <c r="L1300" s="141" t="str">
        <f t="shared" si="488"/>
        <v>naloop</v>
      </c>
      <c r="M1300" s="141" t="str">
        <f t="shared" si="489"/>
        <v>naloop</v>
      </c>
      <c r="N1300" s="141" t="str">
        <f t="shared" si="490"/>
        <v>Volledig</v>
      </c>
      <c r="O1300" s="141" t="str">
        <f t="shared" si="491"/>
        <v>naloop</v>
      </c>
      <c r="P1300" s="141" t="str">
        <f t="shared" si="492"/>
        <v>naloop</v>
      </c>
      <c r="Q1300" s="141" t="str">
        <f t="shared" si="493"/>
        <v>naloop</v>
      </c>
      <c r="R1300" s="64" t="s">
        <v>1208</v>
      </c>
      <c r="S1300" s="142">
        <f t="shared" si="501"/>
        <v>365</v>
      </c>
      <c r="T1300" s="157">
        <v>50</v>
      </c>
      <c r="U1300" s="158"/>
      <c r="V1300" s="158"/>
      <c r="W1300" s="158"/>
      <c r="X1300" s="158"/>
      <c r="Y1300" s="158"/>
      <c r="Z1300" s="159"/>
      <c r="AA1300" s="159"/>
      <c r="AB1300" s="159"/>
      <c r="AC1300" s="159"/>
      <c r="AD1300" s="160"/>
      <c r="AE1300" s="171">
        <v>1</v>
      </c>
      <c r="AF1300" s="162">
        <f t="shared" si="497"/>
        <v>0</v>
      </c>
      <c r="AG1300" s="162">
        <f t="shared" si="498"/>
        <v>0</v>
      </c>
      <c r="AH1300" s="162">
        <f t="shared" si="499"/>
        <v>0</v>
      </c>
      <c r="AI1300" s="162">
        <f t="shared" si="500"/>
        <v>0</v>
      </c>
      <c r="AJ1300" s="148" t="str">
        <f t="shared" si="494"/>
        <v>ja</v>
      </c>
      <c r="AK1300" s="161">
        <f t="shared" si="481"/>
        <v>0</v>
      </c>
      <c r="AL1300" s="161">
        <f t="shared" si="482"/>
        <v>0</v>
      </c>
      <c r="AM1300" s="161">
        <f t="shared" si="483"/>
        <v>0</v>
      </c>
      <c r="AN1300" s="161">
        <f t="shared" si="484"/>
        <v>0</v>
      </c>
      <c r="AO1300" s="150" t="str">
        <f t="shared" si="495"/>
        <v>V</v>
      </c>
      <c r="AQ1300" s="151">
        <f t="shared" si="496"/>
        <v>18250</v>
      </c>
    </row>
    <row r="1301" spans="1:43" ht="15" customHeight="1">
      <c r="A1301" s="82" t="e">
        <f t="shared" si="485"/>
        <v>#REF!</v>
      </c>
      <c r="B1301" s="152">
        <v>312</v>
      </c>
      <c r="C1301" s="153" t="s">
        <v>1348</v>
      </c>
      <c r="D1301" s="154" t="s">
        <v>1331</v>
      </c>
      <c r="E1301" s="155"/>
      <c r="F1301" s="64" t="s">
        <v>1397</v>
      </c>
      <c r="G1301" s="156" t="s">
        <v>1360</v>
      </c>
      <c r="H1301" s="140" t="str">
        <f t="shared" si="486"/>
        <v>Perrons</v>
      </c>
      <c r="I1301" s="64" t="s">
        <v>18</v>
      </c>
      <c r="J1301" s="64" t="s">
        <v>1255</v>
      </c>
      <c r="K1301" s="141" t="str">
        <f t="shared" si="487"/>
        <v>Volledig</v>
      </c>
      <c r="L1301" s="141" t="str">
        <f t="shared" si="488"/>
        <v>naloop</v>
      </c>
      <c r="M1301" s="141" t="str">
        <f t="shared" si="489"/>
        <v>naloop</v>
      </c>
      <c r="N1301" s="141" t="str">
        <f t="shared" si="490"/>
        <v>Volledig</v>
      </c>
      <c r="O1301" s="141" t="str">
        <f t="shared" si="491"/>
        <v>naloop</v>
      </c>
      <c r="P1301" s="141" t="str">
        <f t="shared" si="492"/>
        <v>naloop</v>
      </c>
      <c r="Q1301" s="141" t="str">
        <f t="shared" si="493"/>
        <v>naloop</v>
      </c>
      <c r="R1301" s="64" t="s">
        <v>1208</v>
      </c>
      <c r="S1301" s="142">
        <f t="shared" si="501"/>
        <v>365</v>
      </c>
      <c r="T1301" s="157">
        <v>54</v>
      </c>
      <c r="U1301" s="158"/>
      <c r="V1301" s="158"/>
      <c r="W1301" s="158"/>
      <c r="X1301" s="158"/>
      <c r="Y1301" s="158"/>
      <c r="Z1301" s="159"/>
      <c r="AA1301" s="159"/>
      <c r="AB1301" s="159"/>
      <c r="AC1301" s="159"/>
      <c r="AD1301" s="160"/>
      <c r="AE1301" s="171">
        <v>1</v>
      </c>
      <c r="AF1301" s="162">
        <f t="shared" si="497"/>
        <v>0</v>
      </c>
      <c r="AG1301" s="162">
        <f t="shared" si="498"/>
        <v>0</v>
      </c>
      <c r="AH1301" s="162">
        <f t="shared" si="499"/>
        <v>0</v>
      </c>
      <c r="AI1301" s="162">
        <f t="shared" si="500"/>
        <v>0</v>
      </c>
      <c r="AJ1301" s="148" t="str">
        <f t="shared" si="494"/>
        <v>ja</v>
      </c>
      <c r="AK1301" s="161">
        <f t="shared" ref="AK1301:AK1310" si="502">IF($R1301="",0,VLOOKUP($R1301,Kengetal,5,FALSE))</f>
        <v>0</v>
      </c>
      <c r="AL1301" s="161">
        <f t="shared" ref="AL1301:AL1310" si="503">IF($R1301="",0,VLOOKUP($R1301,Kengetal,6,FALSE))</f>
        <v>0</v>
      </c>
      <c r="AM1301" s="161">
        <f t="shared" ref="AM1301:AM1310" si="504">IF($R1301="",0,VLOOKUP($R1301,Kengetal,7,FALSE))</f>
        <v>0</v>
      </c>
      <c r="AN1301" s="161">
        <f t="shared" ref="AN1301:AN1310" si="505">IF($R1301="",0,VLOOKUP($R1301,Kengetal,8,FALSE))</f>
        <v>0</v>
      </c>
      <c r="AO1301" s="150" t="str">
        <f t="shared" si="495"/>
        <v>V</v>
      </c>
      <c r="AQ1301" s="151">
        <f t="shared" si="496"/>
        <v>19710</v>
      </c>
    </row>
    <row r="1302" spans="1:43" ht="15" customHeight="1">
      <c r="A1302" s="82" t="e">
        <f t="shared" si="485"/>
        <v>#REF!</v>
      </c>
      <c r="B1302" s="152">
        <v>312</v>
      </c>
      <c r="C1302" s="153" t="s">
        <v>1348</v>
      </c>
      <c r="D1302" s="154" t="s">
        <v>1331</v>
      </c>
      <c r="E1302" s="155"/>
      <c r="F1302" s="64" t="s">
        <v>1449</v>
      </c>
      <c r="G1302" s="156">
        <v>10101</v>
      </c>
      <c r="H1302" s="140" t="str">
        <f t="shared" si="486"/>
        <v>Perrons</v>
      </c>
      <c r="I1302" s="64" t="s">
        <v>1254</v>
      </c>
      <c r="J1302" s="64" t="s">
        <v>1255</v>
      </c>
      <c r="K1302" s="141" t="str">
        <f t="shared" si="487"/>
        <v>Volledig</v>
      </c>
      <c r="L1302" s="141" t="str">
        <f t="shared" si="488"/>
        <v>naloop</v>
      </c>
      <c r="M1302" s="141" t="str">
        <f t="shared" si="489"/>
        <v>naloop</v>
      </c>
      <c r="N1302" s="141" t="str">
        <f t="shared" si="490"/>
        <v>Volledig</v>
      </c>
      <c r="O1302" s="141" t="str">
        <f t="shared" si="491"/>
        <v>naloop</v>
      </c>
      <c r="P1302" s="141" t="str">
        <f t="shared" si="492"/>
        <v>naloop</v>
      </c>
      <c r="Q1302" s="141" t="str">
        <f t="shared" si="493"/>
        <v>naloop</v>
      </c>
      <c r="R1302" s="64" t="s">
        <v>1208</v>
      </c>
      <c r="S1302" s="142">
        <f t="shared" si="501"/>
        <v>365</v>
      </c>
      <c r="T1302" s="157">
        <v>140</v>
      </c>
      <c r="U1302" s="158"/>
      <c r="V1302" s="158"/>
      <c r="W1302" s="158"/>
      <c r="X1302" s="158"/>
      <c r="Y1302" s="158"/>
      <c r="Z1302" s="159"/>
      <c r="AA1302" s="159"/>
      <c r="AB1302" s="159"/>
      <c r="AC1302" s="159"/>
      <c r="AD1302" s="160"/>
      <c r="AE1302" s="171">
        <v>1</v>
      </c>
      <c r="AF1302" s="162">
        <f t="shared" si="497"/>
        <v>0</v>
      </c>
      <c r="AG1302" s="162">
        <f t="shared" si="498"/>
        <v>0</v>
      </c>
      <c r="AH1302" s="162">
        <f t="shared" si="499"/>
        <v>0</v>
      </c>
      <c r="AI1302" s="162">
        <f t="shared" si="500"/>
        <v>0</v>
      </c>
      <c r="AJ1302" s="148" t="str">
        <f t="shared" si="494"/>
        <v>ja</v>
      </c>
      <c r="AK1302" s="161">
        <f t="shared" si="502"/>
        <v>0</v>
      </c>
      <c r="AL1302" s="161">
        <f t="shared" si="503"/>
        <v>0</v>
      </c>
      <c r="AM1302" s="161">
        <f t="shared" si="504"/>
        <v>0</v>
      </c>
      <c r="AN1302" s="161">
        <f t="shared" si="505"/>
        <v>0</v>
      </c>
      <c r="AO1302" s="150" t="str">
        <f t="shared" si="495"/>
        <v>V</v>
      </c>
      <c r="AQ1302" s="151">
        <f t="shared" si="496"/>
        <v>51100</v>
      </c>
    </row>
    <row r="1303" spans="1:43" ht="15" customHeight="1">
      <c r="A1303" s="82" t="e">
        <f t="shared" si="485"/>
        <v>#REF!</v>
      </c>
      <c r="B1303" s="152">
        <v>312</v>
      </c>
      <c r="C1303" s="153" t="s">
        <v>1348</v>
      </c>
      <c r="D1303" s="154" t="s">
        <v>1331</v>
      </c>
      <c r="E1303" s="155"/>
      <c r="F1303" s="64" t="s">
        <v>123</v>
      </c>
      <c r="G1303" s="156" t="s">
        <v>26</v>
      </c>
      <c r="H1303" s="140" t="str">
        <f t="shared" si="486"/>
        <v>Bestrating</v>
      </c>
      <c r="I1303" s="64" t="s">
        <v>1254</v>
      </c>
      <c r="J1303" s="138" t="s">
        <v>1171</v>
      </c>
      <c r="K1303" s="141" t="str">
        <f t="shared" si="487"/>
        <v>Omde dag Vol/Nal.</v>
      </c>
      <c r="L1303" s="141" t="str">
        <f t="shared" si="488"/>
        <v>Omde dag Nal./Vol</v>
      </c>
      <c r="M1303" s="141" t="str">
        <f t="shared" si="489"/>
        <v>Omde dag Vol/Nal.</v>
      </c>
      <c r="N1303" s="141" t="str">
        <f t="shared" si="490"/>
        <v>Omde dag Nal./Vol</v>
      </c>
      <c r="O1303" s="141" t="str">
        <f t="shared" si="491"/>
        <v>Omde dag Vol/Nal.</v>
      </c>
      <c r="P1303" s="141" t="str">
        <f t="shared" si="492"/>
        <v>Omde dag Nal./Vol</v>
      </c>
      <c r="Q1303" s="141" t="str">
        <f t="shared" si="493"/>
        <v>Omde dag Vol/Nal.</v>
      </c>
      <c r="R1303" s="64" t="s">
        <v>1470</v>
      </c>
      <c r="S1303" s="142">
        <f t="shared" si="501"/>
        <v>365</v>
      </c>
      <c r="T1303" s="157">
        <v>6.41</v>
      </c>
      <c r="U1303" s="158"/>
      <c r="V1303" s="158">
        <v>46</v>
      </c>
      <c r="W1303" s="158"/>
      <c r="X1303" s="158"/>
      <c r="Y1303" s="158"/>
      <c r="Z1303" s="159"/>
      <c r="AA1303" s="159"/>
      <c r="AB1303" s="159">
        <v>6</v>
      </c>
      <c r="AC1303" s="159"/>
      <c r="AD1303" s="160"/>
      <c r="AE1303" s="171">
        <v>1</v>
      </c>
      <c r="AF1303" s="162">
        <f t="shared" si="497"/>
        <v>0</v>
      </c>
      <c r="AG1303" s="162">
        <f t="shared" si="498"/>
        <v>0</v>
      </c>
      <c r="AH1303" s="162">
        <f t="shared" si="499"/>
        <v>0</v>
      </c>
      <c r="AI1303" s="162">
        <f t="shared" si="500"/>
        <v>0</v>
      </c>
      <c r="AJ1303" s="148" t="str">
        <f t="shared" si="494"/>
        <v>ja</v>
      </c>
      <c r="AK1303" s="161">
        <f t="shared" si="502"/>
        <v>0</v>
      </c>
      <c r="AL1303" s="161">
        <f t="shared" si="503"/>
        <v>0</v>
      </c>
      <c r="AM1303" s="161">
        <f t="shared" si="504"/>
        <v>0</v>
      </c>
      <c r="AN1303" s="161">
        <f t="shared" si="505"/>
        <v>0</v>
      </c>
      <c r="AO1303" s="150" t="str">
        <f t="shared" si="495"/>
        <v>V</v>
      </c>
      <c r="AQ1303" s="151">
        <f t="shared" si="496"/>
        <v>2339.65</v>
      </c>
    </row>
    <row r="1304" spans="1:43" ht="15" customHeight="1">
      <c r="A1304" s="82" t="e">
        <f t="shared" si="485"/>
        <v>#REF!</v>
      </c>
      <c r="B1304" s="152">
        <v>312</v>
      </c>
      <c r="C1304" s="153" t="s">
        <v>1348</v>
      </c>
      <c r="D1304" s="154" t="s">
        <v>1331</v>
      </c>
      <c r="E1304" s="155"/>
      <c r="F1304" s="64" t="s">
        <v>1438</v>
      </c>
      <c r="G1304" s="156" t="s">
        <v>27</v>
      </c>
      <c r="H1304" s="140" t="str">
        <f t="shared" si="486"/>
        <v>Niet van toepassing</v>
      </c>
      <c r="I1304" s="64" t="s">
        <v>195</v>
      </c>
      <c r="J1304" s="138" t="s">
        <v>1172</v>
      </c>
      <c r="K1304" s="141" t="str">
        <f t="shared" si="487"/>
        <v>NVT</v>
      </c>
      <c r="L1304" s="141" t="str">
        <f t="shared" si="488"/>
        <v>NVT</v>
      </c>
      <c r="M1304" s="141" t="str">
        <f t="shared" si="489"/>
        <v>NVT</v>
      </c>
      <c r="N1304" s="141" t="str">
        <f t="shared" si="490"/>
        <v>NVT</v>
      </c>
      <c r="O1304" s="141" t="str">
        <f t="shared" si="491"/>
        <v>NVT</v>
      </c>
      <c r="P1304" s="141" t="str">
        <f t="shared" si="492"/>
        <v>NVT</v>
      </c>
      <c r="Q1304" s="141" t="str">
        <f t="shared" si="493"/>
        <v>NVT</v>
      </c>
      <c r="R1304" s="63" t="s">
        <v>1221</v>
      </c>
      <c r="S1304" s="142">
        <f t="shared" si="501"/>
        <v>0</v>
      </c>
      <c r="T1304" s="157">
        <v>14</v>
      </c>
      <c r="U1304" s="158"/>
      <c r="V1304" s="158">
        <v>62</v>
      </c>
      <c r="W1304" s="158"/>
      <c r="X1304" s="158"/>
      <c r="Y1304" s="158"/>
      <c r="Z1304" s="159"/>
      <c r="AA1304" s="159"/>
      <c r="AB1304" s="159">
        <v>14</v>
      </c>
      <c r="AC1304" s="159"/>
      <c r="AD1304" s="160"/>
      <c r="AE1304" s="171">
        <v>1</v>
      </c>
      <c r="AF1304" s="162">
        <f t="shared" si="497"/>
        <v>0</v>
      </c>
      <c r="AG1304" s="162">
        <f t="shared" si="498"/>
        <v>0</v>
      </c>
      <c r="AH1304" s="162">
        <f t="shared" si="499"/>
        <v>0</v>
      </c>
      <c r="AI1304" s="162">
        <f t="shared" si="500"/>
        <v>0</v>
      </c>
      <c r="AJ1304" s="148">
        <f t="shared" si="494"/>
        <v>0</v>
      </c>
      <c r="AK1304" s="161">
        <f t="shared" si="502"/>
        <v>0</v>
      </c>
      <c r="AL1304" s="161">
        <f t="shared" si="503"/>
        <v>0</v>
      </c>
      <c r="AM1304" s="161">
        <f t="shared" si="504"/>
        <v>0</v>
      </c>
      <c r="AN1304" s="161">
        <f t="shared" si="505"/>
        <v>0</v>
      </c>
      <c r="AO1304" s="150">
        <f t="shared" si="495"/>
        <v>0</v>
      </c>
      <c r="AQ1304" s="151">
        <f t="shared" si="496"/>
        <v>0</v>
      </c>
    </row>
    <row r="1305" spans="1:43" ht="15" customHeight="1">
      <c r="A1305" s="82" t="e">
        <f t="shared" si="485"/>
        <v>#REF!</v>
      </c>
      <c r="B1305" s="152">
        <v>312</v>
      </c>
      <c r="C1305" s="153" t="s">
        <v>1348</v>
      </c>
      <c r="D1305" s="154" t="s">
        <v>1331</v>
      </c>
      <c r="E1305" s="155"/>
      <c r="F1305" s="64" t="s">
        <v>1361</v>
      </c>
      <c r="G1305" s="156" t="s">
        <v>28</v>
      </c>
      <c r="H1305" s="140" t="str">
        <f t="shared" si="486"/>
        <v>Niet van toepassing</v>
      </c>
      <c r="I1305" s="64" t="s">
        <v>195</v>
      </c>
      <c r="J1305" s="138" t="s">
        <v>1172</v>
      </c>
      <c r="K1305" s="141" t="str">
        <f t="shared" si="487"/>
        <v>NVT</v>
      </c>
      <c r="L1305" s="141" t="str">
        <f t="shared" si="488"/>
        <v>NVT</v>
      </c>
      <c r="M1305" s="141" t="str">
        <f t="shared" si="489"/>
        <v>NVT</v>
      </c>
      <c r="N1305" s="141" t="str">
        <f t="shared" si="490"/>
        <v>NVT</v>
      </c>
      <c r="O1305" s="141" t="str">
        <f t="shared" si="491"/>
        <v>NVT</v>
      </c>
      <c r="P1305" s="141" t="str">
        <f t="shared" si="492"/>
        <v>NVT</v>
      </c>
      <c r="Q1305" s="141" t="str">
        <f t="shared" si="493"/>
        <v>NVT</v>
      </c>
      <c r="R1305" s="63" t="s">
        <v>1221</v>
      </c>
      <c r="S1305" s="142">
        <f t="shared" si="501"/>
        <v>0</v>
      </c>
      <c r="T1305" s="157">
        <v>12</v>
      </c>
      <c r="U1305" s="158"/>
      <c r="V1305" s="158">
        <v>60</v>
      </c>
      <c r="W1305" s="158"/>
      <c r="X1305" s="158"/>
      <c r="Y1305" s="158"/>
      <c r="Z1305" s="159"/>
      <c r="AA1305" s="159"/>
      <c r="AB1305" s="159">
        <v>12</v>
      </c>
      <c r="AC1305" s="159"/>
      <c r="AD1305" s="160"/>
      <c r="AE1305" s="171">
        <v>1</v>
      </c>
      <c r="AF1305" s="162">
        <f t="shared" si="497"/>
        <v>0</v>
      </c>
      <c r="AG1305" s="162">
        <f t="shared" si="498"/>
        <v>0</v>
      </c>
      <c r="AH1305" s="162">
        <f t="shared" si="499"/>
        <v>0</v>
      </c>
      <c r="AI1305" s="162">
        <f t="shared" si="500"/>
        <v>0</v>
      </c>
      <c r="AJ1305" s="148">
        <f t="shared" si="494"/>
        <v>0</v>
      </c>
      <c r="AK1305" s="161">
        <f t="shared" si="502"/>
        <v>0</v>
      </c>
      <c r="AL1305" s="161">
        <f t="shared" si="503"/>
        <v>0</v>
      </c>
      <c r="AM1305" s="161">
        <f t="shared" si="504"/>
        <v>0</v>
      </c>
      <c r="AN1305" s="161">
        <f t="shared" si="505"/>
        <v>0</v>
      </c>
      <c r="AO1305" s="150">
        <f t="shared" si="495"/>
        <v>0</v>
      </c>
      <c r="AQ1305" s="151">
        <f t="shared" si="496"/>
        <v>0</v>
      </c>
    </row>
    <row r="1306" spans="1:43" ht="15" customHeight="1">
      <c r="A1306" s="82" t="e">
        <f t="shared" si="485"/>
        <v>#REF!</v>
      </c>
      <c r="B1306" s="152">
        <v>312</v>
      </c>
      <c r="C1306" s="153" t="s">
        <v>1348</v>
      </c>
      <c r="D1306" s="154" t="s">
        <v>1331</v>
      </c>
      <c r="E1306" s="155"/>
      <c r="F1306" s="64" t="s">
        <v>1362</v>
      </c>
      <c r="G1306" s="156" t="s">
        <v>29</v>
      </c>
      <c r="H1306" s="140" t="str">
        <f t="shared" si="486"/>
        <v>Niet van toepassing</v>
      </c>
      <c r="I1306" s="64" t="s">
        <v>195</v>
      </c>
      <c r="J1306" s="138" t="s">
        <v>1172</v>
      </c>
      <c r="K1306" s="141" t="str">
        <f t="shared" si="487"/>
        <v>NVT</v>
      </c>
      <c r="L1306" s="141" t="str">
        <f t="shared" si="488"/>
        <v>NVT</v>
      </c>
      <c r="M1306" s="141" t="str">
        <f t="shared" si="489"/>
        <v>NVT</v>
      </c>
      <c r="N1306" s="141" t="str">
        <f t="shared" si="490"/>
        <v>NVT</v>
      </c>
      <c r="O1306" s="141" t="str">
        <f t="shared" si="491"/>
        <v>NVT</v>
      </c>
      <c r="P1306" s="141" t="str">
        <f t="shared" si="492"/>
        <v>NVT</v>
      </c>
      <c r="Q1306" s="141" t="str">
        <f t="shared" si="493"/>
        <v>NVT</v>
      </c>
      <c r="R1306" s="63" t="s">
        <v>1221</v>
      </c>
      <c r="S1306" s="142">
        <f t="shared" si="501"/>
        <v>0</v>
      </c>
      <c r="T1306" s="157">
        <v>2</v>
      </c>
      <c r="U1306" s="158"/>
      <c r="V1306" s="158">
        <v>28</v>
      </c>
      <c r="W1306" s="158"/>
      <c r="X1306" s="158"/>
      <c r="Y1306" s="158"/>
      <c r="Z1306" s="159"/>
      <c r="AA1306" s="159"/>
      <c r="AB1306" s="159">
        <v>2</v>
      </c>
      <c r="AC1306" s="159"/>
      <c r="AD1306" s="160"/>
      <c r="AE1306" s="171">
        <v>1</v>
      </c>
      <c r="AF1306" s="162">
        <f t="shared" si="497"/>
        <v>0</v>
      </c>
      <c r="AG1306" s="162">
        <f t="shared" si="498"/>
        <v>0</v>
      </c>
      <c r="AH1306" s="162">
        <f t="shared" si="499"/>
        <v>0</v>
      </c>
      <c r="AI1306" s="162">
        <f t="shared" si="500"/>
        <v>0</v>
      </c>
      <c r="AJ1306" s="148">
        <f t="shared" si="494"/>
        <v>0</v>
      </c>
      <c r="AK1306" s="161">
        <f t="shared" si="502"/>
        <v>0</v>
      </c>
      <c r="AL1306" s="161">
        <f t="shared" si="503"/>
        <v>0</v>
      </c>
      <c r="AM1306" s="161">
        <f t="shared" si="504"/>
        <v>0</v>
      </c>
      <c r="AN1306" s="161">
        <f t="shared" si="505"/>
        <v>0</v>
      </c>
      <c r="AO1306" s="150">
        <f t="shared" si="495"/>
        <v>0</v>
      </c>
      <c r="AQ1306" s="151">
        <f t="shared" si="496"/>
        <v>0</v>
      </c>
    </row>
    <row r="1307" spans="1:43" ht="15" customHeight="1">
      <c r="A1307" s="82" t="e">
        <f>1+#REF!</f>
        <v>#REF!</v>
      </c>
      <c r="B1307" s="152">
        <v>312</v>
      </c>
      <c r="C1307" s="153" t="s">
        <v>1348</v>
      </c>
      <c r="D1307" s="154" t="s">
        <v>1331</v>
      </c>
      <c r="E1307" s="155"/>
      <c r="F1307" s="64" t="s">
        <v>122</v>
      </c>
      <c r="G1307" s="156" t="s">
        <v>32</v>
      </c>
      <c r="H1307" s="140" t="str">
        <f t="shared" si="486"/>
        <v>Niet van toepassing</v>
      </c>
      <c r="I1307" s="64" t="s">
        <v>195</v>
      </c>
      <c r="J1307" s="64" t="s">
        <v>1172</v>
      </c>
      <c r="K1307" s="141" t="str">
        <f t="shared" si="487"/>
        <v>NVT</v>
      </c>
      <c r="L1307" s="141" t="str">
        <f t="shared" si="488"/>
        <v>NVT</v>
      </c>
      <c r="M1307" s="141" t="str">
        <f t="shared" si="489"/>
        <v>NVT</v>
      </c>
      <c r="N1307" s="141" t="str">
        <f t="shared" si="490"/>
        <v>NVT</v>
      </c>
      <c r="O1307" s="141" t="str">
        <f t="shared" si="491"/>
        <v>NVT</v>
      </c>
      <c r="P1307" s="141" t="str">
        <f t="shared" si="492"/>
        <v>NVT</v>
      </c>
      <c r="Q1307" s="141" t="str">
        <f t="shared" si="493"/>
        <v>NVT</v>
      </c>
      <c r="R1307" s="64" t="s">
        <v>1221</v>
      </c>
      <c r="S1307" s="142">
        <f t="shared" si="501"/>
        <v>0</v>
      </c>
      <c r="T1307" s="157">
        <v>6</v>
      </c>
      <c r="U1307" s="158">
        <v>7</v>
      </c>
      <c r="V1307" s="158">
        <v>25</v>
      </c>
      <c r="W1307" s="158"/>
      <c r="X1307" s="158"/>
      <c r="Y1307" s="158"/>
      <c r="Z1307" s="159"/>
      <c r="AA1307" s="159"/>
      <c r="AB1307" s="159">
        <v>6</v>
      </c>
      <c r="AC1307" s="159"/>
      <c r="AD1307" s="160"/>
      <c r="AE1307" s="171">
        <v>1</v>
      </c>
      <c r="AF1307" s="162">
        <f t="shared" si="497"/>
        <v>0</v>
      </c>
      <c r="AG1307" s="162">
        <f t="shared" si="498"/>
        <v>0</v>
      </c>
      <c r="AH1307" s="162">
        <f t="shared" si="499"/>
        <v>0</v>
      </c>
      <c r="AI1307" s="162">
        <f t="shared" si="500"/>
        <v>0</v>
      </c>
      <c r="AJ1307" s="148">
        <f t="shared" si="494"/>
        <v>0</v>
      </c>
      <c r="AK1307" s="161">
        <f t="shared" si="502"/>
        <v>0</v>
      </c>
      <c r="AL1307" s="161">
        <f t="shared" si="503"/>
        <v>0</v>
      </c>
      <c r="AM1307" s="161">
        <f t="shared" si="504"/>
        <v>0</v>
      </c>
      <c r="AN1307" s="161">
        <f t="shared" si="505"/>
        <v>0</v>
      </c>
      <c r="AO1307" s="150">
        <f t="shared" si="495"/>
        <v>0</v>
      </c>
      <c r="AQ1307" s="151">
        <f t="shared" si="496"/>
        <v>0</v>
      </c>
    </row>
    <row r="1308" spans="1:43" ht="15" customHeight="1">
      <c r="A1308" s="82" t="e">
        <f t="shared" si="485"/>
        <v>#REF!</v>
      </c>
      <c r="B1308" s="152">
        <v>312</v>
      </c>
      <c r="C1308" s="153" t="s">
        <v>1348</v>
      </c>
      <c r="D1308" s="154" t="s">
        <v>1331</v>
      </c>
      <c r="E1308" s="155"/>
      <c r="F1308" s="64" t="s">
        <v>1450</v>
      </c>
      <c r="G1308" s="156" t="s">
        <v>24</v>
      </c>
      <c r="H1308" s="140" t="str">
        <f t="shared" si="486"/>
        <v>Niet van toepassing</v>
      </c>
      <c r="I1308" s="64" t="s">
        <v>195</v>
      </c>
      <c r="J1308" s="138" t="s">
        <v>1172</v>
      </c>
      <c r="K1308" s="141" t="str">
        <f t="shared" si="487"/>
        <v>NVT</v>
      </c>
      <c r="L1308" s="141" t="str">
        <f t="shared" si="488"/>
        <v>NVT</v>
      </c>
      <c r="M1308" s="141" t="str">
        <f t="shared" si="489"/>
        <v>NVT</v>
      </c>
      <c r="N1308" s="141" t="str">
        <f t="shared" si="490"/>
        <v>NVT</v>
      </c>
      <c r="O1308" s="141" t="str">
        <f t="shared" si="491"/>
        <v>NVT</v>
      </c>
      <c r="P1308" s="141" t="str">
        <f t="shared" si="492"/>
        <v>NVT</v>
      </c>
      <c r="Q1308" s="141" t="str">
        <f t="shared" si="493"/>
        <v>NVT</v>
      </c>
      <c r="R1308" s="63" t="s">
        <v>1221</v>
      </c>
      <c r="S1308" s="142">
        <f t="shared" si="501"/>
        <v>0</v>
      </c>
      <c r="T1308" s="157">
        <v>14</v>
      </c>
      <c r="U1308" s="158"/>
      <c r="V1308" s="158">
        <v>62</v>
      </c>
      <c r="W1308" s="158"/>
      <c r="X1308" s="158"/>
      <c r="Y1308" s="158"/>
      <c r="Z1308" s="159"/>
      <c r="AA1308" s="159"/>
      <c r="AB1308" s="159">
        <v>14</v>
      </c>
      <c r="AC1308" s="159"/>
      <c r="AD1308" s="160"/>
      <c r="AE1308" s="171">
        <v>1</v>
      </c>
      <c r="AF1308" s="162">
        <f t="shared" si="497"/>
        <v>0</v>
      </c>
      <c r="AG1308" s="162">
        <f t="shared" si="498"/>
        <v>0</v>
      </c>
      <c r="AH1308" s="162">
        <f t="shared" si="499"/>
        <v>0</v>
      </c>
      <c r="AI1308" s="162">
        <f t="shared" si="500"/>
        <v>0</v>
      </c>
      <c r="AJ1308" s="148">
        <f t="shared" si="494"/>
        <v>0</v>
      </c>
      <c r="AK1308" s="161">
        <f t="shared" si="502"/>
        <v>0</v>
      </c>
      <c r="AL1308" s="161">
        <f t="shared" si="503"/>
        <v>0</v>
      </c>
      <c r="AM1308" s="161">
        <f t="shared" si="504"/>
        <v>0</v>
      </c>
      <c r="AN1308" s="161">
        <f t="shared" si="505"/>
        <v>0</v>
      </c>
      <c r="AO1308" s="150">
        <f t="shared" si="495"/>
        <v>0</v>
      </c>
      <c r="AQ1308" s="151">
        <f t="shared" si="496"/>
        <v>0</v>
      </c>
    </row>
    <row r="1309" spans="1:43" ht="15" customHeight="1">
      <c r="A1309" s="82" t="e">
        <f t="shared" ref="A1309:A1310" si="506">1+A1308</f>
        <v>#REF!</v>
      </c>
      <c r="B1309" s="152">
        <v>312</v>
      </c>
      <c r="C1309" s="153" t="s">
        <v>1348</v>
      </c>
      <c r="D1309" s="154" t="s">
        <v>1331</v>
      </c>
      <c r="E1309" s="155"/>
      <c r="F1309" s="64" t="s">
        <v>1402</v>
      </c>
      <c r="G1309" s="156"/>
      <c r="H1309" s="140" t="str">
        <f t="shared" si="486"/>
        <v>Bestrating</v>
      </c>
      <c r="I1309" s="64" t="s">
        <v>1254</v>
      </c>
      <c r="J1309" s="138" t="s">
        <v>1171</v>
      </c>
      <c r="K1309" s="141" t="str">
        <f t="shared" si="487"/>
        <v>Omde dag Vol/Nal.</v>
      </c>
      <c r="L1309" s="141" t="str">
        <f t="shared" si="488"/>
        <v>Omde dag Nal./Vol</v>
      </c>
      <c r="M1309" s="141" t="str">
        <f t="shared" si="489"/>
        <v>Omde dag Vol/Nal.</v>
      </c>
      <c r="N1309" s="141" t="str">
        <f t="shared" si="490"/>
        <v>Omde dag Nal./Vol</v>
      </c>
      <c r="O1309" s="141" t="str">
        <f t="shared" si="491"/>
        <v>Omde dag Vol/Nal.</v>
      </c>
      <c r="P1309" s="141" t="str">
        <f t="shared" si="492"/>
        <v>Omde dag Nal./Vol</v>
      </c>
      <c r="Q1309" s="141" t="str">
        <f t="shared" si="493"/>
        <v>Omde dag Vol/Nal.</v>
      </c>
      <c r="R1309" s="64" t="s">
        <v>1470</v>
      </c>
      <c r="S1309" s="142">
        <f t="shared" si="501"/>
        <v>365</v>
      </c>
      <c r="T1309" s="157">
        <v>32</v>
      </c>
      <c r="U1309" s="158"/>
      <c r="V1309" s="158"/>
      <c r="W1309" s="158"/>
      <c r="X1309" s="158"/>
      <c r="Y1309" s="158"/>
      <c r="Z1309" s="159"/>
      <c r="AA1309" s="159"/>
      <c r="AB1309" s="159"/>
      <c r="AC1309" s="159"/>
      <c r="AD1309" s="160"/>
      <c r="AE1309" s="171">
        <v>1</v>
      </c>
      <c r="AF1309" s="162">
        <f t="shared" si="497"/>
        <v>0</v>
      </c>
      <c r="AG1309" s="162">
        <f t="shared" si="498"/>
        <v>0</v>
      </c>
      <c r="AH1309" s="162">
        <f t="shared" si="499"/>
        <v>0</v>
      </c>
      <c r="AI1309" s="162">
        <f t="shared" si="500"/>
        <v>0</v>
      </c>
      <c r="AJ1309" s="148" t="str">
        <f t="shared" si="494"/>
        <v>ja</v>
      </c>
      <c r="AK1309" s="161">
        <f t="shared" si="502"/>
        <v>0</v>
      </c>
      <c r="AL1309" s="161">
        <f t="shared" si="503"/>
        <v>0</v>
      </c>
      <c r="AM1309" s="161">
        <f t="shared" si="504"/>
        <v>0</v>
      </c>
      <c r="AN1309" s="161">
        <f t="shared" si="505"/>
        <v>0</v>
      </c>
      <c r="AO1309" s="150" t="str">
        <f t="shared" si="495"/>
        <v>V</v>
      </c>
      <c r="AQ1309" s="151">
        <f t="shared" si="496"/>
        <v>11680</v>
      </c>
    </row>
    <row r="1310" spans="1:43" ht="15" customHeight="1">
      <c r="A1310" s="82" t="e">
        <f t="shared" si="506"/>
        <v>#REF!</v>
      </c>
      <c r="B1310" s="152">
        <v>312</v>
      </c>
      <c r="C1310" s="153" t="s">
        <v>1348</v>
      </c>
      <c r="D1310" s="154" t="s">
        <v>1331</v>
      </c>
      <c r="E1310" s="155"/>
      <c r="F1310" s="64" t="s">
        <v>1377</v>
      </c>
      <c r="G1310" s="156"/>
      <c r="H1310" s="140" t="str">
        <f t="shared" si="486"/>
        <v>Liften</v>
      </c>
      <c r="I1310" s="64" t="s">
        <v>1109</v>
      </c>
      <c r="J1310" s="64" t="s">
        <v>1255</v>
      </c>
      <c r="K1310" s="141" t="str">
        <f t="shared" si="487"/>
        <v>Volledig</v>
      </c>
      <c r="L1310" s="141" t="str">
        <f t="shared" si="488"/>
        <v>naloop</v>
      </c>
      <c r="M1310" s="141" t="str">
        <f t="shared" si="489"/>
        <v>naloop</v>
      </c>
      <c r="N1310" s="141" t="str">
        <f t="shared" si="490"/>
        <v>Volledig</v>
      </c>
      <c r="O1310" s="141" t="str">
        <f t="shared" si="491"/>
        <v>naloop</v>
      </c>
      <c r="P1310" s="141" t="str">
        <f t="shared" si="492"/>
        <v>naloop</v>
      </c>
      <c r="Q1310" s="141" t="str">
        <f t="shared" si="493"/>
        <v>naloop</v>
      </c>
      <c r="R1310" s="64" t="s">
        <v>1212</v>
      </c>
      <c r="S1310" s="142">
        <f t="shared" si="501"/>
        <v>365</v>
      </c>
      <c r="T1310" s="157">
        <v>5</v>
      </c>
      <c r="U1310" s="158"/>
      <c r="V1310" s="158" t="s">
        <v>1356</v>
      </c>
      <c r="W1310" s="158"/>
      <c r="X1310" s="158"/>
      <c r="Y1310" s="158"/>
      <c r="Z1310" s="159"/>
      <c r="AA1310" s="159"/>
      <c r="AB1310" s="159"/>
      <c r="AC1310" s="159"/>
      <c r="AD1310" s="160"/>
      <c r="AE1310" s="171">
        <v>1</v>
      </c>
      <c r="AF1310" s="162">
        <f t="shared" si="497"/>
        <v>0</v>
      </c>
      <c r="AG1310" s="162">
        <f t="shared" si="498"/>
        <v>0</v>
      </c>
      <c r="AH1310" s="162">
        <f t="shared" si="499"/>
        <v>0</v>
      </c>
      <c r="AI1310" s="162">
        <f t="shared" si="500"/>
        <v>0</v>
      </c>
      <c r="AJ1310" s="148" t="str">
        <f t="shared" si="494"/>
        <v>ja</v>
      </c>
      <c r="AK1310" s="161">
        <f t="shared" si="502"/>
        <v>0</v>
      </c>
      <c r="AL1310" s="161">
        <f t="shared" si="503"/>
        <v>0</v>
      </c>
      <c r="AM1310" s="161">
        <f t="shared" si="504"/>
        <v>0</v>
      </c>
      <c r="AN1310" s="161">
        <f t="shared" si="505"/>
        <v>0</v>
      </c>
      <c r="AO1310" s="150" t="str">
        <f t="shared" si="495"/>
        <v>V</v>
      </c>
      <c r="AQ1310" s="151">
        <f t="shared" si="496"/>
        <v>1825</v>
      </c>
    </row>
  </sheetData>
  <autoFilter ref="A11:AS1310" xr:uid="{2FAADF5A-D8AD-411E-B65F-FCCD49BA0CCF}"/>
  <phoneticPr fontId="13"/>
  <printOptions horizontalCentered="1" gridLinesSet="0"/>
  <pageMargins left="0.19685039370078741" right="0.19685039370078741" top="0.59055118110236227" bottom="0.78740157480314965" header="0.39370078740157483" footer="0.19685039370078741"/>
  <pageSetup paperSize="8" scale="46" orientation="landscape" r:id="rId1"/>
  <headerFooter>
    <oddFooter>&amp;L&amp;"Verdana,Regular"&amp;F-&amp;A_x000D_Atir b.v. ©&amp;C&amp;R&amp;"Verdana,Regular"printversie &amp;D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U50"/>
  <sheetViews>
    <sheetView showGridLines="0" zoomScaleNormal="100" workbookViewId="0">
      <pane ySplit="11" topLeftCell="A12" activePane="bottomLeft" state="frozen"/>
      <selection activeCell="D6" sqref="D6"/>
      <selection pane="bottomLeft" activeCell="D17" sqref="D17"/>
    </sheetView>
  </sheetViews>
  <sheetFormatPr defaultColWidth="10.7109375" defaultRowHeight="13.5"/>
  <cols>
    <col min="1" max="1" width="28.7109375" style="208" customWidth="1"/>
    <col min="2" max="2" width="16.85546875" style="208" customWidth="1"/>
    <col min="3" max="3" width="31.42578125" style="208" customWidth="1"/>
    <col min="4" max="4" width="23.5703125" style="208" customWidth="1"/>
    <col min="5" max="9" width="12.85546875" style="208" customWidth="1"/>
    <col min="10" max="11" width="11.5703125" style="208" customWidth="1"/>
    <col min="12" max="12" width="9.85546875" style="208" bestFit="1" customWidth="1"/>
    <col min="13" max="13" width="7.28515625" style="208" customWidth="1"/>
    <col min="14" max="20" width="11" style="208" customWidth="1"/>
    <col min="21" max="16384" width="10.7109375" style="208"/>
  </cols>
  <sheetData>
    <row r="1" spans="1:21" s="178" customFormat="1">
      <c r="A1" s="290" t="s">
        <v>9</v>
      </c>
      <c r="B1" s="172"/>
      <c r="C1" s="173"/>
      <c r="D1" s="173"/>
      <c r="E1" s="174"/>
      <c r="F1" s="174"/>
      <c r="G1" s="174"/>
      <c r="H1" s="174"/>
      <c r="I1" s="174"/>
      <c r="J1" s="175"/>
      <c r="K1" s="175"/>
      <c r="L1" s="176"/>
      <c r="M1" s="177"/>
      <c r="U1" s="179"/>
    </row>
    <row r="2" spans="1:21" s="178" customFormat="1">
      <c r="A2" s="172"/>
      <c r="B2" s="172"/>
      <c r="C2" s="173"/>
      <c r="D2" s="173"/>
      <c r="E2" s="174"/>
      <c r="F2" s="174"/>
      <c r="G2" s="174"/>
      <c r="H2" s="174"/>
      <c r="I2" s="174"/>
      <c r="J2" s="175"/>
      <c r="K2" s="175"/>
      <c r="L2" s="176"/>
      <c r="M2" s="177"/>
      <c r="U2" s="179"/>
    </row>
    <row r="3" spans="1:21" s="8" customFormat="1" ht="17.25">
      <c r="A3" s="80" t="str">
        <f>'1-Inschrijfstaat'!A3</f>
        <v>Naam opdrachtgever</v>
      </c>
      <c r="B3" s="53" t="str">
        <f>'1-Inschrijfstaat'!B3</f>
        <v>GVB Infra B.V.</v>
      </c>
      <c r="D3" s="180" t="s">
        <v>1167</v>
      </c>
      <c r="U3" s="179"/>
    </row>
    <row r="4" spans="1:21" s="8" customFormat="1" ht="17.25">
      <c r="A4" s="80" t="str">
        <f>'1-Inschrijfstaat'!A4</f>
        <v>Calculatie onderdeel</v>
      </c>
      <c r="B4" s="53" t="str">
        <f ca="1">MID(CELL("bestandsnaam",$C$9),SEARCH("]",CELL("bestandsnaam",$C$9),1)+1,256)</f>
        <v>4-Kengetal</v>
      </c>
      <c r="C4" s="6"/>
      <c r="D4" s="70" t="s">
        <v>1578</v>
      </c>
      <c r="F4" s="174"/>
      <c r="G4" s="174"/>
      <c r="H4" s="174"/>
      <c r="I4" s="174"/>
      <c r="J4" s="175"/>
      <c r="K4" s="175"/>
      <c r="U4" s="179"/>
    </row>
    <row r="5" spans="1:21" s="8" customFormat="1" ht="17.25">
      <c r="A5" s="80" t="str">
        <f>'1-Inschrijfstaat'!A5</f>
        <v>Gebouw/plaats</v>
      </c>
      <c r="B5" s="53" t="str">
        <f>'1-Inschrijfstaat'!B5</f>
        <v>Diverse</v>
      </c>
      <c r="C5" s="6"/>
      <c r="D5" s="70" t="s">
        <v>1579</v>
      </c>
      <c r="F5" s="174"/>
      <c r="G5" s="174"/>
      <c r="H5" s="174"/>
      <c r="I5" s="174"/>
      <c r="J5" s="175"/>
      <c r="K5" s="175"/>
      <c r="U5" s="179"/>
    </row>
    <row r="6" spans="1:21" s="8" customFormat="1" ht="17.25">
      <c r="A6" s="80" t="str">
        <f>'1-Inschrijfstaat'!A6</f>
        <v>Besteknummer</v>
      </c>
      <c r="B6" s="53" t="str">
        <f>'1-Inschrijfstaat'!B6</f>
        <v>2021-03</v>
      </c>
      <c r="C6" s="6"/>
      <c r="D6" s="70"/>
      <c r="F6" s="174"/>
      <c r="G6" s="174"/>
      <c r="H6" s="174"/>
      <c r="I6" s="174"/>
      <c r="J6" s="175"/>
      <c r="K6" s="175"/>
      <c r="U6" s="179"/>
    </row>
    <row r="7" spans="1:21" s="8" customFormat="1" ht="17.25">
      <c r="A7" s="80" t="str">
        <f>'1-Inschrijfstaat'!A7</f>
        <v>Naam leverancier</v>
      </c>
      <c r="B7" s="53" t="str">
        <f>'1-Inschrijfstaat'!B7:D7</f>
        <v>Naam dienstverlener</v>
      </c>
      <c r="C7" s="6"/>
      <c r="D7" s="6"/>
      <c r="E7" s="181"/>
      <c r="F7" s="181"/>
      <c r="G7" s="181"/>
      <c r="H7" s="181"/>
      <c r="I7" s="181"/>
      <c r="J7" s="182"/>
      <c r="K7" s="182"/>
      <c r="U7" s="179"/>
    </row>
    <row r="8" spans="1:21" s="8" customFormat="1" ht="17.25">
      <c r="A8" s="80" t="str">
        <f>'1-Inschrijfstaat'!A8</f>
        <v>Prijspeil</v>
      </c>
      <c r="B8" s="9" t="str">
        <f>'1-Inschrijfstaat'!B8</f>
        <v>1 juni 2021</v>
      </c>
      <c r="C8" s="6"/>
      <c r="D8" s="6"/>
      <c r="E8" s="181"/>
      <c r="F8" s="181"/>
      <c r="G8" s="181"/>
      <c r="H8" s="181"/>
      <c r="I8" s="181"/>
      <c r="J8" s="182"/>
      <c r="K8" s="182"/>
      <c r="U8" s="179"/>
    </row>
    <row r="9" spans="1:21" s="8" customFormat="1" ht="17.25">
      <c r="A9" s="80" t="str">
        <f>'1-Inschrijfstaat'!A9</f>
        <v>Perceel</v>
      </c>
      <c r="B9" s="10" t="str">
        <f>'1-Inschrijfstaat'!B9</f>
        <v>1 Comfort schoonmaak</v>
      </c>
      <c r="C9" s="6"/>
      <c r="D9" s="6"/>
      <c r="E9" s="6"/>
      <c r="F9" s="6"/>
      <c r="G9" s="6"/>
      <c r="H9" s="6"/>
      <c r="I9" s="6"/>
      <c r="J9" s="6"/>
      <c r="K9" s="182"/>
      <c r="U9" s="179"/>
    </row>
    <row r="10" spans="1:21" s="178" customFormat="1">
      <c r="A10" s="183"/>
      <c r="B10" s="184"/>
      <c r="C10" s="185"/>
      <c r="D10" s="185"/>
      <c r="E10" s="185"/>
      <c r="F10" s="185"/>
      <c r="G10" s="185"/>
      <c r="H10" s="185"/>
      <c r="I10" s="185"/>
      <c r="J10" s="185"/>
      <c r="K10" s="175"/>
      <c r="L10" s="176"/>
      <c r="M10" s="177"/>
      <c r="U10" s="179"/>
    </row>
    <row r="11" spans="1:21" s="70" customFormat="1" ht="38.25">
      <c r="A11" s="168" t="s">
        <v>1531</v>
      </c>
      <c r="B11" s="168" t="s">
        <v>1532</v>
      </c>
      <c r="C11" s="168" t="s">
        <v>1533</v>
      </c>
      <c r="D11" s="168" t="s">
        <v>1534</v>
      </c>
      <c r="E11" s="210" t="s">
        <v>1535</v>
      </c>
      <c r="F11" s="210" t="s">
        <v>1536</v>
      </c>
      <c r="G11" s="210" t="s">
        <v>1537</v>
      </c>
      <c r="H11" s="210" t="s">
        <v>1538</v>
      </c>
      <c r="I11" s="170" t="s">
        <v>1539</v>
      </c>
      <c r="J11" s="170" t="s">
        <v>1540</v>
      </c>
      <c r="K11" s="170" t="s">
        <v>1541</v>
      </c>
      <c r="L11" s="210" t="s">
        <v>1542</v>
      </c>
      <c r="M11" s="210" t="s">
        <v>1169</v>
      </c>
      <c r="N11" s="210" t="s">
        <v>1134</v>
      </c>
      <c r="O11" s="210" t="s">
        <v>1135</v>
      </c>
      <c r="P11" s="210" t="s">
        <v>1136</v>
      </c>
      <c r="Q11" s="210" t="s">
        <v>1137</v>
      </c>
      <c r="R11" s="210" t="s">
        <v>1138</v>
      </c>
      <c r="S11" s="210" t="s">
        <v>1139</v>
      </c>
      <c r="T11" s="210" t="s">
        <v>1140</v>
      </c>
      <c r="U11" s="179"/>
    </row>
    <row r="12" spans="1:21" s="179" customFormat="1">
      <c r="A12" s="186" t="s">
        <v>1208</v>
      </c>
      <c r="B12" s="187">
        <v>365</v>
      </c>
      <c r="C12" s="188" t="s">
        <v>130</v>
      </c>
      <c r="D12" s="189" t="s">
        <v>1170</v>
      </c>
      <c r="E12" s="211"/>
      <c r="F12" s="211"/>
      <c r="G12" s="190"/>
      <c r="H12" s="211"/>
      <c r="I12" s="212">
        <f>SUM(E12:H12)</f>
        <v>0</v>
      </c>
      <c r="J12" s="191">
        <f t="shared" ref="J12:J13" si="0">IF(E12=0,0,B12/(E12+F12+G12+H12))</f>
        <v>0</v>
      </c>
      <c r="K12" s="192">
        <f>SUMIF('3-Ruimtestaat'!R:R,A12,'3-Ruimtestaat'!T:T)</f>
        <v>16679</v>
      </c>
      <c r="L12" s="193" t="s">
        <v>1248</v>
      </c>
      <c r="M12" s="194" t="s">
        <v>1272</v>
      </c>
      <c r="N12" s="195" t="s">
        <v>1224</v>
      </c>
      <c r="O12" s="195" t="s">
        <v>1223</v>
      </c>
      <c r="P12" s="195" t="s">
        <v>1223</v>
      </c>
      <c r="Q12" s="195" t="s">
        <v>1224</v>
      </c>
      <c r="R12" s="195" t="s">
        <v>1223</v>
      </c>
      <c r="S12" s="195" t="s">
        <v>1223</v>
      </c>
      <c r="T12" s="195" t="s">
        <v>1223</v>
      </c>
    </row>
    <row r="13" spans="1:21" s="412" customFormat="1" ht="40.5">
      <c r="A13" s="401" t="s">
        <v>1209</v>
      </c>
      <c r="B13" s="402">
        <v>365</v>
      </c>
      <c r="C13" s="403" t="s">
        <v>130</v>
      </c>
      <c r="D13" s="404" t="s">
        <v>1171</v>
      </c>
      <c r="E13" s="405"/>
      <c r="F13" s="405"/>
      <c r="G13" s="405"/>
      <c r="H13" s="405"/>
      <c r="I13" s="406">
        <f t="shared" ref="I13:I44" si="1">SUM(E13:H13)</f>
        <v>0</v>
      </c>
      <c r="J13" s="407">
        <f t="shared" si="0"/>
        <v>0</v>
      </c>
      <c r="K13" s="408">
        <f>SUMIF('3-Ruimtestaat'!R:R,A13,'3-Ruimtestaat'!T:T)</f>
        <v>10316</v>
      </c>
      <c r="L13" s="409" t="s">
        <v>1248</v>
      </c>
      <c r="M13" s="410" t="s">
        <v>1272</v>
      </c>
      <c r="N13" s="411" t="s">
        <v>1576</v>
      </c>
      <c r="O13" s="411" t="s">
        <v>1577</v>
      </c>
      <c r="P13" s="411" t="s">
        <v>1576</v>
      </c>
      <c r="Q13" s="411" t="s">
        <v>1577</v>
      </c>
      <c r="R13" s="411" t="s">
        <v>1576</v>
      </c>
      <c r="S13" s="411" t="s">
        <v>1577</v>
      </c>
      <c r="T13" s="411" t="s">
        <v>1576</v>
      </c>
    </row>
    <row r="14" spans="1:21" s="179" customFormat="1">
      <c r="A14" s="186" t="s">
        <v>1472</v>
      </c>
      <c r="B14" s="187">
        <v>365</v>
      </c>
      <c r="C14" s="188" t="s">
        <v>130</v>
      </c>
      <c r="D14" s="189" t="s">
        <v>1170</v>
      </c>
      <c r="E14" s="211"/>
      <c r="F14" s="211"/>
      <c r="G14" s="190"/>
      <c r="H14" s="211"/>
      <c r="I14" s="212">
        <f t="shared" si="1"/>
        <v>0</v>
      </c>
      <c r="J14" s="191">
        <f t="shared" ref="J14:J30" si="2">IF(E14=0,0,B14/(E14+F14+G14+H14))</f>
        <v>0</v>
      </c>
      <c r="K14" s="192">
        <f>SUMIF('3-Ruimtestaat'!R:R,A14,'3-Ruimtestaat'!T:T)</f>
        <v>16470.009999999998</v>
      </c>
      <c r="L14" s="193" t="s">
        <v>1248</v>
      </c>
      <c r="M14" s="194" t="s">
        <v>1272</v>
      </c>
      <c r="N14" s="195" t="s">
        <v>1224</v>
      </c>
      <c r="O14" s="195" t="s">
        <v>1223</v>
      </c>
      <c r="P14" s="195" t="s">
        <v>1223</v>
      </c>
      <c r="Q14" s="195" t="s">
        <v>1224</v>
      </c>
      <c r="R14" s="195" t="s">
        <v>1223</v>
      </c>
      <c r="S14" s="195" t="s">
        <v>1223</v>
      </c>
      <c r="T14" s="195" t="s">
        <v>1223</v>
      </c>
    </row>
    <row r="15" spans="1:21" s="412" customFormat="1" ht="40.5">
      <c r="A15" s="401" t="s">
        <v>1473</v>
      </c>
      <c r="B15" s="402">
        <v>365</v>
      </c>
      <c r="C15" s="403" t="s">
        <v>130</v>
      </c>
      <c r="D15" s="404" t="s">
        <v>1171</v>
      </c>
      <c r="E15" s="405"/>
      <c r="F15" s="405"/>
      <c r="G15" s="405"/>
      <c r="H15" s="405"/>
      <c r="I15" s="406">
        <f t="shared" si="1"/>
        <v>0</v>
      </c>
      <c r="J15" s="407">
        <f t="shared" si="2"/>
        <v>0</v>
      </c>
      <c r="K15" s="408">
        <f>SUMIF('3-Ruimtestaat'!R:R,A15,'3-Ruimtestaat'!T:T)</f>
        <v>15783.255499999999</v>
      </c>
      <c r="L15" s="409" t="s">
        <v>1248</v>
      </c>
      <c r="M15" s="410" t="s">
        <v>1272</v>
      </c>
      <c r="N15" s="411" t="s">
        <v>1576</v>
      </c>
      <c r="O15" s="411" t="s">
        <v>1577</v>
      </c>
      <c r="P15" s="411" t="s">
        <v>1576</v>
      </c>
      <c r="Q15" s="411" t="s">
        <v>1577</v>
      </c>
      <c r="R15" s="411" t="s">
        <v>1576</v>
      </c>
      <c r="S15" s="411" t="s">
        <v>1577</v>
      </c>
      <c r="T15" s="411" t="s">
        <v>1576</v>
      </c>
    </row>
    <row r="16" spans="1:21" s="179" customFormat="1">
      <c r="A16" s="186" t="s">
        <v>1210</v>
      </c>
      <c r="B16" s="187">
        <v>365</v>
      </c>
      <c r="C16" s="188" t="s">
        <v>149</v>
      </c>
      <c r="D16" s="189" t="s">
        <v>1170</v>
      </c>
      <c r="E16" s="211"/>
      <c r="F16" s="211"/>
      <c r="G16" s="190"/>
      <c r="H16" s="211"/>
      <c r="I16" s="212">
        <f t="shared" si="1"/>
        <v>0</v>
      </c>
      <c r="J16" s="191">
        <f t="shared" si="2"/>
        <v>0</v>
      </c>
      <c r="K16" s="192">
        <f>SUMIF('3-Ruimtestaat'!R:R,A16,'3-Ruimtestaat'!T:T)</f>
        <v>56.17</v>
      </c>
      <c r="L16" s="193" t="s">
        <v>1248</v>
      </c>
      <c r="M16" s="194" t="s">
        <v>1273</v>
      </c>
      <c r="N16" s="195" t="s">
        <v>1224</v>
      </c>
      <c r="O16" s="195" t="s">
        <v>1223</v>
      </c>
      <c r="P16" s="195" t="s">
        <v>1223</v>
      </c>
      <c r="Q16" s="195" t="s">
        <v>1224</v>
      </c>
      <c r="R16" s="195" t="s">
        <v>1223</v>
      </c>
      <c r="S16" s="195" t="s">
        <v>1223</v>
      </c>
      <c r="T16" s="195" t="s">
        <v>1223</v>
      </c>
    </row>
    <row r="17" spans="1:20" s="412" customFormat="1" ht="40.5">
      <c r="A17" s="401" t="s">
        <v>1211</v>
      </c>
      <c r="B17" s="402">
        <v>365</v>
      </c>
      <c r="C17" s="403" t="s">
        <v>149</v>
      </c>
      <c r="D17" s="404" t="s">
        <v>1171</v>
      </c>
      <c r="E17" s="405"/>
      <c r="F17" s="405"/>
      <c r="G17" s="405"/>
      <c r="H17" s="405"/>
      <c r="I17" s="406">
        <f t="shared" si="1"/>
        <v>0</v>
      </c>
      <c r="J17" s="407">
        <f t="shared" si="2"/>
        <v>0</v>
      </c>
      <c r="K17" s="408">
        <f>SUMIF('3-Ruimtestaat'!R:R,A17,'3-Ruimtestaat'!T:T)</f>
        <v>136.00225000000003</v>
      </c>
      <c r="L17" s="409" t="s">
        <v>1248</v>
      </c>
      <c r="M17" s="410" t="s">
        <v>1273</v>
      </c>
      <c r="N17" s="411" t="s">
        <v>1576</v>
      </c>
      <c r="O17" s="411" t="s">
        <v>1577</v>
      </c>
      <c r="P17" s="411" t="s">
        <v>1576</v>
      </c>
      <c r="Q17" s="411" t="s">
        <v>1577</v>
      </c>
      <c r="R17" s="411" t="s">
        <v>1576</v>
      </c>
      <c r="S17" s="411" t="s">
        <v>1577</v>
      </c>
      <c r="T17" s="411" t="s">
        <v>1576</v>
      </c>
    </row>
    <row r="18" spans="1:20" s="179" customFormat="1">
      <c r="A18" s="186" t="s">
        <v>1222</v>
      </c>
      <c r="B18" s="187">
        <v>365</v>
      </c>
      <c r="C18" s="188" t="s">
        <v>133</v>
      </c>
      <c r="D18" s="189" t="s">
        <v>1170</v>
      </c>
      <c r="E18" s="211"/>
      <c r="F18" s="211"/>
      <c r="G18" s="190"/>
      <c r="H18" s="211"/>
      <c r="I18" s="212">
        <f t="shared" si="1"/>
        <v>0</v>
      </c>
      <c r="J18" s="191">
        <f t="shared" si="2"/>
        <v>0</v>
      </c>
      <c r="K18" s="192">
        <f>SUMIF('3-Ruimtestaat'!R:R,A18,'3-Ruimtestaat'!T:T)</f>
        <v>27.9</v>
      </c>
      <c r="L18" s="193" t="s">
        <v>1248</v>
      </c>
      <c r="M18" s="194" t="s">
        <v>1272</v>
      </c>
      <c r="N18" s="195" t="s">
        <v>1224</v>
      </c>
      <c r="O18" s="195" t="s">
        <v>1223</v>
      </c>
      <c r="P18" s="195" t="s">
        <v>1223</v>
      </c>
      <c r="Q18" s="195" t="s">
        <v>1224</v>
      </c>
      <c r="R18" s="195" t="s">
        <v>1223</v>
      </c>
      <c r="S18" s="195" t="s">
        <v>1223</v>
      </c>
      <c r="T18" s="195" t="s">
        <v>1223</v>
      </c>
    </row>
    <row r="19" spans="1:20" s="412" customFormat="1" ht="40.5">
      <c r="A19" s="401" t="s">
        <v>1265</v>
      </c>
      <c r="B19" s="402">
        <v>365</v>
      </c>
      <c r="C19" s="403" t="s">
        <v>133</v>
      </c>
      <c r="D19" s="404" t="s">
        <v>1171</v>
      </c>
      <c r="E19" s="405"/>
      <c r="F19" s="405"/>
      <c r="G19" s="405"/>
      <c r="H19" s="405"/>
      <c r="I19" s="406">
        <f t="shared" si="1"/>
        <v>0</v>
      </c>
      <c r="J19" s="407">
        <f t="shared" si="2"/>
        <v>0</v>
      </c>
      <c r="K19" s="408">
        <f>SUMIF('3-Ruimtestaat'!R:R,A19,'3-Ruimtestaat'!T:T)</f>
        <v>92.51</v>
      </c>
      <c r="L19" s="409" t="s">
        <v>1248</v>
      </c>
      <c r="M19" s="410" t="s">
        <v>1272</v>
      </c>
      <c r="N19" s="411" t="s">
        <v>1576</v>
      </c>
      <c r="O19" s="411" t="s">
        <v>1577</v>
      </c>
      <c r="P19" s="411" t="s">
        <v>1576</v>
      </c>
      <c r="Q19" s="411" t="s">
        <v>1577</v>
      </c>
      <c r="R19" s="411" t="s">
        <v>1576</v>
      </c>
      <c r="S19" s="411" t="s">
        <v>1577</v>
      </c>
      <c r="T19" s="411" t="s">
        <v>1576</v>
      </c>
    </row>
    <row r="20" spans="1:20" s="179" customFormat="1">
      <c r="A20" s="186" t="s">
        <v>1212</v>
      </c>
      <c r="B20" s="187">
        <v>365</v>
      </c>
      <c r="C20" s="188" t="s">
        <v>180</v>
      </c>
      <c r="D20" s="189" t="s">
        <v>1170</v>
      </c>
      <c r="E20" s="211"/>
      <c r="F20" s="211"/>
      <c r="G20" s="190"/>
      <c r="H20" s="211"/>
      <c r="I20" s="212">
        <f t="shared" si="1"/>
        <v>0</v>
      </c>
      <c r="J20" s="191">
        <f t="shared" ref="J20:J21" si="3">IF(E20=0,0,B20/(E20+F20+G20+H20))</f>
        <v>0</v>
      </c>
      <c r="K20" s="192">
        <f>SUMIF('3-Ruimtestaat'!R:R,A20,'3-Ruimtestaat'!T:T)</f>
        <v>73</v>
      </c>
      <c r="L20" s="193" t="s">
        <v>1248</v>
      </c>
      <c r="M20" s="194" t="s">
        <v>1272</v>
      </c>
      <c r="N20" s="195" t="s">
        <v>1224</v>
      </c>
      <c r="O20" s="195" t="s">
        <v>1223</v>
      </c>
      <c r="P20" s="195" t="s">
        <v>1223</v>
      </c>
      <c r="Q20" s="195" t="s">
        <v>1224</v>
      </c>
      <c r="R20" s="195" t="s">
        <v>1223</v>
      </c>
      <c r="S20" s="195" t="s">
        <v>1223</v>
      </c>
      <c r="T20" s="195" t="s">
        <v>1223</v>
      </c>
    </row>
    <row r="21" spans="1:20" s="412" customFormat="1" ht="40.5">
      <c r="A21" s="401" t="s">
        <v>1213</v>
      </c>
      <c r="B21" s="402">
        <v>365</v>
      </c>
      <c r="C21" s="403" t="s">
        <v>180</v>
      </c>
      <c r="D21" s="404" t="s">
        <v>1171</v>
      </c>
      <c r="E21" s="405"/>
      <c r="F21" s="405"/>
      <c r="G21" s="405"/>
      <c r="H21" s="405"/>
      <c r="I21" s="406">
        <f t="shared" si="1"/>
        <v>0</v>
      </c>
      <c r="J21" s="407">
        <f t="shared" si="3"/>
        <v>0</v>
      </c>
      <c r="K21" s="408">
        <f>SUMIF('3-Ruimtestaat'!R:R,A21,'3-Ruimtestaat'!T:T)</f>
        <v>52</v>
      </c>
      <c r="L21" s="409" t="s">
        <v>1248</v>
      </c>
      <c r="M21" s="410" t="s">
        <v>1272</v>
      </c>
      <c r="N21" s="411" t="s">
        <v>1576</v>
      </c>
      <c r="O21" s="411" t="s">
        <v>1577</v>
      </c>
      <c r="P21" s="411" t="s">
        <v>1576</v>
      </c>
      <c r="Q21" s="411" t="s">
        <v>1577</v>
      </c>
      <c r="R21" s="411" t="s">
        <v>1576</v>
      </c>
      <c r="S21" s="411" t="s">
        <v>1577</v>
      </c>
      <c r="T21" s="411" t="s">
        <v>1576</v>
      </c>
    </row>
    <row r="22" spans="1:20" s="179" customFormat="1">
      <c r="A22" s="186" t="s">
        <v>1474</v>
      </c>
      <c r="B22" s="187">
        <v>365</v>
      </c>
      <c r="C22" s="188" t="s">
        <v>180</v>
      </c>
      <c r="D22" s="189" t="s">
        <v>1170</v>
      </c>
      <c r="E22" s="211"/>
      <c r="F22" s="211"/>
      <c r="G22" s="190"/>
      <c r="H22" s="211"/>
      <c r="I22" s="212">
        <f t="shared" si="1"/>
        <v>0</v>
      </c>
      <c r="J22" s="191">
        <f t="shared" si="2"/>
        <v>0</v>
      </c>
      <c r="K22" s="192">
        <f>SUMIF('3-Ruimtestaat'!R:R,A22,'3-Ruimtestaat'!T:T)</f>
        <v>53.349999999999994</v>
      </c>
      <c r="L22" s="193" t="s">
        <v>1248</v>
      </c>
      <c r="M22" s="194" t="s">
        <v>1272</v>
      </c>
      <c r="N22" s="195" t="s">
        <v>1224</v>
      </c>
      <c r="O22" s="195" t="s">
        <v>1223</v>
      </c>
      <c r="P22" s="195" t="s">
        <v>1223</v>
      </c>
      <c r="Q22" s="195" t="s">
        <v>1224</v>
      </c>
      <c r="R22" s="195" t="s">
        <v>1223</v>
      </c>
      <c r="S22" s="195" t="s">
        <v>1223</v>
      </c>
      <c r="T22" s="195" t="s">
        <v>1223</v>
      </c>
    </row>
    <row r="23" spans="1:20" s="412" customFormat="1" ht="40.5">
      <c r="A23" s="401" t="s">
        <v>1475</v>
      </c>
      <c r="B23" s="402">
        <v>365</v>
      </c>
      <c r="C23" s="403" t="s">
        <v>180</v>
      </c>
      <c r="D23" s="404" t="s">
        <v>1171</v>
      </c>
      <c r="E23" s="405"/>
      <c r="F23" s="405"/>
      <c r="G23" s="405"/>
      <c r="H23" s="405"/>
      <c r="I23" s="406">
        <f t="shared" si="1"/>
        <v>0</v>
      </c>
      <c r="J23" s="407">
        <f t="shared" si="2"/>
        <v>0</v>
      </c>
      <c r="K23" s="408">
        <f>SUMIF('3-Ruimtestaat'!R:R,A23,'3-Ruimtestaat'!T:T)</f>
        <v>111.99524999999997</v>
      </c>
      <c r="L23" s="409" t="s">
        <v>1248</v>
      </c>
      <c r="M23" s="410" t="s">
        <v>1272</v>
      </c>
      <c r="N23" s="411" t="s">
        <v>1576</v>
      </c>
      <c r="O23" s="411" t="s">
        <v>1577</v>
      </c>
      <c r="P23" s="411" t="s">
        <v>1576</v>
      </c>
      <c r="Q23" s="411" t="s">
        <v>1577</v>
      </c>
      <c r="R23" s="411" t="s">
        <v>1576</v>
      </c>
      <c r="S23" s="411" t="s">
        <v>1577</v>
      </c>
      <c r="T23" s="411" t="s">
        <v>1576</v>
      </c>
    </row>
    <row r="24" spans="1:20" s="179" customFormat="1">
      <c r="A24" s="186" t="s">
        <v>1214</v>
      </c>
      <c r="B24" s="187">
        <v>365</v>
      </c>
      <c r="C24" s="188" t="s">
        <v>169</v>
      </c>
      <c r="D24" s="189" t="s">
        <v>1170</v>
      </c>
      <c r="E24" s="211"/>
      <c r="F24" s="211"/>
      <c r="G24" s="190"/>
      <c r="H24" s="211"/>
      <c r="I24" s="212">
        <f t="shared" si="1"/>
        <v>0</v>
      </c>
      <c r="J24" s="191">
        <f t="shared" ref="J24:J25" si="4">IF(E24=0,0,B24/(E24+F24+G24+H24))</f>
        <v>0</v>
      </c>
      <c r="K24" s="192">
        <f>SUMIF('3-Ruimtestaat'!R:R,A24,'3-Ruimtestaat'!T:T)</f>
        <v>1242</v>
      </c>
      <c r="L24" s="193" t="s">
        <v>1248</v>
      </c>
      <c r="M24" s="194" t="s">
        <v>1272</v>
      </c>
      <c r="N24" s="195" t="s">
        <v>1224</v>
      </c>
      <c r="O24" s="195" t="s">
        <v>1223</v>
      </c>
      <c r="P24" s="195" t="s">
        <v>1223</v>
      </c>
      <c r="Q24" s="195" t="s">
        <v>1224</v>
      </c>
      <c r="R24" s="195" t="s">
        <v>1223</v>
      </c>
      <c r="S24" s="195" t="s">
        <v>1223</v>
      </c>
      <c r="T24" s="195" t="s">
        <v>1223</v>
      </c>
    </row>
    <row r="25" spans="1:20" s="412" customFormat="1" ht="40.5">
      <c r="A25" s="401" t="s">
        <v>1215</v>
      </c>
      <c r="B25" s="402">
        <v>365</v>
      </c>
      <c r="C25" s="403" t="s">
        <v>169</v>
      </c>
      <c r="D25" s="404" t="s">
        <v>1171</v>
      </c>
      <c r="E25" s="405"/>
      <c r="F25" s="405"/>
      <c r="G25" s="405"/>
      <c r="H25" s="405"/>
      <c r="I25" s="406">
        <f t="shared" si="1"/>
        <v>0</v>
      </c>
      <c r="J25" s="407">
        <f t="shared" si="4"/>
        <v>0</v>
      </c>
      <c r="K25" s="408">
        <f>SUMIF('3-Ruimtestaat'!R:R,A25,'3-Ruimtestaat'!T:T)</f>
        <v>635</v>
      </c>
      <c r="L25" s="409" t="s">
        <v>1248</v>
      </c>
      <c r="M25" s="410" t="s">
        <v>1272</v>
      </c>
      <c r="N25" s="411" t="s">
        <v>1576</v>
      </c>
      <c r="O25" s="411" t="s">
        <v>1577</v>
      </c>
      <c r="P25" s="411" t="s">
        <v>1576</v>
      </c>
      <c r="Q25" s="411" t="s">
        <v>1577</v>
      </c>
      <c r="R25" s="411" t="s">
        <v>1576</v>
      </c>
      <c r="S25" s="411" t="s">
        <v>1577</v>
      </c>
      <c r="T25" s="411" t="s">
        <v>1576</v>
      </c>
    </row>
    <row r="26" spans="1:20" s="179" customFormat="1">
      <c r="A26" s="186" t="s">
        <v>1476</v>
      </c>
      <c r="B26" s="187">
        <v>365</v>
      </c>
      <c r="C26" s="188" t="s">
        <v>169</v>
      </c>
      <c r="D26" s="189" t="s">
        <v>1170</v>
      </c>
      <c r="E26" s="211"/>
      <c r="F26" s="211"/>
      <c r="G26" s="190"/>
      <c r="H26" s="211"/>
      <c r="I26" s="212">
        <f t="shared" si="1"/>
        <v>0</v>
      </c>
      <c r="J26" s="191">
        <f t="shared" si="2"/>
        <v>0</v>
      </c>
      <c r="K26" s="192">
        <f>SUMIF('3-Ruimtestaat'!R:R,A26,'3-Ruimtestaat'!T:T)</f>
        <v>646.09</v>
      </c>
      <c r="L26" s="193" t="s">
        <v>1248</v>
      </c>
      <c r="M26" s="194" t="s">
        <v>1272</v>
      </c>
      <c r="N26" s="195" t="s">
        <v>1224</v>
      </c>
      <c r="O26" s="195" t="s">
        <v>1223</v>
      </c>
      <c r="P26" s="195" t="s">
        <v>1223</v>
      </c>
      <c r="Q26" s="195" t="s">
        <v>1224</v>
      </c>
      <c r="R26" s="195" t="s">
        <v>1223</v>
      </c>
      <c r="S26" s="195" t="s">
        <v>1223</v>
      </c>
      <c r="T26" s="195" t="s">
        <v>1223</v>
      </c>
    </row>
    <row r="27" spans="1:20" s="412" customFormat="1" ht="40.5">
      <c r="A27" s="401" t="s">
        <v>1477</v>
      </c>
      <c r="B27" s="402">
        <v>365</v>
      </c>
      <c r="C27" s="403" t="s">
        <v>169</v>
      </c>
      <c r="D27" s="404" t="s">
        <v>1171</v>
      </c>
      <c r="E27" s="405"/>
      <c r="F27" s="405"/>
      <c r="G27" s="405"/>
      <c r="H27" s="405"/>
      <c r="I27" s="406">
        <f t="shared" si="1"/>
        <v>0</v>
      </c>
      <c r="J27" s="407">
        <f t="shared" si="2"/>
        <v>0</v>
      </c>
      <c r="K27" s="408">
        <f>SUMIF('3-Ruimtestaat'!R:R,A27,'3-Ruimtestaat'!T:T)</f>
        <v>1646.8905</v>
      </c>
      <c r="L27" s="409" t="s">
        <v>1248</v>
      </c>
      <c r="M27" s="410" t="s">
        <v>1272</v>
      </c>
      <c r="N27" s="411" t="s">
        <v>1576</v>
      </c>
      <c r="O27" s="411" t="s">
        <v>1577</v>
      </c>
      <c r="P27" s="411" t="s">
        <v>1576</v>
      </c>
      <c r="Q27" s="411" t="s">
        <v>1577</v>
      </c>
      <c r="R27" s="411" t="s">
        <v>1576</v>
      </c>
      <c r="S27" s="411" t="s">
        <v>1577</v>
      </c>
      <c r="T27" s="411" t="s">
        <v>1576</v>
      </c>
    </row>
    <row r="28" spans="1:20" s="412" customFormat="1" ht="40.5">
      <c r="A28" s="401" t="s">
        <v>1216</v>
      </c>
      <c r="B28" s="402">
        <v>365</v>
      </c>
      <c r="C28" s="403" t="s">
        <v>128</v>
      </c>
      <c r="D28" s="404" t="s">
        <v>1171</v>
      </c>
      <c r="E28" s="405"/>
      <c r="F28" s="405"/>
      <c r="G28" s="405"/>
      <c r="H28" s="405"/>
      <c r="I28" s="406">
        <f t="shared" si="1"/>
        <v>0</v>
      </c>
      <c r="J28" s="407">
        <f t="shared" ref="J28" si="5">IF(E28=0,0,B28/(E28+F28+G28+H28))</f>
        <v>0</v>
      </c>
      <c r="K28" s="408">
        <f>SUMIF('3-Ruimtestaat'!R:R,A28,'3-Ruimtestaat'!T:T)</f>
        <v>2012</v>
      </c>
      <c r="L28" s="409" t="s">
        <v>1248</v>
      </c>
      <c r="M28" s="410" t="s">
        <v>1272</v>
      </c>
      <c r="N28" s="411" t="s">
        <v>1576</v>
      </c>
      <c r="O28" s="411" t="s">
        <v>1577</v>
      </c>
      <c r="P28" s="411" t="s">
        <v>1576</v>
      </c>
      <c r="Q28" s="411" t="s">
        <v>1577</v>
      </c>
      <c r="R28" s="411" t="s">
        <v>1576</v>
      </c>
      <c r="S28" s="411" t="s">
        <v>1577</v>
      </c>
      <c r="T28" s="411" t="s">
        <v>1576</v>
      </c>
    </row>
    <row r="29" spans="1:20" s="179" customFormat="1">
      <c r="A29" s="186" t="s">
        <v>1478</v>
      </c>
      <c r="B29" s="187">
        <v>365</v>
      </c>
      <c r="C29" s="188" t="s">
        <v>128</v>
      </c>
      <c r="D29" s="189" t="s">
        <v>1170</v>
      </c>
      <c r="E29" s="211"/>
      <c r="F29" s="211"/>
      <c r="G29" s="190"/>
      <c r="H29" s="211"/>
      <c r="I29" s="212">
        <f t="shared" si="1"/>
        <v>0</v>
      </c>
      <c r="J29" s="191">
        <f t="shared" si="2"/>
        <v>0</v>
      </c>
      <c r="K29" s="192">
        <f>SUMIF('3-Ruimtestaat'!R:R,A29,'3-Ruimtestaat'!T:T)</f>
        <v>2308.1786440677965</v>
      </c>
      <c r="L29" s="193" t="s">
        <v>1248</v>
      </c>
      <c r="M29" s="194" t="s">
        <v>1272</v>
      </c>
      <c r="N29" s="195" t="s">
        <v>1224</v>
      </c>
      <c r="O29" s="195" t="s">
        <v>1223</v>
      </c>
      <c r="P29" s="195" t="s">
        <v>1223</v>
      </c>
      <c r="Q29" s="195" t="s">
        <v>1224</v>
      </c>
      <c r="R29" s="195" t="s">
        <v>1223</v>
      </c>
      <c r="S29" s="195" t="s">
        <v>1223</v>
      </c>
      <c r="T29" s="195" t="s">
        <v>1223</v>
      </c>
    </row>
    <row r="30" spans="1:20" s="412" customFormat="1" ht="40.5">
      <c r="A30" s="401" t="s">
        <v>1479</v>
      </c>
      <c r="B30" s="402">
        <v>365</v>
      </c>
      <c r="C30" s="403" t="s">
        <v>128</v>
      </c>
      <c r="D30" s="404" t="s">
        <v>1171</v>
      </c>
      <c r="E30" s="405"/>
      <c r="F30" s="405"/>
      <c r="G30" s="405"/>
      <c r="H30" s="405"/>
      <c r="I30" s="406">
        <f t="shared" si="1"/>
        <v>0</v>
      </c>
      <c r="J30" s="407">
        <f t="shared" si="2"/>
        <v>0</v>
      </c>
      <c r="K30" s="408">
        <f>SUMIF('3-Ruimtestaat'!R:R,A30,'3-Ruimtestaat'!T:T)</f>
        <v>7088.5019999999995</v>
      </c>
      <c r="L30" s="409" t="s">
        <v>1248</v>
      </c>
      <c r="M30" s="410" t="s">
        <v>1272</v>
      </c>
      <c r="N30" s="411" t="s">
        <v>1576</v>
      </c>
      <c r="O30" s="411" t="s">
        <v>1577</v>
      </c>
      <c r="P30" s="411" t="s">
        <v>1576</v>
      </c>
      <c r="Q30" s="411" t="s">
        <v>1577</v>
      </c>
      <c r="R30" s="411" t="s">
        <v>1576</v>
      </c>
      <c r="S30" s="411" t="s">
        <v>1577</v>
      </c>
      <c r="T30" s="411" t="s">
        <v>1576</v>
      </c>
    </row>
    <row r="31" spans="1:20" s="179" customFormat="1">
      <c r="A31" s="186" t="s">
        <v>1217</v>
      </c>
      <c r="B31" s="187">
        <v>365</v>
      </c>
      <c r="C31" s="188" t="s">
        <v>176</v>
      </c>
      <c r="D31" s="189" t="s">
        <v>1170</v>
      </c>
      <c r="E31" s="211"/>
      <c r="F31" s="211"/>
      <c r="G31" s="190"/>
      <c r="H31" s="211"/>
      <c r="I31" s="212">
        <f t="shared" si="1"/>
        <v>0</v>
      </c>
      <c r="J31" s="191">
        <f t="shared" ref="J31:J32" si="6">IF(E31=0,0,B31/(E31+F31+G31+H31))</f>
        <v>0</v>
      </c>
      <c r="K31" s="192">
        <f>SUMIF('3-Ruimtestaat'!R:R,A31,'3-Ruimtestaat'!T:T)</f>
        <v>252</v>
      </c>
      <c r="L31" s="193" t="s">
        <v>1248</v>
      </c>
      <c r="M31" s="194" t="s">
        <v>1272</v>
      </c>
      <c r="N31" s="195" t="s">
        <v>1224</v>
      </c>
      <c r="O31" s="195" t="s">
        <v>1223</v>
      </c>
      <c r="P31" s="195" t="s">
        <v>1223</v>
      </c>
      <c r="Q31" s="195" t="s">
        <v>1224</v>
      </c>
      <c r="R31" s="195" t="s">
        <v>1223</v>
      </c>
      <c r="S31" s="195" t="s">
        <v>1223</v>
      </c>
      <c r="T31" s="195" t="s">
        <v>1223</v>
      </c>
    </row>
    <row r="32" spans="1:20" s="412" customFormat="1" ht="40.5">
      <c r="A32" s="401" t="s">
        <v>1218</v>
      </c>
      <c r="B32" s="402">
        <v>365</v>
      </c>
      <c r="C32" s="403" t="s">
        <v>176</v>
      </c>
      <c r="D32" s="404" t="s">
        <v>1171</v>
      </c>
      <c r="E32" s="405"/>
      <c r="F32" s="405"/>
      <c r="G32" s="405"/>
      <c r="H32" s="405"/>
      <c r="I32" s="406">
        <f t="shared" si="1"/>
        <v>0</v>
      </c>
      <c r="J32" s="407">
        <f t="shared" si="6"/>
        <v>0</v>
      </c>
      <c r="K32" s="408">
        <f>SUMIF('3-Ruimtestaat'!R:R,A32,'3-Ruimtestaat'!T:T)</f>
        <v>366</v>
      </c>
      <c r="L32" s="409" t="s">
        <v>1248</v>
      </c>
      <c r="M32" s="410" t="s">
        <v>1272</v>
      </c>
      <c r="N32" s="411" t="s">
        <v>1576</v>
      </c>
      <c r="O32" s="411" t="s">
        <v>1577</v>
      </c>
      <c r="P32" s="411" t="s">
        <v>1576</v>
      </c>
      <c r="Q32" s="411" t="s">
        <v>1577</v>
      </c>
      <c r="R32" s="411" t="s">
        <v>1576</v>
      </c>
      <c r="S32" s="411" t="s">
        <v>1577</v>
      </c>
      <c r="T32" s="411" t="s">
        <v>1576</v>
      </c>
    </row>
    <row r="33" spans="1:20" s="179" customFormat="1">
      <c r="A33" s="186" t="s">
        <v>1480</v>
      </c>
      <c r="B33" s="187">
        <v>365</v>
      </c>
      <c r="C33" s="188" t="s">
        <v>176</v>
      </c>
      <c r="D33" s="189" t="s">
        <v>1170</v>
      </c>
      <c r="E33" s="211"/>
      <c r="F33" s="211"/>
      <c r="G33" s="190"/>
      <c r="H33" s="211"/>
      <c r="I33" s="212">
        <f t="shared" si="1"/>
        <v>0</v>
      </c>
      <c r="J33" s="191">
        <f t="shared" ref="J33:J42" si="7">IF(E33=0,0,B33/(E33+F33+G33+H33))</f>
        <v>0</v>
      </c>
      <c r="K33" s="192">
        <f>SUMIF('3-Ruimtestaat'!R:R,A33,'3-Ruimtestaat'!T:T)</f>
        <v>499.07</v>
      </c>
      <c r="L33" s="193" t="s">
        <v>1248</v>
      </c>
      <c r="M33" s="194" t="s">
        <v>1272</v>
      </c>
      <c r="N33" s="195" t="s">
        <v>1224</v>
      </c>
      <c r="O33" s="195" t="s">
        <v>1223</v>
      </c>
      <c r="P33" s="195" t="s">
        <v>1223</v>
      </c>
      <c r="Q33" s="195" t="s">
        <v>1224</v>
      </c>
      <c r="R33" s="195" t="s">
        <v>1223</v>
      </c>
      <c r="S33" s="195" t="s">
        <v>1223</v>
      </c>
      <c r="T33" s="195" t="s">
        <v>1223</v>
      </c>
    </row>
    <row r="34" spans="1:20" s="412" customFormat="1" ht="40.5">
      <c r="A34" s="401" t="s">
        <v>1481</v>
      </c>
      <c r="B34" s="402">
        <v>365</v>
      </c>
      <c r="C34" s="403" t="s">
        <v>176</v>
      </c>
      <c r="D34" s="404" t="s">
        <v>1171</v>
      </c>
      <c r="E34" s="405"/>
      <c r="F34" s="405"/>
      <c r="G34" s="405"/>
      <c r="H34" s="405"/>
      <c r="I34" s="406">
        <f t="shared" si="1"/>
        <v>0</v>
      </c>
      <c r="J34" s="407">
        <f t="shared" si="7"/>
        <v>0</v>
      </c>
      <c r="K34" s="408">
        <f>SUMIF('3-Ruimtestaat'!R:R,A34,'3-Ruimtestaat'!T:T)</f>
        <v>1021.39</v>
      </c>
      <c r="L34" s="409" t="s">
        <v>1248</v>
      </c>
      <c r="M34" s="410" t="s">
        <v>1272</v>
      </c>
      <c r="N34" s="411" t="s">
        <v>1576</v>
      </c>
      <c r="O34" s="411" t="s">
        <v>1577</v>
      </c>
      <c r="P34" s="411" t="s">
        <v>1576</v>
      </c>
      <c r="Q34" s="411" t="s">
        <v>1577</v>
      </c>
      <c r="R34" s="411" t="s">
        <v>1576</v>
      </c>
      <c r="S34" s="411" t="s">
        <v>1577</v>
      </c>
      <c r="T34" s="411" t="s">
        <v>1576</v>
      </c>
    </row>
    <row r="35" spans="1:20" s="179" customFormat="1">
      <c r="A35" s="186" t="s">
        <v>1320</v>
      </c>
      <c r="B35" s="187">
        <v>12</v>
      </c>
      <c r="C35" s="188" t="s">
        <v>1270</v>
      </c>
      <c r="D35" s="189" t="s">
        <v>1321</v>
      </c>
      <c r="E35" s="211"/>
      <c r="F35" s="196"/>
      <c r="G35" s="190"/>
      <c r="H35" s="196"/>
      <c r="I35" s="212">
        <f t="shared" si="1"/>
        <v>0</v>
      </c>
      <c r="J35" s="191">
        <f t="shared" si="7"/>
        <v>0</v>
      </c>
      <c r="K35" s="192">
        <f>SUMIF('3-Ruimtestaat'!R:R,A35,'3-Ruimtestaat'!T:T)</f>
        <v>48</v>
      </c>
      <c r="L35" s="193" t="s">
        <v>1248</v>
      </c>
      <c r="M35" s="194" t="s">
        <v>1272</v>
      </c>
      <c r="N35" s="195" t="s">
        <v>1203</v>
      </c>
      <c r="O35" s="195" t="s">
        <v>1203</v>
      </c>
      <c r="P35" s="195" t="s">
        <v>1203</v>
      </c>
      <c r="Q35" s="195" t="s">
        <v>1203</v>
      </c>
      <c r="R35" s="195" t="s">
        <v>1203</v>
      </c>
      <c r="S35" s="195" t="s">
        <v>1204</v>
      </c>
      <c r="T35" s="195" t="s">
        <v>1204</v>
      </c>
    </row>
    <row r="36" spans="1:20" s="179" customFormat="1">
      <c r="A36" s="186" t="s">
        <v>1271</v>
      </c>
      <c r="B36" s="187">
        <v>365</v>
      </c>
      <c r="C36" s="188" t="s">
        <v>1270</v>
      </c>
      <c r="D36" s="189" t="s">
        <v>1170</v>
      </c>
      <c r="E36" s="211"/>
      <c r="F36" s="211"/>
      <c r="G36" s="190"/>
      <c r="H36" s="211"/>
      <c r="I36" s="212">
        <f t="shared" si="1"/>
        <v>0</v>
      </c>
      <c r="J36" s="191">
        <f t="shared" ref="J36:J37" si="8">IF(E36=0,0,B36/(E36+F36+G36+H36))</f>
        <v>0</v>
      </c>
      <c r="K36" s="192">
        <f>SUMIF('3-Ruimtestaat'!R:R,A36,'3-Ruimtestaat'!T:T)</f>
        <v>513</v>
      </c>
      <c r="L36" s="193" t="s">
        <v>1248</v>
      </c>
      <c r="M36" s="194" t="s">
        <v>1272</v>
      </c>
      <c r="N36" s="195" t="s">
        <v>1224</v>
      </c>
      <c r="O36" s="195" t="s">
        <v>1223</v>
      </c>
      <c r="P36" s="195" t="s">
        <v>1223</v>
      </c>
      <c r="Q36" s="195" t="s">
        <v>1224</v>
      </c>
      <c r="R36" s="195" t="s">
        <v>1223</v>
      </c>
      <c r="S36" s="195" t="s">
        <v>1223</v>
      </c>
      <c r="T36" s="195" t="s">
        <v>1223</v>
      </c>
    </row>
    <row r="37" spans="1:20" s="412" customFormat="1" ht="40.5">
      <c r="A37" s="401" t="s">
        <v>1470</v>
      </c>
      <c r="B37" s="402">
        <v>365</v>
      </c>
      <c r="C37" s="403" t="s">
        <v>1270</v>
      </c>
      <c r="D37" s="404" t="s">
        <v>1171</v>
      </c>
      <c r="E37" s="405"/>
      <c r="F37" s="405"/>
      <c r="G37" s="405"/>
      <c r="H37" s="405"/>
      <c r="I37" s="406">
        <f t="shared" si="1"/>
        <v>0</v>
      </c>
      <c r="J37" s="407">
        <f t="shared" si="8"/>
        <v>0</v>
      </c>
      <c r="K37" s="408">
        <f>SUMIF('3-Ruimtestaat'!R:R,A37,'3-Ruimtestaat'!T:T)</f>
        <v>738.2299999999999</v>
      </c>
      <c r="L37" s="409" t="s">
        <v>1248</v>
      </c>
      <c r="M37" s="410" t="s">
        <v>1272</v>
      </c>
      <c r="N37" s="411" t="s">
        <v>1576</v>
      </c>
      <c r="O37" s="411" t="s">
        <v>1577</v>
      </c>
      <c r="P37" s="411" t="s">
        <v>1576</v>
      </c>
      <c r="Q37" s="411" t="s">
        <v>1577</v>
      </c>
      <c r="R37" s="411" t="s">
        <v>1576</v>
      </c>
      <c r="S37" s="411" t="s">
        <v>1577</v>
      </c>
      <c r="T37" s="411" t="s">
        <v>1576</v>
      </c>
    </row>
    <row r="38" spans="1:20" s="179" customFormat="1">
      <c r="A38" s="186" t="s">
        <v>1264</v>
      </c>
      <c r="B38" s="187">
        <v>2</v>
      </c>
      <c r="C38" s="188" t="s">
        <v>146</v>
      </c>
      <c r="D38" s="189" t="s">
        <v>1207</v>
      </c>
      <c r="E38" s="211"/>
      <c r="F38" s="196"/>
      <c r="G38" s="190"/>
      <c r="H38" s="196"/>
      <c r="I38" s="212">
        <f t="shared" si="1"/>
        <v>0</v>
      </c>
      <c r="J38" s="191">
        <f t="shared" si="7"/>
        <v>0</v>
      </c>
      <c r="K38" s="192">
        <f>SUMIF('3-Ruimtestaat'!R:R,A38,'3-Ruimtestaat'!T:T)</f>
        <v>61.15</v>
      </c>
      <c r="L38" s="193" t="s">
        <v>1247</v>
      </c>
      <c r="M38" s="194" t="s">
        <v>1272</v>
      </c>
      <c r="N38" s="195" t="s">
        <v>1203</v>
      </c>
      <c r="O38" s="195" t="s">
        <v>1203</v>
      </c>
      <c r="P38" s="195" t="s">
        <v>1203</v>
      </c>
      <c r="Q38" s="195" t="s">
        <v>1203</v>
      </c>
      <c r="R38" s="195" t="s">
        <v>1203</v>
      </c>
      <c r="S38" s="195" t="s">
        <v>1204</v>
      </c>
      <c r="T38" s="195" t="s">
        <v>1204</v>
      </c>
    </row>
    <row r="39" spans="1:20" s="179" customFormat="1">
      <c r="A39" s="186" t="s">
        <v>1269</v>
      </c>
      <c r="B39" s="187">
        <v>3</v>
      </c>
      <c r="C39" s="188" t="s">
        <v>146</v>
      </c>
      <c r="D39" s="189" t="s">
        <v>1266</v>
      </c>
      <c r="E39" s="211"/>
      <c r="F39" s="196"/>
      <c r="G39" s="190"/>
      <c r="H39" s="196"/>
      <c r="I39" s="212">
        <f t="shared" si="1"/>
        <v>0</v>
      </c>
      <c r="J39" s="191">
        <f t="shared" si="7"/>
        <v>0</v>
      </c>
      <c r="K39" s="192">
        <f>SUMIF('3-Ruimtestaat'!R:R,A39,'3-Ruimtestaat'!T:T)</f>
        <v>30.667000000000002</v>
      </c>
      <c r="L39" s="193" t="s">
        <v>1247</v>
      </c>
      <c r="M39" s="194" t="s">
        <v>1272</v>
      </c>
      <c r="N39" s="195" t="s">
        <v>1203</v>
      </c>
      <c r="O39" s="195" t="s">
        <v>1203</v>
      </c>
      <c r="P39" s="195" t="s">
        <v>1203</v>
      </c>
      <c r="Q39" s="195" t="s">
        <v>1203</v>
      </c>
      <c r="R39" s="195" t="s">
        <v>1203</v>
      </c>
      <c r="S39" s="195" t="s">
        <v>1204</v>
      </c>
      <c r="T39" s="195" t="s">
        <v>1204</v>
      </c>
    </row>
    <row r="40" spans="1:20" s="179" customFormat="1">
      <c r="A40" s="186" t="s">
        <v>1267</v>
      </c>
      <c r="B40" s="187">
        <v>365</v>
      </c>
      <c r="C40" s="188" t="s">
        <v>146</v>
      </c>
      <c r="D40" s="189" t="s">
        <v>1170</v>
      </c>
      <c r="E40" s="211"/>
      <c r="F40" s="211"/>
      <c r="G40" s="190"/>
      <c r="H40" s="211"/>
      <c r="I40" s="212">
        <f t="shared" si="1"/>
        <v>0</v>
      </c>
      <c r="J40" s="191">
        <f t="shared" si="7"/>
        <v>0</v>
      </c>
      <c r="K40" s="192">
        <f>SUMIF('3-Ruimtestaat'!R:R,A40,'3-Ruimtestaat'!T:T)</f>
        <v>19.899999999999999</v>
      </c>
      <c r="L40" s="193" t="s">
        <v>1247</v>
      </c>
      <c r="M40" s="194" t="s">
        <v>1272</v>
      </c>
      <c r="N40" s="195" t="s">
        <v>1224</v>
      </c>
      <c r="O40" s="195" t="s">
        <v>1223</v>
      </c>
      <c r="P40" s="195" t="s">
        <v>1223</v>
      </c>
      <c r="Q40" s="195" t="s">
        <v>1224</v>
      </c>
      <c r="R40" s="195" t="s">
        <v>1223</v>
      </c>
      <c r="S40" s="195" t="s">
        <v>1223</v>
      </c>
      <c r="T40" s="195" t="s">
        <v>1223</v>
      </c>
    </row>
    <row r="41" spans="1:20" s="179" customFormat="1">
      <c r="A41" s="186" t="s">
        <v>1219</v>
      </c>
      <c r="B41" s="187">
        <v>365</v>
      </c>
      <c r="C41" s="188" t="s">
        <v>166</v>
      </c>
      <c r="D41" s="189" t="s">
        <v>1170</v>
      </c>
      <c r="E41" s="211"/>
      <c r="F41" s="211"/>
      <c r="G41" s="190"/>
      <c r="H41" s="211"/>
      <c r="I41" s="212">
        <f t="shared" si="1"/>
        <v>0</v>
      </c>
      <c r="J41" s="191">
        <f t="shared" si="7"/>
        <v>0</v>
      </c>
      <c r="K41" s="192">
        <f>SUMIF('3-Ruimtestaat'!R:R,A41,'3-Ruimtestaat'!T:T)</f>
        <v>220.70999999999998</v>
      </c>
      <c r="L41" s="193" t="s">
        <v>1247</v>
      </c>
      <c r="M41" s="194" t="s">
        <v>1274</v>
      </c>
      <c r="N41" s="195" t="s">
        <v>1224</v>
      </c>
      <c r="O41" s="195" t="s">
        <v>1223</v>
      </c>
      <c r="P41" s="195" t="s">
        <v>1223</v>
      </c>
      <c r="Q41" s="195" t="s">
        <v>1224</v>
      </c>
      <c r="R41" s="195" t="s">
        <v>1223</v>
      </c>
      <c r="S41" s="195" t="s">
        <v>1223</v>
      </c>
      <c r="T41" s="195" t="s">
        <v>1223</v>
      </c>
    </row>
    <row r="42" spans="1:20" s="412" customFormat="1" ht="40.5">
      <c r="A42" s="401" t="s">
        <v>1220</v>
      </c>
      <c r="B42" s="402">
        <v>365</v>
      </c>
      <c r="C42" s="403" t="s">
        <v>166</v>
      </c>
      <c r="D42" s="404" t="s">
        <v>1171</v>
      </c>
      <c r="E42" s="405"/>
      <c r="F42" s="405"/>
      <c r="G42" s="405"/>
      <c r="H42" s="405"/>
      <c r="I42" s="406">
        <f t="shared" si="1"/>
        <v>0</v>
      </c>
      <c r="J42" s="407">
        <f t="shared" si="7"/>
        <v>0</v>
      </c>
      <c r="K42" s="408">
        <f>SUMIF('3-Ruimtestaat'!R:R,A42,'3-Ruimtestaat'!T:T)</f>
        <v>311.39</v>
      </c>
      <c r="L42" s="409" t="s">
        <v>1247</v>
      </c>
      <c r="M42" s="410" t="s">
        <v>1274</v>
      </c>
      <c r="N42" s="411" t="s">
        <v>1576</v>
      </c>
      <c r="O42" s="411" t="s">
        <v>1577</v>
      </c>
      <c r="P42" s="411" t="s">
        <v>1576</v>
      </c>
      <c r="Q42" s="411" t="s">
        <v>1577</v>
      </c>
      <c r="R42" s="411" t="s">
        <v>1576</v>
      </c>
      <c r="S42" s="411" t="s">
        <v>1577</v>
      </c>
      <c r="T42" s="411" t="s">
        <v>1576</v>
      </c>
    </row>
    <row r="43" spans="1:20" s="179" customFormat="1">
      <c r="A43" s="197" t="s">
        <v>1221</v>
      </c>
      <c r="B43" s="198">
        <v>0</v>
      </c>
      <c r="C43" s="199" t="s">
        <v>1172</v>
      </c>
      <c r="D43" s="146" t="s">
        <v>1172</v>
      </c>
      <c r="E43" s="190"/>
      <c r="F43" s="190"/>
      <c r="G43" s="190"/>
      <c r="H43" s="190"/>
      <c r="I43" s="212">
        <f t="shared" si="1"/>
        <v>0</v>
      </c>
      <c r="J43" s="191"/>
      <c r="K43" s="192">
        <f>SUMIF('3-Ruimtestaat'!R:R,A43,'3-Ruimtestaat'!T:T)</f>
        <v>25008.924835000023</v>
      </c>
      <c r="L43" s="193"/>
      <c r="M43" s="194"/>
      <c r="N43" s="195" t="s">
        <v>1204</v>
      </c>
      <c r="O43" s="195" t="s">
        <v>1204</v>
      </c>
      <c r="P43" s="195" t="s">
        <v>1204</v>
      </c>
      <c r="Q43" s="195" t="s">
        <v>1204</v>
      </c>
      <c r="R43" s="195" t="s">
        <v>1204</v>
      </c>
      <c r="S43" s="195" t="s">
        <v>1204</v>
      </c>
      <c r="T43" s="195" t="s">
        <v>1204</v>
      </c>
    </row>
    <row r="44" spans="1:20" s="179" customFormat="1" ht="14.25" thickBot="1">
      <c r="A44" s="197" t="s">
        <v>1268</v>
      </c>
      <c r="B44" s="198">
        <v>0</v>
      </c>
      <c r="C44" s="199" t="s">
        <v>1262</v>
      </c>
      <c r="D44" s="146" t="s">
        <v>1262</v>
      </c>
      <c r="E44" s="190"/>
      <c r="F44" s="190"/>
      <c r="G44" s="190"/>
      <c r="H44" s="190"/>
      <c r="I44" s="212">
        <f t="shared" si="1"/>
        <v>0</v>
      </c>
      <c r="J44" s="191"/>
      <c r="K44" s="304">
        <f>SUMIF('3-Ruimtestaat'!R:R,A44,'3-Ruimtestaat'!T:T)</f>
        <v>0</v>
      </c>
      <c r="L44" s="193"/>
      <c r="M44" s="194"/>
      <c r="N44" s="195" t="s">
        <v>1263</v>
      </c>
      <c r="O44" s="195" t="s">
        <v>1263</v>
      </c>
      <c r="P44" s="195" t="s">
        <v>1263</v>
      </c>
      <c r="Q44" s="195" t="s">
        <v>1263</v>
      </c>
      <c r="R44" s="195" t="s">
        <v>1263</v>
      </c>
      <c r="S44" s="195" t="s">
        <v>1263</v>
      </c>
      <c r="T44" s="195" t="s">
        <v>1263</v>
      </c>
    </row>
    <row r="45" spans="1:20" s="179" customFormat="1" ht="14.25" thickBot="1">
      <c r="A45" s="200"/>
      <c r="B45" s="201"/>
      <c r="C45" s="202"/>
      <c r="D45" s="202"/>
      <c r="E45" s="196"/>
      <c r="F45" s="196"/>
      <c r="G45" s="196"/>
      <c r="H45" s="196"/>
      <c r="I45" s="213"/>
      <c r="J45" s="302"/>
      <c r="K45" s="305">
        <f>SUM(K12:K44)</f>
        <v>104520.2859790678</v>
      </c>
      <c r="L45" s="303"/>
      <c r="M45" s="194"/>
      <c r="N45" s="195"/>
      <c r="O45" s="203"/>
      <c r="P45" s="204"/>
      <c r="Q45" s="195"/>
      <c r="R45" s="195"/>
      <c r="S45" s="195"/>
      <c r="T45" s="205"/>
    </row>
    <row r="46" spans="1:20" s="178" customFormat="1">
      <c r="A46" s="183"/>
      <c r="B46" s="172"/>
      <c r="C46" s="173"/>
      <c r="D46" s="176"/>
      <c r="E46" s="174"/>
      <c r="F46" s="174"/>
      <c r="G46" s="174"/>
      <c r="H46" s="174"/>
      <c r="I46" s="174"/>
      <c r="J46" s="175"/>
      <c r="K46" s="175"/>
      <c r="L46" s="176"/>
      <c r="M46" s="177"/>
      <c r="R46" s="179"/>
      <c r="S46" s="179"/>
      <c r="T46" s="206"/>
    </row>
    <row r="47" spans="1:20">
      <c r="A47" s="207"/>
      <c r="D47" s="209"/>
      <c r="H47" s="174"/>
      <c r="I47" s="174"/>
      <c r="J47" s="175"/>
      <c r="K47" s="175"/>
      <c r="R47" s="179"/>
      <c r="S47" s="179"/>
      <c r="T47" s="206"/>
    </row>
    <row r="48" spans="1:20">
      <c r="H48" s="174"/>
      <c r="I48" s="174"/>
      <c r="J48" s="175"/>
      <c r="K48" s="175"/>
      <c r="R48" s="179"/>
      <c r="S48" s="179"/>
      <c r="T48" s="206"/>
    </row>
    <row r="49" spans="8:20">
      <c r="H49" s="174"/>
      <c r="I49" s="174"/>
      <c r="J49" s="175"/>
      <c r="K49" s="175"/>
      <c r="R49" s="179"/>
      <c r="S49" s="179"/>
      <c r="T49" s="206"/>
    </row>
    <row r="50" spans="8:20">
      <c r="H50" s="174"/>
      <c r="I50" s="174"/>
      <c r="J50" s="175"/>
      <c r="K50" s="175"/>
      <c r="R50" s="178"/>
      <c r="S50" s="178"/>
      <c r="T50" s="70"/>
    </row>
  </sheetData>
  <autoFilter ref="A11:U45" xr:uid="{00000000-0009-0000-0000-000005000000}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44"/>
  <sheetViews>
    <sheetView showGridLines="0" zoomScaleNormal="100" workbookViewId="0">
      <pane ySplit="15" topLeftCell="A16" activePane="bottomLeft" state="frozen"/>
      <selection pane="bottomLeft" activeCell="A40" sqref="A40"/>
    </sheetView>
  </sheetViews>
  <sheetFormatPr defaultColWidth="8.7109375" defaultRowHeight="14.25"/>
  <cols>
    <col min="1" max="1" width="23" style="241" customWidth="1"/>
    <col min="2" max="2" width="19.85546875" style="214" bestFit="1" customWidth="1"/>
    <col min="3" max="3" width="24.28515625" style="214" customWidth="1"/>
    <col min="4" max="4" width="49" style="214" customWidth="1"/>
    <col min="5" max="5" width="12.140625" style="214" bestFit="1" customWidth="1"/>
    <col min="6" max="6" width="18.5703125" style="214" bestFit="1" customWidth="1"/>
    <col min="7" max="7" width="16.7109375" style="215" customWidth="1"/>
    <col min="8" max="10" width="15.7109375" style="215" customWidth="1"/>
    <col min="11" max="11" width="11.5703125" style="215" customWidth="1"/>
    <col min="12" max="12" width="11" style="215" customWidth="1"/>
    <col min="13" max="13" width="14.85546875" style="216" bestFit="1" customWidth="1"/>
    <col min="14" max="14" width="17.140625" style="216" customWidth="1"/>
    <col min="15" max="16384" width="8.7109375" style="216"/>
  </cols>
  <sheetData>
    <row r="1" spans="1:22">
      <c r="A1" s="291" t="s">
        <v>9</v>
      </c>
    </row>
    <row r="2" spans="1:22" ht="17.25">
      <c r="A2" s="214"/>
      <c r="D2" s="217"/>
      <c r="E2" s="217"/>
      <c r="F2" s="217"/>
    </row>
    <row r="3" spans="1:22" ht="17.25">
      <c r="A3" s="269" t="s">
        <v>10</v>
      </c>
      <c r="C3" s="271" t="str">
        <f>'1-Inschrijfstaat'!B3</f>
        <v>GVB Infra B.V.</v>
      </c>
      <c r="E3" s="219"/>
      <c r="F3" s="217"/>
      <c r="L3" s="242"/>
    </row>
    <row r="4" spans="1:22" ht="17.25">
      <c r="A4" s="269" t="s">
        <v>1173</v>
      </c>
      <c r="C4" s="272" t="str">
        <f ca="1">MID(CELL("bestandsnaam",$C$9),SEARCH("]",CELL("bestandsnaam",$C$9),1)+1,256)</f>
        <v>5-Aanvullend</v>
      </c>
      <c r="E4" s="220"/>
      <c r="F4" s="217"/>
      <c r="H4" s="221"/>
      <c r="I4" s="221"/>
      <c r="J4" s="221"/>
      <c r="K4" s="221"/>
      <c r="L4" s="221"/>
    </row>
    <row r="5" spans="1:22" ht="17.25">
      <c r="A5" s="269" t="s">
        <v>11</v>
      </c>
      <c r="C5" s="271" t="str">
        <f>'1-Inschrijfstaat'!B5</f>
        <v>Diverse</v>
      </c>
      <c r="E5" s="219"/>
      <c r="F5" s="217"/>
      <c r="H5" s="221"/>
      <c r="I5" s="221"/>
      <c r="J5" s="221"/>
      <c r="K5" s="221"/>
      <c r="L5" s="221"/>
    </row>
    <row r="6" spans="1:22" ht="17.25">
      <c r="A6" s="270" t="s">
        <v>16</v>
      </c>
      <c r="C6" s="271" t="str">
        <f>'1-Inschrijfstaat'!B6</f>
        <v>2021-03</v>
      </c>
      <c r="E6" s="219"/>
      <c r="F6" s="222"/>
      <c r="G6" s="217"/>
      <c r="H6" s="221"/>
      <c r="I6" s="221"/>
      <c r="J6" s="221"/>
      <c r="K6" s="221"/>
      <c r="L6" s="221"/>
    </row>
    <row r="7" spans="1:22" ht="17.25">
      <c r="A7" s="269" t="s">
        <v>13</v>
      </c>
      <c r="C7" s="271" t="str">
        <f>'1-Inschrijfstaat'!B7</f>
        <v>Naam dienstverlener</v>
      </c>
      <c r="E7" s="219"/>
      <c r="F7" s="222"/>
      <c r="G7" s="217"/>
      <c r="H7" s="221"/>
      <c r="I7" s="221"/>
      <c r="J7" s="217"/>
      <c r="K7" s="217"/>
      <c r="L7" s="221"/>
    </row>
    <row r="8" spans="1:22" ht="17.25">
      <c r="A8" s="269" t="s">
        <v>14</v>
      </c>
      <c r="C8" s="9" t="str">
        <f>'1-Inschrijfstaat'!B8</f>
        <v>1 juni 2021</v>
      </c>
      <c r="E8" s="223"/>
      <c r="F8" s="222"/>
      <c r="G8" s="217"/>
      <c r="H8" s="221"/>
      <c r="I8" s="221"/>
      <c r="J8" s="217"/>
      <c r="K8" s="217"/>
      <c r="L8" s="221"/>
    </row>
    <row r="9" spans="1:22" ht="17.25">
      <c r="A9" s="80" t="s">
        <v>0</v>
      </c>
      <c r="C9" s="224" t="str">
        <f>'1-Inschrijfstaat'!B9</f>
        <v>1 Comfort schoonmaak</v>
      </c>
      <c r="E9" s="223"/>
      <c r="F9" s="222"/>
      <c r="G9" s="217"/>
      <c r="H9" s="221"/>
      <c r="I9" s="221"/>
      <c r="J9" s="217"/>
      <c r="K9" s="217"/>
      <c r="L9" s="221"/>
    </row>
    <row r="10" spans="1:22" ht="17.25">
      <c r="A10" s="218"/>
      <c r="C10" s="225"/>
      <c r="D10" s="225"/>
      <c r="E10" s="225"/>
      <c r="F10" s="226"/>
      <c r="G10" s="226"/>
      <c r="H10" s="221"/>
      <c r="I10" s="221"/>
      <c r="J10" s="221"/>
      <c r="K10" s="217"/>
      <c r="L10" s="217"/>
    </row>
    <row r="11" spans="1:22" ht="17.25">
      <c r="A11" s="168" t="s">
        <v>1464</v>
      </c>
      <c r="B11" s="210" t="s">
        <v>1465</v>
      </c>
      <c r="C11" s="210" t="s">
        <v>1466</v>
      </c>
      <c r="D11" s="227"/>
      <c r="E11" s="228"/>
      <c r="F11" s="229"/>
      <c r="G11" s="243"/>
      <c r="H11" s="230"/>
      <c r="I11" s="243"/>
      <c r="J11" s="230"/>
      <c r="K11" s="216"/>
      <c r="L11" s="216"/>
    </row>
    <row r="12" spans="1:22" ht="17.25">
      <c r="A12" s="231" t="s">
        <v>1467</v>
      </c>
      <c r="B12" s="231" t="s">
        <v>1468</v>
      </c>
      <c r="C12" s="44">
        <v>0</v>
      </c>
      <c r="D12" s="232"/>
      <c r="E12" s="232"/>
      <c r="F12" s="233"/>
      <c r="G12" s="233"/>
      <c r="H12" s="230"/>
      <c r="I12" s="230"/>
      <c r="J12" s="243"/>
      <c r="K12" s="216"/>
      <c r="L12" s="216"/>
    </row>
    <row r="13" spans="1:22" ht="17.25">
      <c r="A13" s="231" t="s">
        <v>1467</v>
      </c>
      <c r="B13" s="231" t="s">
        <v>1469</v>
      </c>
      <c r="C13" s="44">
        <v>0</v>
      </c>
      <c r="D13" s="232"/>
      <c r="E13" s="232"/>
      <c r="F13" s="233"/>
      <c r="G13" s="233"/>
      <c r="H13" s="230"/>
      <c r="I13" s="230"/>
      <c r="J13" s="243"/>
      <c r="K13" s="216"/>
      <c r="L13" s="216"/>
    </row>
    <row r="14" spans="1:22" ht="17.25">
      <c r="A14" s="218"/>
      <c r="B14" s="226"/>
      <c r="C14" s="226"/>
      <c r="D14" s="226"/>
      <c r="E14" s="226"/>
      <c r="F14" s="226"/>
      <c r="G14" s="221"/>
      <c r="H14" s="221"/>
      <c r="I14" s="221"/>
    </row>
    <row r="15" spans="1:22" s="70" customFormat="1" ht="51">
      <c r="A15" s="168" t="s">
        <v>1545</v>
      </c>
      <c r="B15" s="168" t="s">
        <v>440</v>
      </c>
      <c r="C15" s="168" t="s">
        <v>19</v>
      </c>
      <c r="D15" s="168" t="s">
        <v>1191</v>
      </c>
      <c r="E15" s="210" t="s">
        <v>1590</v>
      </c>
      <c r="F15" s="210" t="s">
        <v>1546</v>
      </c>
      <c r="G15" s="210" t="s">
        <v>1547</v>
      </c>
      <c r="H15" s="210" t="s">
        <v>1548</v>
      </c>
      <c r="I15" s="210" t="s">
        <v>1549</v>
      </c>
      <c r="J15" s="210" t="s">
        <v>1550</v>
      </c>
      <c r="K15" s="210" t="s">
        <v>1543</v>
      </c>
      <c r="L15" s="210" t="s">
        <v>1551</v>
      </c>
      <c r="M15" s="210" t="s">
        <v>1544</v>
      </c>
      <c r="N15" s="216"/>
      <c r="O15" s="178"/>
      <c r="P15" s="178"/>
      <c r="Q15" s="178"/>
      <c r="R15" s="178"/>
      <c r="S15" s="178"/>
      <c r="T15" s="178"/>
      <c r="U15" s="178"/>
      <c r="V15" s="178"/>
    </row>
    <row r="16" spans="1:22" ht="13.5">
      <c r="A16" s="273">
        <v>106</v>
      </c>
      <c r="B16" s="244" t="s">
        <v>1082</v>
      </c>
      <c r="C16" s="245" t="str">
        <f>VLOOKUP(A16,'3-Ruimtestaat'!B:D,3,FALSE)</f>
        <v>Oostlijn bovengronds</v>
      </c>
      <c r="D16" s="234" t="s">
        <v>1174</v>
      </c>
      <c r="E16" s="235">
        <v>52</v>
      </c>
      <c r="F16" s="235">
        <v>255</v>
      </c>
      <c r="G16" s="235">
        <v>110</v>
      </c>
      <c r="H16" s="268">
        <v>0</v>
      </c>
      <c r="I16" s="268">
        <v>0</v>
      </c>
      <c r="J16" s="268">
        <v>0</v>
      </c>
      <c r="K16" s="236">
        <f t="shared" ref="K16:K23" si="0">$C$12</f>
        <v>0</v>
      </c>
      <c r="L16" s="236">
        <f t="shared" ref="L16:L41" si="1">$C$13</f>
        <v>0</v>
      </c>
      <c r="M16" s="236">
        <f t="shared" ref="M16:M41" si="2">F16*(H16+I16)*K16+G16*(H16+J16)*L16</f>
        <v>0</v>
      </c>
    </row>
    <row r="17" spans="1:13" ht="13.5">
      <c r="A17" s="273">
        <v>109</v>
      </c>
      <c r="B17" s="244" t="s">
        <v>944</v>
      </c>
      <c r="C17" s="245" t="str">
        <f>VLOOKUP(A17,'3-Ruimtestaat'!B:D,3,FALSE)</f>
        <v>Oostlijn bovengronds</v>
      </c>
      <c r="D17" s="234" t="s">
        <v>1174</v>
      </c>
      <c r="E17" s="235">
        <v>46</v>
      </c>
      <c r="F17" s="235">
        <v>255</v>
      </c>
      <c r="G17" s="235">
        <v>110</v>
      </c>
      <c r="H17" s="268">
        <v>0</v>
      </c>
      <c r="I17" s="268">
        <v>0</v>
      </c>
      <c r="J17" s="268">
        <v>0</v>
      </c>
      <c r="K17" s="236">
        <f t="shared" si="0"/>
        <v>0</v>
      </c>
      <c r="L17" s="236">
        <f t="shared" si="1"/>
        <v>0</v>
      </c>
      <c r="M17" s="236">
        <f t="shared" si="2"/>
        <v>0</v>
      </c>
    </row>
    <row r="18" spans="1:13" ht="13.5">
      <c r="A18" s="273">
        <v>106</v>
      </c>
      <c r="B18" s="244" t="s">
        <v>1082</v>
      </c>
      <c r="C18" s="245" t="str">
        <f>VLOOKUP(A18,'3-Ruimtestaat'!B:D,3,FALSE)</f>
        <v>Oostlijn bovengronds</v>
      </c>
      <c r="D18" s="234" t="s">
        <v>1175</v>
      </c>
      <c r="E18" s="235">
        <v>16</v>
      </c>
      <c r="F18" s="235">
        <v>255</v>
      </c>
      <c r="G18" s="235">
        <v>110</v>
      </c>
      <c r="H18" s="268">
        <v>0</v>
      </c>
      <c r="I18" s="268">
        <v>0</v>
      </c>
      <c r="J18" s="268">
        <v>0</v>
      </c>
      <c r="K18" s="236">
        <f t="shared" si="0"/>
        <v>0</v>
      </c>
      <c r="L18" s="236">
        <f t="shared" si="1"/>
        <v>0</v>
      </c>
      <c r="M18" s="236">
        <f t="shared" si="2"/>
        <v>0</v>
      </c>
    </row>
    <row r="19" spans="1:13" ht="13.5">
      <c r="A19" s="273">
        <v>109</v>
      </c>
      <c r="B19" s="244" t="s">
        <v>944</v>
      </c>
      <c r="C19" s="245" t="str">
        <f>VLOOKUP(A19,'3-Ruimtestaat'!B:D,3,FALSE)</f>
        <v>Oostlijn bovengronds</v>
      </c>
      <c r="D19" s="234" t="s">
        <v>1175</v>
      </c>
      <c r="E19" s="235">
        <v>8</v>
      </c>
      <c r="F19" s="235">
        <v>255</v>
      </c>
      <c r="G19" s="235">
        <v>110</v>
      </c>
      <c r="H19" s="268">
        <v>0</v>
      </c>
      <c r="I19" s="268">
        <v>0</v>
      </c>
      <c r="J19" s="268">
        <v>0</v>
      </c>
      <c r="K19" s="236">
        <f t="shared" si="0"/>
        <v>0</v>
      </c>
      <c r="L19" s="236">
        <f t="shared" si="1"/>
        <v>0</v>
      </c>
      <c r="M19" s="236">
        <f t="shared" si="2"/>
        <v>0</v>
      </c>
    </row>
    <row r="20" spans="1:13" ht="13.5">
      <c r="A20" s="273">
        <v>106</v>
      </c>
      <c r="B20" s="244" t="s">
        <v>1082</v>
      </c>
      <c r="C20" s="245" t="str">
        <f>VLOOKUP(A20,'3-Ruimtestaat'!B:D,3,FALSE)</f>
        <v>Oostlijn bovengronds</v>
      </c>
      <c r="D20" s="234" t="s">
        <v>1176</v>
      </c>
      <c r="E20" s="235">
        <v>6</v>
      </c>
      <c r="F20" s="235">
        <v>255</v>
      </c>
      <c r="G20" s="235">
        <v>110</v>
      </c>
      <c r="H20" s="268">
        <v>0</v>
      </c>
      <c r="I20" s="268">
        <v>0</v>
      </c>
      <c r="J20" s="268">
        <v>0</v>
      </c>
      <c r="K20" s="236">
        <f t="shared" si="0"/>
        <v>0</v>
      </c>
      <c r="L20" s="236">
        <f t="shared" si="1"/>
        <v>0</v>
      </c>
      <c r="M20" s="236">
        <f t="shared" si="2"/>
        <v>0</v>
      </c>
    </row>
    <row r="21" spans="1:13" ht="13.5">
      <c r="A21" s="273">
        <v>109</v>
      </c>
      <c r="B21" s="244" t="s">
        <v>944</v>
      </c>
      <c r="C21" s="245" t="str">
        <f>VLOOKUP(A21,'3-Ruimtestaat'!B:D,3,FALSE)</f>
        <v>Oostlijn bovengronds</v>
      </c>
      <c r="D21" s="234" t="s">
        <v>1176</v>
      </c>
      <c r="E21" s="235">
        <v>5</v>
      </c>
      <c r="F21" s="235">
        <v>255</v>
      </c>
      <c r="G21" s="235">
        <v>110</v>
      </c>
      <c r="H21" s="268">
        <v>0</v>
      </c>
      <c r="I21" s="268">
        <v>0</v>
      </c>
      <c r="J21" s="268">
        <v>0</v>
      </c>
      <c r="K21" s="236">
        <f t="shared" si="0"/>
        <v>0</v>
      </c>
      <c r="L21" s="236">
        <f t="shared" si="1"/>
        <v>0</v>
      </c>
      <c r="M21" s="236">
        <f t="shared" si="2"/>
        <v>0</v>
      </c>
    </row>
    <row r="22" spans="1:13" ht="13.5">
      <c r="A22" s="273">
        <v>106</v>
      </c>
      <c r="B22" s="244" t="s">
        <v>1082</v>
      </c>
      <c r="C22" s="245" t="str">
        <f>VLOOKUP(A22,'3-Ruimtestaat'!B:D,3,FALSE)</f>
        <v>Oostlijn bovengronds</v>
      </c>
      <c r="D22" s="234" t="s">
        <v>1310</v>
      </c>
      <c r="E22" s="235">
        <v>1</v>
      </c>
      <c r="F22" s="235">
        <v>255</v>
      </c>
      <c r="G22" s="235">
        <v>110</v>
      </c>
      <c r="H22" s="268">
        <v>0</v>
      </c>
      <c r="I22" s="268">
        <v>0</v>
      </c>
      <c r="J22" s="268">
        <v>0</v>
      </c>
      <c r="K22" s="236">
        <f t="shared" si="0"/>
        <v>0</v>
      </c>
      <c r="L22" s="236">
        <f t="shared" si="1"/>
        <v>0</v>
      </c>
      <c r="M22" s="236">
        <f t="shared" si="2"/>
        <v>0</v>
      </c>
    </row>
    <row r="23" spans="1:13" ht="13.5">
      <c r="A23" s="273">
        <v>109</v>
      </c>
      <c r="B23" s="244" t="s">
        <v>944</v>
      </c>
      <c r="C23" s="245" t="str">
        <f>VLOOKUP(A23,'3-Ruimtestaat'!B:D,3,FALSE)</f>
        <v>Oostlijn bovengronds</v>
      </c>
      <c r="D23" s="234" t="s">
        <v>1310</v>
      </c>
      <c r="E23" s="235">
        <v>2</v>
      </c>
      <c r="F23" s="235">
        <v>255</v>
      </c>
      <c r="G23" s="235">
        <v>110</v>
      </c>
      <c r="H23" s="268">
        <v>0</v>
      </c>
      <c r="I23" s="268">
        <v>0</v>
      </c>
      <c r="J23" s="268">
        <v>0</v>
      </c>
      <c r="K23" s="236">
        <f t="shared" si="0"/>
        <v>0</v>
      </c>
      <c r="L23" s="236">
        <f t="shared" si="1"/>
        <v>0</v>
      </c>
      <c r="M23" s="236">
        <f t="shared" si="2"/>
        <v>0</v>
      </c>
    </row>
    <row r="24" spans="1:13" ht="13.5">
      <c r="A24" s="420">
        <v>102</v>
      </c>
      <c r="B24" s="421" t="s">
        <v>942</v>
      </c>
      <c r="C24" s="245" t="str">
        <f>VLOOKUP(A24,'3-Ruimtestaat'!B:D,3,FALSE)</f>
        <v>Oostlijn ondergronds</v>
      </c>
      <c r="D24" s="423" t="s">
        <v>1585</v>
      </c>
      <c r="E24" s="424">
        <v>1</v>
      </c>
      <c r="F24" s="390"/>
      <c r="G24" s="424">
        <v>110</v>
      </c>
      <c r="H24" s="422">
        <v>0</v>
      </c>
      <c r="I24" s="390"/>
      <c r="J24" s="422"/>
      <c r="K24" s="390"/>
      <c r="L24" s="236">
        <f t="shared" si="1"/>
        <v>0</v>
      </c>
      <c r="M24" s="236">
        <f t="shared" si="2"/>
        <v>0</v>
      </c>
    </row>
    <row r="25" spans="1:13" ht="13.5">
      <c r="A25" s="420">
        <v>103</v>
      </c>
      <c r="B25" s="421" t="s">
        <v>835</v>
      </c>
      <c r="C25" s="245" t="str">
        <f>VLOOKUP(A25,'3-Ruimtestaat'!B:D,3,FALSE)</f>
        <v>Oostlijn ondergronds</v>
      </c>
      <c r="D25" s="423" t="s">
        <v>1585</v>
      </c>
      <c r="E25" s="424">
        <v>1</v>
      </c>
      <c r="F25" s="390"/>
      <c r="G25" s="424">
        <v>110</v>
      </c>
      <c r="H25" s="422">
        <v>0</v>
      </c>
      <c r="I25" s="390"/>
      <c r="J25" s="422"/>
      <c r="K25" s="390"/>
      <c r="L25" s="236">
        <f t="shared" si="1"/>
        <v>0</v>
      </c>
      <c r="M25" s="236">
        <f t="shared" si="2"/>
        <v>0</v>
      </c>
    </row>
    <row r="26" spans="1:13" ht="13.5">
      <c r="A26" s="420">
        <v>104</v>
      </c>
      <c r="B26" s="421" t="s">
        <v>260</v>
      </c>
      <c r="C26" s="245" t="str">
        <f>VLOOKUP(A26,'3-Ruimtestaat'!B:D,3,FALSE)</f>
        <v>Oostlijn ondergronds</v>
      </c>
      <c r="D26" s="423" t="s">
        <v>1585</v>
      </c>
      <c r="E26" s="424">
        <v>1</v>
      </c>
      <c r="F26" s="390"/>
      <c r="G26" s="424">
        <v>110</v>
      </c>
      <c r="H26" s="422">
        <v>0</v>
      </c>
      <c r="I26" s="390"/>
      <c r="J26" s="422"/>
      <c r="K26" s="390"/>
      <c r="L26" s="236">
        <f t="shared" si="1"/>
        <v>0</v>
      </c>
      <c r="M26" s="236">
        <f t="shared" si="2"/>
        <v>0</v>
      </c>
    </row>
    <row r="27" spans="1:13" ht="13.5">
      <c r="A27" s="420">
        <v>105</v>
      </c>
      <c r="B27" s="421" t="s">
        <v>943</v>
      </c>
      <c r="C27" s="245" t="str">
        <f>VLOOKUP(A27,'3-Ruimtestaat'!B:D,3,FALSE)</f>
        <v>Oostlijn ondergronds</v>
      </c>
      <c r="D27" s="423" t="s">
        <v>1585</v>
      </c>
      <c r="E27" s="424">
        <v>1</v>
      </c>
      <c r="F27" s="390"/>
      <c r="G27" s="424">
        <v>110</v>
      </c>
      <c r="H27" s="422">
        <v>0</v>
      </c>
      <c r="I27" s="390"/>
      <c r="J27" s="422"/>
      <c r="K27" s="390"/>
      <c r="L27" s="236">
        <f t="shared" si="1"/>
        <v>0</v>
      </c>
      <c r="M27" s="236">
        <f t="shared" si="2"/>
        <v>0</v>
      </c>
    </row>
    <row r="28" spans="1:13" ht="13.5">
      <c r="A28" s="420">
        <v>107</v>
      </c>
      <c r="B28" s="421" t="s">
        <v>437</v>
      </c>
      <c r="C28" s="245" t="str">
        <f>VLOOKUP(A28,'3-Ruimtestaat'!B:D,3,FALSE)</f>
        <v>Oostlijn bovengronds</v>
      </c>
      <c r="D28" s="423" t="s">
        <v>1585</v>
      </c>
      <c r="E28" s="424">
        <v>1</v>
      </c>
      <c r="F28" s="390"/>
      <c r="G28" s="424">
        <v>110</v>
      </c>
      <c r="H28" s="422">
        <v>0</v>
      </c>
      <c r="I28" s="390"/>
      <c r="J28" s="422"/>
      <c r="K28" s="390"/>
      <c r="L28" s="236">
        <f t="shared" si="1"/>
        <v>0</v>
      </c>
      <c r="M28" s="236">
        <f t="shared" si="2"/>
        <v>0</v>
      </c>
    </row>
    <row r="29" spans="1:13" ht="13.5">
      <c r="A29" s="420">
        <v>108</v>
      </c>
      <c r="B29" s="421" t="s">
        <v>381</v>
      </c>
      <c r="C29" s="245" t="str">
        <f>VLOOKUP(A29,'3-Ruimtestaat'!B:D,3,FALSE)</f>
        <v>Oostlijn bovengronds</v>
      </c>
      <c r="D29" s="423" t="s">
        <v>1585</v>
      </c>
      <c r="E29" s="424">
        <v>1</v>
      </c>
      <c r="F29" s="390"/>
      <c r="G29" s="424">
        <v>110</v>
      </c>
      <c r="H29" s="422">
        <v>0</v>
      </c>
      <c r="I29" s="390"/>
      <c r="J29" s="422"/>
      <c r="K29" s="390"/>
      <c r="L29" s="236">
        <f t="shared" si="1"/>
        <v>0</v>
      </c>
      <c r="M29" s="236">
        <f t="shared" si="2"/>
        <v>0</v>
      </c>
    </row>
    <row r="30" spans="1:13" ht="13.5">
      <c r="A30" s="420">
        <v>110</v>
      </c>
      <c r="B30" s="421" t="s">
        <v>184</v>
      </c>
      <c r="C30" s="245" t="str">
        <f>VLOOKUP(A30,'3-Ruimtestaat'!B:D,3,FALSE)</f>
        <v>Oostlijn bovengronds</v>
      </c>
      <c r="D30" s="423" t="s">
        <v>1585</v>
      </c>
      <c r="E30" s="424">
        <v>1</v>
      </c>
      <c r="F30" s="390"/>
      <c r="G30" s="424">
        <v>110</v>
      </c>
      <c r="H30" s="422">
        <v>0</v>
      </c>
      <c r="I30" s="390"/>
      <c r="J30" s="422"/>
      <c r="K30" s="390"/>
      <c r="L30" s="236">
        <f t="shared" si="1"/>
        <v>0</v>
      </c>
      <c r="M30" s="236">
        <f t="shared" si="2"/>
        <v>0</v>
      </c>
    </row>
    <row r="31" spans="1:13" ht="13.5">
      <c r="A31" s="420">
        <v>111</v>
      </c>
      <c r="B31" s="421" t="s">
        <v>945</v>
      </c>
      <c r="C31" s="245" t="str">
        <f>VLOOKUP(A31,'3-Ruimtestaat'!B:D,3,FALSE)</f>
        <v>Oostlijn bovengronds</v>
      </c>
      <c r="D31" s="423" t="s">
        <v>1585</v>
      </c>
      <c r="E31" s="424">
        <v>1</v>
      </c>
      <c r="F31" s="390"/>
      <c r="G31" s="424">
        <v>110</v>
      </c>
      <c r="H31" s="422">
        <v>0</v>
      </c>
      <c r="I31" s="390"/>
      <c r="J31" s="422"/>
      <c r="K31" s="390"/>
      <c r="L31" s="236">
        <f t="shared" si="1"/>
        <v>0</v>
      </c>
      <c r="M31" s="236">
        <f t="shared" si="2"/>
        <v>0</v>
      </c>
    </row>
    <row r="32" spans="1:13" ht="13.5">
      <c r="A32" s="420">
        <v>112</v>
      </c>
      <c r="B32" s="421" t="s">
        <v>229</v>
      </c>
      <c r="C32" s="245" t="str">
        <f>VLOOKUP(A32,'3-Ruimtestaat'!B:D,3,FALSE)</f>
        <v>Oostlijn bovengronds</v>
      </c>
      <c r="D32" s="423" t="s">
        <v>1585</v>
      </c>
      <c r="E32" s="424">
        <v>1</v>
      </c>
      <c r="F32" s="390"/>
      <c r="G32" s="424">
        <v>110</v>
      </c>
      <c r="H32" s="422">
        <v>0</v>
      </c>
      <c r="I32" s="390"/>
      <c r="J32" s="422"/>
      <c r="K32" s="390"/>
      <c r="L32" s="236">
        <f t="shared" si="1"/>
        <v>0</v>
      </c>
      <c r="M32" s="236">
        <f t="shared" si="2"/>
        <v>0</v>
      </c>
    </row>
    <row r="33" spans="1:13" ht="13.5">
      <c r="A33" s="420">
        <v>113</v>
      </c>
      <c r="B33" s="421" t="s">
        <v>946</v>
      </c>
      <c r="C33" s="245" t="str">
        <f>VLOOKUP(A33,'3-Ruimtestaat'!B:D,3,FALSE)</f>
        <v>Oostlijn bovengronds</v>
      </c>
      <c r="D33" s="423" t="s">
        <v>1585</v>
      </c>
      <c r="E33" s="424">
        <v>1</v>
      </c>
      <c r="F33" s="390"/>
      <c r="G33" s="424">
        <v>110</v>
      </c>
      <c r="H33" s="422">
        <v>0</v>
      </c>
      <c r="I33" s="390"/>
      <c r="J33" s="422"/>
      <c r="K33" s="390"/>
      <c r="L33" s="236">
        <f t="shared" si="1"/>
        <v>0</v>
      </c>
      <c r="M33" s="236">
        <f t="shared" si="2"/>
        <v>0</v>
      </c>
    </row>
    <row r="34" spans="1:13" ht="13.5">
      <c r="A34" s="420">
        <v>114</v>
      </c>
      <c r="B34" s="421" t="s">
        <v>38</v>
      </c>
      <c r="C34" s="245" t="str">
        <f>VLOOKUP(A34,'3-Ruimtestaat'!B:D,3,FALSE)</f>
        <v>Oostlijn bovengronds</v>
      </c>
      <c r="D34" s="423" t="s">
        <v>1585</v>
      </c>
      <c r="E34" s="424">
        <v>1</v>
      </c>
      <c r="F34" s="390"/>
      <c r="G34" s="424">
        <v>110</v>
      </c>
      <c r="H34" s="422">
        <v>0</v>
      </c>
      <c r="I34" s="390"/>
      <c r="J34" s="422"/>
      <c r="K34" s="390"/>
      <c r="L34" s="236">
        <f t="shared" si="1"/>
        <v>0</v>
      </c>
      <c r="M34" s="236">
        <f t="shared" si="2"/>
        <v>0</v>
      </c>
    </row>
    <row r="35" spans="1:13" ht="13.5">
      <c r="A35" s="420">
        <v>115</v>
      </c>
      <c r="B35" s="421" t="s">
        <v>126</v>
      </c>
      <c r="C35" s="245" t="str">
        <f>VLOOKUP(A35,'3-Ruimtestaat'!B:D,3,FALSE)</f>
        <v>Oostlijn Bovengronds</v>
      </c>
      <c r="D35" s="423" t="s">
        <v>1585</v>
      </c>
      <c r="E35" s="424">
        <v>1</v>
      </c>
      <c r="F35" s="390"/>
      <c r="G35" s="424">
        <v>110</v>
      </c>
      <c r="H35" s="422">
        <v>0</v>
      </c>
      <c r="I35" s="390"/>
      <c r="J35" s="422"/>
      <c r="K35" s="390"/>
      <c r="L35" s="236">
        <f t="shared" si="1"/>
        <v>0</v>
      </c>
      <c r="M35" s="236">
        <f t="shared" si="2"/>
        <v>0</v>
      </c>
    </row>
    <row r="36" spans="1:13" ht="13.5">
      <c r="A36" s="420">
        <v>116</v>
      </c>
      <c r="B36" s="421" t="s">
        <v>358</v>
      </c>
      <c r="C36" s="245" t="str">
        <f>VLOOKUP(A36,'3-Ruimtestaat'!B:D,3,FALSE)</f>
        <v>Oostlijn bovengronds</v>
      </c>
      <c r="D36" s="423" t="s">
        <v>1585</v>
      </c>
      <c r="E36" s="424">
        <v>1</v>
      </c>
      <c r="F36" s="390"/>
      <c r="G36" s="424">
        <v>110</v>
      </c>
      <c r="H36" s="422">
        <v>0</v>
      </c>
      <c r="I36" s="390"/>
      <c r="J36" s="422"/>
      <c r="K36" s="390"/>
      <c r="L36" s="236">
        <f t="shared" si="1"/>
        <v>0</v>
      </c>
      <c r="M36" s="236">
        <f t="shared" si="2"/>
        <v>0</v>
      </c>
    </row>
    <row r="37" spans="1:13" ht="13.5">
      <c r="A37" s="420">
        <v>117</v>
      </c>
      <c r="B37" s="421" t="s">
        <v>453</v>
      </c>
      <c r="C37" s="245" t="str">
        <f>VLOOKUP(A37,'3-Ruimtestaat'!B:D,3,FALSE)</f>
        <v>Oostlijn bovengronds</v>
      </c>
      <c r="D37" s="423" t="s">
        <v>1585</v>
      </c>
      <c r="E37" s="424">
        <v>1</v>
      </c>
      <c r="F37" s="390"/>
      <c r="G37" s="424">
        <v>110</v>
      </c>
      <c r="H37" s="422">
        <v>0</v>
      </c>
      <c r="I37" s="390"/>
      <c r="J37" s="422"/>
      <c r="K37" s="390"/>
      <c r="L37" s="236">
        <f t="shared" si="1"/>
        <v>0</v>
      </c>
      <c r="M37" s="236">
        <f t="shared" si="2"/>
        <v>0</v>
      </c>
    </row>
    <row r="38" spans="1:13" ht="13.5">
      <c r="A38" s="420">
        <v>118</v>
      </c>
      <c r="B38" s="421" t="s">
        <v>299</v>
      </c>
      <c r="C38" s="245" t="str">
        <f>VLOOKUP(A38,'3-Ruimtestaat'!B:D,3,FALSE)</f>
        <v>Oostlijn bovengronds</v>
      </c>
      <c r="D38" s="423" t="s">
        <v>1585</v>
      </c>
      <c r="E38" s="424">
        <v>1</v>
      </c>
      <c r="F38" s="390"/>
      <c r="G38" s="424">
        <v>110</v>
      </c>
      <c r="H38" s="422">
        <v>0</v>
      </c>
      <c r="I38" s="390"/>
      <c r="J38" s="422"/>
      <c r="K38" s="390"/>
      <c r="L38" s="236">
        <f t="shared" si="1"/>
        <v>0</v>
      </c>
      <c r="M38" s="236">
        <f t="shared" si="2"/>
        <v>0</v>
      </c>
    </row>
    <row r="39" spans="1:13" ht="13.5">
      <c r="A39" s="420">
        <v>119</v>
      </c>
      <c r="B39" s="421" t="s">
        <v>479</v>
      </c>
      <c r="C39" s="245" t="str">
        <f>VLOOKUP(A39,'3-Ruimtestaat'!B:D,3,FALSE)</f>
        <v>Oostlijn bovengronds</v>
      </c>
      <c r="D39" s="423" t="s">
        <v>1585</v>
      </c>
      <c r="E39" s="424">
        <v>1</v>
      </c>
      <c r="F39" s="390"/>
      <c r="G39" s="424">
        <v>110</v>
      </c>
      <c r="H39" s="422">
        <v>0</v>
      </c>
      <c r="I39" s="390"/>
      <c r="J39" s="422"/>
      <c r="K39" s="390"/>
      <c r="L39" s="236">
        <f t="shared" si="1"/>
        <v>0</v>
      </c>
      <c r="M39" s="236">
        <f t="shared" si="2"/>
        <v>0</v>
      </c>
    </row>
    <row r="40" spans="1:13" ht="13.5">
      <c r="A40" s="420">
        <v>120</v>
      </c>
      <c r="B40" s="421" t="s">
        <v>459</v>
      </c>
      <c r="C40" s="245" t="str">
        <f>VLOOKUP(A40,'3-Ruimtestaat'!B:D,3,FALSE)</f>
        <v>Oostlijn bovengronds</v>
      </c>
      <c r="D40" s="423" t="s">
        <v>1585</v>
      </c>
      <c r="E40" s="424">
        <v>1</v>
      </c>
      <c r="F40" s="390"/>
      <c r="G40" s="424">
        <v>110</v>
      </c>
      <c r="H40" s="422">
        <v>0</v>
      </c>
      <c r="I40" s="390"/>
      <c r="J40" s="422"/>
      <c r="K40" s="390"/>
      <c r="L40" s="236">
        <f t="shared" si="1"/>
        <v>0</v>
      </c>
      <c r="M40" s="236">
        <f t="shared" si="2"/>
        <v>0</v>
      </c>
    </row>
    <row r="41" spans="1:13" ht="13.5">
      <c r="A41" s="420">
        <v>121</v>
      </c>
      <c r="B41" s="421" t="s">
        <v>275</v>
      </c>
      <c r="C41" s="245" t="str">
        <f>VLOOKUP(A41,'3-Ruimtestaat'!B:D,3,FALSE)</f>
        <v>Oostlijn bovengronds</v>
      </c>
      <c r="D41" s="423" t="s">
        <v>1585</v>
      </c>
      <c r="E41" s="424">
        <v>1</v>
      </c>
      <c r="F41" s="390"/>
      <c r="G41" s="424">
        <v>110</v>
      </c>
      <c r="H41" s="422">
        <v>0</v>
      </c>
      <c r="I41" s="390"/>
      <c r="J41" s="422"/>
      <c r="K41" s="390"/>
      <c r="L41" s="236">
        <f t="shared" si="1"/>
        <v>0</v>
      </c>
      <c r="M41" s="236">
        <f t="shared" si="2"/>
        <v>0</v>
      </c>
    </row>
    <row r="42" spans="1:13" ht="13.5">
      <c r="A42" s="246" t="s">
        <v>12</v>
      </c>
      <c r="B42" s="246"/>
      <c r="C42" s="237"/>
      <c r="D42" s="237"/>
      <c r="E42" s="237"/>
      <c r="F42" s="238"/>
      <c r="G42" s="238"/>
      <c r="H42" s="238"/>
      <c r="I42" s="238"/>
      <c r="J42" s="238"/>
      <c r="K42" s="239"/>
      <c r="L42" s="239"/>
      <c r="M42" s="240">
        <f>SUM(M16:M41)</f>
        <v>0</v>
      </c>
    </row>
    <row r="44" spans="1:13" ht="30.6" customHeight="1">
      <c r="A44" s="445" t="s">
        <v>1586</v>
      </c>
      <c r="B44" s="445"/>
      <c r="C44" s="445"/>
      <c r="D44" s="445"/>
    </row>
  </sheetData>
  <autoFilter ref="A15:W42" xr:uid="{22E899AE-5CE8-45A2-9857-865852F2E5B5}"/>
  <mergeCells count="1">
    <mergeCell ref="A44:D44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L32"/>
  <sheetViews>
    <sheetView showGridLines="0" zoomScaleNormal="100" workbookViewId="0">
      <pane ySplit="10" topLeftCell="A11" activePane="bottomLeft" state="frozen"/>
      <selection activeCell="D6" sqref="D6"/>
      <selection pane="bottomLeft" activeCell="C29" sqref="C29"/>
    </sheetView>
  </sheetViews>
  <sheetFormatPr defaultColWidth="9.140625" defaultRowHeight="13.5"/>
  <cols>
    <col min="1" max="1" width="31.5703125" style="70" customWidth="1"/>
    <col min="2" max="2" width="35" style="70" customWidth="1"/>
    <col min="3" max="4" width="36.28515625" style="70" customWidth="1"/>
    <col min="5" max="5" width="12.85546875" style="70" bestFit="1" customWidth="1"/>
    <col min="6" max="6" width="16.140625" style="70" bestFit="1" customWidth="1"/>
    <col min="7" max="7" width="12.42578125" style="70" bestFit="1" customWidth="1"/>
    <col min="8" max="16384" width="9.140625" style="70"/>
  </cols>
  <sheetData>
    <row r="1" spans="1:12">
      <c r="A1" s="291" t="s">
        <v>9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12" ht="17.25">
      <c r="A2" s="214"/>
      <c r="B2" s="247"/>
      <c r="C2" s="247"/>
      <c r="D2" s="247"/>
      <c r="E2" s="217"/>
      <c r="F2" s="217"/>
      <c r="G2" s="217"/>
      <c r="H2" s="217"/>
      <c r="I2" s="247"/>
      <c r="J2" s="247"/>
    </row>
    <row r="3" spans="1:12" ht="17.25">
      <c r="A3" s="269" t="s">
        <v>10</v>
      </c>
      <c r="B3" s="271" t="str">
        <f>'1-Inschrijfstaat'!B3</f>
        <v>GVB Infra B.V.</v>
      </c>
      <c r="C3" s="217"/>
      <c r="D3" s="247"/>
      <c r="E3" s="247"/>
      <c r="F3" s="247"/>
      <c r="G3" s="217"/>
      <c r="H3" s="217"/>
      <c r="I3" s="242"/>
      <c r="J3" s="247"/>
    </row>
    <row r="4" spans="1:12" ht="17.25">
      <c r="A4" s="269" t="s">
        <v>1173</v>
      </c>
      <c r="B4" s="271" t="str">
        <f ca="1">MID(CELL("bestandsnaam",$C$9),SEARCH("]",CELL("bestandsnaam",$C$9),1)+1,256)</f>
        <v>6-Sanitaire voorzieningen</v>
      </c>
      <c r="C4" s="217"/>
      <c r="D4" s="247"/>
      <c r="E4" s="217"/>
      <c r="F4" s="217"/>
      <c r="G4" s="217"/>
      <c r="H4" s="217"/>
      <c r="I4" s="217"/>
      <c r="J4" s="217"/>
    </row>
    <row r="5" spans="1:12" ht="17.25">
      <c r="A5" s="269" t="s">
        <v>11</v>
      </c>
      <c r="B5" s="271" t="str">
        <f>'1-Inschrijfstaat'!B5</f>
        <v>Diverse</v>
      </c>
      <c r="C5" s="217"/>
      <c r="D5" s="247"/>
      <c r="E5" s="247"/>
      <c r="F5" s="247"/>
      <c r="G5" s="217"/>
      <c r="H5" s="217"/>
      <c r="I5" s="217"/>
      <c r="J5" s="217"/>
    </row>
    <row r="6" spans="1:12" ht="17.25">
      <c r="A6" s="270" t="s">
        <v>16</v>
      </c>
      <c r="B6" s="271" t="str">
        <f>'1-Inschrijfstaat'!B6</f>
        <v>2021-03</v>
      </c>
      <c r="C6" s="217"/>
      <c r="D6" s="247"/>
      <c r="E6" s="217"/>
      <c r="F6" s="217"/>
      <c r="G6" s="217"/>
      <c r="H6" s="217"/>
      <c r="I6" s="217"/>
      <c r="J6" s="217"/>
    </row>
    <row r="7" spans="1:12" ht="17.25">
      <c r="A7" s="269" t="s">
        <v>13</v>
      </c>
      <c r="B7" s="271" t="str">
        <f>'1-Inschrijfstaat'!B7:D7</f>
        <v>Naam dienstverlener</v>
      </c>
      <c r="C7" s="217"/>
      <c r="D7" s="247"/>
      <c r="E7" s="247"/>
      <c r="F7" s="247"/>
      <c r="G7" s="221"/>
      <c r="H7" s="221"/>
      <c r="I7" s="221"/>
      <c r="J7" s="247"/>
    </row>
    <row r="8" spans="1:12" ht="17.25">
      <c r="A8" s="269" t="s">
        <v>14</v>
      </c>
      <c r="B8" s="9" t="str">
        <f>'1-Inschrijfstaat'!B8</f>
        <v>1 juni 2021</v>
      </c>
      <c r="C8" s="217"/>
      <c r="D8" s="217"/>
      <c r="E8" s="217"/>
      <c r="F8" s="221"/>
      <c r="G8" s="221"/>
      <c r="H8" s="221"/>
      <c r="I8" s="221"/>
      <c r="J8" s="247"/>
    </row>
    <row r="9" spans="1:12" ht="17.25">
      <c r="A9" s="80" t="s">
        <v>0</v>
      </c>
      <c r="B9" s="248" t="str">
        <f>'1-Inschrijfstaat'!B9</f>
        <v>1 Comfort schoonmaak</v>
      </c>
      <c r="C9" s="217"/>
      <c r="D9" s="217"/>
      <c r="E9" s="217"/>
      <c r="F9" s="221"/>
      <c r="G9" s="221"/>
      <c r="H9" s="221"/>
      <c r="I9" s="221"/>
      <c r="J9" s="247"/>
    </row>
    <row r="10" spans="1:12" ht="17.25">
      <c r="A10" s="269" t="s">
        <v>1155</v>
      </c>
      <c r="B10" s="274" t="s">
        <v>1177</v>
      </c>
      <c r="C10" s="226"/>
      <c r="D10" s="226"/>
      <c r="E10" s="226"/>
      <c r="F10" s="221"/>
      <c r="G10" s="221"/>
      <c r="H10" s="221"/>
      <c r="I10" s="221"/>
      <c r="J10" s="247"/>
    </row>
    <row r="11" spans="1:12" ht="17.25">
      <c r="A11" s="218"/>
      <c r="B11" s="225"/>
      <c r="C11" s="226"/>
      <c r="D11" s="226"/>
      <c r="E11" s="226"/>
      <c r="F11" s="221"/>
      <c r="G11" s="221"/>
      <c r="H11" s="221"/>
      <c r="I11" s="221"/>
      <c r="J11" s="247"/>
    </row>
    <row r="12" spans="1:12" ht="25.5" customHeight="1">
      <c r="A12" s="168" t="s">
        <v>1552</v>
      </c>
      <c r="B12" s="210" t="s">
        <v>1178</v>
      </c>
      <c r="C12" s="210" t="s">
        <v>1557</v>
      </c>
      <c r="D12" s="210" t="s">
        <v>1294</v>
      </c>
      <c r="E12" s="226"/>
      <c r="F12" s="221"/>
      <c r="G12" s="221"/>
      <c r="H12" s="221"/>
      <c r="I12" s="221"/>
      <c r="J12" s="225"/>
      <c r="K12" s="225"/>
      <c r="L12" s="249"/>
    </row>
    <row r="13" spans="1:12" ht="18" customHeight="1">
      <c r="A13" s="250" t="s">
        <v>1179</v>
      </c>
      <c r="B13" s="275"/>
      <c r="C13" s="251" t="s">
        <v>1295</v>
      </c>
      <c r="D13" s="252" t="s">
        <v>1306</v>
      </c>
      <c r="E13" s="226"/>
      <c r="F13" s="221"/>
      <c r="G13" s="221"/>
      <c r="H13" s="221"/>
      <c r="I13" s="221"/>
      <c r="J13" s="225"/>
      <c r="K13" s="225"/>
      <c r="L13" s="249"/>
    </row>
    <row r="14" spans="1:12" ht="18" customHeight="1">
      <c r="A14" s="253" t="s">
        <v>1180</v>
      </c>
      <c r="B14" s="275"/>
      <c r="C14" s="254" t="s">
        <v>1296</v>
      </c>
      <c r="D14" s="252" t="s">
        <v>1305</v>
      </c>
      <c r="E14" s="226"/>
      <c r="F14" s="221"/>
      <c r="G14" s="221"/>
      <c r="H14" s="221"/>
      <c r="I14" s="221"/>
      <c r="J14" s="225"/>
      <c r="K14" s="225"/>
      <c r="L14" s="249"/>
    </row>
    <row r="15" spans="1:12" ht="27">
      <c r="A15" s="255" t="s">
        <v>1181</v>
      </c>
      <c r="B15" s="275"/>
      <c r="C15" s="251" t="s">
        <v>1297</v>
      </c>
      <c r="D15" s="252" t="s">
        <v>1298</v>
      </c>
      <c r="E15" s="226"/>
      <c r="F15" s="221"/>
      <c r="G15" s="221"/>
      <c r="H15" s="221"/>
      <c r="I15" s="221"/>
      <c r="J15" s="225"/>
      <c r="K15" s="225"/>
      <c r="L15" s="249"/>
    </row>
    <row r="16" spans="1:12" ht="18" customHeight="1">
      <c r="A16" s="256" t="s">
        <v>1182</v>
      </c>
      <c r="B16" s="275"/>
      <c r="C16" s="251" t="s">
        <v>1299</v>
      </c>
      <c r="D16" s="252" t="s">
        <v>1298</v>
      </c>
      <c r="E16" s="226"/>
      <c r="F16" s="221"/>
      <c r="G16" s="221"/>
      <c r="H16" s="221"/>
      <c r="I16" s="221"/>
      <c r="J16" s="225"/>
      <c r="K16" s="225"/>
      <c r="L16" s="249"/>
    </row>
    <row r="17" spans="1:12" ht="18" customHeight="1">
      <c r="A17" s="256" t="s">
        <v>1183</v>
      </c>
      <c r="B17" s="276"/>
      <c r="C17" s="251" t="s">
        <v>1184</v>
      </c>
      <c r="D17" s="257" t="s">
        <v>1307</v>
      </c>
      <c r="E17" s="226"/>
      <c r="F17" s="221"/>
      <c r="G17" s="221"/>
      <c r="H17" s="221"/>
      <c r="I17" s="221"/>
      <c r="J17" s="249"/>
      <c r="K17" s="249"/>
      <c r="L17" s="249"/>
    </row>
    <row r="18" spans="1:12" ht="27">
      <c r="A18" s="256" t="s">
        <v>1300</v>
      </c>
      <c r="B18" s="277"/>
      <c r="C18" s="251" t="s">
        <v>1301</v>
      </c>
      <c r="D18" s="257" t="s">
        <v>1302</v>
      </c>
      <c r="E18" s="226"/>
      <c r="F18" s="221"/>
      <c r="G18" s="221"/>
      <c r="H18" s="221"/>
      <c r="I18" s="221"/>
      <c r="J18" s="247"/>
    </row>
    <row r="19" spans="1:12" ht="15">
      <c r="A19" s="247"/>
      <c r="B19" s="215"/>
      <c r="C19" s="247"/>
      <c r="D19" s="247"/>
      <c r="E19" s="247"/>
      <c r="F19" s="221"/>
      <c r="G19" s="221"/>
      <c r="H19" s="247"/>
      <c r="I19" s="247"/>
      <c r="J19" s="247"/>
    </row>
    <row r="20" spans="1:12" ht="17.25">
      <c r="A20" s="168" t="s">
        <v>1552</v>
      </c>
      <c r="B20" s="279" t="s">
        <v>1304</v>
      </c>
      <c r="C20" s="210" t="s">
        <v>1185</v>
      </c>
      <c r="D20" s="210" t="s">
        <v>1185</v>
      </c>
      <c r="E20" s="226"/>
      <c r="F20" s="221"/>
      <c r="G20" s="221"/>
      <c r="H20" s="221"/>
      <c r="I20" s="221"/>
      <c r="J20" s="225"/>
      <c r="K20" s="225"/>
      <c r="L20" s="249"/>
    </row>
    <row r="21" spans="1:12" ht="17.25">
      <c r="A21" s="281"/>
      <c r="B21" s="279" t="s">
        <v>1186</v>
      </c>
      <c r="C21" s="282" t="s">
        <v>1303</v>
      </c>
      <c r="D21" s="282" t="s">
        <v>1187</v>
      </c>
      <c r="E21" s="226"/>
      <c r="F21" s="221"/>
      <c r="G21" s="221"/>
      <c r="H21" s="221"/>
      <c r="I21" s="221"/>
      <c r="J21" s="225"/>
      <c r="K21" s="225"/>
      <c r="L21" s="249"/>
    </row>
    <row r="22" spans="1:12" ht="15">
      <c r="A22" s="280" t="s">
        <v>1179</v>
      </c>
      <c r="B22" s="252">
        <v>2250</v>
      </c>
      <c r="C22" s="278">
        <v>0</v>
      </c>
      <c r="D22" s="258">
        <f>B22*C22</f>
        <v>0</v>
      </c>
      <c r="E22" s="247"/>
      <c r="F22" s="221"/>
      <c r="G22" s="221"/>
      <c r="H22" s="247"/>
      <c r="I22" s="247"/>
      <c r="J22" s="247"/>
    </row>
    <row r="23" spans="1:12" ht="15">
      <c r="A23" s="253" t="s">
        <v>1180</v>
      </c>
      <c r="B23" s="252">
        <v>6200</v>
      </c>
      <c r="C23" s="278">
        <v>0</v>
      </c>
      <c r="D23" s="258">
        <f t="shared" ref="D23:D27" si="0">B23*C23</f>
        <v>0</v>
      </c>
      <c r="E23" s="247"/>
      <c r="F23" s="221"/>
      <c r="G23" s="221"/>
      <c r="H23" s="247"/>
      <c r="I23" s="247"/>
      <c r="J23" s="247"/>
    </row>
    <row r="24" spans="1:12" ht="15">
      <c r="A24" s="255" t="s">
        <v>1181</v>
      </c>
      <c r="B24" s="252">
        <v>175</v>
      </c>
      <c r="C24" s="278">
        <v>0</v>
      </c>
      <c r="D24" s="258">
        <f t="shared" si="0"/>
        <v>0</v>
      </c>
      <c r="E24" s="247"/>
      <c r="F24" s="221"/>
      <c r="G24" s="221"/>
      <c r="H24" s="247"/>
      <c r="I24" s="247"/>
      <c r="J24" s="247"/>
    </row>
    <row r="25" spans="1:12" ht="15">
      <c r="A25" s="256" t="s">
        <v>1182</v>
      </c>
      <c r="B25" s="252">
        <v>5</v>
      </c>
      <c r="C25" s="278">
        <v>0</v>
      </c>
      <c r="D25" s="258">
        <f t="shared" si="0"/>
        <v>0</v>
      </c>
      <c r="E25" s="247"/>
      <c r="F25" s="221"/>
      <c r="G25" s="221"/>
      <c r="H25" s="259"/>
      <c r="I25" s="259"/>
      <c r="J25" s="259"/>
    </row>
    <row r="26" spans="1:12" ht="15">
      <c r="A26" s="256" t="s">
        <v>1183</v>
      </c>
      <c r="B26" s="252">
        <v>10</v>
      </c>
      <c r="C26" s="278">
        <v>0</v>
      </c>
      <c r="D26" s="258">
        <f t="shared" si="0"/>
        <v>0</v>
      </c>
      <c r="E26" s="247"/>
      <c r="F26" s="221"/>
      <c r="G26" s="221"/>
      <c r="H26" s="247"/>
      <c r="I26" s="247"/>
      <c r="J26" s="247"/>
    </row>
    <row r="27" spans="1:12" ht="15">
      <c r="A27" s="256" t="s">
        <v>1300</v>
      </c>
      <c r="B27" s="252">
        <v>200</v>
      </c>
      <c r="C27" s="278">
        <v>0</v>
      </c>
      <c r="D27" s="258">
        <f t="shared" si="0"/>
        <v>0</v>
      </c>
      <c r="E27" s="247"/>
      <c r="F27" s="221"/>
      <c r="G27" s="221"/>
      <c r="H27" s="247"/>
      <c r="I27" s="247"/>
      <c r="J27" s="247"/>
    </row>
    <row r="28" spans="1:12" ht="15">
      <c r="A28" s="260" t="s">
        <v>1188</v>
      </c>
      <c r="B28" s="261"/>
      <c r="C28" s="262"/>
      <c r="D28" s="263">
        <f>SUM(D22:D27)</f>
        <v>0</v>
      </c>
      <c r="E28" s="247"/>
      <c r="F28" s="221"/>
      <c r="G28" s="221"/>
      <c r="H28" s="247"/>
      <c r="I28" s="247"/>
      <c r="J28" s="247"/>
    </row>
    <row r="29" spans="1:12" ht="15">
      <c r="A29" s="264"/>
      <c r="B29" s="265"/>
      <c r="C29" s="241"/>
      <c r="D29" s="266"/>
      <c r="E29" s="247"/>
      <c r="F29" s="221"/>
      <c r="G29" s="221"/>
      <c r="H29" s="247"/>
      <c r="I29" s="247"/>
      <c r="J29" s="247"/>
    </row>
    <row r="30" spans="1:12" ht="15">
      <c r="A30" s="267" t="s">
        <v>1308</v>
      </c>
      <c r="B30" s="265"/>
      <c r="C30" s="241"/>
      <c r="D30" s="266"/>
      <c r="E30" s="247"/>
      <c r="F30" s="221"/>
      <c r="G30" s="221"/>
      <c r="H30" s="247"/>
      <c r="I30" s="247"/>
      <c r="J30" s="247"/>
    </row>
    <row r="31" spans="1:12" ht="15">
      <c r="A31" s="264"/>
      <c r="B31" s="265"/>
      <c r="C31" s="241"/>
      <c r="D31" s="266"/>
      <c r="E31" s="247"/>
      <c r="F31" s="221"/>
      <c r="G31" s="221"/>
      <c r="H31" s="247"/>
      <c r="I31" s="247"/>
      <c r="J31" s="247"/>
    </row>
    <row r="32" spans="1:12" ht="30.6" customHeight="1">
      <c r="A32" s="446" t="s">
        <v>1189</v>
      </c>
      <c r="B32" s="446"/>
      <c r="C32" s="446"/>
      <c r="D32" s="446"/>
      <c r="E32" s="321"/>
      <c r="F32" s="321"/>
      <c r="G32" s="321"/>
    </row>
  </sheetData>
  <mergeCells count="1">
    <mergeCell ref="A32:D32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A8086-2078-49E6-9D7A-71EB42CDFE02}">
  <dimension ref="A1:P96"/>
  <sheetViews>
    <sheetView showGridLines="0" zoomScaleNormal="100" workbookViewId="0">
      <pane ySplit="10" topLeftCell="A11" activePane="bottomLeft" state="frozen"/>
      <selection activeCell="D6" sqref="D6"/>
      <selection pane="bottomLeft" activeCell="E44" sqref="E44"/>
    </sheetView>
  </sheetViews>
  <sheetFormatPr defaultColWidth="9.140625" defaultRowHeight="13.5"/>
  <cols>
    <col min="1" max="1" width="28.85546875" style="70" customWidth="1"/>
    <col min="2" max="2" width="15.42578125" style="70" bestFit="1" customWidth="1"/>
    <col min="3" max="3" width="15.28515625" style="70" customWidth="1"/>
    <col min="4" max="4" width="18.7109375" style="70" customWidth="1"/>
    <col min="5" max="5" width="18.42578125" style="70" customWidth="1"/>
    <col min="6" max="6" width="12.28515625" style="70" customWidth="1"/>
    <col min="7" max="7" width="11.85546875" style="70" customWidth="1"/>
    <col min="8" max="8" width="16.7109375" style="70" customWidth="1"/>
    <col min="9" max="9" width="15.28515625" style="70" customWidth="1"/>
    <col min="10" max="11" width="12.85546875" style="70" customWidth="1"/>
    <col min="12" max="12" width="14.140625" style="70" customWidth="1"/>
    <col min="13" max="13" width="9.28515625" style="70" bestFit="1" customWidth="1"/>
    <col min="14" max="15" width="11.7109375" style="70" bestFit="1" customWidth="1"/>
    <col min="16" max="16" width="13.85546875" style="70" bestFit="1" customWidth="1"/>
    <col min="17" max="19" width="9.140625" style="70"/>
    <col min="20" max="20" width="15.140625" style="70" customWidth="1"/>
    <col min="21" max="16384" width="9.140625" style="70"/>
  </cols>
  <sheetData>
    <row r="1" spans="1:12">
      <c r="A1" s="386" t="s">
        <v>9</v>
      </c>
    </row>
    <row r="3" spans="1:12" ht="17.25">
      <c r="A3" s="379" t="s">
        <v>10</v>
      </c>
      <c r="B3" s="271" t="str">
        <f>'1-Inschrijfstaat'!B3</f>
        <v>GVB Infra B.V.</v>
      </c>
    </row>
    <row r="4" spans="1:12" ht="17.25">
      <c r="A4" s="379" t="s">
        <v>1173</v>
      </c>
      <c r="B4" s="271" t="str">
        <f ca="1">MID(CELL("bestandsnaam",$C$9),SEARCH("]",CELL("bestandsnaam",$C$9),1)+1,256)</f>
        <v>7-Gladheidsbestrijding</v>
      </c>
    </row>
    <row r="5" spans="1:12" ht="17.25">
      <c r="A5" s="377" t="s">
        <v>11</v>
      </c>
      <c r="B5" s="271" t="str">
        <f>'1-Inschrijfstaat'!B5</f>
        <v>Diverse</v>
      </c>
      <c r="J5" s="378"/>
      <c r="K5" s="378"/>
      <c r="L5" s="378"/>
    </row>
    <row r="6" spans="1:12" ht="17.25">
      <c r="A6" s="377" t="s">
        <v>16</v>
      </c>
      <c r="B6" s="271" t="str">
        <f>'1-Inschrijfstaat'!B6</f>
        <v>2021-03</v>
      </c>
    </row>
    <row r="7" spans="1:12" ht="17.25">
      <c r="A7" s="377" t="s">
        <v>13</v>
      </c>
      <c r="B7" s="271" t="str">
        <f>'1-Inschrijfstaat'!B7:D7</f>
        <v>Naam dienstverlener</v>
      </c>
      <c r="H7" s="101"/>
      <c r="I7" s="101"/>
      <c r="J7" s="101"/>
      <c r="K7" s="101"/>
      <c r="L7" s="101"/>
    </row>
    <row r="8" spans="1:12" ht="15.75">
      <c r="A8" s="377" t="s">
        <v>14</v>
      </c>
      <c r="B8" s="9" t="str">
        <f>'1-Inschrijfstaat'!B8</f>
        <v>1 juni 2021</v>
      </c>
      <c r="H8" s="101"/>
      <c r="I8" s="101"/>
      <c r="J8" s="101"/>
      <c r="K8" s="101"/>
      <c r="L8" s="101"/>
    </row>
    <row r="9" spans="1:12" ht="15.75">
      <c r="A9" s="377" t="s">
        <v>0</v>
      </c>
      <c r="B9" s="248" t="str">
        <f>'1-Inschrijfstaat'!B9</f>
        <v>1 Comfort schoonmaak</v>
      </c>
    </row>
    <row r="10" spans="1:12" ht="17.25">
      <c r="A10" s="377" t="s">
        <v>1155</v>
      </c>
      <c r="B10" s="376" t="s">
        <v>1526</v>
      </c>
    </row>
    <row r="12" spans="1:12" ht="14.25" thickBot="1">
      <c r="A12" s="346" t="s">
        <v>1525</v>
      </c>
      <c r="B12" s="341"/>
      <c r="C12" s="341"/>
      <c r="D12" s="341"/>
      <c r="E12" s="346"/>
      <c r="F12" s="342"/>
      <c r="G12" s="341"/>
    </row>
    <row r="13" spans="1:12" ht="89.25">
      <c r="A13" s="375" t="s">
        <v>1524</v>
      </c>
      <c r="B13" s="374" t="s">
        <v>1556</v>
      </c>
      <c r="C13" s="373" t="s">
        <v>1523</v>
      </c>
      <c r="D13" s="372" t="s">
        <v>1522</v>
      </c>
      <c r="E13" s="372" t="s">
        <v>1521</v>
      </c>
      <c r="F13" s="372" t="s">
        <v>1520</v>
      </c>
      <c r="G13" s="372" t="s">
        <v>1519</v>
      </c>
      <c r="H13" s="371" t="s">
        <v>1518</v>
      </c>
    </row>
    <row r="14" spans="1:12" ht="14.25">
      <c r="A14" s="369" t="s">
        <v>1517</v>
      </c>
      <c r="B14" s="367">
        <v>3457</v>
      </c>
      <c r="C14" s="370">
        <v>4</v>
      </c>
      <c r="D14" s="365">
        <v>0</v>
      </c>
      <c r="E14" s="365">
        <v>0</v>
      </c>
      <c r="F14" s="365">
        <v>0</v>
      </c>
      <c r="G14" s="390"/>
      <c r="H14" s="364">
        <f>(((D14+E14)*B38)+(F14*$B$43)+(G14*$B$44))*C14</f>
        <v>0</v>
      </c>
    </row>
    <row r="15" spans="1:12" ht="14.25">
      <c r="A15" s="369" t="s">
        <v>1516</v>
      </c>
      <c r="B15" s="367">
        <v>3457</v>
      </c>
      <c r="C15" s="370">
        <v>4</v>
      </c>
      <c r="D15" s="365">
        <v>0</v>
      </c>
      <c r="E15" s="365">
        <v>0</v>
      </c>
      <c r="F15" s="365">
        <v>0</v>
      </c>
      <c r="G15" s="390"/>
      <c r="H15" s="364">
        <f>(((D15+E15)*B39)+(F15*$B$43)+(G15*$B$44))*C15</f>
        <v>0</v>
      </c>
    </row>
    <row r="16" spans="1:12" ht="14.25">
      <c r="A16" s="369" t="s">
        <v>1515</v>
      </c>
      <c r="B16" s="367">
        <v>3457</v>
      </c>
      <c r="C16" s="370">
        <v>4</v>
      </c>
      <c r="D16" s="365">
        <v>0</v>
      </c>
      <c r="E16" s="365">
        <v>0</v>
      </c>
      <c r="F16" s="365">
        <v>0</v>
      </c>
      <c r="G16" s="390"/>
      <c r="H16" s="364">
        <f>(((D16+E16)*B40)+(F16*$B$43)+(G16*$B$44))*C16</f>
        <v>0</v>
      </c>
    </row>
    <row r="17" spans="1:16" ht="14.25">
      <c r="A17" s="369" t="s">
        <v>1514</v>
      </c>
      <c r="B17" s="367">
        <v>3457</v>
      </c>
      <c r="C17" s="370">
        <v>4</v>
      </c>
      <c r="D17" s="365">
        <v>0</v>
      </c>
      <c r="E17" s="365">
        <v>0</v>
      </c>
      <c r="F17" s="365">
        <v>0</v>
      </c>
      <c r="G17" s="390"/>
      <c r="H17" s="364">
        <f>(((D17+E17)*B41)+(F17*$B$43)+(G17*$B$44))*C17</f>
        <v>0</v>
      </c>
    </row>
    <row r="18" spans="1:16" ht="14.25" thickBot="1">
      <c r="P18" s="359"/>
    </row>
    <row r="19" spans="1:16" ht="89.25">
      <c r="A19" s="375" t="s">
        <v>1524</v>
      </c>
      <c r="B19" s="374" t="s">
        <v>1558</v>
      </c>
      <c r="C19" s="373" t="s">
        <v>1523</v>
      </c>
      <c r="D19" s="372" t="s">
        <v>1522</v>
      </c>
      <c r="E19" s="372" t="s">
        <v>1521</v>
      </c>
      <c r="F19" s="372" t="s">
        <v>1520</v>
      </c>
      <c r="G19" s="372" t="s">
        <v>1519</v>
      </c>
      <c r="H19" s="371" t="s">
        <v>1518</v>
      </c>
    </row>
    <row r="20" spans="1:16" ht="14.25">
      <c r="A20" s="369" t="s">
        <v>1517</v>
      </c>
      <c r="B20" s="367">
        <f>$E$96-B14</f>
        <v>50383</v>
      </c>
      <c r="C20" s="370">
        <v>4</v>
      </c>
      <c r="D20" s="365">
        <v>0</v>
      </c>
      <c r="E20" s="365">
        <v>0</v>
      </c>
      <c r="F20" s="390"/>
      <c r="G20" s="365">
        <v>0</v>
      </c>
      <c r="H20" s="364">
        <f>(((D20+E20)*B38)+(F20*$B$43)+(G20*$B$44))*C20</f>
        <v>0</v>
      </c>
    </row>
    <row r="21" spans="1:16" ht="14.25">
      <c r="A21" s="369" t="s">
        <v>1516</v>
      </c>
      <c r="B21" s="367">
        <f t="shared" ref="B21:B23" si="0">$E$96-B15</f>
        <v>50383</v>
      </c>
      <c r="C21" s="370">
        <v>4</v>
      </c>
      <c r="D21" s="365">
        <v>0</v>
      </c>
      <c r="E21" s="365">
        <v>0</v>
      </c>
      <c r="F21" s="390"/>
      <c r="G21" s="365">
        <v>0</v>
      </c>
      <c r="H21" s="364">
        <f t="shared" ref="H21:H23" si="1">(((D21+E21)*B39)+(F21*$B$43)+(G21*$B$44))*C21</f>
        <v>0</v>
      </c>
    </row>
    <row r="22" spans="1:16" ht="14.25">
      <c r="A22" s="369" t="s">
        <v>1515</v>
      </c>
      <c r="B22" s="367">
        <f t="shared" si="0"/>
        <v>50383</v>
      </c>
      <c r="C22" s="370">
        <v>4</v>
      </c>
      <c r="D22" s="365">
        <v>0</v>
      </c>
      <c r="E22" s="365">
        <v>0</v>
      </c>
      <c r="F22" s="390"/>
      <c r="G22" s="365">
        <v>0</v>
      </c>
      <c r="H22" s="364">
        <f t="shared" si="1"/>
        <v>0</v>
      </c>
    </row>
    <row r="23" spans="1:16" ht="14.25">
      <c r="A23" s="369" t="s">
        <v>1514</v>
      </c>
      <c r="B23" s="367">
        <f t="shared" si="0"/>
        <v>50383</v>
      </c>
      <c r="C23" s="370">
        <v>4</v>
      </c>
      <c r="D23" s="365">
        <v>0</v>
      </c>
      <c r="E23" s="365">
        <v>0</v>
      </c>
      <c r="F23" s="390"/>
      <c r="G23" s="365">
        <v>0</v>
      </c>
      <c r="H23" s="364">
        <f t="shared" si="1"/>
        <v>0</v>
      </c>
    </row>
    <row r="24" spans="1:16" ht="14.25">
      <c r="A24" s="369" t="s">
        <v>1513</v>
      </c>
      <c r="B24" s="367">
        <f>$F$96</f>
        <v>11307</v>
      </c>
      <c r="C24" s="366" t="s">
        <v>1589</v>
      </c>
      <c r="D24" s="365">
        <v>0</v>
      </c>
      <c r="E24" s="365">
        <v>0</v>
      </c>
      <c r="F24" s="365">
        <v>0</v>
      </c>
      <c r="G24" s="365">
        <v>0</v>
      </c>
      <c r="H24" s="364">
        <f>(((D24+E24)*B38)+(F24*$B$43)+(G24*$B$44))*C24</f>
        <v>0</v>
      </c>
    </row>
    <row r="25" spans="1:16" ht="14.25">
      <c r="A25" s="369" t="s">
        <v>1512</v>
      </c>
      <c r="B25" s="367">
        <f>$F$96</f>
        <v>11307</v>
      </c>
      <c r="C25" s="366" t="s">
        <v>1589</v>
      </c>
      <c r="D25" s="365">
        <v>0</v>
      </c>
      <c r="E25" s="365">
        <v>0</v>
      </c>
      <c r="F25" s="365">
        <v>0</v>
      </c>
      <c r="G25" s="365">
        <v>0</v>
      </c>
      <c r="H25" s="364">
        <f t="shared" ref="H25:H27" si="2">(((D25+E25)*B39)+(F25*$B$43)+(G25*$B$44))*C25</f>
        <v>0</v>
      </c>
    </row>
    <row r="26" spans="1:16" ht="14.25">
      <c r="A26" s="369" t="s">
        <v>1511</v>
      </c>
      <c r="B26" s="367">
        <f>$F$96</f>
        <v>11307</v>
      </c>
      <c r="C26" s="366" t="s">
        <v>1589</v>
      </c>
      <c r="D26" s="365">
        <v>0</v>
      </c>
      <c r="E26" s="365">
        <v>0</v>
      </c>
      <c r="F26" s="365">
        <v>0</v>
      </c>
      <c r="G26" s="365">
        <v>0</v>
      </c>
      <c r="H26" s="364">
        <f t="shared" si="2"/>
        <v>0</v>
      </c>
      <c r="J26" s="363"/>
      <c r="K26" s="359"/>
      <c r="L26" s="359"/>
      <c r="M26" s="359"/>
      <c r="N26" s="359"/>
      <c r="O26" s="359"/>
      <c r="P26" s="359"/>
    </row>
    <row r="27" spans="1:16" ht="15" thickBot="1">
      <c r="A27" s="368" t="s">
        <v>1510</v>
      </c>
      <c r="B27" s="367">
        <f>$F$96</f>
        <v>11307</v>
      </c>
      <c r="C27" s="366" t="s">
        <v>1589</v>
      </c>
      <c r="D27" s="365">
        <v>0</v>
      </c>
      <c r="E27" s="365">
        <v>0</v>
      </c>
      <c r="F27" s="365">
        <v>0</v>
      </c>
      <c r="G27" s="365">
        <v>0</v>
      </c>
      <c r="H27" s="364">
        <f t="shared" si="2"/>
        <v>0</v>
      </c>
      <c r="J27" s="363"/>
      <c r="K27" s="359"/>
      <c r="L27" s="359"/>
      <c r="M27" s="359"/>
      <c r="N27" s="359"/>
      <c r="O27" s="359"/>
      <c r="P27" s="359"/>
    </row>
    <row r="28" spans="1:16">
      <c r="A28" s="362" t="s">
        <v>1509</v>
      </c>
      <c r="B28" s="361"/>
      <c r="C28" s="361"/>
      <c r="D28" s="361"/>
      <c r="E28" s="361"/>
      <c r="F28" s="361"/>
      <c r="G28" s="361"/>
      <c r="H28" s="360"/>
      <c r="P28" s="359"/>
    </row>
    <row r="29" spans="1:16">
      <c r="A29" s="358"/>
      <c r="B29" s="341"/>
      <c r="C29" s="341"/>
      <c r="D29" s="341"/>
      <c r="E29" s="346"/>
      <c r="F29" s="342"/>
      <c r="G29" s="342"/>
      <c r="H29" s="357"/>
    </row>
    <row r="30" spans="1:16">
      <c r="A30" s="358" t="s">
        <v>1508</v>
      </c>
      <c r="B30" s="341"/>
      <c r="C30" s="341"/>
      <c r="D30" s="341"/>
      <c r="E30" s="341"/>
      <c r="F30" s="342"/>
      <c r="G30" s="342"/>
      <c r="H30" s="357"/>
    </row>
    <row r="31" spans="1:16" ht="14.25">
      <c r="A31" s="356" t="s">
        <v>1507</v>
      </c>
      <c r="D31" s="341" t="s">
        <v>1187</v>
      </c>
      <c r="E31" s="341"/>
      <c r="F31" s="342"/>
      <c r="G31" s="342"/>
      <c r="H31" s="345">
        <v>0</v>
      </c>
    </row>
    <row r="32" spans="1:16" ht="14.25">
      <c r="A32" s="356" t="s">
        <v>1506</v>
      </c>
      <c r="D32" s="341" t="s">
        <v>1187</v>
      </c>
      <c r="E32" s="341"/>
      <c r="F32" s="342"/>
      <c r="G32" s="342"/>
      <c r="H32" s="345">
        <v>0</v>
      </c>
    </row>
    <row r="33" spans="1:8" ht="15" thickBot="1">
      <c r="A33" s="356"/>
      <c r="B33" s="341"/>
      <c r="C33" s="336"/>
      <c r="D33" s="341"/>
      <c r="E33" s="341"/>
      <c r="F33" s="342"/>
      <c r="G33" s="342"/>
      <c r="H33" s="355"/>
    </row>
    <row r="34" spans="1:8" ht="14.25" thickBot="1">
      <c r="A34" s="354" t="s">
        <v>1505</v>
      </c>
      <c r="B34" s="346"/>
      <c r="C34" s="340"/>
      <c r="D34" s="346"/>
      <c r="E34" s="346"/>
      <c r="F34" s="353"/>
      <c r="G34" s="353"/>
      <c r="H34" s="352">
        <f>SUM(H14:H32)</f>
        <v>0</v>
      </c>
    </row>
    <row r="35" spans="1:8" ht="15" thickBot="1">
      <c r="A35" s="351"/>
      <c r="B35" s="349"/>
      <c r="C35" s="350"/>
      <c r="D35" s="349"/>
      <c r="E35" s="349"/>
      <c r="F35" s="348"/>
      <c r="G35" s="348"/>
      <c r="H35" s="347"/>
    </row>
    <row r="36" spans="1:8" ht="14.25">
      <c r="A36" s="336"/>
      <c r="B36" s="341"/>
      <c r="C36" s="336"/>
      <c r="D36" s="341"/>
      <c r="E36" s="341"/>
      <c r="F36" s="342"/>
      <c r="G36" s="342"/>
    </row>
    <row r="37" spans="1:8">
      <c r="A37" s="346" t="s">
        <v>1504</v>
      </c>
      <c r="B37" s="341"/>
      <c r="C37" s="341"/>
      <c r="D37" s="341"/>
      <c r="E37" s="341"/>
      <c r="F37" s="342"/>
      <c r="G37" s="341"/>
    </row>
    <row r="38" spans="1:8" ht="14.25">
      <c r="A38" s="341" t="s">
        <v>1503</v>
      </c>
      <c r="B38" s="44">
        <v>0</v>
      </c>
      <c r="C38" s="341" t="s">
        <v>1499</v>
      </c>
      <c r="D38" s="341"/>
      <c r="E38" s="341"/>
      <c r="F38" s="342"/>
      <c r="G38" s="341"/>
    </row>
    <row r="39" spans="1:8" ht="14.25">
      <c r="A39" s="341" t="s">
        <v>1502</v>
      </c>
      <c r="B39" s="44">
        <v>0</v>
      </c>
      <c r="C39" s="341" t="s">
        <v>1499</v>
      </c>
      <c r="D39" s="341"/>
      <c r="E39" s="346"/>
      <c r="F39" s="342"/>
      <c r="G39" s="341"/>
    </row>
    <row r="40" spans="1:8">
      <c r="A40" s="341" t="s">
        <v>1501</v>
      </c>
      <c r="B40" s="44">
        <v>0</v>
      </c>
      <c r="C40" s="341" t="s">
        <v>1499</v>
      </c>
      <c r="D40" s="341"/>
      <c r="E40" s="346"/>
      <c r="F40" s="342"/>
      <c r="G40" s="341"/>
    </row>
    <row r="41" spans="1:8">
      <c r="A41" s="341" t="s">
        <v>1500</v>
      </c>
      <c r="B41" s="44">
        <v>0</v>
      </c>
      <c r="C41" s="341" t="s">
        <v>1499</v>
      </c>
      <c r="D41" s="341"/>
      <c r="E41" s="346"/>
      <c r="F41" s="342"/>
      <c r="G41" s="341"/>
    </row>
    <row r="42" spans="1:8">
      <c r="A42" s="341"/>
      <c r="B42" s="343"/>
      <c r="C42" s="341"/>
      <c r="D42" s="341"/>
      <c r="E42" s="346"/>
      <c r="F42" s="342"/>
      <c r="G42" s="341"/>
    </row>
    <row r="43" spans="1:8" ht="14.25">
      <c r="A43" s="341" t="s">
        <v>1498</v>
      </c>
      <c r="B43" s="44">
        <v>0</v>
      </c>
      <c r="C43" s="341" t="s">
        <v>1496</v>
      </c>
      <c r="D43" s="341"/>
      <c r="E43" s="365">
        <v>0</v>
      </c>
      <c r="F43" s="342" t="s">
        <v>1495</v>
      </c>
      <c r="G43" s="341"/>
    </row>
    <row r="44" spans="1:8" ht="14.25">
      <c r="A44" s="341" t="s">
        <v>1497</v>
      </c>
      <c r="B44" s="44">
        <v>0</v>
      </c>
      <c r="C44" s="341" t="s">
        <v>1496</v>
      </c>
      <c r="D44" s="341"/>
      <c r="E44" s="365">
        <v>0</v>
      </c>
      <c r="F44" s="342" t="s">
        <v>1495</v>
      </c>
      <c r="G44" s="341"/>
    </row>
    <row r="45" spans="1:8">
      <c r="A45" s="341"/>
      <c r="B45" s="343"/>
      <c r="C45" s="341"/>
      <c r="D45" s="341"/>
      <c r="E45" s="341"/>
      <c r="F45" s="342"/>
      <c r="G45" s="341"/>
    </row>
    <row r="46" spans="1:8" ht="14.25">
      <c r="A46" s="340" t="s">
        <v>1494</v>
      </c>
      <c r="B46" s="336"/>
      <c r="C46" s="336"/>
      <c r="D46" s="336"/>
      <c r="E46" s="336"/>
      <c r="F46" s="339"/>
      <c r="G46" s="336"/>
    </row>
    <row r="47" spans="1:8" ht="25.5">
      <c r="A47" s="338" t="s">
        <v>1485</v>
      </c>
      <c r="B47" s="338" t="s">
        <v>1493</v>
      </c>
      <c r="C47" s="338" t="s">
        <v>1492</v>
      </c>
      <c r="D47" s="338" t="s">
        <v>5</v>
      </c>
      <c r="E47" s="337" t="s">
        <v>1491</v>
      </c>
      <c r="F47" s="337" t="s">
        <v>1490</v>
      </c>
      <c r="G47" s="336"/>
    </row>
    <row r="48" spans="1:8" ht="14.25">
      <c r="A48" s="333" t="s">
        <v>942</v>
      </c>
      <c r="B48" s="335">
        <v>102</v>
      </c>
      <c r="C48" s="334" t="s">
        <v>1489</v>
      </c>
      <c r="D48" s="333" t="s">
        <v>274</v>
      </c>
      <c r="E48" s="332">
        <v>308</v>
      </c>
      <c r="F48" s="331"/>
      <c r="G48" s="336"/>
    </row>
    <row r="49" spans="1:8" ht="14.25">
      <c r="A49" s="333" t="s">
        <v>835</v>
      </c>
      <c r="B49" s="335">
        <v>103</v>
      </c>
      <c r="C49" s="334" t="s">
        <v>1489</v>
      </c>
      <c r="D49" s="333" t="s">
        <v>274</v>
      </c>
      <c r="E49" s="332">
        <v>152</v>
      </c>
      <c r="F49" s="331"/>
    </row>
    <row r="50" spans="1:8" ht="14.25">
      <c r="A50" s="333" t="s">
        <v>260</v>
      </c>
      <c r="B50" s="335">
        <v>104</v>
      </c>
      <c r="C50" s="334" t="s">
        <v>1489</v>
      </c>
      <c r="D50" s="333" t="s">
        <v>274</v>
      </c>
      <c r="E50" s="332">
        <v>494</v>
      </c>
      <c r="F50" s="331"/>
    </row>
    <row r="51" spans="1:8" ht="14.25">
      <c r="A51" s="333" t="s">
        <v>943</v>
      </c>
      <c r="B51" s="335">
        <v>105</v>
      </c>
      <c r="C51" s="334" t="s">
        <v>1489</v>
      </c>
      <c r="D51" s="333" t="s">
        <v>274</v>
      </c>
      <c r="E51" s="332">
        <v>324</v>
      </c>
      <c r="F51" s="331"/>
    </row>
    <row r="52" spans="1:8" ht="14.25">
      <c r="A52" s="333" t="s">
        <v>945</v>
      </c>
      <c r="B52" s="335">
        <v>111</v>
      </c>
      <c r="C52" s="334" t="s">
        <v>1489</v>
      </c>
      <c r="D52" s="333" t="s">
        <v>39</v>
      </c>
      <c r="E52" s="332">
        <v>2152</v>
      </c>
      <c r="F52" s="331"/>
      <c r="G52" s="336"/>
      <c r="H52" s="336"/>
    </row>
    <row r="53" spans="1:8" ht="14.25">
      <c r="A53" s="333" t="s">
        <v>229</v>
      </c>
      <c r="B53" s="335">
        <v>112</v>
      </c>
      <c r="C53" s="334" t="s">
        <v>1489</v>
      </c>
      <c r="D53" s="333" t="s">
        <v>39</v>
      </c>
      <c r="E53" s="332">
        <v>1504</v>
      </c>
      <c r="F53" s="331"/>
      <c r="G53" s="336"/>
      <c r="H53" s="336"/>
    </row>
    <row r="54" spans="1:8" ht="14.25">
      <c r="A54" s="333" t="s">
        <v>453</v>
      </c>
      <c r="B54" s="335">
        <v>117</v>
      </c>
      <c r="C54" s="334" t="s">
        <v>1489</v>
      </c>
      <c r="D54" s="333" t="s">
        <v>39</v>
      </c>
      <c r="E54" s="332">
        <v>1511</v>
      </c>
      <c r="F54" s="331"/>
      <c r="G54" s="336"/>
      <c r="H54" s="336"/>
    </row>
    <row r="55" spans="1:8" ht="14.25">
      <c r="A55" s="333" t="s">
        <v>275</v>
      </c>
      <c r="B55" s="335">
        <v>121</v>
      </c>
      <c r="C55" s="334" t="s">
        <v>1489</v>
      </c>
      <c r="D55" s="333" t="s">
        <v>39</v>
      </c>
      <c r="E55" s="332">
        <v>1428</v>
      </c>
      <c r="F55" s="331">
        <f>E55</f>
        <v>1428</v>
      </c>
      <c r="G55" s="336"/>
      <c r="H55" s="336"/>
    </row>
    <row r="56" spans="1:8" ht="14.25">
      <c r="A56" s="333" t="s">
        <v>479</v>
      </c>
      <c r="B56" s="335">
        <v>119</v>
      </c>
      <c r="C56" s="334" t="s">
        <v>1489</v>
      </c>
      <c r="D56" s="333" t="s">
        <v>39</v>
      </c>
      <c r="E56" s="332">
        <v>1637</v>
      </c>
      <c r="F56" s="331"/>
      <c r="G56" s="336"/>
      <c r="H56" s="336"/>
    </row>
    <row r="57" spans="1:8" ht="14.25">
      <c r="A57" s="333" t="s">
        <v>126</v>
      </c>
      <c r="B57" s="335">
        <v>115</v>
      </c>
      <c r="C57" s="334" t="s">
        <v>1489</v>
      </c>
      <c r="D57" s="333" t="s">
        <v>127</v>
      </c>
      <c r="E57" s="332">
        <v>1699</v>
      </c>
      <c r="F57" s="331"/>
      <c r="G57" s="336"/>
      <c r="H57" s="336"/>
    </row>
    <row r="58" spans="1:8" ht="14.25">
      <c r="A58" s="333" t="s">
        <v>946</v>
      </c>
      <c r="B58" s="335">
        <v>113</v>
      </c>
      <c r="C58" s="334" t="s">
        <v>1489</v>
      </c>
      <c r="D58" s="333" t="s">
        <v>39</v>
      </c>
      <c r="E58" s="332">
        <v>1503</v>
      </c>
      <c r="F58" s="331"/>
      <c r="G58" s="336"/>
      <c r="H58" s="336"/>
    </row>
    <row r="59" spans="1:8" ht="14.25">
      <c r="A59" s="333" t="s">
        <v>459</v>
      </c>
      <c r="B59" s="335">
        <v>120</v>
      </c>
      <c r="C59" s="334" t="s">
        <v>1489</v>
      </c>
      <c r="D59" s="333" t="s">
        <v>39</v>
      </c>
      <c r="E59" s="332">
        <v>1881</v>
      </c>
      <c r="F59" s="331"/>
      <c r="G59" s="336"/>
      <c r="H59" s="336"/>
    </row>
    <row r="60" spans="1:8" ht="14.25">
      <c r="A60" s="333" t="s">
        <v>38</v>
      </c>
      <c r="B60" s="335">
        <v>114</v>
      </c>
      <c r="C60" s="334" t="s">
        <v>1489</v>
      </c>
      <c r="D60" s="333" t="s">
        <v>39</v>
      </c>
      <c r="E60" s="332">
        <v>1503</v>
      </c>
      <c r="F60" s="331"/>
      <c r="G60" s="336"/>
      <c r="H60" s="336"/>
    </row>
    <row r="61" spans="1:8" ht="14.25">
      <c r="A61" s="333" t="s">
        <v>437</v>
      </c>
      <c r="B61" s="335">
        <v>107</v>
      </c>
      <c r="C61" s="334" t="s">
        <v>1489</v>
      </c>
      <c r="D61" s="333" t="s">
        <v>39</v>
      </c>
      <c r="E61" s="332">
        <v>2546</v>
      </c>
      <c r="F61" s="331">
        <f>E61</f>
        <v>2546</v>
      </c>
      <c r="G61" s="336"/>
      <c r="H61" s="336"/>
    </row>
    <row r="62" spans="1:8" ht="14.25">
      <c r="A62" s="333" t="s">
        <v>184</v>
      </c>
      <c r="B62" s="335">
        <v>110</v>
      </c>
      <c r="C62" s="334" t="s">
        <v>1489</v>
      </c>
      <c r="D62" s="333" t="s">
        <v>39</v>
      </c>
      <c r="E62" s="332">
        <v>1503</v>
      </c>
      <c r="F62" s="331"/>
      <c r="G62" s="336"/>
      <c r="H62" s="336"/>
    </row>
    <row r="63" spans="1:8" ht="14.25">
      <c r="A63" s="333" t="s">
        <v>381</v>
      </c>
      <c r="B63" s="335">
        <v>108</v>
      </c>
      <c r="C63" s="334" t="s">
        <v>1489</v>
      </c>
      <c r="D63" s="333" t="s">
        <v>39</v>
      </c>
      <c r="E63" s="332">
        <v>2914</v>
      </c>
      <c r="F63" s="331">
        <f>E63</f>
        <v>2914</v>
      </c>
      <c r="G63" s="336"/>
      <c r="H63" s="336"/>
    </row>
    <row r="64" spans="1:8" ht="14.25">
      <c r="A64" s="333" t="s">
        <v>358</v>
      </c>
      <c r="B64" s="335">
        <v>116</v>
      </c>
      <c r="C64" s="334" t="s">
        <v>1489</v>
      </c>
      <c r="D64" s="333" t="s">
        <v>39</v>
      </c>
      <c r="E64" s="332">
        <v>1648</v>
      </c>
      <c r="F64" s="331"/>
      <c r="G64" s="336"/>
      <c r="H64" s="336"/>
    </row>
    <row r="65" spans="1:8" ht="14.25">
      <c r="A65" s="333" t="s">
        <v>299</v>
      </c>
      <c r="B65" s="335">
        <v>118</v>
      </c>
      <c r="C65" s="334" t="s">
        <v>1489</v>
      </c>
      <c r="D65" s="333" t="s">
        <v>39</v>
      </c>
      <c r="E65" s="332">
        <v>1340</v>
      </c>
      <c r="F65" s="331"/>
      <c r="G65" s="336"/>
      <c r="H65" s="336"/>
    </row>
    <row r="66" spans="1:8" ht="14.25">
      <c r="A66" s="333" t="s">
        <v>1087</v>
      </c>
      <c r="B66" s="335">
        <v>1001</v>
      </c>
      <c r="C66" s="334" t="s">
        <v>1489</v>
      </c>
      <c r="D66" s="333" t="s">
        <v>1092</v>
      </c>
      <c r="E66" s="332">
        <v>420</v>
      </c>
      <c r="F66" s="331"/>
    </row>
    <row r="67" spans="1:8" ht="14.25">
      <c r="A67" s="333" t="s">
        <v>1123</v>
      </c>
      <c r="B67" s="335">
        <v>1002</v>
      </c>
      <c r="C67" s="334" t="s">
        <v>1489</v>
      </c>
      <c r="D67" s="333" t="s">
        <v>1092</v>
      </c>
      <c r="E67" s="332">
        <v>1759</v>
      </c>
      <c r="F67" s="331"/>
    </row>
    <row r="68" spans="1:8" ht="14.25">
      <c r="A68" s="333" t="s">
        <v>1350</v>
      </c>
      <c r="B68" s="335">
        <v>201</v>
      </c>
      <c r="C68" s="334" t="s">
        <v>1487</v>
      </c>
      <c r="D68" s="333" t="s">
        <v>1340</v>
      </c>
      <c r="E68" s="332">
        <v>507</v>
      </c>
      <c r="F68" s="331"/>
    </row>
    <row r="69" spans="1:8" ht="14.25">
      <c r="A69" s="333" t="s">
        <v>1341</v>
      </c>
      <c r="B69" s="335">
        <v>202</v>
      </c>
      <c r="C69" s="334" t="s">
        <v>1487</v>
      </c>
      <c r="D69" s="333" t="s">
        <v>1340</v>
      </c>
      <c r="E69" s="332">
        <v>671</v>
      </c>
      <c r="F69" s="331"/>
    </row>
    <row r="70" spans="1:8" ht="14.25">
      <c r="A70" s="333" t="s">
        <v>1342</v>
      </c>
      <c r="B70" s="335">
        <v>203</v>
      </c>
      <c r="C70" s="334" t="s">
        <v>1487</v>
      </c>
      <c r="D70" s="333" t="s">
        <v>1340</v>
      </c>
      <c r="E70" s="332">
        <v>585</v>
      </c>
      <c r="F70" s="331"/>
    </row>
    <row r="71" spans="1:8" ht="14.25">
      <c r="A71" s="333" t="s">
        <v>1343</v>
      </c>
      <c r="B71" s="335">
        <v>204</v>
      </c>
      <c r="C71" s="334" t="s">
        <v>1487</v>
      </c>
      <c r="D71" s="333" t="s">
        <v>1340</v>
      </c>
      <c r="E71" s="332">
        <v>658</v>
      </c>
      <c r="F71" s="331"/>
    </row>
    <row r="72" spans="1:8" ht="14.25">
      <c r="A72" s="333" t="s">
        <v>1344</v>
      </c>
      <c r="B72" s="335">
        <v>205</v>
      </c>
      <c r="C72" s="334" t="s">
        <v>1487</v>
      </c>
      <c r="D72" s="333" t="s">
        <v>1340</v>
      </c>
      <c r="E72" s="332">
        <v>658</v>
      </c>
      <c r="F72" s="331"/>
    </row>
    <row r="73" spans="1:8" ht="14.25">
      <c r="A73" s="333" t="s">
        <v>1345</v>
      </c>
      <c r="B73" s="335">
        <v>206</v>
      </c>
      <c r="C73" s="334" t="s">
        <v>1487</v>
      </c>
      <c r="D73" s="333" t="s">
        <v>1340</v>
      </c>
      <c r="E73" s="332">
        <v>526</v>
      </c>
      <c r="F73" s="331"/>
    </row>
    <row r="74" spans="1:8" ht="14.25">
      <c r="A74" s="333" t="s">
        <v>1346</v>
      </c>
      <c r="B74" s="335">
        <v>207</v>
      </c>
      <c r="C74" s="334" t="s">
        <v>1487</v>
      </c>
      <c r="D74" s="333" t="s">
        <v>1340</v>
      </c>
      <c r="E74" s="332">
        <v>596</v>
      </c>
      <c r="F74" s="331"/>
    </row>
    <row r="75" spans="1:8" ht="14.25">
      <c r="A75" s="333" t="s">
        <v>1451</v>
      </c>
      <c r="B75" s="335">
        <v>208</v>
      </c>
      <c r="C75" s="334" t="s">
        <v>1487</v>
      </c>
      <c r="D75" s="333" t="s">
        <v>1340</v>
      </c>
      <c r="E75" s="332">
        <v>609</v>
      </c>
      <c r="F75" s="331"/>
    </row>
    <row r="76" spans="1:8" ht="14.25">
      <c r="A76" s="333" t="s">
        <v>1452</v>
      </c>
      <c r="B76" s="335">
        <v>209</v>
      </c>
      <c r="C76" s="334" t="s">
        <v>1487</v>
      </c>
      <c r="D76" s="333" t="s">
        <v>1340</v>
      </c>
      <c r="E76" s="332">
        <v>899</v>
      </c>
      <c r="F76" s="331"/>
    </row>
    <row r="77" spans="1:8" ht="14.25">
      <c r="A77" s="333" t="s">
        <v>1453</v>
      </c>
      <c r="B77" s="335">
        <v>210</v>
      </c>
      <c r="C77" s="334" t="s">
        <v>1487</v>
      </c>
      <c r="D77" s="333" t="s">
        <v>1340</v>
      </c>
      <c r="E77" s="332">
        <v>658</v>
      </c>
      <c r="F77" s="331"/>
    </row>
    <row r="78" spans="1:8" ht="14.25">
      <c r="A78" s="333" t="s">
        <v>1454</v>
      </c>
      <c r="B78" s="335">
        <v>211</v>
      </c>
      <c r="C78" s="334" t="s">
        <v>1487</v>
      </c>
      <c r="D78" s="333" t="s">
        <v>1340</v>
      </c>
      <c r="E78" s="332">
        <v>394</v>
      </c>
      <c r="F78" s="331"/>
    </row>
    <row r="79" spans="1:8" ht="14.25">
      <c r="A79" s="333" t="s">
        <v>1455</v>
      </c>
      <c r="B79" s="335">
        <v>212</v>
      </c>
      <c r="C79" s="334" t="s">
        <v>1487</v>
      </c>
      <c r="D79" s="333" t="s">
        <v>1340</v>
      </c>
      <c r="E79" s="332">
        <v>378</v>
      </c>
      <c r="F79" s="331"/>
    </row>
    <row r="80" spans="1:8" ht="14.25">
      <c r="A80" s="333" t="s">
        <v>1456</v>
      </c>
      <c r="B80" s="335">
        <v>213</v>
      </c>
      <c r="C80" s="334" t="s">
        <v>1487</v>
      </c>
      <c r="D80" s="333" t="s">
        <v>1340</v>
      </c>
      <c r="E80" s="332">
        <v>492</v>
      </c>
      <c r="F80" s="331"/>
    </row>
    <row r="81" spans="1:6" ht="14.25">
      <c r="A81" s="333" t="s">
        <v>1457</v>
      </c>
      <c r="B81" s="335">
        <v>214</v>
      </c>
      <c r="C81" s="334" t="s">
        <v>1487</v>
      </c>
      <c r="D81" s="333" t="s">
        <v>1340</v>
      </c>
      <c r="E81" s="332">
        <v>467</v>
      </c>
      <c r="F81" s="331"/>
    </row>
    <row r="82" spans="1:6" ht="14.25">
      <c r="A82" s="333" t="s">
        <v>1458</v>
      </c>
      <c r="B82" s="335">
        <v>215</v>
      </c>
      <c r="C82" s="334" t="s">
        <v>1487</v>
      </c>
      <c r="D82" s="333" t="s">
        <v>1340</v>
      </c>
      <c r="E82" s="332">
        <v>510</v>
      </c>
      <c r="F82" s="331"/>
    </row>
    <row r="83" spans="1:6" ht="14.25">
      <c r="A83" s="333" t="s">
        <v>1348</v>
      </c>
      <c r="B83" s="335">
        <v>312</v>
      </c>
      <c r="C83" s="334" t="s">
        <v>1487</v>
      </c>
      <c r="D83" s="333" t="s">
        <v>1331</v>
      </c>
      <c r="E83" s="332">
        <v>1334</v>
      </c>
      <c r="F83" s="331">
        <f>E83</f>
        <v>1334</v>
      </c>
    </row>
    <row r="84" spans="1:6" ht="14.25">
      <c r="A84" s="333" t="s">
        <v>1333</v>
      </c>
      <c r="B84" s="335">
        <v>311</v>
      </c>
      <c r="C84" s="334" t="s">
        <v>1487</v>
      </c>
      <c r="D84" s="333" t="s">
        <v>1331</v>
      </c>
      <c r="E84" s="332">
        <v>1562</v>
      </c>
      <c r="F84" s="331"/>
    </row>
    <row r="85" spans="1:6" ht="14.25">
      <c r="A85" s="333" t="s">
        <v>1336</v>
      </c>
      <c r="B85" s="335">
        <v>310</v>
      </c>
      <c r="C85" s="334" t="s">
        <v>1487</v>
      </c>
      <c r="D85" s="333" t="s">
        <v>1331</v>
      </c>
      <c r="E85" s="332">
        <v>1336</v>
      </c>
      <c r="F85" s="331"/>
    </row>
    <row r="86" spans="1:6" ht="14.25">
      <c r="A86" s="333" t="s">
        <v>1335</v>
      </c>
      <c r="B86" s="335">
        <v>309</v>
      </c>
      <c r="C86" s="334" t="s">
        <v>1487</v>
      </c>
      <c r="D86" s="333" t="s">
        <v>1331</v>
      </c>
      <c r="E86" s="332">
        <v>1226</v>
      </c>
      <c r="F86" s="331"/>
    </row>
    <row r="87" spans="1:6" ht="14.25">
      <c r="A87" s="333" t="s">
        <v>1339</v>
      </c>
      <c r="B87" s="335">
        <v>308</v>
      </c>
      <c r="C87" s="334" t="s">
        <v>1487</v>
      </c>
      <c r="D87" s="333" t="s">
        <v>1331</v>
      </c>
      <c r="E87" s="332">
        <v>1243</v>
      </c>
      <c r="F87" s="331"/>
    </row>
    <row r="88" spans="1:6" ht="14.25">
      <c r="A88" s="333" t="s">
        <v>1332</v>
      </c>
      <c r="B88" s="335">
        <v>307</v>
      </c>
      <c r="C88" s="334" t="s">
        <v>1487</v>
      </c>
      <c r="D88" s="333" t="s">
        <v>1331</v>
      </c>
      <c r="E88" s="332">
        <v>1626</v>
      </c>
      <c r="F88" s="331"/>
    </row>
    <row r="89" spans="1:6" ht="14.25">
      <c r="A89" s="333" t="s">
        <v>1338</v>
      </c>
      <c r="B89" s="335">
        <v>306</v>
      </c>
      <c r="C89" s="334" t="s">
        <v>1487</v>
      </c>
      <c r="D89" s="333" t="s">
        <v>1331</v>
      </c>
      <c r="E89" s="332">
        <v>1534</v>
      </c>
      <c r="F89" s="331"/>
    </row>
    <row r="90" spans="1:6" ht="14.25">
      <c r="A90" s="333" t="s">
        <v>1337</v>
      </c>
      <c r="B90" s="335">
        <v>305</v>
      </c>
      <c r="C90" s="334" t="s">
        <v>1487</v>
      </c>
      <c r="D90" s="333" t="s">
        <v>1331</v>
      </c>
      <c r="E90" s="332">
        <v>1179</v>
      </c>
      <c r="F90" s="331"/>
    </row>
    <row r="91" spans="1:6" ht="14.25">
      <c r="A91" s="333" t="s">
        <v>1334</v>
      </c>
      <c r="B91" s="335">
        <v>304</v>
      </c>
      <c r="C91" s="334" t="s">
        <v>1487</v>
      </c>
      <c r="D91" s="333" t="s">
        <v>1331</v>
      </c>
      <c r="E91" s="332">
        <v>1685</v>
      </c>
      <c r="F91" s="331">
        <f>E91</f>
        <v>1685</v>
      </c>
    </row>
    <row r="92" spans="1:6" ht="14.25">
      <c r="A92" s="333" t="s">
        <v>222</v>
      </c>
      <c r="B92" s="335">
        <v>303</v>
      </c>
      <c r="C92" s="334" t="s">
        <v>1487</v>
      </c>
      <c r="D92" s="333" t="s">
        <v>1331</v>
      </c>
      <c r="E92" s="332">
        <v>1703</v>
      </c>
      <c r="F92" s="331"/>
    </row>
    <row r="93" spans="1:6" ht="14.25">
      <c r="A93" s="333" t="s">
        <v>1488</v>
      </c>
      <c r="B93" s="335">
        <v>302</v>
      </c>
      <c r="C93" s="334" t="s">
        <v>1487</v>
      </c>
      <c r="D93" s="333" t="s">
        <v>1331</v>
      </c>
      <c r="E93" s="332">
        <v>1178</v>
      </c>
      <c r="F93" s="331"/>
    </row>
    <row r="94" spans="1:6" ht="14.25">
      <c r="A94" s="333" t="s">
        <v>1347</v>
      </c>
      <c r="B94" s="335">
        <v>301</v>
      </c>
      <c r="C94" s="334" t="s">
        <v>1487</v>
      </c>
      <c r="D94" s="333" t="s">
        <v>1331</v>
      </c>
      <c r="E94" s="332">
        <v>1400</v>
      </c>
      <c r="F94" s="331">
        <f>E94</f>
        <v>1400</v>
      </c>
    </row>
    <row r="96" spans="1:6">
      <c r="A96" s="330" t="s">
        <v>1486</v>
      </c>
      <c r="B96" s="329"/>
      <c r="C96" s="329"/>
      <c r="D96" s="328"/>
      <c r="E96" s="327">
        <f>SUM(E48:E95)</f>
        <v>53840</v>
      </c>
      <c r="F96" s="327">
        <f>SUM(F48:F95)</f>
        <v>11307</v>
      </c>
    </row>
  </sheetData>
  <autoFilter ref="D47:D95" xr:uid="{00000000-0009-0000-0000-000011000000}"/>
  <pageMargins left="0.7" right="0.7" top="0.75" bottom="0.75" header="0.3" footer="0.3"/>
  <pageSetup paperSize="9" scale="64" orientation="portrait" r:id="rId1"/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E45"/>
  <sheetViews>
    <sheetView showGridLines="0" zoomScaleNormal="100" workbookViewId="0">
      <pane ySplit="9" topLeftCell="A10" activePane="bottomLeft" state="frozen"/>
      <selection activeCell="D6" sqref="D6"/>
      <selection pane="bottomLeft" activeCell="D33" sqref="D33"/>
    </sheetView>
  </sheetViews>
  <sheetFormatPr defaultColWidth="11.42578125" defaultRowHeight="13.5"/>
  <cols>
    <col min="1" max="1" width="37" style="70" customWidth="1"/>
    <col min="2" max="2" width="26" style="70" customWidth="1"/>
    <col min="3" max="3" width="20.7109375" style="70" customWidth="1"/>
    <col min="4" max="4" width="20.42578125" style="70" customWidth="1"/>
    <col min="5" max="5" width="17.5703125" style="70" customWidth="1"/>
    <col min="6" max="6" width="13" style="70" customWidth="1"/>
    <col min="7" max="16384" width="11.42578125" style="70"/>
  </cols>
  <sheetData>
    <row r="1" spans="1:4">
      <c r="A1" s="292" t="s">
        <v>9</v>
      </c>
    </row>
    <row r="3" spans="1:4" ht="17.25">
      <c r="A3" s="269" t="s">
        <v>10</v>
      </c>
      <c r="B3" s="271" t="str">
        <f>'1-Inschrijfstaat'!B3</f>
        <v>GVB Infra B.V.</v>
      </c>
    </row>
    <row r="4" spans="1:4" ht="17.25">
      <c r="A4" s="269" t="s">
        <v>1173</v>
      </c>
      <c r="B4" s="271" t="str">
        <f ca="1">MID(CELL("bestandsnaam",$C$8),SEARCH("]",CELL("bestandsnaam",$C$8),1)+1,256)</f>
        <v>8- Afroepprijs</v>
      </c>
    </row>
    <row r="5" spans="1:4" ht="17.25">
      <c r="A5" s="80" t="str">
        <f>'1-Inschrijfstaat'!A5</f>
        <v>Gebouw/plaats</v>
      </c>
      <c r="B5" s="53" t="s">
        <v>1141</v>
      </c>
      <c r="C5" s="242"/>
      <c r="D5" s="242"/>
    </row>
    <row r="6" spans="1:4" ht="17.25">
      <c r="A6" s="80" t="str">
        <f>'1-Inschrijfstaat'!A6</f>
        <v>Besteknummer</v>
      </c>
      <c r="B6" s="306" t="str">
        <f>'1-Inschrijfstaat'!B6</f>
        <v>2021-03</v>
      </c>
      <c r="C6" s="221"/>
      <c r="D6" s="307"/>
    </row>
    <row r="7" spans="1:4" ht="17.25">
      <c r="A7" s="80" t="str">
        <f>'1-Inschrijfstaat'!A7</f>
        <v>Naam leverancier</v>
      </c>
      <c r="B7" s="53" t="str">
        <f>'1-Inschrijfstaat'!B7:D7</f>
        <v>Naam dienstverlener</v>
      </c>
      <c r="C7" s="221"/>
      <c r="D7" s="307"/>
    </row>
    <row r="8" spans="1:4" ht="15.75">
      <c r="A8" s="80" t="str">
        <f>'1-Inschrijfstaat'!A8</f>
        <v>Prijspeil</v>
      </c>
      <c r="B8" s="9" t="str">
        <f>'1-Inschrijfstaat'!B8</f>
        <v>1 juni 2021</v>
      </c>
      <c r="C8" s="221"/>
      <c r="D8" s="307"/>
    </row>
    <row r="9" spans="1:4" ht="15.75">
      <c r="A9" s="80" t="str">
        <f>'1-Inschrijfstaat'!A9</f>
        <v>Perceel</v>
      </c>
      <c r="B9" s="387" t="str">
        <f>'1-Inschrijfstaat'!B9</f>
        <v>1 Comfort schoonmaak</v>
      </c>
      <c r="C9" s="221"/>
      <c r="D9" s="307"/>
    </row>
    <row r="10" spans="1:4" ht="15.75">
      <c r="A10" s="80"/>
      <c r="B10" s="387"/>
      <c r="C10" s="221"/>
      <c r="D10" s="307"/>
    </row>
    <row r="11" spans="1:4" ht="34.15" customHeight="1">
      <c r="A11" s="449" t="s">
        <v>1246</v>
      </c>
      <c r="B11" s="450"/>
      <c r="C11" s="450"/>
      <c r="D11" s="451"/>
    </row>
    <row r="13" spans="1:4">
      <c r="A13" s="308"/>
      <c r="B13" s="309"/>
      <c r="C13" s="447" t="s">
        <v>1190</v>
      </c>
      <c r="D13" s="448"/>
    </row>
    <row r="14" spans="1:4">
      <c r="A14" s="168" t="s">
        <v>1191</v>
      </c>
      <c r="B14" s="168" t="s">
        <v>1192</v>
      </c>
      <c r="C14" s="210" t="s">
        <v>1152</v>
      </c>
      <c r="D14" s="210" t="s">
        <v>1153</v>
      </c>
    </row>
    <row r="15" spans="1:4">
      <c r="A15" s="310" t="s">
        <v>1193</v>
      </c>
      <c r="B15" s="310" t="s">
        <v>1194</v>
      </c>
      <c r="C15" s="44">
        <v>0</v>
      </c>
      <c r="D15" s="44">
        <v>0</v>
      </c>
    </row>
    <row r="16" spans="1:4">
      <c r="A16" s="310" t="s">
        <v>1195</v>
      </c>
      <c r="B16" s="310" t="s">
        <v>1196</v>
      </c>
      <c r="C16" s="44">
        <v>0</v>
      </c>
      <c r="D16" s="44">
        <v>0</v>
      </c>
    </row>
    <row r="17" spans="1:5">
      <c r="A17" s="311" t="s">
        <v>1197</v>
      </c>
      <c r="B17" s="310"/>
      <c r="C17" s="44">
        <v>0</v>
      </c>
      <c r="D17" s="44">
        <v>0</v>
      </c>
    </row>
    <row r="18" spans="1:5">
      <c r="A18" s="311" t="s">
        <v>1198</v>
      </c>
      <c r="B18" s="310"/>
      <c r="C18" s="44">
        <v>0</v>
      </c>
      <c r="D18" s="44">
        <v>0</v>
      </c>
    </row>
    <row r="19" spans="1:5">
      <c r="A19" s="425"/>
      <c r="B19" s="426"/>
      <c r="C19" s="426"/>
      <c r="D19" s="426"/>
    </row>
    <row r="20" spans="1:5">
      <c r="A20" s="168" t="s">
        <v>1191</v>
      </c>
      <c r="B20" s="413" t="s">
        <v>1581</v>
      </c>
      <c r="C20" s="413" t="s">
        <v>1587</v>
      </c>
      <c r="D20" s="426"/>
    </row>
    <row r="21" spans="1:5" ht="40.5">
      <c r="A21" s="427" t="s">
        <v>1588</v>
      </c>
      <c r="B21" s="428" t="s">
        <v>1148</v>
      </c>
      <c r="C21" s="429">
        <v>0</v>
      </c>
      <c r="D21" s="317"/>
    </row>
    <row r="22" spans="1:5">
      <c r="A22" s="312"/>
      <c r="B22" s="313"/>
      <c r="C22" s="313"/>
      <c r="D22" s="314"/>
    </row>
    <row r="23" spans="1:5">
      <c r="A23" s="413" t="s">
        <v>1580</v>
      </c>
      <c r="B23" s="413" t="s">
        <v>1581</v>
      </c>
      <c r="C23" s="418" t="s">
        <v>1582</v>
      </c>
      <c r="D23" s="414" t="s">
        <v>1322</v>
      </c>
    </row>
    <row r="24" spans="1:5" ht="14.25">
      <c r="A24" s="415" t="s">
        <v>1323</v>
      </c>
      <c r="B24" s="416" t="s">
        <v>1567</v>
      </c>
      <c r="C24" s="416" t="s">
        <v>1564</v>
      </c>
      <c r="D24" s="344">
        <v>0</v>
      </c>
      <c r="E24" s="417"/>
    </row>
    <row r="25" spans="1:5" ht="14.25">
      <c r="A25" s="415" t="s">
        <v>1323</v>
      </c>
      <c r="B25" s="416" t="s">
        <v>1571</v>
      </c>
      <c r="C25" s="416" t="s">
        <v>1564</v>
      </c>
      <c r="D25" s="344">
        <v>0</v>
      </c>
      <c r="E25" s="417"/>
    </row>
    <row r="26" spans="1:5" ht="14.25">
      <c r="A26" s="415" t="s">
        <v>1323</v>
      </c>
      <c r="B26" s="416" t="s">
        <v>1148</v>
      </c>
      <c r="C26" s="416" t="s">
        <v>1566</v>
      </c>
      <c r="D26" s="344">
        <v>0</v>
      </c>
      <c r="E26" s="417"/>
    </row>
    <row r="27" spans="1:5" ht="14.25">
      <c r="A27" s="415" t="s">
        <v>1323</v>
      </c>
      <c r="B27" s="416" t="s">
        <v>1568</v>
      </c>
      <c r="C27" s="416" t="s">
        <v>1565</v>
      </c>
      <c r="D27" s="344">
        <v>0</v>
      </c>
      <c r="E27" s="417"/>
    </row>
    <row r="28" spans="1:5" ht="14.25">
      <c r="A28" s="415" t="s">
        <v>1323</v>
      </c>
      <c r="B28" s="416" t="s">
        <v>1569</v>
      </c>
      <c r="C28" s="416" t="s">
        <v>1565</v>
      </c>
      <c r="D28" s="344">
        <v>0</v>
      </c>
      <c r="E28" s="417"/>
    </row>
    <row r="29" spans="1:5" ht="14.25">
      <c r="A29" s="415" t="s">
        <v>1324</v>
      </c>
      <c r="B29" s="416" t="s">
        <v>1567</v>
      </c>
      <c r="C29" s="416" t="s">
        <v>1564</v>
      </c>
      <c r="D29" s="344">
        <v>0</v>
      </c>
      <c r="E29" s="417"/>
    </row>
    <row r="30" spans="1:5" ht="14.25">
      <c r="A30" s="415" t="s">
        <v>1324</v>
      </c>
      <c r="B30" s="416" t="s">
        <v>1571</v>
      </c>
      <c r="C30" s="416" t="s">
        <v>1564</v>
      </c>
      <c r="D30" s="344">
        <v>0</v>
      </c>
      <c r="E30" s="417"/>
    </row>
    <row r="31" spans="1:5" ht="14.25">
      <c r="A31" s="415" t="s">
        <v>1324</v>
      </c>
      <c r="B31" s="416" t="s">
        <v>1148</v>
      </c>
      <c r="C31" s="416" t="s">
        <v>1566</v>
      </c>
      <c r="D31" s="344">
        <v>0</v>
      </c>
      <c r="E31" s="417"/>
    </row>
    <row r="32" spans="1:5" ht="14.25">
      <c r="A32" s="415" t="s">
        <v>1324</v>
      </c>
      <c r="B32" s="416" t="s">
        <v>1568</v>
      </c>
      <c r="C32" s="416" t="s">
        <v>1565</v>
      </c>
      <c r="D32" s="344">
        <v>0</v>
      </c>
      <c r="E32" s="417"/>
    </row>
    <row r="33" spans="1:5" ht="14.25">
      <c r="A33" s="415" t="s">
        <v>1324</v>
      </c>
      <c r="B33" s="416" t="s">
        <v>1569</v>
      </c>
      <c r="C33" s="416" t="s">
        <v>1565</v>
      </c>
      <c r="D33" s="344">
        <v>0</v>
      </c>
      <c r="E33" s="417"/>
    </row>
    <row r="34" spans="1:5" ht="14.25">
      <c r="A34" s="415" t="s">
        <v>1325</v>
      </c>
      <c r="B34" s="416" t="s">
        <v>1567</v>
      </c>
      <c r="C34" s="416" t="s">
        <v>1564</v>
      </c>
      <c r="D34" s="344">
        <v>0</v>
      </c>
      <c r="E34" s="417"/>
    </row>
    <row r="35" spans="1:5" ht="14.25">
      <c r="A35" s="415" t="s">
        <v>1325</v>
      </c>
      <c r="B35" s="416" t="s">
        <v>1571</v>
      </c>
      <c r="C35" s="416" t="s">
        <v>1564</v>
      </c>
      <c r="D35" s="344">
        <v>0</v>
      </c>
      <c r="E35" s="417"/>
    </row>
    <row r="36" spans="1:5" ht="14.25">
      <c r="A36" s="415" t="s">
        <v>1325</v>
      </c>
      <c r="B36" s="416" t="s">
        <v>1148</v>
      </c>
      <c r="C36" s="416" t="s">
        <v>1566</v>
      </c>
      <c r="D36" s="344">
        <v>0</v>
      </c>
      <c r="E36" s="417"/>
    </row>
    <row r="37" spans="1:5" ht="14.25">
      <c r="A37" s="415" t="s">
        <v>1325</v>
      </c>
      <c r="B37" s="416" t="s">
        <v>1568</v>
      </c>
      <c r="C37" s="416" t="s">
        <v>1565</v>
      </c>
      <c r="D37" s="344">
        <v>0</v>
      </c>
      <c r="E37" s="417"/>
    </row>
    <row r="38" spans="1:5" ht="14.25">
      <c r="A38" s="415" t="s">
        <v>1325</v>
      </c>
      <c r="B38" s="416" t="s">
        <v>1569</v>
      </c>
      <c r="C38" s="416" t="s">
        <v>1565</v>
      </c>
      <c r="D38" s="344">
        <v>0</v>
      </c>
      <c r="E38" s="417"/>
    </row>
    <row r="39" spans="1:5">
      <c r="A39" s="312"/>
      <c r="B39" s="313"/>
      <c r="C39" s="313"/>
      <c r="D39" s="314"/>
    </row>
    <row r="40" spans="1:5" ht="15">
      <c r="A40" s="315" t="s">
        <v>1199</v>
      </c>
      <c r="B40" s="316"/>
      <c r="C40" s="316"/>
      <c r="D40" s="317"/>
    </row>
    <row r="41" spans="1:5" ht="14.25">
      <c r="A41" s="317" t="s">
        <v>1200</v>
      </c>
      <c r="B41" s="316"/>
      <c r="C41" s="316"/>
      <c r="D41" s="317"/>
    </row>
    <row r="42" spans="1:5" ht="14.25">
      <c r="A42" s="317" t="s">
        <v>1201</v>
      </c>
      <c r="B42" s="316"/>
      <c r="C42" s="316"/>
      <c r="D42" s="317"/>
    </row>
    <row r="43" spans="1:5" ht="14.25">
      <c r="A43" s="317"/>
      <c r="B43" s="316"/>
      <c r="C43" s="316"/>
      <c r="D43" s="317"/>
    </row>
    <row r="44" spans="1:5" ht="14.25">
      <c r="B44" s="318"/>
      <c r="C44" s="319"/>
      <c r="D44" s="320"/>
    </row>
    <row r="45" spans="1:5" ht="14.25">
      <c r="A45" s="318"/>
      <c r="B45" s="318"/>
      <c r="C45" s="318"/>
      <c r="D45" s="318"/>
    </row>
  </sheetData>
  <mergeCells count="2">
    <mergeCell ref="C13:D13"/>
    <mergeCell ref="A11:D11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4</vt:i4>
      </vt:variant>
    </vt:vector>
  </HeadingPairs>
  <TitlesOfParts>
    <vt:vector size="13" baseType="lpstr">
      <vt:lpstr>Mutatieblad</vt:lpstr>
      <vt:lpstr>1-Inschrijfstaat</vt:lpstr>
      <vt:lpstr>2-Kosten per locatie</vt:lpstr>
      <vt:lpstr>3-Ruimtestaat</vt:lpstr>
      <vt:lpstr>4-Kengetal</vt:lpstr>
      <vt:lpstr>5-Aanvullend</vt:lpstr>
      <vt:lpstr>6-Sanitaire voorzieningen</vt:lpstr>
      <vt:lpstr>7-Gladheidsbestrijding</vt:lpstr>
      <vt:lpstr>8- Afroepprijs</vt:lpstr>
      <vt:lpstr>'1-Inschrijfstaat'!Afdrukbereik</vt:lpstr>
      <vt:lpstr>'3-Ruimtestaat'!Afdrukbereik</vt:lpstr>
      <vt:lpstr>'3-Ruimtestaat'!Afdruktitels</vt:lpstr>
      <vt:lpstr>Kengetal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van der Velde</dc:creator>
  <cp:lastModifiedBy>bieri</cp:lastModifiedBy>
  <cp:lastPrinted>2021-01-27T14:54:26Z</cp:lastPrinted>
  <dcterms:created xsi:type="dcterms:W3CDTF">1999-10-05T12:28:40Z</dcterms:created>
  <dcterms:modified xsi:type="dcterms:W3CDTF">2021-03-05T07:43:24Z</dcterms:modified>
</cp:coreProperties>
</file>