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Public polis en sluiting\Sluiting\PVE\2021\"/>
    </mc:Choice>
  </mc:AlternateContent>
  <bookViews>
    <workbookView xWindow="480" yWindow="165" windowWidth="11340" windowHeight="6120"/>
  </bookViews>
  <sheets>
    <sheet name="totaal" sheetId="4" r:id="rId1"/>
    <sheet name="Elst" sheetId="1" r:id="rId2"/>
    <sheet name="Heteren" sheetId="3" r:id="rId3"/>
    <sheet name="Valburg " sheetId="2" r:id="rId4"/>
  </sheets>
  <externalReferences>
    <externalReference r:id="rId5"/>
  </externalReferences>
  <definedNames>
    <definedName name="_geb01">'[1]General Info'!$B$6</definedName>
    <definedName name="_inv01">'[1]General Info'!$C$6</definedName>
    <definedName name="_xlnm.Print_Area" localSheetId="1">Elst!$A$1:$M$69</definedName>
    <definedName name="_xlnm.Print_Area" localSheetId="2">Heteren!$A$1:$R$53</definedName>
    <definedName name="_xlnm.Print_Area" localSheetId="0">totaal!#REF!</definedName>
    <definedName name="_xlnm.Print_Area" localSheetId="3">'Valburg '!$A$1:$P$62</definedName>
    <definedName name="_xlnm.Print_Titles" localSheetId="1">Elst!$1:$2</definedName>
    <definedName name="_xlnm.Print_Titles" localSheetId="2">Heteren!$1:$2</definedName>
    <definedName name="_xlnm.Print_Titles" localSheetId="3">'Valburg '!$2:$2</definedName>
    <definedName name="geb00">'[1]General Info'!$B$5</definedName>
    <definedName name="inv00">'[1]General Info'!$C$5</definedName>
    <definedName name="Premie1">'[1]General Info'!$B$14</definedName>
    <definedName name="Premie3">'[1]General Info'!$B$16</definedName>
  </definedNames>
  <calcPr calcId="152511"/>
</workbook>
</file>

<file path=xl/calcChain.xml><?xml version="1.0" encoding="utf-8"?>
<calcChain xmlns="http://schemas.openxmlformats.org/spreadsheetml/2006/main">
  <c r="O31" i="2" l="1"/>
  <c r="L7" i="1" l="1"/>
  <c r="C6" i="4" l="1"/>
  <c r="I28" i="2"/>
  <c r="K28" i="2" s="1"/>
  <c r="J28" i="2"/>
  <c r="L28" i="2" s="1"/>
  <c r="O28" i="2"/>
  <c r="O29" i="2"/>
  <c r="O30" i="2"/>
  <c r="I6" i="4"/>
  <c r="H6" i="4"/>
  <c r="R32" i="3"/>
  <c r="Q32" i="3"/>
  <c r="Q34" i="3" s="1"/>
  <c r="Q5" i="3"/>
  <c r="R5" i="3"/>
  <c r="Q6" i="3"/>
  <c r="R6" i="3"/>
  <c r="Q7" i="3"/>
  <c r="R7" i="3"/>
  <c r="Q8" i="3"/>
  <c r="R8" i="3"/>
  <c r="Q9" i="3"/>
  <c r="R9" i="3"/>
  <c r="Q10" i="3"/>
  <c r="R10" i="3"/>
  <c r="Q11" i="3"/>
  <c r="R11" i="3"/>
  <c r="Q12" i="3"/>
  <c r="R12" i="3"/>
  <c r="Q13" i="3"/>
  <c r="R13" i="3"/>
  <c r="Q14" i="3"/>
  <c r="R14" i="3"/>
  <c r="Q15" i="3"/>
  <c r="R15" i="3"/>
  <c r="Q16" i="3"/>
  <c r="R16" i="3"/>
  <c r="Q17" i="3"/>
  <c r="R17" i="3"/>
  <c r="Q18" i="3"/>
  <c r="R18" i="3"/>
  <c r="Q19" i="3"/>
  <c r="R19" i="3"/>
  <c r="Q20" i="3"/>
  <c r="R20" i="3"/>
  <c r="Q21" i="3"/>
  <c r="R21" i="3"/>
  <c r="Q22" i="3"/>
  <c r="R22" i="3"/>
  <c r="Q23" i="3"/>
  <c r="R23" i="3"/>
  <c r="Q24" i="3"/>
  <c r="R24" i="3"/>
  <c r="Q25" i="3"/>
  <c r="R25" i="3"/>
  <c r="Q26" i="3"/>
  <c r="R26" i="3"/>
  <c r="Q27" i="3"/>
  <c r="R27" i="3"/>
  <c r="Q28" i="3"/>
  <c r="R28" i="3"/>
  <c r="Q29" i="3"/>
  <c r="R29" i="3"/>
  <c r="Q30" i="3"/>
  <c r="R30" i="3"/>
  <c r="R4" i="3"/>
  <c r="Q4" i="3"/>
  <c r="P10" i="3"/>
  <c r="L10" i="3"/>
  <c r="K10" i="3"/>
  <c r="M10" i="3" s="1"/>
  <c r="O10" i="3" s="1"/>
  <c r="L9" i="3"/>
  <c r="N9" i="3" s="1"/>
  <c r="P9" i="3" s="1"/>
  <c r="K9" i="3"/>
  <c r="M9" i="3" s="1"/>
  <c r="L14" i="1"/>
  <c r="M14" i="1"/>
  <c r="L27" i="1"/>
  <c r="M27" i="1"/>
  <c r="L39" i="1"/>
  <c r="M39" i="1"/>
  <c r="L40" i="1"/>
  <c r="M40" i="1"/>
  <c r="M7" i="1"/>
  <c r="O9" i="3" l="1"/>
  <c r="M36" i="2" l="1"/>
  <c r="O36" i="2" s="1"/>
  <c r="N36" i="2"/>
  <c r="P36" i="2" s="1"/>
  <c r="P12" i="2"/>
  <c r="N25" i="2"/>
  <c r="P25" i="2" s="1"/>
  <c r="N21" i="2"/>
  <c r="P21" i="2" s="1"/>
  <c r="N17" i="2"/>
  <c r="P17" i="2" s="1"/>
  <c r="N9" i="2"/>
  <c r="P9" i="2" s="1"/>
  <c r="N8" i="2"/>
  <c r="P8" i="2" s="1"/>
  <c r="N4" i="2"/>
  <c r="P4" i="2" s="1"/>
  <c r="I4" i="2"/>
  <c r="K4" i="2" s="1"/>
  <c r="M4" i="2" s="1"/>
  <c r="O4" i="2" s="1"/>
  <c r="J4" i="2"/>
  <c r="I9" i="2"/>
  <c r="K9" i="2" s="1"/>
  <c r="M9" i="2" s="1"/>
  <c r="O9" i="2" s="1"/>
  <c r="J9" i="2"/>
  <c r="I17" i="2"/>
  <c r="K17" i="2" s="1"/>
  <c r="M17" i="2" s="1"/>
  <c r="O17" i="2" s="1"/>
  <c r="J17" i="2"/>
  <c r="I25" i="2"/>
  <c r="K25" i="2" s="1"/>
  <c r="O25" i="2" s="1"/>
  <c r="J25" i="2"/>
  <c r="J8" i="2"/>
  <c r="I8" i="2"/>
  <c r="K8" i="2" s="1"/>
  <c r="M8" i="2" s="1"/>
  <c r="O8" i="2" s="1"/>
  <c r="I21" i="2"/>
  <c r="K21" i="2" s="1"/>
  <c r="M21" i="2" s="1"/>
  <c r="O21" i="2" s="1"/>
  <c r="J21" i="2"/>
  <c r="I12" i="2"/>
  <c r="K12" i="2" s="1"/>
  <c r="M12" i="2" s="1"/>
  <c r="O12" i="2" s="1"/>
  <c r="J12" i="2"/>
  <c r="O30" i="3"/>
  <c r="O29" i="3"/>
  <c r="O26" i="3"/>
  <c r="O25" i="3"/>
  <c r="O24" i="3"/>
  <c r="O23" i="3"/>
  <c r="O22" i="3"/>
  <c r="O21" i="3"/>
  <c r="O16" i="3"/>
  <c r="O14" i="3"/>
  <c r="O13" i="3"/>
  <c r="O8" i="3"/>
  <c r="P29" i="3"/>
  <c r="P23" i="3"/>
  <c r="P14" i="3"/>
  <c r="K25" i="1"/>
  <c r="M25" i="1" s="1"/>
  <c r="K24" i="1"/>
  <c r="M24" i="1" s="1"/>
  <c r="K9" i="1"/>
  <c r="M9" i="1" s="1"/>
  <c r="K8" i="1"/>
  <c r="M8" i="1" s="1"/>
  <c r="K5" i="1"/>
  <c r="M5" i="1" s="1"/>
  <c r="K25" i="3"/>
  <c r="L25" i="3"/>
  <c r="N25" i="3" s="1"/>
  <c r="L30" i="3"/>
  <c r="N30" i="3" s="1"/>
  <c r="K30" i="3"/>
  <c r="K29" i="3"/>
  <c r="L29" i="3"/>
  <c r="K26" i="3"/>
  <c r="L26" i="3"/>
  <c r="N26" i="3" s="1"/>
  <c r="K24" i="3"/>
  <c r="L24" i="3"/>
  <c r="N24" i="3" s="1"/>
  <c r="P24" i="3" s="1"/>
  <c r="K23" i="3"/>
  <c r="L23" i="3"/>
  <c r="K22" i="3"/>
  <c r="L22" i="3"/>
  <c r="N22" i="3" s="1"/>
  <c r="L21" i="3"/>
  <c r="N21" i="3" s="1"/>
  <c r="K21" i="3"/>
  <c r="K16" i="3"/>
  <c r="L16" i="3"/>
  <c r="N16" i="3" s="1"/>
  <c r="K14" i="3"/>
  <c r="L14" i="3"/>
  <c r="K13" i="3"/>
  <c r="L13" i="3"/>
  <c r="N13" i="3" s="1"/>
  <c r="L8" i="3"/>
  <c r="N8" i="3" s="1"/>
  <c r="K8" i="3"/>
  <c r="N6" i="3"/>
  <c r="P6" i="3" s="1"/>
  <c r="K6" i="3"/>
  <c r="M6" i="3" s="1"/>
  <c r="J31" i="1"/>
  <c r="L31" i="1" s="1"/>
  <c r="J25" i="1"/>
  <c r="L25" i="1" s="1"/>
  <c r="J24" i="1"/>
  <c r="L24" i="1" s="1"/>
  <c r="J9" i="1"/>
  <c r="L9" i="1" s="1"/>
  <c r="K31" i="1"/>
  <c r="M31" i="1" s="1"/>
  <c r="J30" i="1"/>
  <c r="L30" i="1" s="1"/>
  <c r="K30" i="1"/>
  <c r="M30" i="1" s="1"/>
  <c r="J5" i="1"/>
  <c r="L5" i="1" s="1"/>
  <c r="J8" i="1"/>
  <c r="L8" i="1" s="1"/>
  <c r="P25" i="3" l="1"/>
  <c r="P30" i="3"/>
  <c r="P26" i="3"/>
  <c r="P22" i="3"/>
  <c r="P21" i="3"/>
  <c r="P16" i="3"/>
  <c r="P13" i="3"/>
  <c r="P8" i="3"/>
  <c r="O6" i="3"/>
  <c r="L35" i="2" l="1"/>
  <c r="N35" i="2" s="1"/>
  <c r="P35" i="2" s="1"/>
  <c r="K5" i="2"/>
  <c r="M5" i="2" s="1"/>
  <c r="O5" i="2" s="1"/>
  <c r="L5" i="2"/>
  <c r="N5" i="2" s="1"/>
  <c r="P5" i="2" s="1"/>
  <c r="K13" i="2"/>
  <c r="M13" i="2" s="1"/>
  <c r="O13" i="2" s="1"/>
  <c r="L13" i="2"/>
  <c r="N13" i="2" s="1"/>
  <c r="P13" i="2" s="1"/>
  <c r="K14" i="2"/>
  <c r="M14" i="2" s="1"/>
  <c r="O14" i="2" s="1"/>
  <c r="L14" i="2"/>
  <c r="N14" i="2" s="1"/>
  <c r="P14" i="2" s="1"/>
  <c r="K20" i="2"/>
  <c r="M20" i="2" s="1"/>
  <c r="O20" i="2" s="1"/>
  <c r="L20" i="2"/>
  <c r="N20" i="2" s="1"/>
  <c r="P20" i="2" s="1"/>
  <c r="K23" i="2"/>
  <c r="M23" i="2" s="1"/>
  <c r="O23" i="2" s="1"/>
  <c r="L23" i="2"/>
  <c r="N23" i="2" s="1"/>
  <c r="P23" i="2" s="1"/>
  <c r="L29" i="2"/>
  <c r="N29" i="2" s="1"/>
  <c r="P29" i="2" s="1"/>
  <c r="L31" i="2"/>
  <c r="N31" i="2" s="1"/>
  <c r="P31" i="2" s="1"/>
  <c r="L33" i="2"/>
  <c r="N33" i="2" s="1"/>
  <c r="P33" i="2" s="1"/>
  <c r="L34" i="2"/>
  <c r="N34" i="2" s="1"/>
  <c r="P34" i="2" s="1"/>
  <c r="K35" i="2"/>
  <c r="M35" i="2" s="1"/>
  <c r="O35" i="2" s="1"/>
  <c r="K28" i="1"/>
  <c r="M28" i="1" s="1"/>
  <c r="K29" i="1"/>
  <c r="M29" i="1" s="1"/>
  <c r="K41" i="1"/>
  <c r="M41" i="1" s="1"/>
  <c r="K42" i="1"/>
  <c r="M42" i="1" s="1"/>
  <c r="K45" i="1"/>
  <c r="M45" i="1" s="1"/>
  <c r="K46" i="1"/>
  <c r="M46" i="1" s="1"/>
  <c r="J28" i="1"/>
  <c r="L28" i="1" s="1"/>
  <c r="J29" i="1"/>
  <c r="L29" i="1" s="1"/>
  <c r="J41" i="1"/>
  <c r="L41" i="1" s="1"/>
  <c r="J42" i="1"/>
  <c r="L42" i="1" s="1"/>
  <c r="J45" i="1"/>
  <c r="L45" i="1" s="1"/>
  <c r="J46" i="1"/>
  <c r="L46" i="1" s="1"/>
  <c r="I29" i="2" l="1"/>
  <c r="K29" i="2" s="1"/>
  <c r="J32" i="2" l="1"/>
  <c r="L32" i="2" s="1"/>
  <c r="N32" i="2" s="1"/>
  <c r="P32" i="2" s="1"/>
  <c r="J30" i="2"/>
  <c r="L30" i="2" s="1"/>
  <c r="N30" i="2" s="1"/>
  <c r="P30" i="2" s="1"/>
  <c r="N28" i="2"/>
  <c r="P28" i="2" s="1"/>
  <c r="J22" i="2"/>
  <c r="L22" i="2" s="1"/>
  <c r="N22" i="2" s="1"/>
  <c r="P22" i="2" s="1"/>
  <c r="J18" i="2"/>
  <c r="L18" i="2" s="1"/>
  <c r="N18" i="2" s="1"/>
  <c r="P18" i="2" s="1"/>
  <c r="J11" i="2"/>
  <c r="L11" i="2" s="1"/>
  <c r="N11" i="2" s="1"/>
  <c r="P11" i="2" s="1"/>
  <c r="I31" i="2"/>
  <c r="K31" i="2" s="1"/>
  <c r="L20" i="3"/>
  <c r="N20" i="3" s="1"/>
  <c r="P20" i="3" s="1"/>
  <c r="L17" i="3"/>
  <c r="N17" i="3" s="1"/>
  <c r="P17" i="3" s="1"/>
  <c r="L5" i="3"/>
  <c r="N5" i="3" s="1"/>
  <c r="P5" i="3" s="1"/>
  <c r="K7" i="3"/>
  <c r="M7" i="3" s="1"/>
  <c r="O7" i="3" s="1"/>
  <c r="L7" i="3"/>
  <c r="N7" i="3" s="1"/>
  <c r="P7" i="3" s="1"/>
  <c r="K48" i="1"/>
  <c r="M48" i="1" s="1"/>
  <c r="K47" i="1"/>
  <c r="M47" i="1" s="1"/>
  <c r="K50" i="1"/>
  <c r="M50" i="1" s="1"/>
  <c r="K49" i="1"/>
  <c r="M49" i="1" s="1"/>
  <c r="K44" i="1"/>
  <c r="M44" i="1" s="1"/>
  <c r="K43" i="1"/>
  <c r="M43" i="1" s="1"/>
  <c r="K38" i="1"/>
  <c r="M38" i="1" s="1"/>
  <c r="K37" i="1"/>
  <c r="M37" i="1" s="1"/>
  <c r="K36" i="1"/>
  <c r="M36" i="1" s="1"/>
  <c r="K34" i="1"/>
  <c r="M34" i="1" s="1"/>
  <c r="K33" i="1"/>
  <c r="M33" i="1" s="1"/>
  <c r="J26" i="1"/>
  <c r="L26" i="1" s="1"/>
  <c r="K26" i="1"/>
  <c r="M26" i="1" s="1"/>
  <c r="K35" i="1"/>
  <c r="M35" i="1" s="1"/>
  <c r="I32" i="2"/>
  <c r="K32" i="2" s="1"/>
  <c r="O32" i="2" s="1"/>
  <c r="J48" i="1"/>
  <c r="L48" i="1" s="1"/>
  <c r="J47" i="1"/>
  <c r="L47" i="1" s="1"/>
  <c r="I26" i="2"/>
  <c r="K26" i="2" s="1"/>
  <c r="O26" i="2" s="1"/>
  <c r="K12" i="3"/>
  <c r="M12" i="3" s="1"/>
  <c r="O12" i="3" s="1"/>
  <c r="K15" i="3"/>
  <c r="M15" i="3" s="1"/>
  <c r="O15" i="3" s="1"/>
  <c r="K17" i="3"/>
  <c r="M17" i="3" s="1"/>
  <c r="O17" i="3" s="1"/>
  <c r="K18" i="3"/>
  <c r="M18" i="3" s="1"/>
  <c r="O18" i="3" s="1"/>
  <c r="K19" i="3"/>
  <c r="M19" i="3" s="1"/>
  <c r="O19" i="3" s="1"/>
  <c r="K20" i="3"/>
  <c r="M20" i="3" s="1"/>
  <c r="O20" i="3" s="1"/>
  <c r="K28" i="3"/>
  <c r="M28" i="3" s="1"/>
  <c r="O28" i="3" s="1"/>
  <c r="J13" i="1"/>
  <c r="L13" i="1" s="1"/>
  <c r="J19" i="1"/>
  <c r="L19" i="1" s="1"/>
  <c r="J32" i="1"/>
  <c r="L32" i="1" s="1"/>
  <c r="J36" i="1"/>
  <c r="L36" i="1" s="1"/>
  <c r="J37" i="1"/>
  <c r="L37" i="1" s="1"/>
  <c r="J38" i="1"/>
  <c r="L38" i="1" s="1"/>
  <c r="I19" i="2"/>
  <c r="K19" i="2" s="1"/>
  <c r="M19" i="2" s="1"/>
  <c r="O19" i="2" s="1"/>
  <c r="I34" i="2"/>
  <c r="K34" i="2" s="1"/>
  <c r="I33" i="2"/>
  <c r="K33" i="2" s="1"/>
  <c r="I30" i="2"/>
  <c r="K30" i="2" s="1"/>
  <c r="I27" i="2"/>
  <c r="K27" i="2" s="1"/>
  <c r="O27" i="2" s="1"/>
  <c r="I24" i="2"/>
  <c r="K24" i="2" s="1"/>
  <c r="O24" i="2" s="1"/>
  <c r="I22" i="2"/>
  <c r="K22" i="2" s="1"/>
  <c r="M22" i="2" s="1"/>
  <c r="O22" i="2" s="1"/>
  <c r="I18" i="2"/>
  <c r="K18" i="2" s="1"/>
  <c r="M18" i="2" s="1"/>
  <c r="O18" i="2" s="1"/>
  <c r="I16" i="2"/>
  <c r="K16" i="2" s="1"/>
  <c r="M16" i="2" s="1"/>
  <c r="O16" i="2" s="1"/>
  <c r="I15" i="2"/>
  <c r="K15" i="2" s="1"/>
  <c r="M15" i="2" s="1"/>
  <c r="O15" i="2" s="1"/>
  <c r="I11" i="2"/>
  <c r="K11" i="2" s="1"/>
  <c r="M11" i="2" s="1"/>
  <c r="O11" i="2" s="1"/>
  <c r="I10" i="2"/>
  <c r="K10" i="2" s="1"/>
  <c r="M10" i="2" s="1"/>
  <c r="O10" i="2" s="1"/>
  <c r="I7" i="2"/>
  <c r="K7" i="2" s="1"/>
  <c r="M7" i="2" s="1"/>
  <c r="O7" i="2" s="1"/>
  <c r="I6" i="2"/>
  <c r="K6" i="2" s="1"/>
  <c r="M6" i="2" s="1"/>
  <c r="O6" i="2" s="1"/>
  <c r="K5" i="3"/>
  <c r="M5" i="3" s="1"/>
  <c r="O5" i="3" s="1"/>
  <c r="K4" i="3"/>
  <c r="M4" i="3" s="1"/>
  <c r="O4" i="3" s="1"/>
  <c r="K12" i="1"/>
  <c r="M12" i="1" s="1"/>
  <c r="J51" i="1"/>
  <c r="L51" i="1" s="1"/>
  <c r="J50" i="1"/>
  <c r="L50" i="1" s="1"/>
  <c r="J49" i="1"/>
  <c r="L49" i="1" s="1"/>
  <c r="J44" i="1"/>
  <c r="L44" i="1" s="1"/>
  <c r="J43" i="1"/>
  <c r="L43" i="1" s="1"/>
  <c r="J35" i="1"/>
  <c r="L35" i="1" s="1"/>
  <c r="J34" i="1"/>
  <c r="L34" i="1" s="1"/>
  <c r="J33" i="1"/>
  <c r="L33" i="1" s="1"/>
  <c r="J23" i="1"/>
  <c r="L23" i="1" s="1"/>
  <c r="J22" i="1"/>
  <c r="L22" i="1" s="1"/>
  <c r="J21" i="1"/>
  <c r="L21" i="1" s="1"/>
  <c r="J20" i="1"/>
  <c r="L20" i="1" s="1"/>
  <c r="J18" i="1"/>
  <c r="L18" i="1" s="1"/>
  <c r="J17" i="1"/>
  <c r="L17" i="1" s="1"/>
  <c r="J16" i="1"/>
  <c r="L16" i="1" s="1"/>
  <c r="J11" i="1"/>
  <c r="L11" i="1" s="1"/>
  <c r="J12" i="1"/>
  <c r="L12" i="1" s="1"/>
  <c r="J10" i="1"/>
  <c r="L10" i="1" s="1"/>
  <c r="J6" i="1"/>
  <c r="L6" i="1" s="1"/>
  <c r="K10" i="1"/>
  <c r="M10" i="1" s="1"/>
  <c r="K20" i="1"/>
  <c r="M20" i="1" s="1"/>
  <c r="K32" i="1"/>
  <c r="M32" i="1" s="1"/>
  <c r="J10" i="2"/>
  <c r="L10" i="2" s="1"/>
  <c r="N10" i="2" s="1"/>
  <c r="P10" i="2" s="1"/>
  <c r="J15" i="2"/>
  <c r="L15" i="2" s="1"/>
  <c r="N15" i="2" s="1"/>
  <c r="P15" i="2" s="1"/>
  <c r="J16" i="2"/>
  <c r="L16" i="2" s="1"/>
  <c r="N16" i="2" s="1"/>
  <c r="P16" i="2" s="1"/>
  <c r="J24" i="2"/>
  <c r="L24" i="2" s="1"/>
  <c r="N24" i="2" s="1"/>
  <c r="P24" i="2" s="1"/>
  <c r="L12" i="3"/>
  <c r="N12" i="3" s="1"/>
  <c r="P12" i="3" s="1"/>
  <c r="L15" i="3"/>
  <c r="N15" i="3" s="1"/>
  <c r="P15" i="3" s="1"/>
  <c r="L18" i="3"/>
  <c r="N18" i="3" s="1"/>
  <c r="P18" i="3" s="1"/>
  <c r="L19" i="3"/>
  <c r="N19" i="3" s="1"/>
  <c r="P19" i="3" s="1"/>
  <c r="L28" i="3"/>
  <c r="N28" i="3" s="1"/>
  <c r="P28" i="3" s="1"/>
  <c r="K6" i="1"/>
  <c r="M6" i="1" s="1"/>
  <c r="K13" i="1"/>
  <c r="M13" i="1" s="1"/>
  <c r="K51" i="1"/>
  <c r="M51" i="1" s="1"/>
  <c r="J26" i="2"/>
  <c r="L26" i="2" s="1"/>
  <c r="N26" i="2" s="1"/>
  <c r="P26" i="2" s="1"/>
  <c r="L53" i="1" l="1"/>
  <c r="O33" i="2"/>
  <c r="O34" i="2"/>
  <c r="M38" i="2"/>
  <c r="O32" i="3"/>
  <c r="J53" i="1"/>
  <c r="K23" i="1"/>
  <c r="M23" i="1" s="1"/>
  <c r="K19" i="1"/>
  <c r="M19" i="1" s="1"/>
  <c r="K21" i="1"/>
  <c r="M21" i="1" s="1"/>
  <c r="M32" i="3"/>
  <c r="J7" i="2"/>
  <c r="L7" i="2" s="1"/>
  <c r="N7" i="2" s="1"/>
  <c r="P7" i="2" s="1"/>
  <c r="K11" i="1"/>
  <c r="M11" i="1" s="1"/>
  <c r="L4" i="3"/>
  <c r="N4" i="3" s="1"/>
  <c r="P4" i="3" s="1"/>
  <c r="K32" i="3"/>
  <c r="J19" i="2"/>
  <c r="L19" i="2" s="1"/>
  <c r="N19" i="2" s="1"/>
  <c r="P19" i="2" s="1"/>
  <c r="J27" i="2"/>
  <c r="L27" i="2" s="1"/>
  <c r="N27" i="2" s="1"/>
  <c r="P27" i="2" s="1"/>
  <c r="J6" i="2"/>
  <c r="L6" i="2" s="1"/>
  <c r="N6" i="2" s="1"/>
  <c r="P6" i="2" s="1"/>
  <c r="K18" i="1"/>
  <c r="M18" i="1" s="1"/>
  <c r="K17" i="1"/>
  <c r="M17" i="1" s="1"/>
  <c r="K22" i="1"/>
  <c r="M22" i="1" s="1"/>
  <c r="H5" i="4" l="1"/>
  <c r="O38" i="2"/>
  <c r="H7" i="4" s="1"/>
  <c r="P38" i="2"/>
  <c r="N38" i="2"/>
  <c r="L38" i="2"/>
  <c r="J38" i="2"/>
  <c r="K38" i="2"/>
  <c r="O40" i="2" l="1"/>
  <c r="C7" i="4" s="1"/>
  <c r="I7" i="4"/>
  <c r="M40" i="2"/>
  <c r="K40" i="2"/>
  <c r="I38" i="2"/>
  <c r="I40" i="2" s="1"/>
  <c r="H8" i="4" l="1"/>
  <c r="P32" i="3"/>
  <c r="O34" i="3" l="1"/>
  <c r="L32" i="3"/>
  <c r="K34" i="3" s="1"/>
  <c r="N32" i="3"/>
  <c r="M34" i="3" l="1"/>
  <c r="K16" i="1" l="1"/>
  <c r="K53" i="1" l="1"/>
  <c r="M16" i="1"/>
  <c r="M53" i="1" s="1"/>
  <c r="J55" i="1"/>
  <c r="I5" i="4" l="1"/>
  <c r="L55" i="1"/>
  <c r="C5" i="4" s="1"/>
  <c r="C10" i="4"/>
  <c r="I8" i="4"/>
</calcChain>
</file>

<file path=xl/comments1.xml><?xml version="1.0" encoding="utf-8"?>
<comments xmlns="http://schemas.openxmlformats.org/spreadsheetml/2006/main">
  <authors>
    <author>Petra Cornelisse</author>
    <author>install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inclusief Zonnepanelen zie mail 060121 van relatie</t>
        </r>
      </text>
    </comment>
    <comment ref="A34" authorId="1" shapeId="0">
      <text>
        <r>
          <rPr>
            <b/>
            <sz val="8"/>
            <color indexed="81"/>
            <rFont val="Tahoma"/>
            <family val="2"/>
          </rPr>
          <t>install:</t>
        </r>
        <r>
          <rPr>
            <sz val="8"/>
            <color indexed="81"/>
            <rFont val="Tahoma"/>
            <family val="2"/>
          </rPr>
          <t xml:space="preserve">
met o.a. R.K.basisschool 't Startblok</t>
        </r>
      </text>
    </comment>
    <comment ref="A35" authorId="1" shapeId="0">
      <text>
        <r>
          <rPr>
            <b/>
            <sz val="8"/>
            <color indexed="81"/>
            <rFont val="Tahoma"/>
            <family val="2"/>
          </rPr>
          <t>install:</t>
        </r>
        <r>
          <rPr>
            <sz val="8"/>
            <color indexed="81"/>
            <rFont val="Tahoma"/>
            <family val="2"/>
          </rPr>
          <t xml:space="preserve">
R.K.basisschool De Elstar, Forum 4
Christelijke basisschool De Wegwijzer, Forum 6
Openbare basisschool De Zonnepoort, Forum 12</t>
        </r>
      </text>
    </comment>
    <comment ref="L51" authorId="0" shapeId="0">
      <text>
        <r>
          <rPr>
            <sz val="9"/>
            <color indexed="81"/>
            <rFont val="Tahoma"/>
            <family val="2"/>
          </rPr>
          <t>inclusief Zonnepanelen zie mail 060121 van relatie</t>
        </r>
      </text>
    </comment>
  </commentList>
</comments>
</file>

<file path=xl/comments2.xml><?xml version="1.0" encoding="utf-8"?>
<comments xmlns="http://schemas.openxmlformats.org/spreadsheetml/2006/main">
  <authors>
    <author>Petra Cornelisse</author>
  </authors>
  <commentList>
    <comment ref="A16" authorId="0" shapeId="0">
      <text>
        <r>
          <rPr>
            <sz val="9"/>
            <color indexed="81"/>
            <rFont val="Tahoma"/>
            <family val="2"/>
          </rPr>
          <t>scholen, bibliotheek en buitenschoolse opvang</t>
        </r>
      </text>
    </comment>
  </commentList>
</comments>
</file>

<file path=xl/comments3.xml><?xml version="1.0" encoding="utf-8"?>
<comments xmlns="http://schemas.openxmlformats.org/spreadsheetml/2006/main">
  <authors>
    <author>install</author>
    <author>Petra Cornelisse</author>
  </authors>
  <commentList>
    <comment ref="A9" authorId="0" shapeId="0">
      <text>
        <r>
          <rPr>
            <b/>
            <sz val="8"/>
            <color indexed="81"/>
            <rFont val="Tahoma"/>
            <family val="2"/>
          </rPr>
          <t>install:</t>
        </r>
        <r>
          <rPr>
            <sz val="8"/>
            <color indexed="81"/>
            <rFont val="Tahoma"/>
            <family val="2"/>
          </rPr>
          <t xml:space="preserve">
per 1 maart 2012</t>
        </r>
      </text>
    </comment>
    <comment ref="O31" authorId="1" shapeId="0">
      <text>
        <r>
          <rPr>
            <sz val="9"/>
            <color indexed="81"/>
            <rFont val="Tahoma"/>
            <family val="2"/>
          </rPr>
          <t>inclusief Zonnepanelen zie mail 060121 van relatie</t>
        </r>
      </text>
    </comment>
  </commentList>
</comments>
</file>

<file path=xl/sharedStrings.xml><?xml version="1.0" encoding="utf-8"?>
<sst xmlns="http://schemas.openxmlformats.org/spreadsheetml/2006/main" count="626" uniqueCount="373">
  <si>
    <t>De Gemeente Overbetuwe (Elst).</t>
  </si>
  <si>
    <t>'t Fort 4</t>
  </si>
  <si>
    <t>In beslag genomen boedels</t>
  </si>
  <si>
    <t>Elst</t>
  </si>
  <si>
    <t>Schubertstraat 1</t>
  </si>
  <si>
    <t>Algemene begraafplaats Elst</t>
  </si>
  <si>
    <t>Sporthal de Helster</t>
  </si>
  <si>
    <t>Bijzondere scholen</t>
  </si>
  <si>
    <t>Kostverloren 14</t>
  </si>
  <si>
    <t>Kruisakkers 7</t>
  </si>
  <si>
    <t>Gemeentehuis</t>
  </si>
  <si>
    <t>Moluks Centrum</t>
  </si>
  <si>
    <t>Mozartstraat 12</t>
  </si>
  <si>
    <t xml:space="preserve">Gemeentelijk Bezit: </t>
  </si>
  <si>
    <t xml:space="preserve">Primair Onderwijs: </t>
  </si>
  <si>
    <t xml:space="preserve">Voortgezet Onderwijs: </t>
  </si>
  <si>
    <t>Kantoor</t>
  </si>
  <si>
    <t xml:space="preserve">Verenigingsgebouw De Wieken </t>
  </si>
  <si>
    <t>Gemeentewerf</t>
  </si>
  <si>
    <t>Gymlokaal Kruisakkers</t>
  </si>
  <si>
    <t>Heteren</t>
  </si>
  <si>
    <t>Valburg</t>
  </si>
  <si>
    <t>risico-object</t>
  </si>
  <si>
    <t>adres</t>
  </si>
  <si>
    <t>hnr</t>
  </si>
  <si>
    <t>postcode</t>
  </si>
  <si>
    <t>plaats</t>
  </si>
  <si>
    <t>Zetten</t>
  </si>
  <si>
    <t>ong</t>
  </si>
  <si>
    <t>Herveld</t>
  </si>
  <si>
    <t>2a</t>
  </si>
  <si>
    <t xml:space="preserve">Kerkstraat </t>
  </si>
  <si>
    <t>Brandweergarage</t>
  </si>
  <si>
    <t xml:space="preserve">Dorpsstraat </t>
  </si>
  <si>
    <t>Oosterhout</t>
  </si>
  <si>
    <t>P. Savenijelaan</t>
  </si>
  <si>
    <t>De Honsvoet</t>
  </si>
  <si>
    <t>De Hoge Hof</t>
  </si>
  <si>
    <t>Brandweergarage/kantine</t>
  </si>
  <si>
    <t>Sint Walburg</t>
  </si>
  <si>
    <t>Engelandstraat</t>
  </si>
  <si>
    <t>Andelst</t>
  </si>
  <si>
    <t>Gemeentewerkplaats</t>
  </si>
  <si>
    <t>Hoofdstraat</t>
  </si>
  <si>
    <t>H. Piersonstraat</t>
  </si>
  <si>
    <t>Mammoetstraat</t>
  </si>
  <si>
    <t>1 en 3</t>
  </si>
  <si>
    <t>Flessestraat</t>
  </si>
  <si>
    <t xml:space="preserve">Polderstraat </t>
  </si>
  <si>
    <t>Schaapsakker</t>
  </si>
  <si>
    <t>Fazantstraat</t>
  </si>
  <si>
    <t>Driel</t>
  </si>
  <si>
    <t xml:space="preserve">Flessestraat </t>
  </si>
  <si>
    <t>Randwijk</t>
  </si>
  <si>
    <t>Rijnstraat</t>
  </si>
  <si>
    <t>Bredeweg</t>
  </si>
  <si>
    <t>8a</t>
  </si>
  <si>
    <t>Jeugdgebouw Heteren</t>
  </si>
  <si>
    <t>(voorheen K.C.A. gebouw)</t>
  </si>
  <si>
    <t>Totaal</t>
  </si>
  <si>
    <t xml:space="preserve">De Gemeente Overbetuwe </t>
  </si>
  <si>
    <t>Brede basisschool Elst-Zuid</t>
  </si>
  <si>
    <t>Morel 28</t>
  </si>
  <si>
    <t>Vluchtheuvellaan</t>
  </si>
  <si>
    <t>Postduivenvereniging De Toekomst</t>
  </si>
  <si>
    <t>Sportzaal Westeraam</t>
  </si>
  <si>
    <t>Kruisakkers 1+3</t>
  </si>
  <si>
    <t>5 tot 7</t>
  </si>
  <si>
    <t>4a</t>
  </si>
  <si>
    <t>Aamsestraat 11</t>
  </si>
  <si>
    <t>Forum 4-12</t>
  </si>
  <si>
    <t>Verzekerd bedrag</t>
  </si>
  <si>
    <t xml:space="preserve">Oosterhoutsestraat </t>
  </si>
  <si>
    <t>6678 PC</t>
  </si>
  <si>
    <t>Chopinstraat 3</t>
  </si>
  <si>
    <t>6661 CZ</t>
  </si>
  <si>
    <t>Bachstraat 47-53</t>
  </si>
  <si>
    <t>6661 CP</t>
  </si>
  <si>
    <t>Auditorium 6</t>
  </si>
  <si>
    <t>6661 TZ</t>
  </si>
  <si>
    <t>Auditorium 12</t>
  </si>
  <si>
    <t>Hockeyclub Overbetuwe (2 kunstgras hockeyvelden, 8 lichtmasten, dugouts)</t>
  </si>
  <si>
    <t>Dorpsstraat 67</t>
  </si>
  <si>
    <t>6661 EH</t>
  </si>
  <si>
    <t>Dorpsstraat 8</t>
  </si>
  <si>
    <t>Over Betuwe College</t>
  </si>
  <si>
    <t>6661 AW</t>
  </si>
  <si>
    <t>6661 EA</t>
  </si>
  <si>
    <t>Korte Helster 1</t>
  </si>
  <si>
    <t>6661 EC</t>
  </si>
  <si>
    <t>6662 ND</t>
  </si>
  <si>
    <t>6661 EK</t>
  </si>
  <si>
    <t>6662 DE</t>
  </si>
  <si>
    <t>6662 DV</t>
  </si>
  <si>
    <t>6662 VH</t>
  </si>
  <si>
    <t>6661 TW</t>
  </si>
  <si>
    <t>6661 DZ</t>
  </si>
  <si>
    <t>6661 BL</t>
  </si>
  <si>
    <t>6673 DJ</t>
  </si>
  <si>
    <t>6674 BV</t>
  </si>
  <si>
    <t>6674 A</t>
  </si>
  <si>
    <t>6674 BE</t>
  </si>
  <si>
    <t>6678 BD</t>
  </si>
  <si>
    <t>6678 BT</t>
  </si>
  <si>
    <t>6678 BK</t>
  </si>
  <si>
    <t>6675 AW</t>
  </si>
  <si>
    <t>Jeugd/jongeren/gym (Kriekse, Centrum voor vrijetijdsbesteding)</t>
  </si>
  <si>
    <t>6677 PG</t>
  </si>
  <si>
    <t>6671 AS</t>
  </si>
  <si>
    <t>6671 BR</t>
  </si>
  <si>
    <t>6671 DN</t>
  </si>
  <si>
    <t>6671 ZL</t>
  </si>
  <si>
    <t>J.A. Nijhoffstraat</t>
  </si>
  <si>
    <t>6671 CK</t>
  </si>
  <si>
    <t>6671 AN</t>
  </si>
  <si>
    <t>6671 DL</t>
  </si>
  <si>
    <t xml:space="preserve">Achterstraat </t>
  </si>
  <si>
    <t>Lijkenhuisje / uitvaartcentrum / begraafplaats</t>
  </si>
  <si>
    <t>School Dr. L. van Bueren, Chr. basisschool (7 lokalen)</t>
  </si>
  <si>
    <t>Ds van Lingenschool, Prot.-Christ. Basisschool</t>
  </si>
  <si>
    <t>De Ark, Chris.basisschool</t>
  </si>
  <si>
    <t>Kruisakkers 5</t>
  </si>
  <si>
    <t>School Clara Fabricius, Chris.basisschool</t>
  </si>
  <si>
    <t>School St Jacobus, R.K. basisschool</t>
  </si>
  <si>
    <t>School Meeuwenberg, prot.chris.basisschool</t>
  </si>
  <si>
    <t>School Sam Sam, basisschool</t>
  </si>
  <si>
    <t>School Met de Bijbel, christ.basisschool</t>
  </si>
  <si>
    <t>Stap voor Stap, openbaar</t>
  </si>
  <si>
    <t>Sunte Werfert, R.K.basisschool</t>
  </si>
  <si>
    <t>School voortg. Onderwijs, Hendrik Pierson College (Christ.)</t>
  </si>
  <si>
    <t xml:space="preserve">Het Westeraam </t>
  </si>
  <si>
    <t>RO</t>
  </si>
  <si>
    <t>Afdeling</t>
  </si>
  <si>
    <t>MO</t>
  </si>
  <si>
    <t xml:space="preserve">OpR </t>
  </si>
  <si>
    <t>OpR</t>
  </si>
  <si>
    <t>VE</t>
  </si>
  <si>
    <t>OPR</t>
  </si>
  <si>
    <t>Prinses Irenestraat 49</t>
  </si>
  <si>
    <t>Dorpshuis 'Randwijkse Hof'</t>
  </si>
  <si>
    <t>Europaplein 22</t>
  </si>
  <si>
    <t>Retourterminal</t>
  </si>
  <si>
    <t>6662 DD</t>
  </si>
  <si>
    <t>BWM</t>
  </si>
  <si>
    <t>Dorpsplein</t>
  </si>
  <si>
    <t>2v</t>
  </si>
  <si>
    <t>6674 BW</t>
  </si>
  <si>
    <t>Julianaplein</t>
  </si>
  <si>
    <t>3v</t>
  </si>
  <si>
    <t>6671 CA</t>
  </si>
  <si>
    <t>Polenplein</t>
  </si>
  <si>
    <t>30v</t>
  </si>
  <si>
    <t>Beemdhof</t>
  </si>
  <si>
    <t>38v</t>
  </si>
  <si>
    <t>Sporthal/dorpshuis de Oldenburg (voorheen Nieuwenhof)</t>
  </si>
  <si>
    <t>11-17</t>
  </si>
  <si>
    <t xml:space="preserve">  - Basisschool Koningin Juliana</t>
  </si>
  <si>
    <t>11</t>
  </si>
  <si>
    <t xml:space="preserve">  - Bibliotheek Heteren</t>
  </si>
  <si>
    <t xml:space="preserve">  - Kinderopvang SKAR</t>
  </si>
  <si>
    <t xml:space="preserve">  - Basisschool Haafakkers</t>
  </si>
  <si>
    <t>13</t>
  </si>
  <si>
    <t>15</t>
  </si>
  <si>
    <t>Zalencentrum Heteren</t>
  </si>
  <si>
    <t>Sportzaalgedeelte zalencentrum</t>
  </si>
  <si>
    <t xml:space="preserve">  - Kindcentrum (oa peuterspeelzaal, consultatieburo, kinderdagopvang)</t>
  </si>
  <si>
    <t>Brede School Westeraam (de Zon):</t>
  </si>
  <si>
    <t xml:space="preserve">  - Christelijke basisschool Wegwijzer</t>
  </si>
  <si>
    <t>Forum 6</t>
  </si>
  <si>
    <t>Forum 12</t>
  </si>
  <si>
    <t xml:space="preserve">  - Openbare basisschool Zonnepoort</t>
  </si>
  <si>
    <t>Forum 4</t>
  </si>
  <si>
    <t>Stationstraat 20</t>
  </si>
  <si>
    <t>peuterzaal veldmuisjes</t>
  </si>
  <si>
    <t xml:space="preserve">t Höfke </t>
  </si>
  <si>
    <t>4</t>
  </si>
  <si>
    <t>6674 DR</t>
  </si>
  <si>
    <t xml:space="preserve">peuterspeelzaal Santenkraam   </t>
  </si>
  <si>
    <t>Merkenhorststraat</t>
  </si>
  <si>
    <t>6674 AH</t>
  </si>
  <si>
    <t>Dierenkamp nachtverblijf</t>
  </si>
  <si>
    <t>6662 DC</t>
  </si>
  <si>
    <t>Reijersstraat 39</t>
  </si>
  <si>
    <t>6661 GP</t>
  </si>
  <si>
    <t>6661 EW</t>
  </si>
  <si>
    <t>Bedrijfspand / BSO 't Strand</t>
  </si>
  <si>
    <t>Algemene begraafplaats</t>
  </si>
  <si>
    <t>Gymlokaal (in Dorpshuis De Schakel)</t>
  </si>
  <si>
    <t>De Wanmolen, sport-, party- en vergadercentrum</t>
  </si>
  <si>
    <t>Museumboerderij De Tip (Stichting Valburgmarca)</t>
  </si>
  <si>
    <t xml:space="preserve">Voetbalver. Spero kunstgrasvelden, Vandalismeverzekering </t>
  </si>
  <si>
    <t>De Gemeente Overbetuwe (Valburg).</t>
  </si>
  <si>
    <t>De Gemeente Overbetuwe (Heteren)</t>
  </si>
  <si>
    <t>Auditorium 3</t>
  </si>
  <si>
    <t>Lyceum Elst (miv 28-6-12)</t>
  </si>
  <si>
    <t>De Pas 3</t>
  </si>
  <si>
    <t>Tielstraat 155</t>
  </si>
  <si>
    <t>De Pas 1</t>
  </si>
  <si>
    <t>De Pas 2</t>
  </si>
  <si>
    <t>6662 BK</t>
  </si>
  <si>
    <t>Kerktoren de Peperbus</t>
  </si>
  <si>
    <t xml:space="preserve">  - Roomskatholieke basisschool Elstar</t>
  </si>
  <si>
    <t>Kastanjelaan</t>
  </si>
  <si>
    <t>Berging met waterpomp en een opstal</t>
  </si>
  <si>
    <t>Bredeschool De Plataan. Het betreft één gebouw, met de volgende twee adressen:</t>
  </si>
  <si>
    <t>opstal</t>
  </si>
  <si>
    <t>inventaris</t>
  </si>
  <si>
    <t>School St Willibrordus, basisschool (stichting katholiek onderwijs), inclusief zonnepanelen en arico's</t>
  </si>
  <si>
    <t>6665 CN</t>
  </si>
  <si>
    <t>6665 EA</t>
  </si>
  <si>
    <t>6665 AX</t>
  </si>
  <si>
    <t>6665 CL</t>
  </si>
  <si>
    <t>6666 LD</t>
  </si>
  <si>
    <t>6661 LP</t>
  </si>
  <si>
    <t>6666 CK</t>
  </si>
  <si>
    <t>6666 EB</t>
  </si>
  <si>
    <t>6666 CR</t>
  </si>
  <si>
    <t>6666 DJ</t>
  </si>
  <si>
    <t>6666 DL</t>
  </si>
  <si>
    <t>6666 AD</t>
  </si>
  <si>
    <t>6666 AS</t>
  </si>
  <si>
    <t>6668 AN</t>
  </si>
  <si>
    <t>Postcode</t>
  </si>
  <si>
    <t>Plaats</t>
  </si>
  <si>
    <t>Omschrijving</t>
  </si>
  <si>
    <t>Adres</t>
  </si>
  <si>
    <t>Bedrijfsschade</t>
  </si>
  <si>
    <t xml:space="preserve">Hofplein </t>
  </si>
  <si>
    <t>6665 DH</t>
  </si>
  <si>
    <t>Parkeergarage</t>
  </si>
  <si>
    <t>Energieweg 12</t>
  </si>
  <si>
    <t>6662 NS</t>
  </si>
  <si>
    <t>Ondergrondse Perscontainer</t>
  </si>
  <si>
    <t>Kokkeland</t>
  </si>
  <si>
    <t>6661 ZV</t>
  </si>
  <si>
    <t>Basilica</t>
  </si>
  <si>
    <t>excl. Btw</t>
  </si>
  <si>
    <t>School De Kameleon, R.K. basisschool</t>
  </si>
  <si>
    <t>School De Vallei, openbare basisschool</t>
  </si>
  <si>
    <t>Bibliotheek</t>
  </si>
  <si>
    <t xml:space="preserve">Schweitzerpark </t>
  </si>
  <si>
    <t>Index inventaris
/ 115,8 x 117,6</t>
  </si>
  <si>
    <t>Gebouwen
per  01-04-2017
/ 121,0 x 123,1</t>
  </si>
  <si>
    <t>Gymlokaal</t>
  </si>
  <si>
    <t xml:space="preserve">Noodlokalen BS De Vallei </t>
  </si>
  <si>
    <t>Rijksweg Noord 68</t>
  </si>
  <si>
    <t>6661 KH</t>
  </si>
  <si>
    <t>Vrijstaande Woning</t>
  </si>
  <si>
    <t xml:space="preserve">#1 gebouw getaxeerd door Troostwijk d.d. 12-04-2017, rapportnr. 00230622001 incl. funderingen </t>
  </si>
  <si>
    <t>Van de Duin van Maasdamstraat 25
Klokkeland 10</t>
  </si>
  <si>
    <t>6661 ZR
6661 ZV</t>
  </si>
  <si>
    <t>Elst
Elst</t>
  </si>
  <si>
    <t>$3 inventaris getaxeerd door Van Ameyde d.d. 05-10-2017, rapportnr. IW170841351 (incl. huurdersbelang)</t>
  </si>
  <si>
    <t>$2</t>
  </si>
  <si>
    <t>$2 inventaris getaxeerd door Van Ameyde d.d. 05-10-2017, rapportnr. IW170841350 (incl. huurdersbelang)</t>
  </si>
  <si>
    <t>$4</t>
  </si>
  <si>
    <t>$4 inventaris getaxeerd door Van Ameyde d.d. 05-10-2017, rapportnr. IW170841346 (incl. huurdersbelang)</t>
  </si>
  <si>
    <t xml:space="preserve">#2 gebouw getaxeerd door Troostwijk d.d. 17-05-2017, rapportnr. 00230623001 incl. funderingen </t>
  </si>
  <si>
    <t xml:space="preserve">#3 gebouw getaxeerd door Troostwijk d.d. 17-05-2017, rapportnr. 00230621001 incl. funderingen </t>
  </si>
  <si>
    <t>Gebouwen
per  01-04-2018
/ 123,1 x 127,1</t>
  </si>
  <si>
    <t>Index inventaris
/ 117,5 x 118,7</t>
  </si>
  <si>
    <t>Openbare basisschool De Okkernoot</t>
  </si>
  <si>
    <t>OBS Klimboom</t>
  </si>
  <si>
    <r>
      <t>$5 inventaris getaxeerd door Lengkeek d.d. 20-02-2018, rapportnr. 4023678-</t>
    </r>
    <r>
      <rPr>
        <sz val="10"/>
        <color rgb="FFFF0000"/>
        <rFont val="Arial"/>
        <family val="2"/>
      </rPr>
      <t>div.nrs</t>
    </r>
  </si>
  <si>
    <t>$5</t>
  </si>
  <si>
    <t>Van den Burgstraat</t>
  </si>
  <si>
    <t>Bredeschool de vogeltuin</t>
  </si>
  <si>
    <t>Kantoor "Het Ambtshuis"</t>
  </si>
  <si>
    <t>$6</t>
  </si>
  <si>
    <t>$6 inventaris getaxeerd door van Ameyde d.d. 8-10-2017, rapportnr. IW170841352</t>
  </si>
  <si>
    <t>Woning</t>
  </si>
  <si>
    <t>Spoorstraat</t>
  </si>
  <si>
    <t>6674 DA</t>
  </si>
  <si>
    <t>$7</t>
  </si>
  <si>
    <t>$7 inventaris getaxeerd door Lengkeek d.d. 22-10-2018, rapportnr. 4023678-25</t>
  </si>
  <si>
    <t>$8 inventaris getaxeerd door Lengkeek d.d. 22-10-2018, rapportnr. 4023678-24</t>
  </si>
  <si>
    <t>Scholengemeenschap De Brouwerij (horeca/technieklokaal)</t>
  </si>
  <si>
    <t>Scholengemeenschap De Brouwerij</t>
  </si>
  <si>
    <t>4 en 7</t>
  </si>
  <si>
    <t>$8</t>
  </si>
  <si>
    <t>Valburgseweg 42a</t>
  </si>
  <si>
    <t>Randweg 15</t>
  </si>
  <si>
    <t>Poort van Midden Gelderland Groen</t>
  </si>
  <si>
    <t>3a</t>
  </si>
  <si>
    <t>1b en 2</t>
  </si>
  <si>
    <t>Woerdsestraat</t>
  </si>
  <si>
    <t>6671 MD</t>
  </si>
  <si>
    <t>Gebouwen
per  01-04-2019
/ 127,1 x 135,6</t>
  </si>
  <si>
    <t>Index inventaris
/ 118,7 x 121,0</t>
  </si>
  <si>
    <t>bouw semipermanent schoolgebouw</t>
  </si>
  <si>
    <t>#4</t>
  </si>
  <si>
    <t>#4 gebouw getaxeerd door Lengkeek d.d. 27-11-2019, rapportnr. 4045854-1</t>
  </si>
  <si>
    <t>#5 gebouw getaxeerd door Lengkeek d.d. 25-11-2019, rapportnr. 4045854-2</t>
  </si>
  <si>
    <t>#6</t>
  </si>
  <si>
    <t>#6 gebouw getaxeerd door Lengkeek d.d. 25-11-2019, rapportnr. 4045854-3, incl. funderingen</t>
  </si>
  <si>
    <t>#7 gebouw getaxeerd door Lengkeek d.d. 25-11-2019, rapportnr. 4045854-4, incl. funderingen</t>
  </si>
  <si>
    <t>#8</t>
  </si>
  <si>
    <t>#8 gebouw getaxeerd door Lengkeek d.d. 25-11-2019, rapportnr. 4045854-5, incl. funderingen</t>
  </si>
  <si>
    <t>#9 gebouw getaxeerd door Lengkeek d.d. 25-11-2019, rapportnr. 4045854-6, incl. funderingen</t>
  </si>
  <si>
    <t>$5, #7</t>
  </si>
  <si>
    <t>#10</t>
  </si>
  <si>
    <t>#10 gebouw getaxeerd door Lengkeek d.d. 25-11-2019, rapportnr. 4045854-7, incl. funderingen</t>
  </si>
  <si>
    <t>#11 gebouw getaxeerd door Lengkeek d.d. 25-11-2019, rapportnr. 4045854-9, incl. funderingen</t>
  </si>
  <si>
    <t>#11</t>
  </si>
  <si>
    <t>#12 gebouw getaxeerd door Lengkeek d.d. 27-11-2019, rapportnr. 4045854-10</t>
  </si>
  <si>
    <t>#13 gebouw getaxeerd door Lengkeek d.d. 27-11-2019, rapportnr. 4045854-11</t>
  </si>
  <si>
    <t>$5, #13</t>
  </si>
  <si>
    <t>$6 inventaris getaxeerd door Lengkeek d.d. 25-11-2019, rapportnr. 4045849-1 excl. computerapparatuur</t>
  </si>
  <si>
    <t>#2, $7</t>
  </si>
  <si>
    <t>$7 inventaris getaxeerd door Lengkeek d.d. 25-11-2019, rapportnr. 4045849-2 excl. computerapparatuur</t>
  </si>
  <si>
    <t>$8 inventaris getaxeerd door Lengkeek d.d. 25-11-2019, rapportnr. 4045849-3 excl. computerapparatuur</t>
  </si>
  <si>
    <t>$9</t>
  </si>
  <si>
    <t>$9 inventaris getaxeerd door Lengkeek d.d. 25-11-2019, rapportnr. 4045849-4</t>
  </si>
  <si>
    <t>$10</t>
  </si>
  <si>
    <t>$10 inventaris getaxeerd door Lengkeek d.d. 25-11-2019, rapportnr. 4045849-5 excl. computerapparatuur</t>
  </si>
  <si>
    <t>$8 inventaris getaxeerd door Lengkeek d.d. 26-11-2019, rapportnr. 4045849-6</t>
  </si>
  <si>
    <t>$9 inventaris getaxeerd door Lengkeek d.d. 26-11-2019, rapportnr. 4045849-7</t>
  </si>
  <si>
    <t>$10 inventaris getaxeerd door Lengkeek d.d. 26-11-2019, rapportnr. 4045849-8</t>
  </si>
  <si>
    <t>$9 inventaris getaxeerd door Lengkeek d.d. 26-11-2019, rapportnr. 4045849-9</t>
  </si>
  <si>
    <t>$11</t>
  </si>
  <si>
    <t>$11 inventaris getaxeerd door Lengkeek d.d. 26-11-2019, rapportnr. 4045849-10</t>
  </si>
  <si>
    <t>$12</t>
  </si>
  <si>
    <t>$12 inventaris getaxeerd door Lengkeek d.d. 3-12-2019, rapportnr. 4045849-11</t>
  </si>
  <si>
    <t>$13</t>
  </si>
  <si>
    <t>$13 inventaris getaxeerd door Lengkeek d.d. 3-12-2019, rapportnr. 4045849-12 excl. computerapparatuur</t>
  </si>
  <si>
    <t>$14 inventaris getaxeerd door Lengkeek d.d. 3-12-2019, rapportnr. 4045849-13 excl. bedrijfselektronica</t>
  </si>
  <si>
    <t>$14</t>
  </si>
  <si>
    <t>$10 inventaris getaxeerd door Lengkeek d.d. 3-12-2019, rapportnr. 4045849-14</t>
  </si>
  <si>
    <t>$11 inventaris getaxeerd door Lengkeek d.d. 3-12-2019, rapportnr. 4045849-15 excl. computerapparatuur</t>
  </si>
  <si>
    <t>#5, $11</t>
  </si>
  <si>
    <t>#14</t>
  </si>
  <si>
    <t>#14 gebouw getaxeerd door Lengkeek d.d. 25-11-2019, rapportnr. 4045854-8</t>
  </si>
  <si>
    <t>Gebouwen
per  01-04-2020
/ 135,6 x 145,8</t>
  </si>
  <si>
    <t>Gemeentewerf (sneeuwschuivers en - ploegen)</t>
  </si>
  <si>
    <t>$11 inventaris getaxeerd door Lengkeek d.d. 29-04-2020, rapportnr. 4045849-16</t>
  </si>
  <si>
    <t xml:space="preserve">  - Openbare basisschool de Esdoorn, 2 noodlokalen</t>
  </si>
  <si>
    <t>#12, $9</t>
  </si>
  <si>
    <t>#9, $10</t>
  </si>
  <si>
    <t>Index inventaris
/ 121,0 of 122,2 x 122,9</t>
  </si>
  <si>
    <t>Gebouwen
per  01-04-2020
/ 135,6 of 140,3 x 145,8</t>
  </si>
  <si>
    <t xml:space="preserve">
risico-object 
</t>
  </si>
  <si>
    <t>Schweitzerpark</t>
  </si>
  <si>
    <t>#2 taxatie Lengkeek dd 13-7-2020, rapportnr. 4054691-5 incl. fundering, incl BTW</t>
  </si>
  <si>
    <t>#3 taxatie Lengkeek dd 13-7-2020, rapportnr. 4054691-6 incl. fundering, incl BTW</t>
  </si>
  <si>
    <t>#4 taxatie Lengkeek dd 13-7-2020, rapportnr. 4054691-7 incl. fundering, incl BTW</t>
  </si>
  <si>
    <t>#5</t>
  </si>
  <si>
    <t>#5 taxatie Lengkeek dd 13-7-2020, rapportnr. 4054691-11 incl. fundering, incl BTW</t>
  </si>
  <si>
    <t>#6 taxatie Lengkeek dd 13-7-2020, rapportnr. 4054691-1 incl. fundering, incl BTW</t>
  </si>
  <si>
    <t>#7 taxatie Lengkeek dd 13-7-2020, rapportnr. 4054691-3 incl. fundering, incl BTW</t>
  </si>
  <si>
    <t>#9</t>
  </si>
  <si>
    <t>#9 taxatie Lengkeek dd 13-7-2020, rapportnr. 4054691-4 incl. fundering, incl BTW</t>
  </si>
  <si>
    <t>#8 taxatie Lengkeek dd 13-7-2020, rapportnr. 4054691-8 incl. fundering, incl BTW</t>
  </si>
  <si>
    <t>#10 taxatie Lengkeek dd 13-7-2020, rapportnr. 4054691-2 incl. fundering, incl BTW</t>
  </si>
  <si>
    <t>#11 taxatie Lengkeek dd 13-7-2020, rapportnr. 4054691-9 incl. fundering, incl BTW</t>
  </si>
  <si>
    <t>Noodzorgunit</t>
  </si>
  <si>
    <t>Eijkmansstraat</t>
  </si>
  <si>
    <t>Narcissenstraat</t>
  </si>
  <si>
    <t>6666 AW</t>
  </si>
  <si>
    <t>6665 CW</t>
  </si>
  <si>
    <t>2x noodlokaal</t>
  </si>
  <si>
    <t>6x noodlokaal</t>
  </si>
  <si>
    <t>woning, nog bewoond</t>
  </si>
  <si>
    <t>Nieuwe Aamsestraat 13b</t>
  </si>
  <si>
    <t>$12 opstal getaxeerd door Lengkeek d.d. 14-10-2020, rapportnr. 4055248</t>
  </si>
  <si>
    <t>Inventaris
index
/ 122,9 x 123,1</t>
  </si>
  <si>
    <t>Gebouwen
per 01-04-2021
/ 145,8 x 153,1</t>
  </si>
  <si>
    <t>$11 #7</t>
  </si>
  <si>
    <t>$5 #2</t>
  </si>
  <si>
    <t>$6 #3</t>
  </si>
  <si>
    <t>$5 #4</t>
  </si>
  <si>
    <t>$13 inventaris getaxeerd door Lengkeek d.d. 09-11-2020, rapportnr. 4045849-17</t>
  </si>
  <si>
    <t>$12, $13</t>
  </si>
  <si>
    <t>Zonnepanelen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</si>
</sst>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_-* #,##0.00\-;_-* &quot;-&quot;??_-;_-@_-"/>
    <numFmt numFmtId="165" formatCode="_-&quot;fl&quot;\ * #,##0.00_-;_-&quot;fl&quot;\ * #,##0.00\-;_-&quot;fl&quot;\ * &quot;-&quot;??_-;_-@_-"/>
    <numFmt numFmtId="166" formatCode="_-[$€]\ * #,##0.00_-;_-[$€]\ * #,##0.00\-;_-[$€]\ * &quot;-&quot;??_-;_-@_-"/>
    <numFmt numFmtId="167" formatCode="_ [$€-413]\ * #,##0.00_ ;_ [$€-413]\ * \-#,##0.00_ ;_ [$€-413]\ * &quot;-&quot;??_ ;_ @_ "/>
    <numFmt numFmtId="168" formatCode="_-* #,##0.00\ [$€-81D]_-;\-* #,##0.00\ [$€-81D]_-;_-* &quot;-&quot;??\ [$€-81D]_-;_-@_-"/>
  </numFmts>
  <fonts count="34">
    <font>
      <sz val="10"/>
      <name val="Arial"/>
    </font>
    <font>
      <sz val="10"/>
      <name val="Arial"/>
      <family val="2"/>
    </font>
    <font>
      <b/>
      <i/>
      <sz val="12"/>
      <color indexed="8"/>
      <name val="Univers (W1)"/>
      <family val="2"/>
    </font>
    <font>
      <sz val="8"/>
      <color indexed="8"/>
      <name val="Univers (W1)"/>
      <family val="2"/>
    </font>
    <font>
      <b/>
      <i/>
      <sz val="18"/>
      <color indexed="8"/>
      <name val="Univers (W1)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1"/>
      <name val="Tahoma"/>
      <family val="2"/>
    </font>
    <font>
      <b/>
      <u/>
      <sz val="10"/>
      <name val="Arial"/>
      <family val="2"/>
    </font>
    <font>
      <b/>
      <i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166" fontId="1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4" borderId="0" applyNumberFormat="0" applyBorder="0" applyAlignment="0" applyProtection="0"/>
    <xf numFmtId="0" fontId="20" fillId="7" borderId="1" applyNumberFormat="0" applyAlignment="0" applyProtection="0"/>
    <xf numFmtId="164" fontId="1" fillId="0" borderId="0" applyFon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23" borderId="7" applyNumberFormat="0" applyFont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20" borderId="9" applyNumberFormat="0" applyAlignment="0" applyProtection="0"/>
    <xf numFmtId="165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4" fontId="5" fillId="0" borderId="0" xfId="0" applyNumberFormat="1" applyFont="1" applyBorder="1"/>
    <xf numFmtId="4" fontId="9" fillId="0" borderId="10" xfId="0" quotePrefix="1" applyNumberFormat="1" applyFont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1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4" fontId="13" fillId="0" borderId="10" xfId="0" applyNumberFormat="1" applyFont="1" applyBorder="1" applyAlignment="1">
      <alignment horizontal="left" vertical="top"/>
    </xf>
    <xf numFmtId="4" fontId="9" fillId="0" borderId="0" xfId="0" applyNumberFormat="1" applyFont="1" applyBorder="1" applyAlignment="1">
      <alignment vertical="top"/>
    </xf>
    <xf numFmtId="164" fontId="9" fillId="0" borderId="0" xfId="31" applyFont="1" applyAlignment="1">
      <alignment vertical="top"/>
    </xf>
    <xf numFmtId="164" fontId="9" fillId="0" borderId="0" xfId="31" applyFont="1" applyAlignment="1">
      <alignment horizontal="right" vertical="top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Alignment="1">
      <alignment vertical="top"/>
    </xf>
    <xf numFmtId="0" fontId="9" fillId="0" borderId="0" xfId="0" applyNumberFormat="1" applyFont="1" applyAlignment="1">
      <alignment horizontal="right" vertical="top"/>
    </xf>
    <xf numFmtId="4" fontId="9" fillId="0" borderId="0" xfId="0" applyNumberFormat="1" applyFont="1" applyBorder="1" applyAlignment="1">
      <alignment vertical="top" wrapText="1"/>
    </xf>
    <xf numFmtId="4" fontId="13" fillId="0" borderId="0" xfId="0" quotePrefix="1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right" vertical="top"/>
    </xf>
    <xf numFmtId="1" fontId="9" fillId="0" borderId="0" xfId="31" applyNumberFormat="1" applyFont="1" applyFill="1" applyBorder="1" applyAlignment="1">
      <alignment horizontal="left" vertical="top"/>
    </xf>
    <xf numFmtId="164" fontId="13" fillId="0" borderId="14" xfId="31" applyFont="1" applyBorder="1" applyAlignment="1">
      <alignment vertical="top"/>
    </xf>
    <xf numFmtId="0" fontId="0" fillId="0" borderId="0" xfId="0" applyFill="1" applyAlignment="1">
      <alignment horizontal="right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4" fontId="13" fillId="24" borderId="16" xfId="31" applyNumberFormat="1" applyFont="1" applyFill="1" applyBorder="1" applyAlignment="1">
      <alignment horizontal="left" vertical="top" wrapText="1"/>
    </xf>
    <xf numFmtId="4" fontId="13" fillId="24" borderId="17" xfId="31" applyNumberFormat="1" applyFont="1" applyFill="1" applyBorder="1" applyAlignment="1">
      <alignment horizontal="left" vertical="top" wrapText="1"/>
    </xf>
    <xf numFmtId="0" fontId="10" fillId="24" borderId="17" xfId="0" applyFont="1" applyFill="1" applyBorder="1" applyAlignment="1">
      <alignment vertical="top" wrapText="1"/>
    </xf>
    <xf numFmtId="166" fontId="9" fillId="0" borderId="10" xfId="27" applyFont="1" applyBorder="1" applyAlignment="1">
      <alignment vertical="top"/>
    </xf>
    <xf numFmtId="166" fontId="9" fillId="0" borderId="10" xfId="27" applyFont="1" applyFill="1" applyBorder="1" applyAlignment="1">
      <alignment vertical="top"/>
    </xf>
    <xf numFmtId="166" fontId="9" fillId="0" borderId="0" xfId="27" applyFont="1" applyAlignment="1">
      <alignment vertical="top"/>
    </xf>
    <xf numFmtId="166" fontId="10" fillId="0" borderId="12" xfId="27" applyFont="1" applyBorder="1" applyAlignment="1">
      <alignment vertical="top"/>
    </xf>
    <xf numFmtId="166" fontId="10" fillId="0" borderId="0" xfId="27" applyFont="1" applyBorder="1" applyAlignment="1">
      <alignment vertical="top"/>
    </xf>
    <xf numFmtId="166" fontId="10" fillId="0" borderId="0" xfId="27" applyFont="1" applyAlignment="1">
      <alignment vertical="top"/>
    </xf>
    <xf numFmtId="166" fontId="0" fillId="0" borderId="0" xfId="27" applyFont="1" applyBorder="1"/>
    <xf numFmtId="166" fontId="5" fillId="0" borderId="12" xfId="27" applyFont="1" applyBorder="1"/>
    <xf numFmtId="166" fontId="5" fillId="0" borderId="0" xfId="27" applyFont="1" applyBorder="1"/>
    <xf numFmtId="166" fontId="0" fillId="0" borderId="0" xfId="27" applyFont="1"/>
    <xf numFmtId="166" fontId="5" fillId="0" borderId="0" xfId="27" applyFont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NumberFormat="1" applyFont="1" applyFill="1" applyBorder="1" applyAlignment="1">
      <alignment horizontal="center"/>
    </xf>
    <xf numFmtId="166" fontId="0" fillId="0" borderId="0" xfId="0" applyNumberFormat="1"/>
    <xf numFmtId="166" fontId="0" fillId="0" borderId="12" xfId="27" applyFont="1" applyBorder="1"/>
    <xf numFmtId="1" fontId="3" fillId="24" borderId="0" xfId="31" applyNumberFormat="1" applyFont="1" applyFill="1" applyBorder="1" applyAlignment="1">
      <alignment horizontal="left" vertical="top"/>
    </xf>
    <xf numFmtId="1" fontId="2" fillId="24" borderId="0" xfId="31" quotePrefix="1" applyNumberFormat="1" applyFont="1" applyFill="1" applyBorder="1" applyAlignment="1">
      <alignment horizontal="left" vertical="top"/>
    </xf>
    <xf numFmtId="0" fontId="0" fillId="24" borderId="0" xfId="0" applyFill="1" applyBorder="1"/>
    <xf numFmtId="166" fontId="0" fillId="24" borderId="0" xfId="27" applyFont="1" applyFill="1" applyBorder="1"/>
    <xf numFmtId="1" fontId="4" fillId="24" borderId="0" xfId="31" quotePrefix="1" applyNumberFormat="1" applyFont="1" applyFill="1" applyBorder="1" applyAlignment="1">
      <alignment horizontal="left" vertical="top"/>
    </xf>
    <xf numFmtId="166" fontId="9" fillId="0" borderId="0" xfId="27" applyFont="1" applyAlignment="1">
      <alignment horizontal="right" vertical="top"/>
    </xf>
    <xf numFmtId="166" fontId="0" fillId="0" borderId="0" xfId="27" applyFont="1" applyAlignment="1">
      <alignment horizontal="right"/>
    </xf>
    <xf numFmtId="1" fontId="13" fillId="25" borderId="0" xfId="31" quotePrefix="1" applyNumberFormat="1" applyFont="1" applyFill="1" applyBorder="1" applyAlignment="1">
      <alignment horizontal="left" vertical="top"/>
    </xf>
    <xf numFmtId="0" fontId="10" fillId="24" borderId="0" xfId="0" applyFont="1" applyFill="1" applyBorder="1" applyAlignment="1">
      <alignment horizontal="right" vertical="top" wrapText="1"/>
    </xf>
    <xf numFmtId="0" fontId="10" fillId="24" borderId="18" xfId="0" applyFont="1" applyFill="1" applyBorder="1" applyAlignment="1">
      <alignment vertical="top" wrapText="1"/>
    </xf>
    <xf numFmtId="0" fontId="0" fillId="0" borderId="0" xfId="0" applyBorder="1" applyAlignment="1">
      <alignment horizontal="right"/>
    </xf>
    <xf numFmtId="0" fontId="5" fillId="24" borderId="0" xfId="0" applyFont="1" applyFill="1" applyBorder="1" applyAlignment="1">
      <alignment horizontal="right"/>
    </xf>
    <xf numFmtId="0" fontId="9" fillId="0" borderId="19" xfId="0" applyFont="1" applyBorder="1" applyAlignment="1">
      <alignment vertical="top"/>
    </xf>
    <xf numFmtId="1" fontId="13" fillId="0" borderId="0" xfId="0" applyNumberFormat="1" applyFont="1" applyBorder="1" applyAlignment="1">
      <alignment vertical="top"/>
    </xf>
    <xf numFmtId="1" fontId="9" fillId="0" borderId="0" xfId="0" applyNumberFormat="1" applyFont="1" applyBorder="1" applyAlignment="1">
      <alignment vertical="top"/>
    </xf>
    <xf numFmtId="0" fontId="5" fillId="24" borderId="0" xfId="0" applyNumberFormat="1" applyFont="1" applyFill="1" applyBorder="1" applyAlignment="1">
      <alignment horizontal="right"/>
    </xf>
    <xf numFmtId="166" fontId="32" fillId="0" borderId="10" xfId="27" applyFont="1" applyBorder="1" applyAlignment="1">
      <alignment vertical="top"/>
    </xf>
    <xf numFmtId="0" fontId="5" fillId="24" borderId="17" xfId="0" applyFont="1" applyFill="1" applyBorder="1"/>
    <xf numFmtId="0" fontId="5" fillId="24" borderId="17" xfId="0" applyFont="1" applyFill="1" applyBorder="1" applyAlignment="1">
      <alignment horizontal="center"/>
    </xf>
    <xf numFmtId="0" fontId="5" fillId="24" borderId="17" xfId="0" applyNumberFormat="1" applyFont="1" applyFill="1" applyBorder="1" applyAlignment="1">
      <alignment horizontal="center"/>
    </xf>
    <xf numFmtId="0" fontId="5" fillId="24" borderId="17" xfId="0" applyNumberFormat="1" applyFont="1" applyFill="1" applyBorder="1" applyAlignment="1">
      <alignment horizontal="center" wrapText="1"/>
    </xf>
    <xf numFmtId="0" fontId="5" fillId="24" borderId="16" xfId="0" applyFont="1" applyFill="1" applyBorder="1" applyAlignment="1">
      <alignment vertical="top"/>
    </xf>
    <xf numFmtId="0" fontId="5" fillId="24" borderId="17" xfId="0" applyFont="1" applyFill="1" applyBorder="1" applyAlignment="1">
      <alignment vertical="top"/>
    </xf>
    <xf numFmtId="0" fontId="5" fillId="24" borderId="17" xfId="0" applyFont="1" applyFill="1" applyBorder="1" applyAlignment="1">
      <alignment horizontal="center" vertical="top"/>
    </xf>
    <xf numFmtId="167" fontId="9" fillId="0" borderId="0" xfId="42" applyNumberFormat="1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66" fontId="32" fillId="0" borderId="10" xfId="27" applyFont="1" applyFill="1" applyBorder="1" applyAlignment="1">
      <alignment vertical="top"/>
    </xf>
    <xf numFmtId="4" fontId="1" fillId="0" borderId="11" xfId="0" applyNumberFormat="1" applyFont="1" applyBorder="1"/>
    <xf numFmtId="4" fontId="1" fillId="0" borderId="11" xfId="0" applyNumberFormat="1" applyFont="1" applyBorder="1" applyAlignment="1">
      <alignment vertical="top"/>
    </xf>
    <xf numFmtId="4" fontId="1" fillId="0" borderId="11" xfId="0" applyNumberFormat="1" applyFont="1" applyFill="1" applyBorder="1"/>
    <xf numFmtId="4" fontId="1" fillId="0" borderId="10" xfId="0" applyNumberFormat="1" applyFont="1" applyBorder="1"/>
    <xf numFmtId="4" fontId="1" fillId="0" borderId="10" xfId="0" applyNumberFormat="1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6" fontId="1" fillId="0" borderId="0" xfId="27" applyFont="1" applyBorder="1"/>
    <xf numFmtId="166" fontId="1" fillId="0" borderId="10" xfId="27" applyFont="1" applyBorder="1" applyAlignment="1">
      <alignment vertical="top"/>
    </xf>
    <xf numFmtId="4" fontId="1" fillId="0" borderId="13" xfId="0" applyNumberFormat="1" applyFont="1" applyBorder="1"/>
    <xf numFmtId="49" fontId="1" fillId="0" borderId="1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0" xfId="0" applyNumberFormat="1" applyFont="1" applyFill="1" applyBorder="1"/>
    <xf numFmtId="4" fontId="1" fillId="0" borderId="10" xfId="0" applyNumberFormat="1" applyFont="1" applyBorder="1" applyAlignment="1">
      <alignment horizontal="left" vertical="top" wrapText="1"/>
    </xf>
    <xf numFmtId="4" fontId="1" fillId="0" borderId="10" xfId="0" applyNumberFormat="1" applyFont="1" applyBorder="1" applyAlignment="1">
      <alignment horizontal="left" vertical="top"/>
    </xf>
    <xf numFmtId="4" fontId="1" fillId="0" borderId="10" xfId="0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166" fontId="1" fillId="0" borderId="0" xfId="27" applyFont="1" applyBorder="1" applyAlignment="1">
      <alignment vertical="top"/>
    </xf>
    <xf numFmtId="4" fontId="1" fillId="0" borderId="10" xfId="0" quotePrefix="1" applyNumberFormat="1" applyFont="1" applyBorder="1" applyAlignment="1">
      <alignment horizontal="left" vertical="top"/>
    </xf>
    <xf numFmtId="4" fontId="1" fillId="0" borderId="10" xfId="0" quotePrefix="1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vertical="top"/>
    </xf>
    <xf numFmtId="0" fontId="1" fillId="0" borderId="10" xfId="0" applyNumberFormat="1" applyFont="1" applyBorder="1" applyAlignment="1">
      <alignment horizontal="left" vertical="top"/>
    </xf>
    <xf numFmtId="4" fontId="1" fillId="0" borderId="10" xfId="0" applyNumberFormat="1" applyFont="1" applyFill="1" applyBorder="1" applyAlignment="1">
      <alignment horizontal="left" vertical="top" wrapText="1"/>
    </xf>
    <xf numFmtId="4" fontId="1" fillId="0" borderId="10" xfId="0" quotePrefix="1" applyNumberFormat="1" applyFont="1" applyFill="1" applyBorder="1" applyAlignment="1">
      <alignment horizontal="left" vertical="top"/>
    </xf>
    <xf numFmtId="166" fontId="1" fillId="0" borderId="10" xfId="27" applyFont="1" applyFill="1" applyBorder="1" applyAlignment="1">
      <alignment vertical="top"/>
    </xf>
    <xf numFmtId="0" fontId="1" fillId="0" borderId="10" xfId="0" applyFont="1" applyFill="1" applyBorder="1" applyAlignment="1">
      <alignment horizontal="left"/>
    </xf>
    <xf numFmtId="4" fontId="33" fillId="0" borderId="10" xfId="0" applyNumberFormat="1" applyFont="1" applyBorder="1" applyAlignment="1">
      <alignment vertical="top"/>
    </xf>
    <xf numFmtId="4" fontId="33" fillId="0" borderId="10" xfId="0" quotePrefix="1" applyNumberFormat="1" applyFont="1" applyBorder="1" applyAlignment="1">
      <alignment horizontal="left" vertical="top" wrapText="1"/>
    </xf>
    <xf numFmtId="4" fontId="33" fillId="0" borderId="10" xfId="0" quotePrefix="1" applyNumberFormat="1" applyFont="1" applyBorder="1" applyAlignment="1">
      <alignment horizontal="left" vertical="top"/>
    </xf>
    <xf numFmtId="0" fontId="32" fillId="0" borderId="0" xfId="0" applyFont="1"/>
    <xf numFmtId="0" fontId="32" fillId="0" borderId="10" xfId="0" applyFont="1" applyBorder="1"/>
    <xf numFmtId="0" fontId="3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167" fontId="32" fillId="0" borderId="10" xfId="42" applyNumberFormat="1" applyFont="1" applyBorder="1"/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16" fontId="1" fillId="0" borderId="10" xfId="0" applyNumberFormat="1" applyFont="1" applyFill="1" applyBorder="1" applyAlignment="1">
      <alignment horizontal="center"/>
    </xf>
    <xf numFmtId="166" fontId="32" fillId="0" borderId="0" xfId="27" applyFont="1" applyBorder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/>
    </xf>
    <xf numFmtId="166" fontId="0" fillId="0" borderId="0" xfId="27" applyFont="1" applyBorder="1" applyAlignment="1">
      <alignment vertical="top"/>
    </xf>
    <xf numFmtId="0" fontId="5" fillId="24" borderId="16" xfId="0" applyFont="1" applyFill="1" applyBorder="1" applyAlignment="1"/>
    <xf numFmtId="168" fontId="6" fillId="0" borderId="0" xfId="0" applyNumberFormat="1" applyFont="1"/>
    <xf numFmtId="0" fontId="1" fillId="0" borderId="0" xfId="0" applyFont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0" fillId="0" borderId="10" xfId="0" applyBorder="1"/>
    <xf numFmtId="4" fontId="32" fillId="0" borderId="10" xfId="0" applyNumberFormat="1" applyFont="1" applyBorder="1" applyAlignment="1">
      <alignment vertical="top"/>
    </xf>
    <xf numFmtId="4" fontId="1" fillId="0" borderId="11" xfId="0" quotePrefix="1" applyNumberFormat="1" applyFont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left" vertical="top"/>
    </xf>
    <xf numFmtId="166" fontId="1" fillId="0" borderId="11" xfId="27" applyFont="1" applyBorder="1" applyAlignment="1">
      <alignment vertical="top"/>
    </xf>
    <xf numFmtId="4" fontId="1" fillId="0" borderId="11" xfId="0" applyNumberFormat="1" applyFont="1" applyBorder="1" applyAlignment="1">
      <alignment horizontal="left" vertical="top" wrapText="1"/>
    </xf>
    <xf numFmtId="167" fontId="1" fillId="0" borderId="10" xfId="0" applyNumberFormat="1" applyFont="1" applyBorder="1" applyAlignment="1">
      <alignment vertical="top"/>
    </xf>
    <xf numFmtId="167" fontId="1" fillId="0" borderId="10" xfId="42" applyNumberFormat="1" applyFont="1" applyBorder="1" applyAlignment="1">
      <alignment vertical="top"/>
    </xf>
    <xf numFmtId="168" fontId="0" fillId="0" borderId="0" xfId="0" applyNumberForma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Euro" xfId="27"/>
    <cellStyle name="Gekoppelde cel" xfId="28" builtinId="24" customBuiltin="1"/>
    <cellStyle name="Goed" xfId="29" builtinId="26" customBuiltin="1"/>
    <cellStyle name="Invoer" xfId="30" builtinId="20" customBuiltin="1"/>
    <cellStyle name="Komma" xfId="31" builtinId="3"/>
    <cellStyle name="Kop 1" xfId="32" builtinId="16" customBuiltin="1"/>
    <cellStyle name="Kop 2" xfId="33" builtinId="17" customBuiltin="1"/>
    <cellStyle name="Kop 3" xfId="34" builtinId="18" customBuiltin="1"/>
    <cellStyle name="Kop 4" xfId="35" builtinId="19" customBuiltin="1"/>
    <cellStyle name="Neutraal" xfId="36" builtinId="28" customBuiltin="1"/>
    <cellStyle name="Notitie" xfId="37" builtinId="10" customBuiltin="1"/>
    <cellStyle name="Ongeldig" xfId="38" builtinId="27" customBuiltin="1"/>
    <cellStyle name="Standaard" xfId="0" builtinId="0"/>
    <cellStyle name="Titel" xfId="39" builtinId="15" customBuiltin="1"/>
    <cellStyle name="Totaal" xfId="40" builtinId="25" customBuiltin="1"/>
    <cellStyle name="Uitvoer" xfId="41" builtinId="21" customBuiltin="1"/>
    <cellStyle name="Valuta" xfId="42" builtinId="4"/>
    <cellStyle name="Verklarende tekst" xfId="43" builtinId="53" customBuiltin="1"/>
    <cellStyle name="Waarschuwingsteks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vandijkw\LOCALS~1\Temp\c.notes.data\Gembrand\Elst0101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"/>
      <sheetName val="Bestand 1-1-2001"/>
      <sheetName val="Polisblad"/>
      <sheetName val="Mutaties bekend sinds 2e aanh"/>
      <sheetName val="Boekingsoverzicht"/>
      <sheetName val="Recapitulatie"/>
      <sheetName val="Bestand 31-12-2000"/>
      <sheetName val="Bestand 1-1-2000"/>
      <sheetName val="Bestand 31-12-1999"/>
      <sheetName val="Bestand 1-1-1999 inc index"/>
      <sheetName val="Bestand 1-1-1999 ex index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5">
          <cell r="B5">
            <v>123</v>
          </cell>
          <cell r="C5">
            <v>100</v>
          </cell>
        </row>
        <row r="6">
          <cell r="B6">
            <v>128</v>
          </cell>
          <cell r="C6">
            <v>103</v>
          </cell>
        </row>
        <row r="14">
          <cell r="B14">
            <v>0.4</v>
          </cell>
        </row>
        <row r="16">
          <cell r="B16">
            <v>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B1" zoomScaleNormal="100" workbookViewId="0">
      <selection activeCell="F8" sqref="F8"/>
    </sheetView>
  </sheetViews>
  <sheetFormatPr defaultRowHeight="12.75"/>
  <cols>
    <col min="1" max="1" width="18" customWidth="1"/>
    <col min="2" max="2" width="4.42578125" bestFit="1" customWidth="1"/>
    <col min="3" max="3" width="17.85546875" bestFit="1" customWidth="1"/>
    <col min="4" max="4" width="12.28515625" bestFit="1" customWidth="1"/>
    <col min="5" max="5" width="8.5703125" bestFit="1" customWidth="1"/>
    <col min="6" max="6" width="17.7109375" style="51" bestFit="1" customWidth="1"/>
    <col min="7" max="7" width="10.85546875" bestFit="1" customWidth="1"/>
    <col min="8" max="8" width="18" bestFit="1" customWidth="1"/>
    <col min="9" max="9" width="17.5703125" bestFit="1" customWidth="1"/>
  </cols>
  <sheetData>
    <row r="1" spans="1:9" ht="15" customHeight="1">
      <c r="A1" s="59"/>
      <c r="B1" s="59"/>
      <c r="C1" s="60"/>
      <c r="D1" s="60"/>
      <c r="E1" s="60"/>
      <c r="F1" s="61"/>
    </row>
    <row r="2" spans="1:9" ht="23.25" customHeight="1">
      <c r="A2" s="62" t="s">
        <v>60</v>
      </c>
      <c r="B2" s="62"/>
      <c r="C2" s="60"/>
      <c r="D2" s="60"/>
      <c r="E2" s="60"/>
      <c r="F2" s="61"/>
    </row>
    <row r="3" spans="1:9" ht="12.75" customHeight="1">
      <c r="A3" s="58"/>
      <c r="B3" s="58"/>
      <c r="C3" s="60"/>
      <c r="D3" s="60"/>
      <c r="E3" s="60"/>
      <c r="F3" s="61"/>
    </row>
    <row r="4" spans="1:9">
      <c r="C4" s="8" t="s">
        <v>71</v>
      </c>
      <c r="H4" t="s">
        <v>205</v>
      </c>
      <c r="I4" t="s">
        <v>206</v>
      </c>
    </row>
    <row r="5" spans="1:9">
      <c r="A5" t="s">
        <v>3</v>
      </c>
      <c r="C5" s="63">
        <f>Elst!L55</f>
        <v>121180510</v>
      </c>
      <c r="H5" s="51">
        <f>Elst!L53</f>
        <v>105396946</v>
      </c>
      <c r="I5" s="51">
        <f>Elst!M53</f>
        <v>15783564</v>
      </c>
    </row>
    <row r="6" spans="1:9">
      <c r="A6" t="s">
        <v>20</v>
      </c>
      <c r="C6" s="64">
        <f>Heteren!Q34</f>
        <v>35179798</v>
      </c>
      <c r="H6" s="51">
        <f>Heteren!Q32</f>
        <v>31626418</v>
      </c>
      <c r="I6" s="51">
        <f>Heteren!R32</f>
        <v>3553380</v>
      </c>
    </row>
    <row r="7" spans="1:9">
      <c r="A7" t="s">
        <v>21</v>
      </c>
      <c r="C7" s="64">
        <f>'Valburg '!O40</f>
        <v>80442501</v>
      </c>
      <c r="H7" s="51">
        <f>'Valburg '!O38</f>
        <v>67448481</v>
      </c>
      <c r="I7" s="51">
        <f>'Valburg '!P38</f>
        <v>12994020</v>
      </c>
    </row>
    <row r="8" spans="1:9">
      <c r="A8" t="s">
        <v>226</v>
      </c>
      <c r="C8" s="64">
        <v>1500000</v>
      </c>
      <c r="H8" s="56">
        <f>SUM(H5:H7)</f>
        <v>204471845</v>
      </c>
      <c r="I8" s="56">
        <f>SUM(I5:I7)</f>
        <v>32330964</v>
      </c>
    </row>
    <row r="9" spans="1:9">
      <c r="C9" s="51"/>
      <c r="I9" s="51"/>
    </row>
    <row r="10" spans="1:9" ht="13.5" thickBot="1">
      <c r="A10" t="s">
        <v>59</v>
      </c>
      <c r="C10" s="57">
        <f>SUM(C5:C9)</f>
        <v>238302809</v>
      </c>
      <c r="I10" s="150"/>
    </row>
    <row r="11" spans="1:9" ht="13.5" thickTop="1"/>
  </sheetData>
  <phoneticPr fontId="8" type="noConversion"/>
  <pageMargins left="0.78740157480314965" right="0.78740157480314965" top="1.7716535433070868" bottom="0.98425196850393704" header="0.51181102362204722" footer="0.70866141732283472"/>
  <pageSetup paperSize="9" orientation="portrait" r:id="rId1"/>
  <headerFooter alignWithMargins="0"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X68"/>
  <sheetViews>
    <sheetView zoomScaleNormal="100" workbookViewId="0">
      <pane ySplit="2" topLeftCell="A3" activePane="bottomLeft" state="frozen"/>
      <selection pane="bottomLeft" activeCell="S15" sqref="S15"/>
    </sheetView>
  </sheetViews>
  <sheetFormatPr defaultColWidth="9.28515625" defaultRowHeight="12.75"/>
  <cols>
    <col min="1" max="1" width="42.7109375" style="9" customWidth="1"/>
    <col min="2" max="2" width="31.140625" style="9" bestFit="1" customWidth="1"/>
    <col min="3" max="3" width="9.5703125" style="9" bestFit="1" customWidth="1"/>
    <col min="4" max="4" width="9.5703125" style="9" customWidth="1"/>
    <col min="5" max="5" width="2.85546875" style="9" customWidth="1"/>
    <col min="6" max="6" width="9.28515625" style="9" bestFit="1" customWidth="1"/>
    <col min="7" max="7" width="3" style="9" customWidth="1"/>
    <col min="8" max="8" width="22.7109375" style="9" hidden="1" customWidth="1"/>
    <col min="9" max="11" width="20.85546875" style="9" hidden="1" customWidth="1"/>
    <col min="12" max="12" width="22.5703125" style="9" bestFit="1" customWidth="1"/>
    <col min="13" max="13" width="20.85546875" style="9" customWidth="1"/>
    <col min="14" max="14" width="8.42578125" style="12" customWidth="1"/>
    <col min="15" max="15" width="23.7109375" style="9" customWidth="1"/>
    <col min="16" max="16384" width="9.28515625" style="9"/>
  </cols>
  <sheetData>
    <row r="1" spans="1:15" ht="13.5" thickBot="1">
      <c r="A1" s="65" t="s">
        <v>0</v>
      </c>
      <c r="B1" s="32"/>
      <c r="C1" s="32"/>
      <c r="D1" s="32"/>
      <c r="E1" s="20"/>
      <c r="F1" s="20"/>
      <c r="G1" s="20"/>
      <c r="H1" s="20">
        <v>2019</v>
      </c>
      <c r="I1" s="20">
        <v>2019</v>
      </c>
      <c r="J1" s="20">
        <v>2020</v>
      </c>
      <c r="K1" s="20">
        <v>2020</v>
      </c>
      <c r="L1" s="20">
        <v>2021</v>
      </c>
      <c r="M1" s="20">
        <v>2021</v>
      </c>
      <c r="N1" s="31"/>
    </row>
    <row r="2" spans="1:15" s="18" customFormat="1" ht="39" thickBot="1">
      <c r="A2" s="39" t="s">
        <v>224</v>
      </c>
      <c r="B2" s="40" t="s">
        <v>225</v>
      </c>
      <c r="C2" s="40" t="s">
        <v>222</v>
      </c>
      <c r="D2" s="40" t="s">
        <v>223</v>
      </c>
      <c r="E2" s="41"/>
      <c r="F2" s="41"/>
      <c r="G2" s="41"/>
      <c r="H2" s="41" t="s">
        <v>287</v>
      </c>
      <c r="I2" s="67" t="s">
        <v>288</v>
      </c>
      <c r="J2" s="41" t="s">
        <v>332</v>
      </c>
      <c r="K2" s="67" t="s">
        <v>338</v>
      </c>
      <c r="L2" s="41" t="s">
        <v>365</v>
      </c>
      <c r="M2" s="67" t="s">
        <v>364</v>
      </c>
      <c r="N2" s="66" t="s">
        <v>132</v>
      </c>
    </row>
    <row r="3" spans="1:15">
      <c r="A3" s="71"/>
      <c r="B3" s="72"/>
      <c r="C3" s="72"/>
      <c r="D3" s="72"/>
      <c r="E3" s="70"/>
      <c r="F3" s="20"/>
      <c r="G3" s="20"/>
      <c r="H3" s="17"/>
      <c r="I3" s="17"/>
      <c r="J3" s="17"/>
      <c r="K3" s="17"/>
      <c r="L3" s="17"/>
      <c r="M3" s="17"/>
    </row>
    <row r="4" spans="1:15">
      <c r="A4" s="21" t="s">
        <v>13</v>
      </c>
      <c r="B4" s="16"/>
      <c r="C4" s="16"/>
      <c r="D4" s="16"/>
      <c r="E4" s="19"/>
      <c r="F4" s="19"/>
      <c r="G4" s="20"/>
      <c r="H4" s="42"/>
      <c r="I4" s="42"/>
      <c r="J4" s="42"/>
      <c r="K4" s="42"/>
      <c r="L4" s="42"/>
      <c r="M4" s="42"/>
    </row>
    <row r="5" spans="1:15">
      <c r="A5" s="103" t="s">
        <v>267</v>
      </c>
      <c r="B5" s="104" t="s">
        <v>84</v>
      </c>
      <c r="C5" s="104" t="s">
        <v>91</v>
      </c>
      <c r="D5" s="104" t="s">
        <v>3</v>
      </c>
      <c r="E5" s="105"/>
      <c r="F5" s="97" t="s">
        <v>308</v>
      </c>
      <c r="G5" s="107"/>
      <c r="H5" s="97">
        <v>2632688</v>
      </c>
      <c r="I5" s="97">
        <v>305000</v>
      </c>
      <c r="J5" s="97">
        <f>ROUND(H5/135.6*145.8,0)</f>
        <v>2830722</v>
      </c>
      <c r="K5" s="97">
        <f>ROUND(I5/122.2*122.9,0)</f>
        <v>306747</v>
      </c>
      <c r="L5" s="97">
        <f>ROUND(J5/145.8*153.1,0)</f>
        <v>2972452</v>
      </c>
      <c r="M5" s="97">
        <f>ROUND(K5/122.9*123.1,0)</f>
        <v>307246</v>
      </c>
      <c r="O5" s="129"/>
    </row>
    <row r="6" spans="1:15">
      <c r="A6" s="103" t="s">
        <v>16</v>
      </c>
      <c r="B6" s="108" t="s">
        <v>1</v>
      </c>
      <c r="C6" s="104" t="s">
        <v>92</v>
      </c>
      <c r="D6" s="104" t="s">
        <v>3</v>
      </c>
      <c r="E6" s="105"/>
      <c r="F6" s="97"/>
      <c r="G6" s="107"/>
      <c r="H6" s="97">
        <v>1115396</v>
      </c>
      <c r="I6" s="97">
        <v>297788</v>
      </c>
      <c r="J6" s="97">
        <f t="shared" ref="J6:J51" si="0">ROUND(H6/135.6*145.8,0)</f>
        <v>1199297</v>
      </c>
      <c r="K6" s="97">
        <f>ROUND(I6/121*122.9,0)</f>
        <v>302464</v>
      </c>
      <c r="L6" s="97">
        <f t="shared" ref="L6:L50" si="1">ROUND(J6/145.8*153.1,0)</f>
        <v>1259344</v>
      </c>
      <c r="M6" s="97">
        <f t="shared" ref="M6:M51" si="2">ROUND(K6/122.9*123.1,0)</f>
        <v>302956</v>
      </c>
    </row>
    <row r="7" spans="1:15">
      <c r="A7" s="144" t="s">
        <v>10</v>
      </c>
      <c r="B7" s="90" t="s">
        <v>82</v>
      </c>
      <c r="C7" s="90" t="s">
        <v>83</v>
      </c>
      <c r="D7" s="145" t="s">
        <v>3</v>
      </c>
      <c r="E7" s="90"/>
      <c r="F7" s="146" t="s">
        <v>371</v>
      </c>
      <c r="G7" s="107"/>
      <c r="H7" s="146">
        <v>8554373</v>
      </c>
      <c r="I7" s="146">
        <v>630400</v>
      </c>
      <c r="J7" s="146">
        <v>13480000</v>
      </c>
      <c r="K7" s="146">
        <v>1700000</v>
      </c>
      <c r="L7" s="97">
        <f>ROUND(J7/150.8*153.1,0)+15561</f>
        <v>13701158</v>
      </c>
      <c r="M7" s="97">
        <f t="shared" si="2"/>
        <v>1702766</v>
      </c>
      <c r="O7" s="129"/>
    </row>
    <row r="8" spans="1:15">
      <c r="A8" s="103" t="s">
        <v>18</v>
      </c>
      <c r="B8" s="108" t="s">
        <v>88</v>
      </c>
      <c r="C8" s="104" t="s">
        <v>89</v>
      </c>
      <c r="D8" s="104" t="s">
        <v>3</v>
      </c>
      <c r="E8" s="105"/>
      <c r="F8" s="97" t="s">
        <v>268</v>
      </c>
      <c r="G8" s="107"/>
      <c r="H8" s="97">
        <v>2254694</v>
      </c>
      <c r="I8" s="97">
        <v>930000</v>
      </c>
      <c r="J8" s="97">
        <f t="shared" si="0"/>
        <v>2424295</v>
      </c>
      <c r="K8" s="97">
        <f t="shared" ref="K8:K9" si="3">ROUND(I8/122.2*122.9,0)</f>
        <v>935327</v>
      </c>
      <c r="L8" s="97">
        <f t="shared" si="1"/>
        <v>2545676</v>
      </c>
      <c r="M8" s="97">
        <f t="shared" si="2"/>
        <v>936849</v>
      </c>
      <c r="O8" s="129"/>
    </row>
    <row r="9" spans="1:15">
      <c r="A9" s="109" t="s">
        <v>6</v>
      </c>
      <c r="B9" s="104" t="s">
        <v>4</v>
      </c>
      <c r="C9" s="104" t="s">
        <v>86</v>
      </c>
      <c r="D9" s="104" t="s">
        <v>3</v>
      </c>
      <c r="E9" s="105"/>
      <c r="F9" s="97" t="s">
        <v>279</v>
      </c>
      <c r="G9" s="107"/>
      <c r="H9" s="97">
        <v>7084593</v>
      </c>
      <c r="I9" s="97">
        <v>625000</v>
      </c>
      <c r="J9" s="97">
        <f t="shared" si="0"/>
        <v>7617505</v>
      </c>
      <c r="K9" s="97">
        <f t="shared" si="3"/>
        <v>628580</v>
      </c>
      <c r="L9" s="97">
        <f t="shared" si="1"/>
        <v>7998903</v>
      </c>
      <c r="M9" s="97">
        <f t="shared" si="2"/>
        <v>629603</v>
      </c>
      <c r="O9" s="129"/>
    </row>
    <row r="10" spans="1:15">
      <c r="A10" s="103" t="s">
        <v>232</v>
      </c>
      <c r="B10" s="104" t="s">
        <v>140</v>
      </c>
      <c r="C10" s="104" t="s">
        <v>142</v>
      </c>
      <c r="D10" s="104" t="s">
        <v>3</v>
      </c>
      <c r="E10" s="105"/>
      <c r="F10" s="97"/>
      <c r="G10" s="107"/>
      <c r="H10" s="97">
        <v>31468</v>
      </c>
      <c r="I10" s="97">
        <v>0</v>
      </c>
      <c r="J10" s="97">
        <f t="shared" si="0"/>
        <v>33835</v>
      </c>
      <c r="K10" s="97">
        <f t="shared" ref="K10:K51" si="4">ROUND(I10/121*122.9,0)</f>
        <v>0</v>
      </c>
      <c r="L10" s="97">
        <f t="shared" si="1"/>
        <v>35529</v>
      </c>
      <c r="M10" s="97">
        <f t="shared" si="2"/>
        <v>0</v>
      </c>
      <c r="N10" s="12" t="s">
        <v>143</v>
      </c>
    </row>
    <row r="11" spans="1:15">
      <c r="A11" s="103" t="s">
        <v>232</v>
      </c>
      <c r="B11" s="104" t="s">
        <v>233</v>
      </c>
      <c r="C11" s="104" t="s">
        <v>234</v>
      </c>
      <c r="D11" s="104" t="s">
        <v>3</v>
      </c>
      <c r="E11" s="105"/>
      <c r="F11" s="97"/>
      <c r="G11" s="107"/>
      <c r="H11" s="97">
        <v>31468</v>
      </c>
      <c r="I11" s="97">
        <v>0</v>
      </c>
      <c r="J11" s="97">
        <f t="shared" si="0"/>
        <v>33835</v>
      </c>
      <c r="K11" s="97">
        <f t="shared" si="4"/>
        <v>0</v>
      </c>
      <c r="L11" s="97">
        <f t="shared" si="1"/>
        <v>35529</v>
      </c>
      <c r="M11" s="97">
        <f t="shared" si="2"/>
        <v>0</v>
      </c>
      <c r="N11" s="12" t="s">
        <v>143</v>
      </c>
    </row>
    <row r="12" spans="1:15">
      <c r="A12" s="103" t="s">
        <v>232</v>
      </c>
      <c r="B12" s="104" t="s">
        <v>235</v>
      </c>
      <c r="C12" s="104"/>
      <c r="D12" s="104"/>
      <c r="E12" s="105"/>
      <c r="F12" s="97"/>
      <c r="G12" s="107"/>
      <c r="H12" s="97">
        <v>31468</v>
      </c>
      <c r="I12" s="97">
        <v>0</v>
      </c>
      <c r="J12" s="97">
        <f t="shared" si="0"/>
        <v>33835</v>
      </c>
      <c r="K12" s="97">
        <f t="shared" si="4"/>
        <v>0</v>
      </c>
      <c r="L12" s="97">
        <f t="shared" si="1"/>
        <v>35529</v>
      </c>
      <c r="M12" s="97">
        <f t="shared" si="2"/>
        <v>0</v>
      </c>
    </row>
    <row r="13" spans="1:15">
      <c r="A13" s="109" t="s">
        <v>2</v>
      </c>
      <c r="B13" s="104" t="s">
        <v>88</v>
      </c>
      <c r="C13" s="104" t="s">
        <v>89</v>
      </c>
      <c r="D13" s="104" t="s">
        <v>3</v>
      </c>
      <c r="E13" s="105"/>
      <c r="F13" s="97"/>
      <c r="G13" s="107"/>
      <c r="H13" s="97">
        <v>0</v>
      </c>
      <c r="I13" s="97">
        <v>23714</v>
      </c>
      <c r="J13" s="97">
        <f t="shared" si="0"/>
        <v>0</v>
      </c>
      <c r="K13" s="97">
        <f t="shared" si="4"/>
        <v>24086</v>
      </c>
      <c r="L13" s="97">
        <f t="shared" si="1"/>
        <v>0</v>
      </c>
      <c r="M13" s="97">
        <f t="shared" si="2"/>
        <v>24125</v>
      </c>
      <c r="N13" s="12" t="s">
        <v>137</v>
      </c>
    </row>
    <row r="14" spans="1:15" s="129" customFormat="1">
      <c r="A14" s="103" t="s">
        <v>333</v>
      </c>
      <c r="B14" s="108" t="s">
        <v>88</v>
      </c>
      <c r="C14" s="104" t="s">
        <v>89</v>
      </c>
      <c r="D14" s="104" t="s">
        <v>3</v>
      </c>
      <c r="E14" s="106"/>
      <c r="F14" s="97" t="s">
        <v>319</v>
      </c>
      <c r="G14" s="107"/>
      <c r="H14" s="97"/>
      <c r="I14" s="123"/>
      <c r="J14" s="114"/>
      <c r="K14" s="97">
        <v>444700</v>
      </c>
      <c r="L14" s="97">
        <f t="shared" si="1"/>
        <v>0</v>
      </c>
      <c r="M14" s="97">
        <f t="shared" si="2"/>
        <v>445424</v>
      </c>
      <c r="N14" s="131"/>
    </row>
    <row r="15" spans="1:15" s="129" customFormat="1">
      <c r="A15" s="103" t="s">
        <v>372</v>
      </c>
      <c r="B15" s="108" t="s">
        <v>88</v>
      </c>
      <c r="C15" s="104" t="s">
        <v>89</v>
      </c>
      <c r="D15" s="104" t="s">
        <v>3</v>
      </c>
      <c r="E15" s="106"/>
      <c r="F15" s="97"/>
      <c r="G15" s="107"/>
      <c r="H15" s="97"/>
      <c r="I15" s="123"/>
      <c r="J15" s="114"/>
      <c r="K15" s="97"/>
      <c r="L15" s="97">
        <v>64419</v>
      </c>
      <c r="M15" s="97"/>
      <c r="N15" s="131"/>
    </row>
    <row r="16" spans="1:15">
      <c r="A16" s="109" t="s">
        <v>180</v>
      </c>
      <c r="B16" s="108" t="s">
        <v>281</v>
      </c>
      <c r="C16" s="110" t="s">
        <v>181</v>
      </c>
      <c r="D16" s="104" t="s">
        <v>3</v>
      </c>
      <c r="E16" s="105"/>
      <c r="F16" s="97"/>
      <c r="G16" s="107"/>
      <c r="H16" s="97">
        <v>20234</v>
      </c>
      <c r="I16" s="97">
        <v>0</v>
      </c>
      <c r="J16" s="97">
        <f t="shared" si="0"/>
        <v>21756</v>
      </c>
      <c r="K16" s="97">
        <f t="shared" si="4"/>
        <v>0</v>
      </c>
      <c r="L16" s="97">
        <f t="shared" si="1"/>
        <v>22845</v>
      </c>
      <c r="M16" s="97">
        <f t="shared" si="2"/>
        <v>0</v>
      </c>
      <c r="N16" s="12" t="s">
        <v>137</v>
      </c>
    </row>
    <row r="17" spans="1:154">
      <c r="A17" s="103" t="s">
        <v>17</v>
      </c>
      <c r="B17" s="104" t="s">
        <v>138</v>
      </c>
      <c r="C17" s="104" t="s">
        <v>87</v>
      </c>
      <c r="D17" s="104" t="s">
        <v>3</v>
      </c>
      <c r="E17" s="105"/>
      <c r="F17" s="97"/>
      <c r="G17" s="107"/>
      <c r="H17" s="97">
        <v>1566621</v>
      </c>
      <c r="I17" s="97">
        <v>0</v>
      </c>
      <c r="J17" s="97">
        <f t="shared" si="0"/>
        <v>1684464</v>
      </c>
      <c r="K17" s="97">
        <f t="shared" si="4"/>
        <v>0</v>
      </c>
      <c r="L17" s="97">
        <f t="shared" si="1"/>
        <v>1768803</v>
      </c>
      <c r="M17" s="97">
        <f t="shared" si="2"/>
        <v>0</v>
      </c>
      <c r="N17" s="12" t="s">
        <v>133</v>
      </c>
    </row>
    <row r="18" spans="1:154" s="33" customFormat="1" ht="13.5" thickBot="1">
      <c r="A18" s="109" t="s">
        <v>11</v>
      </c>
      <c r="B18" s="105" t="s">
        <v>182</v>
      </c>
      <c r="C18" s="105" t="s">
        <v>183</v>
      </c>
      <c r="D18" s="104" t="s">
        <v>3</v>
      </c>
      <c r="E18" s="105"/>
      <c r="F18" s="97"/>
      <c r="G18" s="107"/>
      <c r="H18" s="97">
        <v>600084</v>
      </c>
      <c r="I18" s="97">
        <v>0</v>
      </c>
      <c r="J18" s="97">
        <f t="shared" si="0"/>
        <v>645223</v>
      </c>
      <c r="K18" s="97">
        <f t="shared" si="4"/>
        <v>0</v>
      </c>
      <c r="L18" s="97">
        <f t="shared" si="1"/>
        <v>677528</v>
      </c>
      <c r="M18" s="97">
        <f t="shared" si="2"/>
        <v>0</v>
      </c>
      <c r="N18" s="12" t="s">
        <v>133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</row>
    <row r="19" spans="1:154" ht="13.5" thickTop="1">
      <c r="A19" s="109" t="s">
        <v>5</v>
      </c>
      <c r="B19" s="108" t="s">
        <v>280</v>
      </c>
      <c r="C19" s="111" t="s">
        <v>184</v>
      </c>
      <c r="D19" s="104" t="s">
        <v>3</v>
      </c>
      <c r="E19" s="105"/>
      <c r="F19" s="97"/>
      <c r="G19" s="107"/>
      <c r="H19" s="97">
        <v>72843</v>
      </c>
      <c r="I19" s="97">
        <v>0</v>
      </c>
      <c r="J19" s="97">
        <f t="shared" si="0"/>
        <v>78322</v>
      </c>
      <c r="K19" s="97">
        <f t="shared" si="4"/>
        <v>0</v>
      </c>
      <c r="L19" s="97">
        <f t="shared" si="1"/>
        <v>82243</v>
      </c>
      <c r="M19" s="97">
        <f t="shared" si="2"/>
        <v>0</v>
      </c>
      <c r="N19" s="24"/>
      <c r="P19" t="s">
        <v>236</v>
      </c>
    </row>
    <row r="20" spans="1:154">
      <c r="A20" s="103" t="s">
        <v>185</v>
      </c>
      <c r="B20" s="104" t="s">
        <v>69</v>
      </c>
      <c r="C20" s="104" t="s">
        <v>90</v>
      </c>
      <c r="D20" s="104" t="s">
        <v>3</v>
      </c>
      <c r="E20" s="105"/>
      <c r="F20" s="97"/>
      <c r="G20" s="107"/>
      <c r="H20" s="97">
        <v>1356000</v>
      </c>
      <c r="I20" s="97">
        <v>157965</v>
      </c>
      <c r="J20" s="97">
        <f t="shared" si="0"/>
        <v>1458000</v>
      </c>
      <c r="K20" s="97">
        <f t="shared" si="4"/>
        <v>160445</v>
      </c>
      <c r="L20" s="97">
        <f t="shared" si="1"/>
        <v>1531000</v>
      </c>
      <c r="M20" s="97">
        <f t="shared" si="2"/>
        <v>160706</v>
      </c>
      <c r="N20" s="12" t="s">
        <v>131</v>
      </c>
    </row>
    <row r="21" spans="1:154">
      <c r="A21" s="103" t="s">
        <v>64</v>
      </c>
      <c r="B21" s="104" t="s">
        <v>197</v>
      </c>
      <c r="C21" s="104" t="s">
        <v>199</v>
      </c>
      <c r="D21" s="104" t="s">
        <v>3</v>
      </c>
      <c r="E21" s="105"/>
      <c r="F21" s="97"/>
      <c r="G21" s="107"/>
      <c r="H21" s="97">
        <v>467922</v>
      </c>
      <c r="I21" s="97">
        <v>0</v>
      </c>
      <c r="J21" s="97">
        <f t="shared" si="0"/>
        <v>503120</v>
      </c>
      <c r="K21" s="97">
        <f t="shared" si="4"/>
        <v>0</v>
      </c>
      <c r="L21" s="97">
        <f t="shared" si="1"/>
        <v>528311</v>
      </c>
      <c r="M21" s="97">
        <f t="shared" si="2"/>
        <v>0</v>
      </c>
    </row>
    <row r="22" spans="1:154" ht="25.5">
      <c r="A22" s="103" t="s">
        <v>81</v>
      </c>
      <c r="B22" s="104" t="s">
        <v>198</v>
      </c>
      <c r="C22" s="104" t="s">
        <v>199</v>
      </c>
      <c r="D22" s="104" t="s">
        <v>3</v>
      </c>
      <c r="E22" s="105"/>
      <c r="F22" s="97"/>
      <c r="G22" s="107"/>
      <c r="H22" s="97">
        <v>886159</v>
      </c>
      <c r="I22" s="97">
        <v>0</v>
      </c>
      <c r="J22" s="97">
        <f t="shared" si="0"/>
        <v>952817</v>
      </c>
      <c r="K22" s="97">
        <f t="shared" si="4"/>
        <v>0</v>
      </c>
      <c r="L22" s="97">
        <f t="shared" si="1"/>
        <v>1000523</v>
      </c>
      <c r="M22" s="97">
        <f t="shared" si="2"/>
        <v>0</v>
      </c>
      <c r="N22" s="12" t="s">
        <v>133</v>
      </c>
    </row>
    <row r="23" spans="1:154" ht="25.5">
      <c r="A23" s="103" t="s">
        <v>190</v>
      </c>
      <c r="B23" s="104" t="s">
        <v>195</v>
      </c>
      <c r="C23" s="104" t="s">
        <v>199</v>
      </c>
      <c r="D23" s="104" t="s">
        <v>3</v>
      </c>
      <c r="E23" s="105"/>
      <c r="F23" s="97"/>
      <c r="G23" s="107"/>
      <c r="H23" s="97">
        <v>1057680</v>
      </c>
      <c r="I23" s="97">
        <v>0</v>
      </c>
      <c r="J23" s="97">
        <f t="shared" si="0"/>
        <v>1137240</v>
      </c>
      <c r="K23" s="97">
        <f t="shared" si="4"/>
        <v>0</v>
      </c>
      <c r="L23" s="97">
        <f t="shared" si="1"/>
        <v>1194180</v>
      </c>
      <c r="M23" s="97">
        <f t="shared" si="2"/>
        <v>0</v>
      </c>
      <c r="N23" s="12" t="s">
        <v>133</v>
      </c>
    </row>
    <row r="24" spans="1:154">
      <c r="A24" s="103" t="s">
        <v>19</v>
      </c>
      <c r="B24" s="104" t="s">
        <v>121</v>
      </c>
      <c r="C24" s="104" t="s">
        <v>93</v>
      </c>
      <c r="D24" s="104" t="s">
        <v>3</v>
      </c>
      <c r="E24" s="105"/>
      <c r="F24" s="97" t="s">
        <v>311</v>
      </c>
      <c r="G24" s="107"/>
      <c r="H24" s="97">
        <v>1530550</v>
      </c>
      <c r="I24" s="97">
        <v>285000</v>
      </c>
      <c r="J24" s="97">
        <f t="shared" si="0"/>
        <v>1645680</v>
      </c>
      <c r="K24" s="97">
        <f>ROUND(I24/122.2*122.9,0)</f>
        <v>286633</v>
      </c>
      <c r="L24" s="97">
        <f t="shared" si="1"/>
        <v>1728077</v>
      </c>
      <c r="M24" s="97">
        <f t="shared" si="2"/>
        <v>287099</v>
      </c>
      <c r="N24" s="12" t="s">
        <v>133</v>
      </c>
      <c r="O24" s="129"/>
    </row>
    <row r="25" spans="1:154" customFormat="1">
      <c r="A25" s="94" t="s">
        <v>229</v>
      </c>
      <c r="B25" s="94" t="s">
        <v>230</v>
      </c>
      <c r="C25" s="94" t="s">
        <v>231</v>
      </c>
      <c r="D25" s="94" t="s">
        <v>3</v>
      </c>
      <c r="E25" s="89"/>
      <c r="F25" s="97" t="s">
        <v>313</v>
      </c>
      <c r="G25" s="96"/>
      <c r="H25" s="97">
        <v>6153326</v>
      </c>
      <c r="I25" s="97">
        <v>15000</v>
      </c>
      <c r="J25" s="97">
        <f t="shared" si="0"/>
        <v>6616187</v>
      </c>
      <c r="K25" s="97">
        <f>ROUND(I25/122.2*122.9,0)</f>
        <v>15086</v>
      </c>
      <c r="L25" s="97">
        <f t="shared" si="1"/>
        <v>6947450</v>
      </c>
      <c r="M25" s="97">
        <f t="shared" si="2"/>
        <v>15111</v>
      </c>
      <c r="N25" s="12"/>
      <c r="O25" s="129"/>
    </row>
    <row r="26" spans="1:154" customFormat="1">
      <c r="A26" s="94" t="s">
        <v>247</v>
      </c>
      <c r="B26" s="94" t="s">
        <v>245</v>
      </c>
      <c r="C26" s="115" t="s">
        <v>246</v>
      </c>
      <c r="D26" s="94" t="s">
        <v>3</v>
      </c>
      <c r="E26" s="94" t="s">
        <v>3</v>
      </c>
      <c r="F26" s="97"/>
      <c r="G26" s="107"/>
      <c r="H26" s="97">
        <v>881235</v>
      </c>
      <c r="I26" s="97">
        <v>0</v>
      </c>
      <c r="J26" s="97">
        <f t="shared" si="0"/>
        <v>947523</v>
      </c>
      <c r="K26" s="97">
        <f t="shared" si="4"/>
        <v>0</v>
      </c>
      <c r="L26" s="97">
        <f t="shared" si="1"/>
        <v>994964</v>
      </c>
      <c r="M26" s="97">
        <f t="shared" si="2"/>
        <v>0</v>
      </c>
      <c r="N26" s="12"/>
      <c r="O26" s="10"/>
      <c r="P26" s="2"/>
    </row>
    <row r="27" spans="1:154" s="129" customFormat="1">
      <c r="A27" s="110" t="s">
        <v>361</v>
      </c>
      <c r="B27" s="110" t="s">
        <v>362</v>
      </c>
      <c r="C27" s="110" t="s">
        <v>90</v>
      </c>
      <c r="D27" s="110" t="s">
        <v>3</v>
      </c>
      <c r="E27" s="110"/>
      <c r="F27" s="110"/>
      <c r="G27" s="123"/>
      <c r="H27" s="123"/>
      <c r="I27" s="123"/>
      <c r="J27" s="148">
        <v>330000</v>
      </c>
      <c r="K27" s="110"/>
      <c r="L27" s="97">
        <f t="shared" si="1"/>
        <v>346523</v>
      </c>
      <c r="M27" s="97">
        <f t="shared" si="2"/>
        <v>0</v>
      </c>
      <c r="N27" s="131"/>
    </row>
    <row r="28" spans="1:154">
      <c r="A28" s="147"/>
      <c r="B28" s="145"/>
      <c r="C28" s="145"/>
      <c r="D28" s="145"/>
      <c r="E28" s="90"/>
      <c r="F28" s="146"/>
      <c r="G28" s="107"/>
      <c r="H28" s="97">
        <v>0</v>
      </c>
      <c r="I28" s="97">
        <v>0</v>
      </c>
      <c r="J28" s="97">
        <f t="shared" si="0"/>
        <v>0</v>
      </c>
      <c r="K28" s="97">
        <f t="shared" si="4"/>
        <v>0</v>
      </c>
      <c r="L28" s="97">
        <f t="shared" si="1"/>
        <v>0</v>
      </c>
      <c r="M28" s="97">
        <f t="shared" si="2"/>
        <v>0</v>
      </c>
    </row>
    <row r="29" spans="1:154">
      <c r="A29" s="116" t="s">
        <v>14</v>
      </c>
      <c r="B29" s="105"/>
      <c r="C29" s="105"/>
      <c r="D29" s="104"/>
      <c r="E29" s="105"/>
      <c r="F29" s="97"/>
      <c r="G29" s="107"/>
      <c r="H29" s="97">
        <v>0</v>
      </c>
      <c r="I29" s="97">
        <v>0</v>
      </c>
      <c r="J29" s="97">
        <f t="shared" si="0"/>
        <v>0</v>
      </c>
      <c r="K29" s="97">
        <f t="shared" si="4"/>
        <v>0</v>
      </c>
      <c r="L29" s="97">
        <f t="shared" si="1"/>
        <v>0</v>
      </c>
      <c r="M29" s="97">
        <f t="shared" si="2"/>
        <v>0</v>
      </c>
    </row>
    <row r="30" spans="1:154">
      <c r="A30" s="105" t="s">
        <v>204</v>
      </c>
      <c r="B30" s="105"/>
      <c r="C30" s="105"/>
      <c r="D30" s="104" t="s">
        <v>3</v>
      </c>
      <c r="E30" s="105"/>
      <c r="F30" s="97"/>
      <c r="G30" s="107"/>
      <c r="H30" s="97">
        <v>4382833</v>
      </c>
      <c r="I30" s="97">
        <v>0</v>
      </c>
      <c r="J30" s="97">
        <f t="shared" si="0"/>
        <v>4712515</v>
      </c>
      <c r="K30" s="97">
        <f t="shared" si="4"/>
        <v>0</v>
      </c>
      <c r="L30" s="97">
        <f t="shared" si="1"/>
        <v>4948464</v>
      </c>
      <c r="M30" s="97">
        <f t="shared" si="2"/>
        <v>0</v>
      </c>
      <c r="N30" s="12" t="s">
        <v>133</v>
      </c>
    </row>
    <row r="31" spans="1:154">
      <c r="A31" s="105" t="s">
        <v>335</v>
      </c>
      <c r="B31" s="105" t="s">
        <v>74</v>
      </c>
      <c r="C31" s="105" t="s">
        <v>75</v>
      </c>
      <c r="D31" s="104" t="s">
        <v>3</v>
      </c>
      <c r="E31" s="105"/>
      <c r="F31" s="97" t="s">
        <v>264</v>
      </c>
      <c r="G31" s="107"/>
      <c r="H31" s="97">
        <v>250000</v>
      </c>
      <c r="I31" s="97">
        <v>685871</v>
      </c>
      <c r="J31" s="97">
        <f>H31</f>
        <v>250000</v>
      </c>
      <c r="K31" s="97">
        <f t="shared" si="4"/>
        <v>696641</v>
      </c>
      <c r="L31" s="97">
        <f t="shared" si="1"/>
        <v>262517</v>
      </c>
      <c r="M31" s="97">
        <f t="shared" si="2"/>
        <v>697775</v>
      </c>
      <c r="N31" s="12" t="s">
        <v>133</v>
      </c>
      <c r="O31" s="129"/>
    </row>
    <row r="32" spans="1:154">
      <c r="A32" s="105" t="s">
        <v>165</v>
      </c>
      <c r="B32" s="105" t="s">
        <v>76</v>
      </c>
      <c r="C32" s="105" t="s">
        <v>77</v>
      </c>
      <c r="D32" s="104" t="s">
        <v>3</v>
      </c>
      <c r="E32" s="105"/>
      <c r="F32" s="97"/>
      <c r="G32" s="107"/>
      <c r="H32" s="97">
        <v>0</v>
      </c>
      <c r="I32" s="97">
        <v>0</v>
      </c>
      <c r="J32" s="97">
        <f t="shared" si="0"/>
        <v>0</v>
      </c>
      <c r="K32" s="97">
        <f t="shared" si="4"/>
        <v>0</v>
      </c>
      <c r="L32" s="97">
        <f t="shared" si="1"/>
        <v>0</v>
      </c>
      <c r="M32" s="97">
        <f t="shared" si="2"/>
        <v>0</v>
      </c>
      <c r="N32" s="12" t="s">
        <v>133</v>
      </c>
    </row>
    <row r="33" spans="1:15">
      <c r="A33" s="109" t="s">
        <v>127</v>
      </c>
      <c r="B33" s="108" t="s">
        <v>66</v>
      </c>
      <c r="C33" s="104" t="s">
        <v>93</v>
      </c>
      <c r="D33" s="104" t="s">
        <v>3</v>
      </c>
      <c r="E33" s="105"/>
      <c r="F33" s="97" t="s">
        <v>264</v>
      </c>
      <c r="G33" s="107"/>
      <c r="H33" s="97">
        <v>1932786</v>
      </c>
      <c r="I33" s="97">
        <v>716582</v>
      </c>
      <c r="J33" s="97">
        <f t="shared" si="0"/>
        <v>2078173</v>
      </c>
      <c r="K33" s="97">
        <f t="shared" si="4"/>
        <v>727834</v>
      </c>
      <c r="L33" s="97">
        <f t="shared" si="1"/>
        <v>2182224</v>
      </c>
      <c r="M33" s="97">
        <f t="shared" si="2"/>
        <v>729018</v>
      </c>
      <c r="N33" s="12" t="s">
        <v>133</v>
      </c>
    </row>
    <row r="34" spans="1:15">
      <c r="A34" s="103" t="s">
        <v>61</v>
      </c>
      <c r="B34" s="104" t="s">
        <v>62</v>
      </c>
      <c r="C34" s="104" t="s">
        <v>94</v>
      </c>
      <c r="D34" s="104" t="s">
        <v>3</v>
      </c>
      <c r="E34" s="105"/>
      <c r="F34" s="97" t="s">
        <v>264</v>
      </c>
      <c r="G34" s="107"/>
      <c r="H34" s="97">
        <v>4963405</v>
      </c>
      <c r="I34" s="97">
        <v>767767</v>
      </c>
      <c r="J34" s="97">
        <f t="shared" si="0"/>
        <v>5336758</v>
      </c>
      <c r="K34" s="97">
        <f t="shared" si="4"/>
        <v>779823</v>
      </c>
      <c r="L34" s="97">
        <f t="shared" si="1"/>
        <v>5603962</v>
      </c>
      <c r="M34" s="97">
        <f t="shared" si="2"/>
        <v>781092</v>
      </c>
      <c r="N34" s="12" t="s">
        <v>133</v>
      </c>
    </row>
    <row r="35" spans="1:15">
      <c r="A35" s="103" t="s">
        <v>166</v>
      </c>
      <c r="B35" s="104" t="s">
        <v>70</v>
      </c>
      <c r="C35" s="104" t="s">
        <v>95</v>
      </c>
      <c r="D35" s="104" t="s">
        <v>3</v>
      </c>
      <c r="E35" s="105"/>
      <c r="F35" s="97"/>
      <c r="G35" s="107"/>
      <c r="H35" s="97">
        <v>10769475</v>
      </c>
      <c r="I35" s="97">
        <v>0</v>
      </c>
      <c r="J35" s="97">
        <f t="shared" si="0"/>
        <v>11579568</v>
      </c>
      <c r="K35" s="97">
        <f t="shared" si="4"/>
        <v>0</v>
      </c>
      <c r="L35" s="97">
        <f t="shared" si="1"/>
        <v>12159341</v>
      </c>
      <c r="M35" s="97">
        <f t="shared" si="2"/>
        <v>0</v>
      </c>
      <c r="N35" s="12" t="s">
        <v>133</v>
      </c>
    </row>
    <row r="36" spans="1:15">
      <c r="A36" s="103" t="s">
        <v>201</v>
      </c>
      <c r="B36" s="104" t="s">
        <v>171</v>
      </c>
      <c r="C36" s="104" t="s">
        <v>95</v>
      </c>
      <c r="D36" s="104" t="s">
        <v>3</v>
      </c>
      <c r="E36" s="105"/>
      <c r="F36" s="97" t="s">
        <v>264</v>
      </c>
      <c r="G36" s="107"/>
      <c r="H36" s="97">
        <v>0</v>
      </c>
      <c r="I36" s="97">
        <v>900847</v>
      </c>
      <c r="J36" s="97">
        <f t="shared" si="0"/>
        <v>0</v>
      </c>
      <c r="K36" s="97">
        <f t="shared" si="4"/>
        <v>914993</v>
      </c>
      <c r="L36" s="97">
        <f t="shared" si="1"/>
        <v>0</v>
      </c>
      <c r="M36" s="97">
        <f t="shared" si="2"/>
        <v>916482</v>
      </c>
    </row>
    <row r="37" spans="1:15">
      <c r="A37" s="103" t="s">
        <v>167</v>
      </c>
      <c r="B37" s="104" t="s">
        <v>168</v>
      </c>
      <c r="C37" s="104" t="s">
        <v>95</v>
      </c>
      <c r="D37" s="104" t="s">
        <v>3</v>
      </c>
      <c r="E37" s="105"/>
      <c r="F37" s="97" t="s">
        <v>264</v>
      </c>
      <c r="G37" s="107"/>
      <c r="H37" s="97">
        <v>0</v>
      </c>
      <c r="I37" s="97">
        <v>614213</v>
      </c>
      <c r="J37" s="97">
        <f t="shared" si="0"/>
        <v>0</v>
      </c>
      <c r="K37" s="97">
        <f t="shared" si="4"/>
        <v>623858</v>
      </c>
      <c r="L37" s="97">
        <f t="shared" si="1"/>
        <v>0</v>
      </c>
      <c r="M37" s="97">
        <f t="shared" si="2"/>
        <v>624873</v>
      </c>
    </row>
    <row r="38" spans="1:15">
      <c r="A38" s="103" t="s">
        <v>170</v>
      </c>
      <c r="B38" s="104" t="s">
        <v>169</v>
      </c>
      <c r="C38" s="104" t="s">
        <v>95</v>
      </c>
      <c r="D38" s="104" t="s">
        <v>3</v>
      </c>
      <c r="E38" s="105"/>
      <c r="F38" s="97" t="s">
        <v>264</v>
      </c>
      <c r="G38" s="107"/>
      <c r="H38" s="97">
        <v>0</v>
      </c>
      <c r="I38" s="97">
        <v>614213</v>
      </c>
      <c r="J38" s="97">
        <f t="shared" si="0"/>
        <v>0</v>
      </c>
      <c r="K38" s="97">
        <f t="shared" si="4"/>
        <v>623858</v>
      </c>
      <c r="L38" s="97">
        <f t="shared" si="1"/>
        <v>0</v>
      </c>
      <c r="M38" s="97">
        <f t="shared" si="2"/>
        <v>624873</v>
      </c>
    </row>
    <row r="39" spans="1:15">
      <c r="A39" s="110" t="s">
        <v>359</v>
      </c>
      <c r="B39" s="110" t="s">
        <v>70</v>
      </c>
      <c r="C39" s="110"/>
      <c r="D39" s="110" t="s">
        <v>3</v>
      </c>
      <c r="E39" s="110"/>
      <c r="F39" s="110"/>
      <c r="G39" s="110"/>
      <c r="H39" s="110"/>
      <c r="I39" s="110"/>
      <c r="J39" s="149">
        <v>200000</v>
      </c>
      <c r="K39" s="110"/>
      <c r="L39" s="97">
        <f t="shared" si="1"/>
        <v>210014</v>
      </c>
      <c r="M39" s="97">
        <f t="shared" si="2"/>
        <v>0</v>
      </c>
      <c r="O39" s="129"/>
    </row>
    <row r="40" spans="1:15">
      <c r="A40" s="110" t="s">
        <v>360</v>
      </c>
      <c r="B40" s="110" t="s">
        <v>193</v>
      </c>
      <c r="C40" s="110"/>
      <c r="D40" s="110" t="s">
        <v>3</v>
      </c>
      <c r="E40" s="110"/>
      <c r="F40" s="110"/>
      <c r="G40" s="110"/>
      <c r="H40" s="110"/>
      <c r="I40" s="110"/>
      <c r="J40" s="148">
        <v>400000</v>
      </c>
      <c r="K40" s="110"/>
      <c r="L40" s="97">
        <f t="shared" si="1"/>
        <v>420027</v>
      </c>
      <c r="M40" s="97">
        <f t="shared" si="2"/>
        <v>0</v>
      </c>
      <c r="O40" s="129"/>
    </row>
    <row r="41" spans="1:15">
      <c r="A41" s="109"/>
      <c r="B41" s="108"/>
      <c r="C41" s="108"/>
      <c r="D41" s="104"/>
      <c r="E41" s="105"/>
      <c r="F41" s="97"/>
      <c r="G41" s="107"/>
      <c r="H41" s="97">
        <v>0</v>
      </c>
      <c r="I41" s="97">
        <v>0</v>
      </c>
      <c r="J41" s="97">
        <f t="shared" si="0"/>
        <v>0</v>
      </c>
      <c r="K41" s="97">
        <f t="shared" si="4"/>
        <v>0</v>
      </c>
      <c r="L41" s="97">
        <f t="shared" si="1"/>
        <v>0</v>
      </c>
      <c r="M41" s="97">
        <f t="shared" si="2"/>
        <v>0</v>
      </c>
    </row>
    <row r="42" spans="1:15" s="26" customFormat="1">
      <c r="A42" s="117" t="s">
        <v>7</v>
      </c>
      <c r="B42" s="108"/>
      <c r="C42" s="108"/>
      <c r="D42" s="104"/>
      <c r="E42" s="105"/>
      <c r="F42" s="97"/>
      <c r="G42" s="107"/>
      <c r="H42" s="97">
        <v>0</v>
      </c>
      <c r="I42" s="97">
        <v>0</v>
      </c>
      <c r="J42" s="97">
        <f t="shared" si="0"/>
        <v>0</v>
      </c>
      <c r="K42" s="97">
        <f t="shared" si="4"/>
        <v>0</v>
      </c>
      <c r="L42" s="97">
        <f t="shared" si="1"/>
        <v>0</v>
      </c>
      <c r="M42" s="97">
        <f t="shared" si="2"/>
        <v>0</v>
      </c>
      <c r="N42" s="25"/>
    </row>
    <row r="43" spans="1:15">
      <c r="A43" s="109" t="s">
        <v>128</v>
      </c>
      <c r="B43" s="108" t="s">
        <v>8</v>
      </c>
      <c r="C43" s="104" t="s">
        <v>96</v>
      </c>
      <c r="D43" s="104" t="s">
        <v>3</v>
      </c>
      <c r="E43" s="105"/>
      <c r="F43" s="97" t="s">
        <v>264</v>
      </c>
      <c r="G43" s="107"/>
      <c r="H43" s="97">
        <v>2604670</v>
      </c>
      <c r="I43" s="97">
        <v>460660</v>
      </c>
      <c r="J43" s="97">
        <f t="shared" si="0"/>
        <v>2800597</v>
      </c>
      <c r="K43" s="97">
        <f t="shared" si="4"/>
        <v>467894</v>
      </c>
      <c r="L43" s="97">
        <f t="shared" si="1"/>
        <v>2940819</v>
      </c>
      <c r="M43" s="97">
        <f t="shared" si="2"/>
        <v>468655</v>
      </c>
      <c r="N43" s="12" t="s">
        <v>133</v>
      </c>
    </row>
    <row r="44" spans="1:15">
      <c r="A44" s="103" t="s">
        <v>120</v>
      </c>
      <c r="B44" s="108" t="s">
        <v>9</v>
      </c>
      <c r="C44" s="104" t="s">
        <v>93</v>
      </c>
      <c r="D44" s="104" t="s">
        <v>3</v>
      </c>
      <c r="E44" s="105"/>
      <c r="F44" s="97" t="s">
        <v>264</v>
      </c>
      <c r="G44" s="107"/>
      <c r="H44" s="97">
        <v>2253211</v>
      </c>
      <c r="I44" s="97">
        <v>563029</v>
      </c>
      <c r="J44" s="97">
        <f t="shared" si="0"/>
        <v>2422700</v>
      </c>
      <c r="K44" s="97">
        <f t="shared" si="4"/>
        <v>571870</v>
      </c>
      <c r="L44" s="97">
        <f t="shared" si="1"/>
        <v>2544001</v>
      </c>
      <c r="M44" s="97">
        <f t="shared" si="2"/>
        <v>572801</v>
      </c>
      <c r="N44" s="12" t="s">
        <v>133</v>
      </c>
    </row>
    <row r="45" spans="1:15">
      <c r="A45" s="109"/>
      <c r="B45" s="108"/>
      <c r="C45" s="108"/>
      <c r="D45" s="104"/>
      <c r="E45" s="105"/>
      <c r="F45" s="97"/>
      <c r="G45" s="107"/>
      <c r="H45" s="97">
        <v>0</v>
      </c>
      <c r="I45" s="97">
        <v>0</v>
      </c>
      <c r="J45" s="97">
        <f t="shared" si="0"/>
        <v>0</v>
      </c>
      <c r="K45" s="97">
        <f t="shared" si="4"/>
        <v>0</v>
      </c>
      <c r="L45" s="97">
        <f t="shared" si="1"/>
        <v>0</v>
      </c>
      <c r="M45" s="97">
        <f t="shared" si="2"/>
        <v>0</v>
      </c>
    </row>
    <row r="46" spans="1:15">
      <c r="A46" s="118" t="s">
        <v>15</v>
      </c>
      <c r="B46" s="105"/>
      <c r="C46" s="105"/>
      <c r="D46" s="104"/>
      <c r="E46" s="105"/>
      <c r="F46" s="97"/>
      <c r="G46" s="107"/>
      <c r="H46" s="97">
        <v>0</v>
      </c>
      <c r="I46" s="97">
        <v>0</v>
      </c>
      <c r="J46" s="97">
        <f t="shared" si="0"/>
        <v>0</v>
      </c>
      <c r="K46" s="97">
        <f t="shared" si="4"/>
        <v>0</v>
      </c>
      <c r="L46" s="97">
        <f t="shared" si="1"/>
        <v>0</v>
      </c>
      <c r="M46" s="97">
        <f t="shared" si="2"/>
        <v>0</v>
      </c>
    </row>
    <row r="47" spans="1:15">
      <c r="A47" s="103" t="s">
        <v>85</v>
      </c>
      <c r="B47" s="108" t="s">
        <v>12</v>
      </c>
      <c r="C47" s="104" t="s">
        <v>97</v>
      </c>
      <c r="D47" s="104" t="s">
        <v>3</v>
      </c>
      <c r="E47" s="105"/>
      <c r="F47" s="97" t="s">
        <v>255</v>
      </c>
      <c r="G47" s="107"/>
      <c r="H47" s="97">
        <v>1648015</v>
      </c>
      <c r="I47" s="97">
        <v>1381980</v>
      </c>
      <c r="J47" s="97">
        <f t="shared" si="0"/>
        <v>1771981</v>
      </c>
      <c r="K47" s="97">
        <f t="shared" si="4"/>
        <v>1403681</v>
      </c>
      <c r="L47" s="97">
        <f t="shared" si="1"/>
        <v>1860702</v>
      </c>
      <c r="M47" s="97">
        <f t="shared" si="2"/>
        <v>1405965</v>
      </c>
      <c r="N47" s="27" t="s">
        <v>133</v>
      </c>
    </row>
    <row r="48" spans="1:15" ht="25.5">
      <c r="A48" s="103" t="s">
        <v>85</v>
      </c>
      <c r="B48" s="103" t="s">
        <v>249</v>
      </c>
      <c r="C48" s="103" t="s">
        <v>250</v>
      </c>
      <c r="D48" s="103" t="s">
        <v>251</v>
      </c>
      <c r="E48" s="105"/>
      <c r="F48" s="97" t="s">
        <v>253</v>
      </c>
      <c r="G48" s="107"/>
      <c r="H48" s="97">
        <v>3192566</v>
      </c>
      <c r="I48" s="97">
        <v>1228426</v>
      </c>
      <c r="J48" s="97">
        <f t="shared" si="0"/>
        <v>3432715</v>
      </c>
      <c r="K48" s="97">
        <f t="shared" si="4"/>
        <v>1247715</v>
      </c>
      <c r="L48" s="97">
        <f t="shared" si="1"/>
        <v>3604586</v>
      </c>
      <c r="M48" s="97">
        <f t="shared" si="2"/>
        <v>1249745</v>
      </c>
      <c r="N48" s="27" t="s">
        <v>133</v>
      </c>
    </row>
    <row r="49" spans="1:14">
      <c r="A49" s="103" t="s">
        <v>194</v>
      </c>
      <c r="B49" s="104" t="s">
        <v>193</v>
      </c>
      <c r="C49" s="104" t="s">
        <v>79</v>
      </c>
      <c r="D49" s="104" t="s">
        <v>3</v>
      </c>
      <c r="E49" s="105"/>
      <c r="F49" s="97" t="s">
        <v>264</v>
      </c>
      <c r="G49" s="107"/>
      <c r="H49" s="97">
        <v>5975754</v>
      </c>
      <c r="I49" s="97">
        <v>1279611</v>
      </c>
      <c r="J49" s="97">
        <f t="shared" si="0"/>
        <v>6425258</v>
      </c>
      <c r="K49" s="97">
        <f t="shared" si="4"/>
        <v>1299704</v>
      </c>
      <c r="L49" s="97">
        <f t="shared" si="1"/>
        <v>6746962</v>
      </c>
      <c r="M49" s="97">
        <f t="shared" si="2"/>
        <v>1301819</v>
      </c>
      <c r="N49" s="27"/>
    </row>
    <row r="50" spans="1:14">
      <c r="A50" s="103" t="s">
        <v>130</v>
      </c>
      <c r="B50" s="104" t="s">
        <v>78</v>
      </c>
      <c r="C50" s="104" t="s">
        <v>79</v>
      </c>
      <c r="D50" s="104" t="s">
        <v>3</v>
      </c>
      <c r="E50" s="105"/>
      <c r="F50" s="97" t="s">
        <v>264</v>
      </c>
      <c r="G50" s="107"/>
      <c r="H50" s="97">
        <v>11591805</v>
      </c>
      <c r="I50" s="97">
        <v>1433164</v>
      </c>
      <c r="J50" s="97">
        <f t="shared" si="0"/>
        <v>12463755</v>
      </c>
      <c r="K50" s="97">
        <f t="shared" si="4"/>
        <v>1455668</v>
      </c>
      <c r="L50" s="97">
        <f t="shared" si="1"/>
        <v>13087798</v>
      </c>
      <c r="M50" s="97">
        <f t="shared" si="2"/>
        <v>1458037</v>
      </c>
      <c r="N50" s="27" t="s">
        <v>133</v>
      </c>
    </row>
    <row r="51" spans="1:14">
      <c r="A51" s="103" t="s">
        <v>65</v>
      </c>
      <c r="B51" s="104" t="s">
        <v>80</v>
      </c>
      <c r="C51" s="104" t="s">
        <v>79</v>
      </c>
      <c r="D51" s="104" t="s">
        <v>3</v>
      </c>
      <c r="E51" s="105"/>
      <c r="F51" s="97"/>
      <c r="G51" s="107"/>
      <c r="H51" s="97">
        <v>2859300</v>
      </c>
      <c r="I51" s="97">
        <v>138147</v>
      </c>
      <c r="J51" s="97">
        <f t="shared" si="0"/>
        <v>3074380</v>
      </c>
      <c r="K51" s="97">
        <f t="shared" si="4"/>
        <v>140316</v>
      </c>
      <c r="L51" s="97">
        <f>ROUND(J51/145.8*153.1,0)+126233</f>
        <v>3354543</v>
      </c>
      <c r="M51" s="97">
        <f t="shared" si="2"/>
        <v>140544</v>
      </c>
      <c r="N51" s="27" t="s">
        <v>133</v>
      </c>
    </row>
    <row r="52" spans="1:14">
      <c r="A52" s="28"/>
      <c r="B52" s="22"/>
      <c r="C52" s="22"/>
      <c r="D52" s="22"/>
      <c r="F52" s="44"/>
      <c r="G52" s="44"/>
      <c r="H52" s="44"/>
      <c r="I52" s="44"/>
      <c r="J52" s="44"/>
      <c r="K52" s="44"/>
      <c r="L52" s="44"/>
      <c r="M52" s="44"/>
    </row>
    <row r="53" spans="1:14" ht="13.5" thickBot="1">
      <c r="A53" s="29"/>
      <c r="B53" s="30" t="s">
        <v>59</v>
      </c>
      <c r="C53" s="30"/>
      <c r="D53" s="30"/>
      <c r="E53" s="46"/>
      <c r="F53" s="46"/>
      <c r="G53" s="46"/>
      <c r="H53" s="45">
        <v>88752622</v>
      </c>
      <c r="I53" s="45">
        <v>14054377</v>
      </c>
      <c r="J53" s="45">
        <f t="shared" ref="J53:M53" si="5">SUM(J5:J51)</f>
        <v>100622056</v>
      </c>
      <c r="K53" s="45">
        <f t="shared" si="5"/>
        <v>15757923</v>
      </c>
      <c r="L53" s="45">
        <f t="shared" si="5"/>
        <v>105396946</v>
      </c>
      <c r="M53" s="45">
        <f t="shared" si="5"/>
        <v>15783564</v>
      </c>
    </row>
    <row r="54" spans="1:14" ht="13.5" thickTop="1">
      <c r="A54" s="22"/>
      <c r="B54" s="31"/>
      <c r="C54" s="31"/>
      <c r="D54" s="31"/>
      <c r="F54" s="44"/>
      <c r="G54" s="44"/>
      <c r="H54" s="44"/>
      <c r="I54" s="44"/>
      <c r="J54" s="44"/>
      <c r="K54" s="44"/>
      <c r="L54" s="44"/>
      <c r="M54" s="44"/>
    </row>
    <row r="55" spans="1:14">
      <c r="A55" s="22"/>
      <c r="B55" s="31"/>
      <c r="C55" s="31"/>
      <c r="D55" s="31"/>
      <c r="F55" s="44"/>
      <c r="G55" s="44"/>
      <c r="H55" s="47">
        <v>102806999</v>
      </c>
      <c r="I55" s="44"/>
      <c r="J55" s="47">
        <f>J53+K53</f>
        <v>116379979</v>
      </c>
      <c r="K55" s="44"/>
      <c r="L55" s="47">
        <f>L53+M53</f>
        <v>121180510</v>
      </c>
      <c r="M55" s="44"/>
    </row>
    <row r="56" spans="1:14">
      <c r="A56" s="22"/>
      <c r="B56" s="31"/>
      <c r="C56" s="31"/>
      <c r="D56" s="31"/>
      <c r="F56" s="44"/>
      <c r="G56" s="44"/>
      <c r="H56" s="44"/>
      <c r="I56" s="44"/>
      <c r="J56" s="44"/>
      <c r="K56" s="44"/>
      <c r="L56" s="44"/>
      <c r="M56" s="44"/>
    </row>
    <row r="57" spans="1:14" s="2" customFormat="1">
      <c r="A57" s="2" t="s">
        <v>257</v>
      </c>
      <c r="C57" s="83"/>
      <c r="N57" s="11"/>
    </row>
    <row r="58" spans="1:14" s="84" customFormat="1">
      <c r="A58" s="2" t="s">
        <v>254</v>
      </c>
      <c r="N58" s="85"/>
    </row>
    <row r="59" spans="1:14" s="84" customFormat="1">
      <c r="A59" s="2" t="s">
        <v>256</v>
      </c>
      <c r="N59" s="85"/>
    </row>
    <row r="60" spans="1:14">
      <c r="A60" s="2" t="s">
        <v>263</v>
      </c>
    </row>
    <row r="61" spans="1:14" s="123" customFormat="1">
      <c r="A61" s="101" t="s">
        <v>307</v>
      </c>
      <c r="N61" s="132"/>
    </row>
    <row r="62" spans="1:14" s="123" customFormat="1">
      <c r="A62" s="101" t="s">
        <v>309</v>
      </c>
      <c r="N62" s="132"/>
    </row>
    <row r="63" spans="1:14" s="123" customFormat="1">
      <c r="A63" s="101" t="s">
        <v>310</v>
      </c>
      <c r="N63" s="132"/>
    </row>
    <row r="64" spans="1:14" s="123" customFormat="1">
      <c r="A64" s="101" t="s">
        <v>312</v>
      </c>
      <c r="N64" s="132"/>
    </row>
    <row r="65" spans="1:14" s="123" customFormat="1">
      <c r="A65" s="101" t="s">
        <v>314</v>
      </c>
      <c r="N65" s="132"/>
    </row>
    <row r="66" spans="1:14">
      <c r="A66" s="101" t="s">
        <v>334</v>
      </c>
    </row>
    <row r="67" spans="1:14">
      <c r="A67" s="123" t="s">
        <v>363</v>
      </c>
    </row>
    <row r="68" spans="1:14">
      <c r="A68" s="123" t="s">
        <v>370</v>
      </c>
    </row>
  </sheetData>
  <phoneticPr fontId="0" type="noConversion"/>
  <pageMargins left="0.59055118110236227" right="0.39370078740157483" top="1.7716535433070868" bottom="0.94488188976377963" header="0.31496062992125984" footer="0.70866141732283472"/>
  <pageSetup paperSize="9" scale="92" fitToHeight="3" orientation="landscape" r:id="rId1"/>
  <headerFooter alignWithMargins="0">
    <oddFooter>&amp;L&amp;F &amp;A&amp;C&amp;P&amp;R&amp;D</oddFooter>
  </headerFooter>
  <rowBreaks count="2" manualBreakCount="2">
    <brk id="28" max="12" man="1"/>
    <brk id="56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3"/>
  <sheetViews>
    <sheetView zoomScaleNormal="100" workbookViewId="0">
      <pane ySplit="2" topLeftCell="A3" activePane="bottomLeft" state="frozen"/>
      <selection pane="bottomLeft" activeCell="C16" sqref="C16"/>
    </sheetView>
  </sheetViews>
  <sheetFormatPr defaultRowHeight="12.75"/>
  <cols>
    <col min="1" max="1" width="40.28515625" bestFit="1" customWidth="1"/>
    <col min="2" max="2" width="19.7109375" bestFit="1" customWidth="1"/>
    <col min="3" max="3" width="6.28515625" style="3" bestFit="1" customWidth="1"/>
    <col min="5" max="5" width="8.42578125" bestFit="1" customWidth="1"/>
    <col min="6" max="6" width="2.85546875" customWidth="1"/>
    <col min="7" max="7" width="7.85546875" customWidth="1"/>
    <col min="8" max="8" width="3" customWidth="1"/>
    <col min="9" max="9" width="22" hidden="1" customWidth="1"/>
    <col min="10" max="10" width="19.7109375" hidden="1" customWidth="1"/>
    <col min="11" max="11" width="21.85546875" hidden="1" customWidth="1"/>
    <col min="12" max="12" width="19.7109375" hidden="1" customWidth="1"/>
    <col min="13" max="13" width="21.85546875" hidden="1" customWidth="1"/>
    <col min="14" max="14" width="19.7109375" hidden="1" customWidth="1"/>
    <col min="15" max="15" width="25.7109375" hidden="1" customWidth="1"/>
    <col min="16" max="16" width="19.7109375" hidden="1" customWidth="1"/>
    <col min="17" max="17" width="20.85546875" bestFit="1" customWidth="1"/>
    <col min="18" max="18" width="19.7109375" customWidth="1"/>
    <col min="19" max="19" width="11.28515625" style="10" bestFit="1" customWidth="1"/>
  </cols>
  <sheetData>
    <row r="1" spans="1:19" ht="13.5" thickBot="1">
      <c r="A1" s="65" t="s">
        <v>192</v>
      </c>
      <c r="B1" s="5"/>
      <c r="C1" s="6"/>
      <c r="D1" s="5"/>
      <c r="E1" s="5"/>
      <c r="F1" s="5"/>
      <c r="G1" s="5"/>
      <c r="H1" s="5"/>
      <c r="I1" s="20">
        <v>2017</v>
      </c>
      <c r="J1" s="20">
        <v>2017</v>
      </c>
      <c r="K1" s="20">
        <v>2018</v>
      </c>
      <c r="L1" s="20">
        <v>2018</v>
      </c>
      <c r="M1" s="20">
        <v>2019</v>
      </c>
      <c r="N1" s="20">
        <v>2019</v>
      </c>
      <c r="O1" s="20">
        <v>2020</v>
      </c>
      <c r="P1" s="20">
        <v>2020</v>
      </c>
      <c r="Q1" s="20">
        <v>2021</v>
      </c>
      <c r="R1" s="20">
        <v>2021</v>
      </c>
      <c r="S1" s="68"/>
    </row>
    <row r="2" spans="1:19" ht="39" thickBot="1">
      <c r="A2" s="136" t="s">
        <v>340</v>
      </c>
      <c r="B2" s="75" t="s">
        <v>23</v>
      </c>
      <c r="C2" s="76" t="s">
        <v>24</v>
      </c>
      <c r="D2" s="75" t="s">
        <v>25</v>
      </c>
      <c r="E2" s="75" t="s">
        <v>26</v>
      </c>
      <c r="F2" s="77"/>
      <c r="G2" s="41"/>
      <c r="H2" s="78"/>
      <c r="I2" s="41" t="s">
        <v>242</v>
      </c>
      <c r="J2" s="67" t="s">
        <v>241</v>
      </c>
      <c r="K2" s="41" t="s">
        <v>259</v>
      </c>
      <c r="L2" s="67" t="s">
        <v>260</v>
      </c>
      <c r="M2" s="41" t="s">
        <v>287</v>
      </c>
      <c r="N2" s="67" t="s">
        <v>288</v>
      </c>
      <c r="O2" s="41" t="s">
        <v>339</v>
      </c>
      <c r="P2" s="67" t="s">
        <v>338</v>
      </c>
      <c r="Q2" s="41" t="s">
        <v>365</v>
      </c>
      <c r="R2" s="67" t="s">
        <v>364</v>
      </c>
      <c r="S2" s="73" t="s">
        <v>132</v>
      </c>
    </row>
    <row r="3" spans="1:19">
      <c r="A3" s="37"/>
      <c r="B3" s="37"/>
      <c r="C3" s="38"/>
      <c r="D3" s="37"/>
      <c r="E3" s="3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/>
    </row>
    <row r="4" spans="1:19">
      <c r="A4" s="94" t="s">
        <v>141</v>
      </c>
      <c r="B4" s="94" t="s">
        <v>150</v>
      </c>
      <c r="C4" s="95" t="s">
        <v>151</v>
      </c>
      <c r="D4" s="94" t="s">
        <v>208</v>
      </c>
      <c r="E4" s="94" t="s">
        <v>51</v>
      </c>
      <c r="F4" s="92"/>
      <c r="G4" s="97"/>
      <c r="H4" s="48"/>
      <c r="I4" s="42">
        <v>28567</v>
      </c>
      <c r="J4" s="42">
        <v>0</v>
      </c>
      <c r="K4" s="42">
        <f>ROUND(I4/123.1*127.1,0)</f>
        <v>29495</v>
      </c>
      <c r="L4" s="42">
        <f>ROUND(J4/117.5*118.7,0)</f>
        <v>0</v>
      </c>
      <c r="M4" s="97">
        <f>ROUND(K4/127.1*135.6,0)</f>
        <v>31468</v>
      </c>
      <c r="N4" s="97">
        <f>ROUND(L4/118.7*121,0)</f>
        <v>0</v>
      </c>
      <c r="O4" s="97">
        <f>ROUND(M4/135.6*145.8,0)</f>
        <v>33835</v>
      </c>
      <c r="P4" s="97">
        <f>ROUND(N4/121*122.9,0)</f>
        <v>0</v>
      </c>
      <c r="Q4" s="97">
        <f t="shared" ref="Q4" si="0">ROUND(O4/145.8*153.1,0)</f>
        <v>35529</v>
      </c>
      <c r="R4" s="97">
        <f t="shared" ref="R4" si="1">ROUND(P4/122.9*123.1,0)</f>
        <v>0</v>
      </c>
      <c r="S4" s="14"/>
    </row>
    <row r="5" spans="1:19">
      <c r="A5" s="94" t="s">
        <v>237</v>
      </c>
      <c r="B5" s="94" t="s">
        <v>265</v>
      </c>
      <c r="C5" s="95">
        <v>1</v>
      </c>
      <c r="D5" s="94" t="s">
        <v>209</v>
      </c>
      <c r="E5" s="94" t="s">
        <v>51</v>
      </c>
      <c r="F5" s="98"/>
      <c r="G5" s="97" t="s">
        <v>264</v>
      </c>
      <c r="H5" s="48"/>
      <c r="I5" s="42">
        <v>1380051</v>
      </c>
      <c r="J5" s="74">
        <v>600000</v>
      </c>
      <c r="K5" s="42">
        <f t="shared" ref="K5:K30" si="2">ROUND(I5/123.1*127.1,0)</f>
        <v>1424894</v>
      </c>
      <c r="L5" s="42">
        <f>ROUND(J5/118.2*118.7,0)</f>
        <v>602538</v>
      </c>
      <c r="M5" s="97">
        <f t="shared" ref="M5:M28" si="3">ROUND(K5/127.1*135.6,0)</f>
        <v>1520186</v>
      </c>
      <c r="N5" s="97">
        <f t="shared" ref="N5:N30" si="4">ROUND(L5/118.7*121,0)</f>
        <v>614213</v>
      </c>
      <c r="O5" s="97">
        <f t="shared" ref="O5:O20" si="5">ROUND(M5/135.6*145.8,0)</f>
        <v>1634536</v>
      </c>
      <c r="P5" s="97">
        <f t="shared" ref="P5:P30" si="6">ROUND(N5/121*122.9,0)</f>
        <v>623858</v>
      </c>
      <c r="Q5" s="97">
        <f t="shared" ref="Q5:Q30" si="7">ROUND(O5/145.8*153.1,0)</f>
        <v>1716375</v>
      </c>
      <c r="R5" s="97">
        <f t="shared" ref="R5:R30" si="8">ROUND(P5/122.9*123.1,0)</f>
        <v>624873</v>
      </c>
      <c r="S5" s="10" t="s">
        <v>133</v>
      </c>
    </row>
    <row r="6" spans="1:19">
      <c r="A6" s="94" t="s">
        <v>238</v>
      </c>
      <c r="B6" s="94" t="s">
        <v>50</v>
      </c>
      <c r="C6" s="95">
        <v>2</v>
      </c>
      <c r="D6" s="94" t="s">
        <v>210</v>
      </c>
      <c r="E6" s="94" t="s">
        <v>51</v>
      </c>
      <c r="F6" s="92"/>
      <c r="G6" s="97" t="s">
        <v>273</v>
      </c>
      <c r="H6" s="48"/>
      <c r="I6" s="42">
        <v>1557924</v>
      </c>
      <c r="J6" s="42">
        <v>242556</v>
      </c>
      <c r="K6" s="42">
        <f t="shared" si="2"/>
        <v>1608547</v>
      </c>
      <c r="L6" s="74">
        <v>175000</v>
      </c>
      <c r="M6" s="74">
        <f>ROUND(K6/127.1*135.6,0)+1250000</f>
        <v>2966121</v>
      </c>
      <c r="N6" s="97">
        <f>ROUND(L6/119.9*121,0)</f>
        <v>176606</v>
      </c>
      <c r="O6" s="97">
        <f t="shared" si="5"/>
        <v>3189236</v>
      </c>
      <c r="P6" s="97">
        <f t="shared" si="6"/>
        <v>179379</v>
      </c>
      <c r="Q6" s="97">
        <f t="shared" si="7"/>
        <v>3348917</v>
      </c>
      <c r="R6" s="97">
        <f t="shared" si="8"/>
        <v>179671</v>
      </c>
      <c r="S6" s="10" t="s">
        <v>133</v>
      </c>
    </row>
    <row r="7" spans="1:19">
      <c r="A7" s="94" t="s">
        <v>244</v>
      </c>
      <c r="B7" s="94" t="s">
        <v>50</v>
      </c>
      <c r="C7" s="95">
        <v>2</v>
      </c>
      <c r="D7" s="94" t="s">
        <v>210</v>
      </c>
      <c r="E7" s="94" t="s">
        <v>51</v>
      </c>
      <c r="F7" s="92"/>
      <c r="G7" s="97"/>
      <c r="H7" s="48"/>
      <c r="I7" s="42">
        <v>200000</v>
      </c>
      <c r="J7" s="42"/>
      <c r="K7" s="42">
        <f t="shared" si="2"/>
        <v>206499</v>
      </c>
      <c r="L7" s="42">
        <f t="shared" ref="L7:L29" si="9">ROUND(J7/117.5*118.7,0)</f>
        <v>0</v>
      </c>
      <c r="M7" s="97">
        <f t="shared" si="3"/>
        <v>220309</v>
      </c>
      <c r="N7" s="97">
        <f t="shared" si="4"/>
        <v>0</v>
      </c>
      <c r="O7" s="97">
        <f t="shared" si="5"/>
        <v>236881</v>
      </c>
      <c r="P7" s="97">
        <f t="shared" si="6"/>
        <v>0</v>
      </c>
      <c r="Q7" s="97">
        <f t="shared" si="7"/>
        <v>248741</v>
      </c>
      <c r="R7" s="97">
        <f t="shared" si="8"/>
        <v>0</v>
      </c>
      <c r="S7" s="10" t="s">
        <v>133</v>
      </c>
    </row>
    <row r="8" spans="1:19" s="119" customFormat="1">
      <c r="A8" s="94" t="s">
        <v>289</v>
      </c>
      <c r="B8" s="94" t="s">
        <v>50</v>
      </c>
      <c r="C8" s="95">
        <v>2</v>
      </c>
      <c r="D8" s="94" t="s">
        <v>210</v>
      </c>
      <c r="E8" s="94" t="s">
        <v>51</v>
      </c>
      <c r="F8" s="92"/>
      <c r="G8" s="97"/>
      <c r="H8" s="128"/>
      <c r="I8" s="74">
        <v>200000</v>
      </c>
      <c r="J8" s="74"/>
      <c r="K8" s="74">
        <f t="shared" si="2"/>
        <v>206499</v>
      </c>
      <c r="L8" s="74">
        <f t="shared" si="9"/>
        <v>0</v>
      </c>
      <c r="M8" s="74">
        <v>200000</v>
      </c>
      <c r="N8" s="74">
        <f t="shared" si="4"/>
        <v>0</v>
      </c>
      <c r="O8" s="97">
        <f>ROUND(M8/140.3*145.8,0)</f>
        <v>207840</v>
      </c>
      <c r="P8" s="97">
        <f t="shared" si="6"/>
        <v>0</v>
      </c>
      <c r="Q8" s="97">
        <f t="shared" si="7"/>
        <v>218246</v>
      </c>
      <c r="R8" s="97">
        <f t="shared" si="8"/>
        <v>0</v>
      </c>
      <c r="S8" s="121" t="s">
        <v>133</v>
      </c>
    </row>
    <row r="9" spans="1:19">
      <c r="A9" s="94" t="s">
        <v>124</v>
      </c>
      <c r="B9" s="94" t="s">
        <v>54</v>
      </c>
      <c r="C9" s="95">
        <v>2</v>
      </c>
      <c r="D9" s="94" t="s">
        <v>211</v>
      </c>
      <c r="E9" s="94" t="s">
        <v>51</v>
      </c>
      <c r="F9" s="92"/>
      <c r="G9" s="97" t="s">
        <v>264</v>
      </c>
      <c r="H9" s="48"/>
      <c r="I9" s="42">
        <v>1555048</v>
      </c>
      <c r="J9" s="74">
        <v>450000</v>
      </c>
      <c r="K9" s="42">
        <f t="shared" si="2"/>
        <v>1605578</v>
      </c>
      <c r="L9" s="42">
        <f>ROUND(J9/118.2*118.7,0)</f>
        <v>451904</v>
      </c>
      <c r="M9" s="97">
        <f>ROUND(K9/127.1*135.6,0)</f>
        <v>1712953</v>
      </c>
      <c r="N9" s="97">
        <f t="shared" si="4"/>
        <v>460660</v>
      </c>
      <c r="O9" s="74">
        <f>ROUND(M9/135.6*145.8,0)+100000</f>
        <v>1941803</v>
      </c>
      <c r="P9" s="97">
        <f t="shared" si="6"/>
        <v>467894</v>
      </c>
      <c r="Q9" s="97">
        <f t="shared" si="7"/>
        <v>2039026</v>
      </c>
      <c r="R9" s="97">
        <f t="shared" si="8"/>
        <v>468655</v>
      </c>
      <c r="S9" s="10" t="s">
        <v>133</v>
      </c>
    </row>
    <row r="10" spans="1:19">
      <c r="A10" s="94" t="s">
        <v>154</v>
      </c>
      <c r="B10" s="94" t="s">
        <v>227</v>
      </c>
      <c r="C10" s="95">
        <v>1</v>
      </c>
      <c r="D10" s="94" t="s">
        <v>228</v>
      </c>
      <c r="E10" s="94" t="s">
        <v>51</v>
      </c>
      <c r="F10" s="92"/>
      <c r="G10" s="97" t="s">
        <v>279</v>
      </c>
      <c r="H10" s="48"/>
      <c r="I10" s="42">
        <v>2255019</v>
      </c>
      <c r="J10" s="42">
        <v>122434</v>
      </c>
      <c r="K10" s="42">
        <f t="shared" si="2"/>
        <v>2328293</v>
      </c>
      <c r="L10" s="42">
        <f t="shared" ref="L10" si="10">ROUND(J10/117.5*118.7,0)</f>
        <v>123684</v>
      </c>
      <c r="M10" s="97">
        <f t="shared" ref="M10" si="11">ROUND(K10/127.1*135.6,0)</f>
        <v>2484001</v>
      </c>
      <c r="N10" s="74">
        <v>75000</v>
      </c>
      <c r="O10" s="74">
        <f>ROUND(M10/135.6*145.8,0)+40000</f>
        <v>2710851</v>
      </c>
      <c r="P10" s="97">
        <f>ROUND(N10/122*122.9,0)</f>
        <v>75553</v>
      </c>
      <c r="Q10" s="97">
        <f t="shared" si="7"/>
        <v>2846579</v>
      </c>
      <c r="R10" s="97">
        <f t="shared" si="8"/>
        <v>75676</v>
      </c>
      <c r="S10" s="10" t="s">
        <v>133</v>
      </c>
    </row>
    <row r="11" spans="1:19" s="87" customFormat="1" ht="24.75" customHeight="1">
      <c r="A11" s="133" t="s">
        <v>354</v>
      </c>
      <c r="B11" s="110" t="s">
        <v>355</v>
      </c>
      <c r="C11" s="134">
        <v>30</v>
      </c>
      <c r="D11" s="110" t="s">
        <v>358</v>
      </c>
      <c r="E11" s="110" t="s">
        <v>51</v>
      </c>
      <c r="F11" s="143"/>
      <c r="G11" s="74"/>
      <c r="H11" s="74"/>
      <c r="I11" s="74"/>
      <c r="J11" s="74"/>
      <c r="K11" s="74"/>
      <c r="L11" s="74"/>
      <c r="M11" s="74">
        <v>58625</v>
      </c>
      <c r="N11" s="74"/>
      <c r="O11" s="74">
        <v>58625</v>
      </c>
      <c r="Q11" s="97">
        <f t="shared" si="7"/>
        <v>61560</v>
      </c>
      <c r="R11" s="97">
        <f t="shared" si="8"/>
        <v>0</v>
      </c>
      <c r="S11" s="82"/>
    </row>
    <row r="12" spans="1:19">
      <c r="A12" s="94"/>
      <c r="B12" s="94"/>
      <c r="C12" s="95"/>
      <c r="D12" s="94"/>
      <c r="E12" s="94"/>
      <c r="F12" s="92"/>
      <c r="G12" s="97"/>
      <c r="H12" s="48"/>
      <c r="I12" s="42">
        <v>0</v>
      </c>
      <c r="J12" s="42">
        <v>0</v>
      </c>
      <c r="K12" s="42">
        <f t="shared" si="2"/>
        <v>0</v>
      </c>
      <c r="L12" s="42">
        <f t="shared" si="9"/>
        <v>0</v>
      </c>
      <c r="M12" s="97">
        <f t="shared" si="3"/>
        <v>0</v>
      </c>
      <c r="N12" s="97">
        <f t="shared" si="4"/>
        <v>0</v>
      </c>
      <c r="O12" s="97">
        <f t="shared" si="5"/>
        <v>0</v>
      </c>
      <c r="P12" s="97">
        <f t="shared" si="6"/>
        <v>0</v>
      </c>
      <c r="Q12" s="97">
        <f t="shared" si="7"/>
        <v>0</v>
      </c>
      <c r="R12" s="97">
        <f t="shared" si="8"/>
        <v>0</v>
      </c>
    </row>
    <row r="13" spans="1:19">
      <c r="A13" s="94" t="s">
        <v>32</v>
      </c>
      <c r="B13" s="94" t="s">
        <v>48</v>
      </c>
      <c r="C13" s="95">
        <v>1</v>
      </c>
      <c r="D13" s="94" t="s">
        <v>212</v>
      </c>
      <c r="E13" s="94" t="s">
        <v>20</v>
      </c>
      <c r="F13" s="92"/>
      <c r="G13" s="97" t="s">
        <v>290</v>
      </c>
      <c r="H13" s="48"/>
      <c r="I13" s="42">
        <v>627354</v>
      </c>
      <c r="J13" s="42">
        <v>0</v>
      </c>
      <c r="K13" s="42">
        <f t="shared" si="2"/>
        <v>647739</v>
      </c>
      <c r="L13" s="42">
        <f t="shared" si="9"/>
        <v>0</v>
      </c>
      <c r="M13" s="74">
        <v>675000</v>
      </c>
      <c r="N13" s="97">
        <f t="shared" si="4"/>
        <v>0</v>
      </c>
      <c r="O13" s="97">
        <f t="shared" ref="O13:O14" si="12">ROUND(M13/140.3*145.8,0)</f>
        <v>701461</v>
      </c>
      <c r="P13" s="97">
        <f t="shared" si="6"/>
        <v>0</v>
      </c>
      <c r="Q13" s="97">
        <f t="shared" si="7"/>
        <v>736582</v>
      </c>
      <c r="R13" s="97">
        <f t="shared" si="8"/>
        <v>0</v>
      </c>
    </row>
    <row r="14" spans="1:19" s="9" customFormat="1" ht="25.5">
      <c r="A14" s="110" t="s">
        <v>57</v>
      </c>
      <c r="B14" s="133" t="s">
        <v>282</v>
      </c>
      <c r="C14" s="134">
        <v>21</v>
      </c>
      <c r="D14" s="110" t="s">
        <v>213</v>
      </c>
      <c r="E14" s="110" t="s">
        <v>20</v>
      </c>
      <c r="F14" s="105"/>
      <c r="G14" s="97" t="s">
        <v>329</v>
      </c>
      <c r="H14" s="135"/>
      <c r="I14" s="42">
        <v>125132</v>
      </c>
      <c r="J14" s="42">
        <v>3013</v>
      </c>
      <c r="K14" s="42">
        <f t="shared" si="2"/>
        <v>129198</v>
      </c>
      <c r="L14" s="42">
        <f t="shared" si="9"/>
        <v>3044</v>
      </c>
      <c r="M14" s="74">
        <v>170000</v>
      </c>
      <c r="N14" s="74">
        <v>30000</v>
      </c>
      <c r="O14" s="97">
        <f t="shared" si="12"/>
        <v>176664</v>
      </c>
      <c r="P14" s="97">
        <f>ROUND(N14/122*122.9,0)</f>
        <v>30221</v>
      </c>
      <c r="Q14" s="97">
        <f t="shared" si="7"/>
        <v>185509</v>
      </c>
      <c r="R14" s="97">
        <f t="shared" si="8"/>
        <v>30270</v>
      </c>
      <c r="S14" s="12" t="s">
        <v>133</v>
      </c>
    </row>
    <row r="15" spans="1:19" s="9" customFormat="1">
      <c r="A15" s="94" t="s">
        <v>58</v>
      </c>
      <c r="B15" s="94"/>
      <c r="C15" s="95"/>
      <c r="D15" s="94"/>
      <c r="E15" s="94"/>
      <c r="F15" s="92"/>
      <c r="G15" s="97"/>
      <c r="H15" s="48"/>
      <c r="I15" s="42">
        <v>0</v>
      </c>
      <c r="J15" s="42">
        <v>0</v>
      </c>
      <c r="K15" s="42">
        <f t="shared" si="2"/>
        <v>0</v>
      </c>
      <c r="L15" s="42">
        <f t="shared" si="9"/>
        <v>0</v>
      </c>
      <c r="M15" s="97">
        <f t="shared" si="3"/>
        <v>0</v>
      </c>
      <c r="N15" s="97">
        <f t="shared" si="4"/>
        <v>0</v>
      </c>
      <c r="O15" s="97">
        <f t="shared" si="5"/>
        <v>0</v>
      </c>
      <c r="P15" s="97">
        <f t="shared" si="6"/>
        <v>0</v>
      </c>
      <c r="Q15" s="97">
        <f t="shared" si="7"/>
        <v>0</v>
      </c>
      <c r="R15" s="97">
        <f t="shared" si="8"/>
        <v>0</v>
      </c>
      <c r="S15" s="12"/>
    </row>
    <row r="16" spans="1:19">
      <c r="A16" s="94" t="s">
        <v>266</v>
      </c>
      <c r="B16" s="94" t="s">
        <v>52</v>
      </c>
      <c r="C16" s="99" t="s">
        <v>155</v>
      </c>
      <c r="D16" s="94" t="s">
        <v>214</v>
      </c>
      <c r="E16" s="94" t="s">
        <v>20</v>
      </c>
      <c r="F16" s="92"/>
      <c r="G16" s="97" t="s">
        <v>293</v>
      </c>
      <c r="H16" s="48"/>
      <c r="I16" s="74">
        <v>8900000</v>
      </c>
      <c r="J16" s="42">
        <v>0</v>
      </c>
      <c r="K16" s="42">
        <f t="shared" si="2"/>
        <v>9189196</v>
      </c>
      <c r="L16" s="42">
        <f t="shared" si="9"/>
        <v>0</v>
      </c>
      <c r="M16" s="74">
        <v>9275000</v>
      </c>
      <c r="N16" s="97">
        <f t="shared" si="4"/>
        <v>0</v>
      </c>
      <c r="O16" s="97">
        <f>ROUND(M16/140.3*145.8,0)</f>
        <v>9638596</v>
      </c>
      <c r="P16" s="97">
        <f t="shared" si="6"/>
        <v>0</v>
      </c>
      <c r="Q16" s="97">
        <f t="shared" si="7"/>
        <v>10121187</v>
      </c>
      <c r="R16" s="97">
        <f t="shared" si="8"/>
        <v>0</v>
      </c>
      <c r="S16" s="10" t="s">
        <v>133</v>
      </c>
    </row>
    <row r="17" spans="1:19">
      <c r="A17" s="94" t="s">
        <v>156</v>
      </c>
      <c r="B17" s="94" t="s">
        <v>47</v>
      </c>
      <c r="C17" s="99" t="s">
        <v>157</v>
      </c>
      <c r="D17" s="94" t="s">
        <v>214</v>
      </c>
      <c r="E17" s="94" t="s">
        <v>20</v>
      </c>
      <c r="F17" s="92"/>
      <c r="G17" s="97" t="s">
        <v>264</v>
      </c>
      <c r="H17" s="48"/>
      <c r="I17" s="42">
        <v>0</v>
      </c>
      <c r="J17" s="74">
        <v>500000</v>
      </c>
      <c r="K17" s="42">
        <f t="shared" si="2"/>
        <v>0</v>
      </c>
      <c r="L17" s="42">
        <f>ROUND(J17/118.2*118.7,0)</f>
        <v>502115</v>
      </c>
      <c r="M17" s="97">
        <f t="shared" si="3"/>
        <v>0</v>
      </c>
      <c r="N17" s="97">
        <f t="shared" si="4"/>
        <v>511844</v>
      </c>
      <c r="O17" s="97">
        <f t="shared" si="5"/>
        <v>0</v>
      </c>
      <c r="P17" s="97">
        <f t="shared" si="6"/>
        <v>519881</v>
      </c>
      <c r="Q17" s="97">
        <f t="shared" si="7"/>
        <v>0</v>
      </c>
      <c r="R17" s="97">
        <f t="shared" si="8"/>
        <v>520727</v>
      </c>
      <c r="S17" s="10" t="s">
        <v>133</v>
      </c>
    </row>
    <row r="18" spans="1:19">
      <c r="A18" s="94" t="s">
        <v>158</v>
      </c>
      <c r="B18" s="94" t="s">
        <v>47</v>
      </c>
      <c r="C18" s="100" t="s">
        <v>161</v>
      </c>
      <c r="D18" s="94" t="s">
        <v>214</v>
      </c>
      <c r="E18" s="94" t="s">
        <v>20</v>
      </c>
      <c r="F18" s="92"/>
      <c r="G18" s="97"/>
      <c r="H18" s="48"/>
      <c r="I18" s="42">
        <v>0</v>
      </c>
      <c r="J18" s="42">
        <v>0</v>
      </c>
      <c r="K18" s="42">
        <f t="shared" si="2"/>
        <v>0</v>
      </c>
      <c r="L18" s="42">
        <f t="shared" si="9"/>
        <v>0</v>
      </c>
      <c r="M18" s="97">
        <f t="shared" si="3"/>
        <v>0</v>
      </c>
      <c r="N18" s="97">
        <f t="shared" si="4"/>
        <v>0</v>
      </c>
      <c r="O18" s="97">
        <f t="shared" si="5"/>
        <v>0</v>
      </c>
      <c r="P18" s="97">
        <f t="shared" si="6"/>
        <v>0</v>
      </c>
      <c r="Q18" s="97">
        <f t="shared" si="7"/>
        <v>0</v>
      </c>
      <c r="R18" s="97">
        <f t="shared" si="8"/>
        <v>0</v>
      </c>
      <c r="S18" s="10" t="s">
        <v>133</v>
      </c>
    </row>
    <row r="19" spans="1:19">
      <c r="A19" s="94" t="s">
        <v>159</v>
      </c>
      <c r="B19" s="94" t="s">
        <v>47</v>
      </c>
      <c r="C19" s="99" t="s">
        <v>162</v>
      </c>
      <c r="D19" s="94" t="s">
        <v>214</v>
      </c>
      <c r="E19" s="94" t="s">
        <v>20</v>
      </c>
      <c r="F19" s="92"/>
      <c r="G19" s="97"/>
      <c r="H19" s="48"/>
      <c r="I19" s="42">
        <v>0</v>
      </c>
      <c r="J19" s="42">
        <v>0</v>
      </c>
      <c r="K19" s="42">
        <f t="shared" si="2"/>
        <v>0</v>
      </c>
      <c r="L19" s="42">
        <f t="shared" si="9"/>
        <v>0</v>
      </c>
      <c r="M19" s="97">
        <f t="shared" si="3"/>
        <v>0</v>
      </c>
      <c r="N19" s="97">
        <f t="shared" si="4"/>
        <v>0</v>
      </c>
      <c r="O19" s="97">
        <f t="shared" si="5"/>
        <v>0</v>
      </c>
      <c r="P19" s="97">
        <f t="shared" si="6"/>
        <v>0</v>
      </c>
      <c r="Q19" s="97">
        <f t="shared" si="7"/>
        <v>0</v>
      </c>
      <c r="R19" s="97">
        <f t="shared" si="8"/>
        <v>0</v>
      </c>
      <c r="S19" s="10" t="s">
        <v>133</v>
      </c>
    </row>
    <row r="20" spans="1:19">
      <c r="A20" s="94" t="s">
        <v>160</v>
      </c>
      <c r="B20" s="94" t="s">
        <v>47</v>
      </c>
      <c r="C20" s="95">
        <v>17</v>
      </c>
      <c r="D20" s="94" t="s">
        <v>214</v>
      </c>
      <c r="E20" s="94" t="s">
        <v>20</v>
      </c>
      <c r="F20" s="92"/>
      <c r="G20" s="97" t="s">
        <v>264</v>
      </c>
      <c r="H20" s="48"/>
      <c r="I20" s="42">
        <v>0</v>
      </c>
      <c r="J20" s="74">
        <v>575000</v>
      </c>
      <c r="K20" s="42">
        <f t="shared" si="2"/>
        <v>0</v>
      </c>
      <c r="L20" s="42">
        <f>ROUND(J20/118.2*118.7,0)</f>
        <v>577432</v>
      </c>
      <c r="M20" s="97">
        <f t="shared" si="3"/>
        <v>0</v>
      </c>
      <c r="N20" s="97">
        <f t="shared" si="4"/>
        <v>588621</v>
      </c>
      <c r="O20" s="97">
        <f t="shared" si="5"/>
        <v>0</v>
      </c>
      <c r="P20" s="97">
        <f t="shared" si="6"/>
        <v>597864</v>
      </c>
      <c r="Q20" s="97">
        <f t="shared" si="7"/>
        <v>0</v>
      </c>
      <c r="R20" s="97">
        <f t="shared" si="8"/>
        <v>598837</v>
      </c>
      <c r="S20" s="10" t="s">
        <v>133</v>
      </c>
    </row>
    <row r="21" spans="1:19">
      <c r="A21" s="94" t="s">
        <v>262</v>
      </c>
      <c r="B21" s="94" t="s">
        <v>49</v>
      </c>
      <c r="C21" s="95">
        <v>1</v>
      </c>
      <c r="D21" s="94" t="s">
        <v>215</v>
      </c>
      <c r="E21" s="94" t="s">
        <v>20</v>
      </c>
      <c r="F21" s="92"/>
      <c r="G21" s="97" t="s">
        <v>299</v>
      </c>
      <c r="H21" s="48"/>
      <c r="I21" s="42">
        <v>1130340</v>
      </c>
      <c r="J21" s="74">
        <v>260000</v>
      </c>
      <c r="K21" s="42">
        <f t="shared" si="2"/>
        <v>1167069</v>
      </c>
      <c r="L21" s="42">
        <f>ROUND(J21/118.2*118.7,0)</f>
        <v>261100</v>
      </c>
      <c r="M21" s="74">
        <v>1350000</v>
      </c>
      <c r="N21" s="97">
        <f t="shared" si="4"/>
        <v>266159</v>
      </c>
      <c r="O21" s="97">
        <f t="shared" ref="O21:O30" si="13">ROUND(M21/140.3*145.8,0)</f>
        <v>1402922</v>
      </c>
      <c r="P21" s="97">
        <f t="shared" si="6"/>
        <v>270338</v>
      </c>
      <c r="Q21" s="97">
        <f t="shared" si="7"/>
        <v>1473164</v>
      </c>
      <c r="R21" s="97">
        <f t="shared" si="8"/>
        <v>270778</v>
      </c>
      <c r="S21" s="10" t="s">
        <v>133</v>
      </c>
    </row>
    <row r="22" spans="1:19">
      <c r="A22" s="94" t="s">
        <v>163</v>
      </c>
      <c r="B22" s="94" t="s">
        <v>47</v>
      </c>
      <c r="C22" s="95">
        <v>54</v>
      </c>
      <c r="D22" s="94" t="s">
        <v>216</v>
      </c>
      <c r="E22" s="94" t="s">
        <v>20</v>
      </c>
      <c r="F22" s="92"/>
      <c r="G22" s="97" t="s">
        <v>296</v>
      </c>
      <c r="H22" s="48"/>
      <c r="I22" s="42">
        <v>1234439</v>
      </c>
      <c r="J22" s="42">
        <v>127537</v>
      </c>
      <c r="K22" s="42">
        <f t="shared" si="2"/>
        <v>1274551</v>
      </c>
      <c r="L22" s="42">
        <f t="shared" ref="L22:L25" si="14">ROUND(J22/117.5*118.7,0)</f>
        <v>128840</v>
      </c>
      <c r="M22" s="74">
        <v>1250000</v>
      </c>
      <c r="N22" s="97">
        <f t="shared" si="4"/>
        <v>131336</v>
      </c>
      <c r="O22" s="97">
        <f t="shared" si="13"/>
        <v>1299002</v>
      </c>
      <c r="P22" s="97">
        <f t="shared" si="6"/>
        <v>133398</v>
      </c>
      <c r="Q22" s="97">
        <f t="shared" si="7"/>
        <v>1364041</v>
      </c>
      <c r="R22" s="97">
        <f t="shared" si="8"/>
        <v>133615</v>
      </c>
      <c r="S22" s="10" t="s">
        <v>133</v>
      </c>
    </row>
    <row r="23" spans="1:19">
      <c r="A23" s="94" t="s">
        <v>164</v>
      </c>
      <c r="B23" s="94" t="s">
        <v>47</v>
      </c>
      <c r="C23" s="95">
        <v>56</v>
      </c>
      <c r="D23" s="94" t="s">
        <v>216</v>
      </c>
      <c r="E23" s="94" t="s">
        <v>20</v>
      </c>
      <c r="F23" s="92"/>
      <c r="G23" s="97" t="s">
        <v>337</v>
      </c>
      <c r="H23" s="48"/>
      <c r="I23" s="42">
        <v>1250889</v>
      </c>
      <c r="J23" s="42">
        <v>76521</v>
      </c>
      <c r="K23" s="42">
        <f t="shared" si="2"/>
        <v>1291535</v>
      </c>
      <c r="L23" s="42">
        <f t="shared" si="14"/>
        <v>77302</v>
      </c>
      <c r="M23" s="74">
        <v>2125000</v>
      </c>
      <c r="N23" s="74">
        <v>160000</v>
      </c>
      <c r="O23" s="97">
        <f t="shared" si="13"/>
        <v>2208304</v>
      </c>
      <c r="P23" s="97">
        <f>ROUND(N23/122*122.9,0)</f>
        <v>161180</v>
      </c>
      <c r="Q23" s="97">
        <f t="shared" si="7"/>
        <v>2318871</v>
      </c>
      <c r="R23" s="97">
        <f t="shared" si="8"/>
        <v>161442</v>
      </c>
      <c r="S23" s="10" t="s">
        <v>133</v>
      </c>
    </row>
    <row r="24" spans="1:19">
      <c r="A24" s="94" t="s">
        <v>186</v>
      </c>
      <c r="B24" s="94" t="s">
        <v>116</v>
      </c>
      <c r="C24" s="95">
        <v>2</v>
      </c>
      <c r="D24" s="94" t="s">
        <v>217</v>
      </c>
      <c r="E24" s="94" t="s">
        <v>20</v>
      </c>
      <c r="F24" s="92"/>
      <c r="G24" s="97" t="s">
        <v>300</v>
      </c>
      <c r="H24" s="48"/>
      <c r="I24" s="42">
        <v>44316</v>
      </c>
      <c r="J24" s="42">
        <v>0</v>
      </c>
      <c r="K24" s="42">
        <f t="shared" si="2"/>
        <v>45756</v>
      </c>
      <c r="L24" s="42">
        <f t="shared" si="14"/>
        <v>0</v>
      </c>
      <c r="M24" s="74">
        <v>110000</v>
      </c>
      <c r="N24" s="97">
        <f t="shared" si="4"/>
        <v>0</v>
      </c>
      <c r="O24" s="97">
        <f t="shared" si="13"/>
        <v>114312</v>
      </c>
      <c r="P24" s="97">
        <f t="shared" si="6"/>
        <v>0</v>
      </c>
      <c r="Q24" s="97">
        <f t="shared" si="7"/>
        <v>120035</v>
      </c>
      <c r="R24" s="97">
        <f t="shared" si="8"/>
        <v>0</v>
      </c>
      <c r="S24" s="10" t="s">
        <v>137</v>
      </c>
    </row>
    <row r="25" spans="1:19">
      <c r="A25" s="94" t="s">
        <v>232</v>
      </c>
      <c r="B25" s="94" t="s">
        <v>152</v>
      </c>
      <c r="C25" s="95" t="s">
        <v>153</v>
      </c>
      <c r="D25" s="94" t="s">
        <v>218</v>
      </c>
      <c r="E25" s="94" t="s">
        <v>20</v>
      </c>
      <c r="F25" s="92"/>
      <c r="G25" s="97" t="s">
        <v>330</v>
      </c>
      <c r="H25" s="48"/>
      <c r="I25" s="42">
        <v>28567</v>
      </c>
      <c r="J25" s="42">
        <v>0</v>
      </c>
      <c r="K25" s="42">
        <f t="shared" si="2"/>
        <v>29495</v>
      </c>
      <c r="L25" s="42">
        <f t="shared" si="14"/>
        <v>0</v>
      </c>
      <c r="M25" s="74">
        <v>35000</v>
      </c>
      <c r="N25" s="97">
        <f t="shared" si="4"/>
        <v>0</v>
      </c>
      <c r="O25" s="97">
        <f t="shared" si="13"/>
        <v>36372</v>
      </c>
      <c r="P25" s="97">
        <f t="shared" si="6"/>
        <v>0</v>
      </c>
      <c r="Q25" s="97">
        <f t="shared" si="7"/>
        <v>38193</v>
      </c>
      <c r="R25" s="97">
        <f t="shared" si="8"/>
        <v>0</v>
      </c>
      <c r="S25" s="10" t="s">
        <v>143</v>
      </c>
    </row>
    <row r="26" spans="1:19">
      <c r="A26" s="94" t="s">
        <v>200</v>
      </c>
      <c r="B26" s="101" t="s">
        <v>202</v>
      </c>
      <c r="C26" s="95">
        <v>16</v>
      </c>
      <c r="D26" s="94" t="s">
        <v>219</v>
      </c>
      <c r="E26" s="102" t="s">
        <v>20</v>
      </c>
      <c r="F26" s="92"/>
      <c r="G26" s="97" t="s">
        <v>303</v>
      </c>
      <c r="H26" s="48"/>
      <c r="I26" s="42">
        <v>246200</v>
      </c>
      <c r="J26" s="42">
        <v>0</v>
      </c>
      <c r="K26" s="42">
        <f t="shared" si="2"/>
        <v>254200</v>
      </c>
      <c r="L26" s="42">
        <f t="shared" si="9"/>
        <v>0</v>
      </c>
      <c r="M26" s="74">
        <v>1200000</v>
      </c>
      <c r="N26" s="97">
        <f t="shared" si="4"/>
        <v>0</v>
      </c>
      <c r="O26" s="97">
        <f t="shared" si="13"/>
        <v>1247042</v>
      </c>
      <c r="P26" s="97">
        <f t="shared" si="6"/>
        <v>0</v>
      </c>
      <c r="Q26" s="97">
        <f t="shared" si="7"/>
        <v>1309480</v>
      </c>
      <c r="R26" s="97">
        <f t="shared" si="8"/>
        <v>0</v>
      </c>
    </row>
    <row r="27" spans="1:19">
      <c r="A27" s="125" t="s">
        <v>354</v>
      </c>
      <c r="B27" s="125" t="s">
        <v>356</v>
      </c>
      <c r="C27" s="95">
        <v>39</v>
      </c>
      <c r="D27" s="125" t="s">
        <v>357</v>
      </c>
      <c r="E27" s="125" t="s">
        <v>20</v>
      </c>
      <c r="F27" s="120"/>
      <c r="G27" s="120"/>
      <c r="H27" s="120"/>
      <c r="I27" s="120"/>
      <c r="J27" s="120"/>
      <c r="K27" s="120"/>
      <c r="L27" s="120"/>
      <c r="M27" s="74">
        <v>58625</v>
      </c>
      <c r="N27" s="142"/>
      <c r="O27" s="74">
        <v>58625</v>
      </c>
      <c r="P27" s="142"/>
      <c r="Q27" s="97">
        <f t="shared" si="7"/>
        <v>61560</v>
      </c>
      <c r="R27" s="97">
        <f t="shared" si="8"/>
        <v>0</v>
      </c>
      <c r="S27"/>
    </row>
    <row r="28" spans="1:19">
      <c r="A28" s="94"/>
      <c r="B28" s="94"/>
      <c r="C28" s="95"/>
      <c r="D28" s="94"/>
      <c r="E28" s="94"/>
      <c r="F28" s="92"/>
      <c r="G28" s="97"/>
      <c r="H28" s="48"/>
      <c r="I28" s="42">
        <v>0</v>
      </c>
      <c r="J28" s="42">
        <v>0</v>
      </c>
      <c r="K28" s="42">
        <f t="shared" si="2"/>
        <v>0</v>
      </c>
      <c r="L28" s="42">
        <f t="shared" si="9"/>
        <v>0</v>
      </c>
      <c r="M28" s="97">
        <f t="shared" si="3"/>
        <v>0</v>
      </c>
      <c r="N28" s="97">
        <f t="shared" si="4"/>
        <v>0</v>
      </c>
      <c r="O28" s="97">
        <f t="shared" si="13"/>
        <v>0</v>
      </c>
      <c r="P28" s="97">
        <f t="shared" si="6"/>
        <v>0</v>
      </c>
      <c r="Q28" s="97">
        <f t="shared" si="7"/>
        <v>0</v>
      </c>
      <c r="R28" s="97">
        <f t="shared" si="8"/>
        <v>0</v>
      </c>
    </row>
    <row r="29" spans="1:19">
      <c r="A29" s="94" t="s">
        <v>139</v>
      </c>
      <c r="B29" s="94" t="s">
        <v>55</v>
      </c>
      <c r="C29" s="95" t="s">
        <v>56</v>
      </c>
      <c r="D29" s="94" t="s">
        <v>220</v>
      </c>
      <c r="E29" s="94" t="s">
        <v>53</v>
      </c>
      <c r="F29" s="92"/>
      <c r="G29" s="97" t="s">
        <v>336</v>
      </c>
      <c r="H29" s="48"/>
      <c r="I29" s="42">
        <v>1048646</v>
      </c>
      <c r="J29" s="42">
        <v>79537</v>
      </c>
      <c r="K29" s="42">
        <f t="shared" si="2"/>
        <v>1082721</v>
      </c>
      <c r="L29" s="42">
        <f t="shared" si="9"/>
        <v>80349</v>
      </c>
      <c r="M29" s="74">
        <v>1100000</v>
      </c>
      <c r="N29" s="74">
        <v>20000</v>
      </c>
      <c r="O29" s="97">
        <f t="shared" si="13"/>
        <v>1143122</v>
      </c>
      <c r="P29" s="97">
        <f>ROUND(N29/122*122.9,0)</f>
        <v>20148</v>
      </c>
      <c r="Q29" s="97">
        <f t="shared" si="7"/>
        <v>1200357</v>
      </c>
      <c r="R29" s="97">
        <f t="shared" si="8"/>
        <v>20181</v>
      </c>
      <c r="S29" s="10" t="s">
        <v>133</v>
      </c>
    </row>
    <row r="30" spans="1:19">
      <c r="A30" s="94" t="s">
        <v>126</v>
      </c>
      <c r="B30" s="94" t="s">
        <v>31</v>
      </c>
      <c r="C30" s="95">
        <v>7</v>
      </c>
      <c r="D30" s="94" t="s">
        <v>221</v>
      </c>
      <c r="E30" s="94" t="s">
        <v>53</v>
      </c>
      <c r="F30" s="89"/>
      <c r="G30" s="97" t="s">
        <v>306</v>
      </c>
      <c r="H30" s="48"/>
      <c r="I30" s="42">
        <v>1732709</v>
      </c>
      <c r="J30" s="74">
        <v>450000</v>
      </c>
      <c r="K30" s="42">
        <f t="shared" si="2"/>
        <v>1789011</v>
      </c>
      <c r="L30" s="42">
        <f>ROUND(J30/118.2*118.7,0)</f>
        <v>451904</v>
      </c>
      <c r="M30" s="74">
        <v>2000000</v>
      </c>
      <c r="N30" s="97">
        <f t="shared" si="4"/>
        <v>460660</v>
      </c>
      <c r="O30" s="97">
        <f t="shared" si="13"/>
        <v>2078403</v>
      </c>
      <c r="P30" s="97">
        <f t="shared" si="6"/>
        <v>467894</v>
      </c>
      <c r="Q30" s="97">
        <f t="shared" si="7"/>
        <v>2182466</v>
      </c>
      <c r="R30" s="97">
        <f t="shared" si="8"/>
        <v>468655</v>
      </c>
      <c r="S30" s="10" t="s">
        <v>133</v>
      </c>
    </row>
    <row r="31" spans="1:19">
      <c r="A31" s="5"/>
      <c r="B31" s="5"/>
      <c r="C31" s="6"/>
      <c r="D31" s="5"/>
      <c r="E31" s="5"/>
      <c r="F31" s="5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</row>
    <row r="32" spans="1:19" ht="13.5" thickBot="1">
      <c r="E32" s="4" t="s">
        <v>59</v>
      </c>
      <c r="F32" s="15"/>
      <c r="G32" s="50"/>
      <c r="H32" s="50"/>
      <c r="I32" s="49">
        <v>23545201</v>
      </c>
      <c r="J32" s="49">
        <v>3486598</v>
      </c>
      <c r="K32" s="49">
        <f t="shared" ref="K32:P32" si="15">SUM(K4:K30)</f>
        <v>24310276</v>
      </c>
      <c r="L32" s="49">
        <f t="shared" si="15"/>
        <v>3435212</v>
      </c>
      <c r="M32" s="49">
        <f t="shared" si="15"/>
        <v>28542288</v>
      </c>
      <c r="N32" s="49">
        <f t="shared" si="15"/>
        <v>3495099</v>
      </c>
      <c r="O32" s="49">
        <f t="shared" si="15"/>
        <v>30118432</v>
      </c>
      <c r="P32" s="49">
        <f t="shared" si="15"/>
        <v>3547608</v>
      </c>
      <c r="Q32" s="49">
        <f t="shared" ref="Q32:R32" si="16">SUM(Q4:Q30)</f>
        <v>31626418</v>
      </c>
      <c r="R32" s="49">
        <f t="shared" si="16"/>
        <v>3553380</v>
      </c>
    </row>
    <row r="33" spans="1:19" ht="13.5" thickTop="1"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19">
      <c r="G34" s="51"/>
      <c r="H34" s="51"/>
      <c r="I34" s="52">
        <v>27031799</v>
      </c>
      <c r="J34" s="51"/>
      <c r="K34" s="52">
        <f>K32+L32</f>
        <v>27745488</v>
      </c>
      <c r="L34" s="51"/>
      <c r="M34" s="52">
        <f>M32+N32</f>
        <v>32037387</v>
      </c>
      <c r="N34" s="51"/>
      <c r="O34" s="52">
        <f>O32+P32</f>
        <v>33666040</v>
      </c>
      <c r="P34" s="51"/>
      <c r="Q34" s="52">
        <f>Q32+R32</f>
        <v>35179798</v>
      </c>
      <c r="R34" s="51"/>
    </row>
    <row r="35" spans="1:19"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</row>
    <row r="36" spans="1:19" s="2" customFormat="1">
      <c r="A36" s="2" t="s">
        <v>258</v>
      </c>
      <c r="C36" s="83"/>
      <c r="S36" s="11"/>
    </row>
    <row r="37" spans="1:19" s="2" customFormat="1">
      <c r="A37" s="2" t="s">
        <v>263</v>
      </c>
      <c r="C37" s="83"/>
      <c r="S37" s="11"/>
    </row>
    <row r="38" spans="1:19">
      <c r="A38" s="101" t="s">
        <v>274</v>
      </c>
    </row>
    <row r="39" spans="1:19" s="119" customFormat="1">
      <c r="A39" s="101" t="s">
        <v>291</v>
      </c>
      <c r="C39" s="130"/>
      <c r="S39" s="121"/>
    </row>
    <row r="40" spans="1:19" s="119" customFormat="1">
      <c r="A40" s="101" t="s">
        <v>292</v>
      </c>
      <c r="C40" s="130"/>
      <c r="S40" s="121"/>
    </row>
    <row r="41" spans="1:19" s="119" customFormat="1">
      <c r="A41" s="101" t="s">
        <v>294</v>
      </c>
      <c r="C41" s="130"/>
      <c r="S41" s="121"/>
    </row>
    <row r="42" spans="1:19" s="119" customFormat="1">
      <c r="A42" s="101" t="s">
        <v>295</v>
      </c>
      <c r="C42" s="130"/>
      <c r="S42" s="121"/>
    </row>
    <row r="43" spans="1:19" s="119" customFormat="1">
      <c r="A43" s="101" t="s">
        <v>297</v>
      </c>
      <c r="C43" s="130"/>
      <c r="S43" s="121"/>
    </row>
    <row r="44" spans="1:19" s="119" customFormat="1">
      <c r="A44" s="101" t="s">
        <v>298</v>
      </c>
      <c r="C44" s="130"/>
      <c r="S44" s="121"/>
    </row>
    <row r="45" spans="1:19" s="119" customFormat="1">
      <c r="A45" s="101" t="s">
        <v>301</v>
      </c>
      <c r="C45" s="130"/>
      <c r="S45" s="121"/>
    </row>
    <row r="46" spans="1:19" s="119" customFormat="1">
      <c r="A46" s="101" t="s">
        <v>302</v>
      </c>
      <c r="C46" s="130"/>
      <c r="S46" s="121"/>
    </row>
    <row r="47" spans="1:19" s="119" customFormat="1">
      <c r="A47" s="101" t="s">
        <v>304</v>
      </c>
      <c r="C47" s="130"/>
      <c r="S47" s="121"/>
    </row>
    <row r="48" spans="1:19" s="119" customFormat="1">
      <c r="A48" s="101" t="s">
        <v>305</v>
      </c>
      <c r="C48" s="130"/>
      <c r="S48" s="121"/>
    </row>
    <row r="49" spans="1:19" s="119" customFormat="1">
      <c r="A49" s="101" t="s">
        <v>331</v>
      </c>
      <c r="C49" s="130"/>
      <c r="S49" s="121"/>
    </row>
    <row r="50" spans="1:19" s="119" customFormat="1">
      <c r="A50" s="101" t="s">
        <v>315</v>
      </c>
      <c r="C50" s="130"/>
      <c r="S50" s="121"/>
    </row>
    <row r="51" spans="1:19" s="119" customFormat="1" ht="12" customHeight="1">
      <c r="A51" s="101" t="s">
        <v>318</v>
      </c>
      <c r="C51" s="130"/>
      <c r="S51" s="121"/>
    </row>
    <row r="52" spans="1:19" s="119" customFormat="1" ht="12" customHeight="1">
      <c r="A52" s="101" t="s">
        <v>327</v>
      </c>
      <c r="C52" s="130"/>
      <c r="S52" s="121"/>
    </row>
    <row r="53" spans="1:19" s="119" customFormat="1" ht="12" customHeight="1">
      <c r="A53" s="101" t="s">
        <v>328</v>
      </c>
      <c r="C53" s="130"/>
      <c r="S53" s="121"/>
    </row>
  </sheetData>
  <phoneticPr fontId="0" type="noConversion"/>
  <pageMargins left="0.59055118110236227" right="0.39370078740157483" top="1.5748031496062993" bottom="0.94488188976377963" header="0.51181102362204722" footer="0.70866141732283472"/>
  <pageSetup paperSize="9" scale="84" fitToHeight="2" orientation="landscape" r:id="rId1"/>
  <headerFooter alignWithMargins="0">
    <oddFooter>&amp;L&amp;F &amp;A&amp;C&amp;P&amp;R&amp;D</oddFooter>
  </headerFooter>
  <rowBreaks count="1" manualBreakCount="1">
    <brk id="34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opLeftCell="E1" zoomScaleNormal="100" workbookViewId="0">
      <pane ySplit="2" topLeftCell="A8" activePane="bottomLeft" state="frozen"/>
      <selection activeCell="B1" sqref="B1"/>
      <selection pane="bottomLeft" activeCell="V21" sqref="V21"/>
    </sheetView>
  </sheetViews>
  <sheetFormatPr defaultRowHeight="12.75"/>
  <cols>
    <col min="1" max="1" width="58.85546875" customWidth="1"/>
    <col min="2" max="2" width="19" bestFit="1" customWidth="1"/>
    <col min="3" max="3" width="8.5703125" style="3" bestFit="1" customWidth="1"/>
    <col min="4" max="4" width="12.28515625" bestFit="1" customWidth="1"/>
    <col min="5" max="5" width="10.140625" bestFit="1" customWidth="1"/>
    <col min="6" max="6" width="6.5703125" bestFit="1" customWidth="1"/>
    <col min="7" max="7" width="20.85546875" hidden="1" customWidth="1"/>
    <col min="8" max="10" width="19.7109375" hidden="1" customWidth="1"/>
    <col min="11" max="11" width="21.28515625" hidden="1" customWidth="1"/>
    <col min="12" max="14" width="21.5703125" hidden="1" customWidth="1"/>
    <col min="15" max="16" width="21.5703125" customWidth="1"/>
    <col min="17" max="17" width="11.28515625" style="10" bestFit="1" customWidth="1"/>
  </cols>
  <sheetData>
    <row r="1" spans="1:17" ht="13.5" thickBot="1">
      <c r="A1" s="65" t="s">
        <v>191</v>
      </c>
      <c r="B1" s="5"/>
      <c r="C1" s="6"/>
      <c r="D1" s="5"/>
      <c r="E1" s="5"/>
      <c r="F1" s="5"/>
      <c r="G1" s="20">
        <v>2017</v>
      </c>
      <c r="H1" s="20">
        <v>2017</v>
      </c>
      <c r="I1" s="20">
        <v>2018</v>
      </c>
      <c r="J1" s="20">
        <v>2018</v>
      </c>
      <c r="K1" s="20">
        <v>2019</v>
      </c>
      <c r="L1" s="20">
        <v>2019</v>
      </c>
      <c r="M1" s="20">
        <v>2020</v>
      </c>
      <c r="N1" s="20">
        <v>2020</v>
      </c>
      <c r="O1" s="20">
        <v>2021</v>
      </c>
      <c r="P1" s="20">
        <v>2021</v>
      </c>
      <c r="Q1" s="68"/>
    </row>
    <row r="2" spans="1:17" ht="39" thickBot="1">
      <c r="A2" s="79" t="s">
        <v>22</v>
      </c>
      <c r="B2" s="80" t="s">
        <v>23</v>
      </c>
      <c r="C2" s="81" t="s">
        <v>24</v>
      </c>
      <c r="D2" s="80" t="s">
        <v>25</v>
      </c>
      <c r="E2" s="80" t="s">
        <v>26</v>
      </c>
      <c r="F2" s="77"/>
      <c r="G2" s="41" t="s">
        <v>242</v>
      </c>
      <c r="H2" s="67" t="s">
        <v>241</v>
      </c>
      <c r="I2" s="41" t="s">
        <v>259</v>
      </c>
      <c r="J2" s="67" t="s">
        <v>260</v>
      </c>
      <c r="K2" s="41" t="s">
        <v>287</v>
      </c>
      <c r="L2" s="67" t="s">
        <v>288</v>
      </c>
      <c r="M2" s="41" t="s">
        <v>332</v>
      </c>
      <c r="N2" s="67" t="s">
        <v>338</v>
      </c>
      <c r="O2" s="41" t="s">
        <v>365</v>
      </c>
      <c r="P2" s="67" t="s">
        <v>364</v>
      </c>
      <c r="Q2" s="69" t="s">
        <v>132</v>
      </c>
    </row>
    <row r="3" spans="1:17">
      <c r="A3" s="53"/>
      <c r="B3" s="53"/>
      <c r="C3" s="54"/>
      <c r="D3" s="53"/>
      <c r="E3" s="53"/>
      <c r="F3" s="55"/>
      <c r="G3" s="17"/>
      <c r="H3" s="17"/>
      <c r="I3" s="17"/>
      <c r="J3" s="17"/>
      <c r="K3" s="17"/>
      <c r="L3" s="17"/>
      <c r="M3" s="17"/>
      <c r="N3" s="17"/>
      <c r="O3" s="17"/>
      <c r="P3" s="17"/>
      <c r="Q3" s="13"/>
    </row>
    <row r="4" spans="1:17">
      <c r="A4" s="139" t="s">
        <v>42</v>
      </c>
      <c r="B4" s="139" t="s">
        <v>40</v>
      </c>
      <c r="C4" s="140">
        <v>4</v>
      </c>
      <c r="D4" s="139" t="s">
        <v>98</v>
      </c>
      <c r="E4" s="139" t="s">
        <v>41</v>
      </c>
      <c r="F4" s="91" t="s">
        <v>326</v>
      </c>
      <c r="G4" s="42">
        <v>154978</v>
      </c>
      <c r="H4" s="42">
        <v>311072</v>
      </c>
      <c r="I4" s="42">
        <f>ROUND(G4/123.1*127.1,0)</f>
        <v>160014</v>
      </c>
      <c r="J4" s="42">
        <f>ROUND(H4/117.5*118.7,0)</f>
        <v>314249</v>
      </c>
      <c r="K4" s="42">
        <f t="shared" ref="K4:K35" si="0">ROUND(I4/127.1*135.6,0)</f>
        <v>170715</v>
      </c>
      <c r="L4" s="74">
        <v>170000</v>
      </c>
      <c r="M4" s="97">
        <f t="shared" ref="M4:M36" si="1">ROUND(K4/135.6*145.8,0)</f>
        <v>183556</v>
      </c>
      <c r="N4" s="97">
        <f>ROUND(L4/122.2*122.9,0)</f>
        <v>170974</v>
      </c>
      <c r="O4" s="97">
        <f t="shared" ref="O4" si="2">ROUND(M4/145.8*153.1,0)</f>
        <v>192746</v>
      </c>
      <c r="P4" s="97">
        <f t="shared" ref="P4" si="3">ROUND(N4/122.9*123.1,0)</f>
        <v>171252</v>
      </c>
      <c r="Q4" s="10" t="s">
        <v>134</v>
      </c>
    </row>
    <row r="5" spans="1:17">
      <c r="A5" s="94"/>
      <c r="B5" s="94"/>
      <c r="C5" s="95"/>
      <c r="D5" s="94"/>
      <c r="E5" s="94"/>
      <c r="F5" s="89"/>
      <c r="G5" s="42"/>
      <c r="H5" s="42"/>
      <c r="I5" s="42"/>
      <c r="J5" s="42"/>
      <c r="K5" s="42">
        <f t="shared" si="0"/>
        <v>0</v>
      </c>
      <c r="L5" s="42">
        <f>ROUND(J5/118.7*121,0)</f>
        <v>0</v>
      </c>
      <c r="M5" s="97">
        <f t="shared" si="1"/>
        <v>0</v>
      </c>
      <c r="N5" s="42">
        <f>ROUND(L5/121*122.9,0)</f>
        <v>0</v>
      </c>
      <c r="O5" s="97">
        <f t="shared" ref="O5:O36" si="4">ROUND(M5/145.8*153.1,0)</f>
        <v>0</v>
      </c>
      <c r="P5" s="97">
        <f t="shared" ref="P5:P36" si="5">ROUND(N5/122.9*123.1,0)</f>
        <v>0</v>
      </c>
    </row>
    <row r="6" spans="1:17">
      <c r="A6" s="94" t="s">
        <v>117</v>
      </c>
      <c r="B6" s="94" t="s">
        <v>196</v>
      </c>
      <c r="C6" s="95" t="s">
        <v>28</v>
      </c>
      <c r="D6" s="94" t="s">
        <v>100</v>
      </c>
      <c r="E6" s="94" t="s">
        <v>29</v>
      </c>
      <c r="F6" s="89"/>
      <c r="G6" s="42">
        <v>34175</v>
      </c>
      <c r="H6" s="42">
        <v>0</v>
      </c>
      <c r="I6" s="42">
        <f t="shared" ref="I6:I12" si="6">ROUND(G6/123.1*127.1,0)</f>
        <v>35285</v>
      </c>
      <c r="J6" s="42">
        <f>ROUND(H6/117.5*118.7,0)</f>
        <v>0</v>
      </c>
      <c r="K6" s="42">
        <f t="shared" si="0"/>
        <v>37645</v>
      </c>
      <c r="L6" s="42">
        <f>ROUND(J6/118.7*121,0)</f>
        <v>0</v>
      </c>
      <c r="M6" s="97">
        <f t="shared" si="1"/>
        <v>40477</v>
      </c>
      <c r="N6" s="42">
        <f>ROUND(L6/121*122.9,0)</f>
        <v>0</v>
      </c>
      <c r="O6" s="97">
        <f t="shared" si="4"/>
        <v>42504</v>
      </c>
      <c r="P6" s="97">
        <f t="shared" si="5"/>
        <v>0</v>
      </c>
      <c r="Q6" s="10" t="s">
        <v>135</v>
      </c>
    </row>
    <row r="7" spans="1:17">
      <c r="A7" s="94" t="s">
        <v>141</v>
      </c>
      <c r="B7" s="94" t="s">
        <v>144</v>
      </c>
      <c r="C7" s="95" t="s">
        <v>145</v>
      </c>
      <c r="D7" s="94" t="s">
        <v>146</v>
      </c>
      <c r="E7" s="94" t="s">
        <v>29</v>
      </c>
      <c r="F7" s="89"/>
      <c r="G7" s="42">
        <v>33237</v>
      </c>
      <c r="H7" s="42">
        <v>0</v>
      </c>
      <c r="I7" s="42">
        <f t="shared" si="6"/>
        <v>34317</v>
      </c>
      <c r="J7" s="42">
        <f>ROUND(H7/117.5*118.7,0)</f>
        <v>0</v>
      </c>
      <c r="K7" s="42">
        <f t="shared" si="0"/>
        <v>36612</v>
      </c>
      <c r="L7" s="42">
        <f>ROUND(J7/118.7*121,0)</f>
        <v>0</v>
      </c>
      <c r="M7" s="97">
        <f t="shared" si="1"/>
        <v>39366</v>
      </c>
      <c r="N7" s="42">
        <f>ROUND(L7/121*122.9,0)</f>
        <v>0</v>
      </c>
      <c r="O7" s="97">
        <f t="shared" si="4"/>
        <v>41337</v>
      </c>
      <c r="P7" s="97">
        <f t="shared" si="5"/>
        <v>0</v>
      </c>
      <c r="Q7" s="10" t="s">
        <v>143</v>
      </c>
    </row>
    <row r="8" spans="1:17">
      <c r="A8" s="94" t="s">
        <v>243</v>
      </c>
      <c r="B8" s="94" t="s">
        <v>144</v>
      </c>
      <c r="C8" s="95">
        <v>36</v>
      </c>
      <c r="D8" s="94" t="s">
        <v>99</v>
      </c>
      <c r="E8" s="94" t="s">
        <v>29</v>
      </c>
      <c r="F8" s="89" t="s">
        <v>313</v>
      </c>
      <c r="G8" s="42">
        <v>754941</v>
      </c>
      <c r="H8" s="42">
        <v>25000</v>
      </c>
      <c r="I8" s="42">
        <f t="shared" si="6"/>
        <v>779472</v>
      </c>
      <c r="J8" s="42">
        <f>ROUND(H8/117.5*118.7,0)</f>
        <v>25255</v>
      </c>
      <c r="K8" s="42">
        <f t="shared" si="0"/>
        <v>831600</v>
      </c>
      <c r="L8" s="74">
        <v>110000</v>
      </c>
      <c r="M8" s="97">
        <f t="shared" si="1"/>
        <v>894154</v>
      </c>
      <c r="N8" s="97">
        <f>ROUND(L8/122.2*122.9,0)</f>
        <v>110630</v>
      </c>
      <c r="O8" s="97">
        <f t="shared" si="4"/>
        <v>938923</v>
      </c>
      <c r="P8" s="97">
        <f t="shared" si="5"/>
        <v>110810</v>
      </c>
    </row>
    <row r="9" spans="1:17" s="35" customFormat="1">
      <c r="A9" s="125" t="s">
        <v>189</v>
      </c>
      <c r="B9" s="125" t="s">
        <v>178</v>
      </c>
      <c r="C9" s="126">
        <v>2</v>
      </c>
      <c r="D9" s="125" t="s">
        <v>179</v>
      </c>
      <c r="E9" s="125" t="s">
        <v>29</v>
      </c>
      <c r="F9" s="91" t="s">
        <v>323</v>
      </c>
      <c r="G9" s="43">
        <v>295440</v>
      </c>
      <c r="H9" s="43">
        <v>37118</v>
      </c>
      <c r="I9" s="42">
        <f t="shared" si="6"/>
        <v>305040</v>
      </c>
      <c r="J9" s="42">
        <f>ROUND(H9/117.5*118.7,0)</f>
        <v>37497</v>
      </c>
      <c r="K9" s="42">
        <f t="shared" si="0"/>
        <v>325440</v>
      </c>
      <c r="L9" s="74">
        <v>55000</v>
      </c>
      <c r="M9" s="97">
        <f t="shared" si="1"/>
        <v>349920</v>
      </c>
      <c r="N9" s="97">
        <f>ROUND(L9/122.2*122.9,0)</f>
        <v>55315</v>
      </c>
      <c r="O9" s="97">
        <f t="shared" si="4"/>
        <v>367440</v>
      </c>
      <c r="P9" s="97">
        <f t="shared" si="5"/>
        <v>55405</v>
      </c>
      <c r="Q9" s="34"/>
    </row>
    <row r="10" spans="1:17" s="35" customFormat="1">
      <c r="A10" s="112" t="s">
        <v>177</v>
      </c>
      <c r="B10" s="113" t="s">
        <v>174</v>
      </c>
      <c r="C10" s="141" t="s">
        <v>175</v>
      </c>
      <c r="D10" s="125" t="s">
        <v>176</v>
      </c>
      <c r="E10" s="125" t="s">
        <v>29</v>
      </c>
      <c r="F10" s="91"/>
      <c r="G10" s="42">
        <v>172832</v>
      </c>
      <c r="H10" s="42">
        <v>75807</v>
      </c>
      <c r="I10" s="42">
        <f t="shared" si="6"/>
        <v>178448</v>
      </c>
      <c r="J10" s="42">
        <f>ROUND(H10/117.5*118.7,0)</f>
        <v>76581</v>
      </c>
      <c r="K10" s="42">
        <f t="shared" si="0"/>
        <v>190382</v>
      </c>
      <c r="L10" s="42">
        <f>ROUND(J10/118.7*121,0)</f>
        <v>78065</v>
      </c>
      <c r="M10" s="97">
        <f t="shared" si="1"/>
        <v>204703</v>
      </c>
      <c r="N10" s="42">
        <f t="shared" ref="N10:N16" si="7">ROUND(L10/121*122.9,0)</f>
        <v>79291</v>
      </c>
      <c r="O10" s="97">
        <f t="shared" si="4"/>
        <v>214952</v>
      </c>
      <c r="P10" s="97">
        <f t="shared" si="5"/>
        <v>79420</v>
      </c>
      <c r="Q10" s="34" t="s">
        <v>133</v>
      </c>
    </row>
    <row r="11" spans="1:17" s="2" customFormat="1">
      <c r="A11" s="94" t="s">
        <v>122</v>
      </c>
      <c r="B11" s="94" t="s">
        <v>37</v>
      </c>
      <c r="C11" s="95">
        <v>8</v>
      </c>
      <c r="D11" s="94" t="s">
        <v>99</v>
      </c>
      <c r="E11" s="94" t="s">
        <v>29</v>
      </c>
      <c r="F11" s="89" t="s">
        <v>264</v>
      </c>
      <c r="G11" s="42">
        <v>1665272</v>
      </c>
      <c r="H11" s="74">
        <v>425000</v>
      </c>
      <c r="I11" s="42">
        <f t="shared" si="6"/>
        <v>1719383</v>
      </c>
      <c r="J11" s="42">
        <f>ROUND(H11/118.2*118.7,0)</f>
        <v>426798</v>
      </c>
      <c r="K11" s="42">
        <f t="shared" si="0"/>
        <v>1834369</v>
      </c>
      <c r="L11" s="42">
        <f>ROUND(J11/118.7*121,0)</f>
        <v>435068</v>
      </c>
      <c r="M11" s="97">
        <f t="shared" si="1"/>
        <v>1972353</v>
      </c>
      <c r="N11" s="42">
        <f t="shared" si="7"/>
        <v>441900</v>
      </c>
      <c r="O11" s="97">
        <f t="shared" si="4"/>
        <v>2071106</v>
      </c>
      <c r="P11" s="97">
        <f t="shared" si="5"/>
        <v>442619</v>
      </c>
      <c r="Q11" s="10" t="s">
        <v>133</v>
      </c>
    </row>
    <row r="12" spans="1:17" s="87" customFormat="1" ht="24.75" customHeight="1">
      <c r="A12" s="133" t="s">
        <v>207</v>
      </c>
      <c r="B12" s="110" t="s">
        <v>43</v>
      </c>
      <c r="C12" s="134">
        <v>152</v>
      </c>
      <c r="D12" s="110" t="s">
        <v>101</v>
      </c>
      <c r="E12" s="110" t="s">
        <v>29</v>
      </c>
      <c r="F12" s="90" t="s">
        <v>264</v>
      </c>
      <c r="G12" s="42">
        <v>2769031</v>
      </c>
      <c r="H12" s="74">
        <v>810000</v>
      </c>
      <c r="I12" s="42">
        <f t="shared" si="6"/>
        <v>2859008</v>
      </c>
      <c r="J12" s="42">
        <f>ROUND(H12/118.2*118.7,0)</f>
        <v>813426</v>
      </c>
      <c r="K12" s="42">
        <f t="shared" si="0"/>
        <v>3050208</v>
      </c>
      <c r="L12" s="74">
        <v>829810</v>
      </c>
      <c r="M12" s="97">
        <f t="shared" si="1"/>
        <v>3279648</v>
      </c>
      <c r="N12" s="97">
        <v>883333</v>
      </c>
      <c r="O12" s="97">
        <f t="shared" si="4"/>
        <v>3443855</v>
      </c>
      <c r="P12" s="97">
        <f t="shared" si="5"/>
        <v>884770</v>
      </c>
      <c r="Q12" s="86" t="s">
        <v>133</v>
      </c>
    </row>
    <row r="13" spans="1:17" s="35" customFormat="1">
      <c r="A13" s="125" t="s">
        <v>270</v>
      </c>
      <c r="B13" s="125" t="s">
        <v>271</v>
      </c>
      <c r="C13" s="126">
        <v>8</v>
      </c>
      <c r="D13" s="125" t="s">
        <v>272</v>
      </c>
      <c r="E13" s="125" t="s">
        <v>29</v>
      </c>
      <c r="F13" s="93"/>
      <c r="G13" s="43">
        <v>3054623</v>
      </c>
      <c r="H13" s="88">
        <v>700000</v>
      </c>
      <c r="I13" s="43">
        <v>355000</v>
      </c>
      <c r="J13" s="88"/>
      <c r="K13" s="42">
        <f t="shared" si="0"/>
        <v>378741</v>
      </c>
      <c r="L13" s="42">
        <f>ROUND(J13/118.7*121,0)</f>
        <v>0</v>
      </c>
      <c r="M13" s="97">
        <f t="shared" si="1"/>
        <v>407230</v>
      </c>
      <c r="N13" s="97">
        <f t="shared" si="7"/>
        <v>0</v>
      </c>
      <c r="O13" s="97">
        <f t="shared" si="4"/>
        <v>427619</v>
      </c>
      <c r="P13" s="97">
        <f t="shared" si="5"/>
        <v>0</v>
      </c>
      <c r="Q13" s="36"/>
    </row>
    <row r="14" spans="1:17">
      <c r="A14" s="94"/>
      <c r="B14" s="94"/>
      <c r="C14" s="95"/>
      <c r="D14" s="94"/>
      <c r="E14" s="94"/>
      <c r="F14" s="89"/>
      <c r="G14" s="42"/>
      <c r="H14" s="42"/>
      <c r="I14" s="42"/>
      <c r="J14" s="42"/>
      <c r="K14" s="42">
        <f t="shared" si="0"/>
        <v>0</v>
      </c>
      <c r="L14" s="42">
        <f>ROUND(J14/118.7*121,0)</f>
        <v>0</v>
      </c>
      <c r="M14" s="97">
        <f t="shared" si="1"/>
        <v>0</v>
      </c>
      <c r="N14" s="97">
        <f t="shared" si="7"/>
        <v>0</v>
      </c>
      <c r="O14" s="97">
        <f t="shared" si="4"/>
        <v>0</v>
      </c>
      <c r="P14" s="97">
        <f t="shared" si="5"/>
        <v>0</v>
      </c>
    </row>
    <row r="15" spans="1:17">
      <c r="A15" s="94" t="s">
        <v>32</v>
      </c>
      <c r="B15" s="94" t="s">
        <v>33</v>
      </c>
      <c r="C15" s="95" t="s">
        <v>283</v>
      </c>
      <c r="D15" s="94" t="s">
        <v>102</v>
      </c>
      <c r="E15" s="94" t="s">
        <v>34</v>
      </c>
      <c r="F15" s="89"/>
      <c r="G15" s="42">
        <v>271251</v>
      </c>
      <c r="H15" s="42">
        <v>0</v>
      </c>
      <c r="I15" s="42">
        <f>ROUND(G15/123.1*127.1,0)</f>
        <v>280065</v>
      </c>
      <c r="J15" s="42">
        <f>ROUND(H15/117.5*118.7,0)</f>
        <v>0</v>
      </c>
      <c r="K15" s="42">
        <f t="shared" si="0"/>
        <v>298795</v>
      </c>
      <c r="L15" s="42">
        <f>ROUND(J15/118.7*121,0)</f>
        <v>0</v>
      </c>
      <c r="M15" s="97">
        <f t="shared" si="1"/>
        <v>321271</v>
      </c>
      <c r="N15" s="97">
        <f t="shared" si="7"/>
        <v>0</v>
      </c>
      <c r="O15" s="97">
        <f t="shared" si="4"/>
        <v>337357</v>
      </c>
      <c r="P15" s="97">
        <f t="shared" si="5"/>
        <v>0</v>
      </c>
      <c r="Q15" s="10" t="s">
        <v>136</v>
      </c>
    </row>
    <row r="16" spans="1:17">
      <c r="A16" s="94" t="s">
        <v>173</v>
      </c>
      <c r="B16" s="94" t="s">
        <v>35</v>
      </c>
      <c r="C16" s="95">
        <v>15</v>
      </c>
      <c r="D16" s="94" t="s">
        <v>104</v>
      </c>
      <c r="E16" s="94" t="s">
        <v>34</v>
      </c>
      <c r="F16" s="89"/>
      <c r="G16" s="42">
        <v>104635</v>
      </c>
      <c r="H16" s="42">
        <v>0</v>
      </c>
      <c r="I16" s="42">
        <f>ROUND(G16/123.1*127.1,0)</f>
        <v>108035</v>
      </c>
      <c r="J16" s="42">
        <f>ROUND(H16/117.5*118.7,0)</f>
        <v>0</v>
      </c>
      <c r="K16" s="42">
        <f t="shared" si="0"/>
        <v>115260</v>
      </c>
      <c r="L16" s="42">
        <f>ROUND(J16/118.7*121,0)</f>
        <v>0</v>
      </c>
      <c r="M16" s="97">
        <f t="shared" si="1"/>
        <v>123930</v>
      </c>
      <c r="N16" s="97">
        <f t="shared" si="7"/>
        <v>0</v>
      </c>
      <c r="O16" s="97">
        <f t="shared" si="4"/>
        <v>130135</v>
      </c>
      <c r="P16" s="97">
        <f t="shared" si="5"/>
        <v>0</v>
      </c>
      <c r="Q16" s="10" t="s">
        <v>133</v>
      </c>
    </row>
    <row r="17" spans="1:17">
      <c r="A17" s="94" t="s">
        <v>187</v>
      </c>
      <c r="B17" s="94" t="s">
        <v>36</v>
      </c>
      <c r="C17" s="95">
        <v>2</v>
      </c>
      <c r="D17" s="94" t="s">
        <v>103</v>
      </c>
      <c r="E17" s="94" t="s">
        <v>34</v>
      </c>
      <c r="F17" s="89" t="s">
        <v>321</v>
      </c>
      <c r="G17" s="42">
        <v>517020</v>
      </c>
      <c r="H17" s="42">
        <v>57279</v>
      </c>
      <c r="I17" s="42">
        <f>ROUND(G17/123.1*127.1,0)</f>
        <v>533820</v>
      </c>
      <c r="J17" s="42">
        <f>ROUND(H17/117.5*118.7,0)</f>
        <v>57864</v>
      </c>
      <c r="K17" s="42">
        <f t="shared" si="0"/>
        <v>569520</v>
      </c>
      <c r="L17" s="74">
        <v>95000</v>
      </c>
      <c r="M17" s="97">
        <f t="shared" si="1"/>
        <v>612360</v>
      </c>
      <c r="N17" s="97">
        <f>ROUND(L17/122.2*122.9,0)</f>
        <v>95544</v>
      </c>
      <c r="O17" s="97">
        <f t="shared" si="4"/>
        <v>643020</v>
      </c>
      <c r="P17" s="97">
        <f t="shared" si="5"/>
        <v>95699</v>
      </c>
      <c r="Q17" s="10" t="s">
        <v>133</v>
      </c>
    </row>
    <row r="18" spans="1:17" ht="13.5" customHeight="1">
      <c r="A18" s="94" t="s">
        <v>125</v>
      </c>
      <c r="B18" s="94" t="s">
        <v>36</v>
      </c>
      <c r="C18" s="95">
        <v>4</v>
      </c>
      <c r="D18" s="94" t="s">
        <v>103</v>
      </c>
      <c r="E18" s="94" t="s">
        <v>34</v>
      </c>
      <c r="F18" s="89" t="s">
        <v>264</v>
      </c>
      <c r="G18" s="42">
        <v>2422726</v>
      </c>
      <c r="H18" s="74">
        <v>750000</v>
      </c>
      <c r="I18" s="42">
        <f>ROUND(G18/123.1*127.1,0)</f>
        <v>2501450</v>
      </c>
      <c r="J18" s="42">
        <f>ROUND(H18/118.2*118.7,0)</f>
        <v>753173</v>
      </c>
      <c r="K18" s="42">
        <f t="shared" si="0"/>
        <v>2668738</v>
      </c>
      <c r="L18" s="42">
        <f>ROUND(J18/118.7*121,0)</f>
        <v>767767</v>
      </c>
      <c r="M18" s="97">
        <f t="shared" si="1"/>
        <v>2869484</v>
      </c>
      <c r="N18" s="97">
        <f>ROUND(L18/121*122.9,0)</f>
        <v>779823</v>
      </c>
      <c r="O18" s="97">
        <f t="shared" si="4"/>
        <v>3013155</v>
      </c>
      <c r="P18" s="97">
        <f t="shared" si="5"/>
        <v>781092</v>
      </c>
      <c r="Q18" s="10" t="s">
        <v>133</v>
      </c>
    </row>
    <row r="19" spans="1:17">
      <c r="A19" s="94" t="s">
        <v>203</v>
      </c>
      <c r="B19" s="94" t="s">
        <v>72</v>
      </c>
      <c r="C19" s="95">
        <v>30</v>
      </c>
      <c r="D19" s="94" t="s">
        <v>73</v>
      </c>
      <c r="E19" s="94" t="s">
        <v>34</v>
      </c>
      <c r="F19" s="89"/>
      <c r="G19" s="42">
        <v>30521</v>
      </c>
      <c r="H19" s="42">
        <v>0</v>
      </c>
      <c r="I19" s="42">
        <f>ROUND(G19/123.1*127.1,0)</f>
        <v>31513</v>
      </c>
      <c r="J19" s="42">
        <f>ROUND(H19/117.5*118.7,0)</f>
        <v>0</v>
      </c>
      <c r="K19" s="42">
        <f t="shared" si="0"/>
        <v>33620</v>
      </c>
      <c r="L19" s="42">
        <f>ROUND(J19/118.7*121,0)</f>
        <v>0</v>
      </c>
      <c r="M19" s="97">
        <f t="shared" si="1"/>
        <v>36149</v>
      </c>
      <c r="N19" s="97">
        <f>ROUND(L19/121*122.9,0)</f>
        <v>0</v>
      </c>
      <c r="O19" s="97">
        <f t="shared" si="4"/>
        <v>37959</v>
      </c>
      <c r="P19" s="97">
        <f t="shared" si="5"/>
        <v>0</v>
      </c>
    </row>
    <row r="20" spans="1:17">
      <c r="A20" s="94"/>
      <c r="B20" s="94"/>
      <c r="C20" s="95"/>
      <c r="D20" s="94"/>
      <c r="E20" s="94"/>
      <c r="F20" s="89"/>
      <c r="G20" s="42"/>
      <c r="H20" s="42"/>
      <c r="I20" s="42"/>
      <c r="J20" s="42"/>
      <c r="K20" s="42">
        <f t="shared" si="0"/>
        <v>0</v>
      </c>
      <c r="L20" s="42">
        <f>ROUND(J20/118.7*121,0)</f>
        <v>0</v>
      </c>
      <c r="M20" s="97">
        <f t="shared" si="1"/>
        <v>0</v>
      </c>
      <c r="N20" s="97">
        <f>ROUND(L20/121*122.9,0)</f>
        <v>0</v>
      </c>
      <c r="O20" s="97">
        <f t="shared" si="4"/>
        <v>0</v>
      </c>
      <c r="P20" s="97">
        <f t="shared" si="5"/>
        <v>0</v>
      </c>
    </row>
    <row r="21" spans="1:17">
      <c r="A21" s="94" t="s">
        <v>106</v>
      </c>
      <c r="B21" s="94" t="s">
        <v>172</v>
      </c>
      <c r="C21" s="95">
        <v>28</v>
      </c>
      <c r="D21" s="94" t="s">
        <v>105</v>
      </c>
      <c r="E21" s="94" t="s">
        <v>21</v>
      </c>
      <c r="F21" s="89" t="s">
        <v>311</v>
      </c>
      <c r="G21" s="42">
        <v>1258944</v>
      </c>
      <c r="H21" s="42">
        <v>52221</v>
      </c>
      <c r="I21" s="42">
        <f>ROUND(G21/123.1*127.1,0)</f>
        <v>1299852</v>
      </c>
      <c r="J21" s="42">
        <f>ROUND(H21/117.5*118.7,0)</f>
        <v>52754</v>
      </c>
      <c r="K21" s="42">
        <f t="shared" si="0"/>
        <v>1386782</v>
      </c>
      <c r="L21" s="74">
        <v>205000</v>
      </c>
      <c r="M21" s="97">
        <f t="shared" si="1"/>
        <v>1491097</v>
      </c>
      <c r="N21" s="97">
        <f>ROUND(L21/122.2*122.9,0)</f>
        <v>206174</v>
      </c>
      <c r="O21" s="97">
        <f t="shared" si="4"/>
        <v>1565754</v>
      </c>
      <c r="P21" s="97">
        <f t="shared" si="5"/>
        <v>206510</v>
      </c>
      <c r="Q21" s="10" t="s">
        <v>133</v>
      </c>
    </row>
    <row r="22" spans="1:17">
      <c r="A22" s="94" t="s">
        <v>123</v>
      </c>
      <c r="B22" s="94" t="s">
        <v>33</v>
      </c>
      <c r="C22" s="95">
        <v>5</v>
      </c>
      <c r="D22" s="94" t="s">
        <v>107</v>
      </c>
      <c r="E22" s="94" t="s">
        <v>21</v>
      </c>
      <c r="F22" s="89" t="s">
        <v>264</v>
      </c>
      <c r="G22" s="42">
        <v>2250618</v>
      </c>
      <c r="H22" s="74">
        <v>315000</v>
      </c>
      <c r="I22" s="42">
        <f>ROUND(G22/123.1*127.1,0)</f>
        <v>2323749</v>
      </c>
      <c r="J22" s="42">
        <f>ROUND(H22/118.2*118.7,0)</f>
        <v>316332</v>
      </c>
      <c r="K22" s="42">
        <f t="shared" si="0"/>
        <v>2479153</v>
      </c>
      <c r="L22" s="42">
        <f>ROUND(J22/118.7*121,0)</f>
        <v>322461</v>
      </c>
      <c r="M22" s="97">
        <f t="shared" si="1"/>
        <v>2665638</v>
      </c>
      <c r="N22" s="97">
        <f>ROUND(L22/121*122.9,0)</f>
        <v>327524</v>
      </c>
      <c r="O22" s="97">
        <f t="shared" si="4"/>
        <v>2799103</v>
      </c>
      <c r="P22" s="97">
        <f t="shared" si="5"/>
        <v>328057</v>
      </c>
      <c r="Q22" s="10" t="s">
        <v>133</v>
      </c>
    </row>
    <row r="23" spans="1:17">
      <c r="A23" s="94"/>
      <c r="B23" s="94"/>
      <c r="C23" s="95"/>
      <c r="D23" s="94"/>
      <c r="E23" s="94"/>
      <c r="F23" s="89"/>
      <c r="G23" s="42"/>
      <c r="H23" s="42"/>
      <c r="I23" s="42"/>
      <c r="J23" s="42"/>
      <c r="K23" s="42">
        <f t="shared" si="0"/>
        <v>0</v>
      </c>
      <c r="L23" s="42">
        <f>ROUND(J23/118.7*121,0)</f>
        <v>0</v>
      </c>
      <c r="M23" s="97">
        <f t="shared" si="1"/>
        <v>0</v>
      </c>
      <c r="N23" s="97">
        <f>ROUND(L23/121*122.9,0)</f>
        <v>0</v>
      </c>
      <c r="O23" s="97">
        <f t="shared" si="4"/>
        <v>0</v>
      </c>
      <c r="P23" s="97">
        <f t="shared" si="5"/>
        <v>0</v>
      </c>
    </row>
    <row r="24" spans="1:17">
      <c r="A24" s="94" t="s">
        <v>38</v>
      </c>
      <c r="B24" s="94" t="s">
        <v>39</v>
      </c>
      <c r="C24" s="95" t="s">
        <v>284</v>
      </c>
      <c r="D24" s="94" t="s">
        <v>108</v>
      </c>
      <c r="E24" s="94" t="s">
        <v>27</v>
      </c>
      <c r="F24" s="92" t="s">
        <v>293</v>
      </c>
      <c r="G24" s="42">
        <v>805407</v>
      </c>
      <c r="H24" s="42">
        <v>0</v>
      </c>
      <c r="I24" s="42">
        <f t="shared" ref="I24:I34" si="8">ROUND(G24/123.1*127.1,0)</f>
        <v>831578</v>
      </c>
      <c r="J24" s="42">
        <f t="shared" ref="J24:J27" si="9">ROUND(H24/117.5*118.7,0)</f>
        <v>0</v>
      </c>
      <c r="K24" s="42">
        <f t="shared" si="0"/>
        <v>887191</v>
      </c>
      <c r="L24" s="42">
        <f>ROUND(J24/118.7*121,0)</f>
        <v>0</v>
      </c>
      <c r="M24" s="97">
        <v>900000</v>
      </c>
      <c r="N24" s="97">
        <f>ROUND(L24/121*122.9,0)</f>
        <v>0</v>
      </c>
      <c r="O24" s="97">
        <f t="shared" si="4"/>
        <v>945062</v>
      </c>
      <c r="P24" s="97">
        <f t="shared" si="5"/>
        <v>0</v>
      </c>
      <c r="Q24" s="10" t="s">
        <v>136</v>
      </c>
    </row>
    <row r="25" spans="1:17">
      <c r="A25" s="94" t="s">
        <v>188</v>
      </c>
      <c r="B25" s="94" t="s">
        <v>341</v>
      </c>
      <c r="C25" s="95">
        <v>2</v>
      </c>
      <c r="D25" s="94" t="s">
        <v>109</v>
      </c>
      <c r="E25" s="94" t="s">
        <v>27</v>
      </c>
      <c r="F25" s="89" t="s">
        <v>366</v>
      </c>
      <c r="G25" s="42">
        <v>5816475</v>
      </c>
      <c r="H25" s="42">
        <v>132518</v>
      </c>
      <c r="I25" s="42">
        <f t="shared" si="8"/>
        <v>6005475</v>
      </c>
      <c r="J25" s="42">
        <f t="shared" si="9"/>
        <v>133871</v>
      </c>
      <c r="K25" s="42">
        <f t="shared" si="0"/>
        <v>6407100</v>
      </c>
      <c r="L25" s="74">
        <v>240000</v>
      </c>
      <c r="M25" s="97">
        <v>6575000</v>
      </c>
      <c r="N25" s="97">
        <f>ROUND(L25/122.2*122.9,0)</f>
        <v>241375</v>
      </c>
      <c r="O25" s="97">
        <f t="shared" si="4"/>
        <v>6904201</v>
      </c>
      <c r="P25" s="97">
        <f t="shared" si="5"/>
        <v>241768</v>
      </c>
      <c r="Q25" s="11" t="s">
        <v>133</v>
      </c>
    </row>
    <row r="26" spans="1:17">
      <c r="A26" s="94" t="s">
        <v>239</v>
      </c>
      <c r="B26" s="94" t="s">
        <v>240</v>
      </c>
      <c r="C26" s="126" t="s">
        <v>30</v>
      </c>
      <c r="D26" s="94" t="s">
        <v>109</v>
      </c>
      <c r="E26" s="94" t="s">
        <v>27</v>
      </c>
      <c r="F26" s="92" t="s">
        <v>345</v>
      </c>
      <c r="G26" s="42">
        <v>264000</v>
      </c>
      <c r="H26" s="42">
        <v>0</v>
      </c>
      <c r="I26" s="42">
        <f t="shared" si="8"/>
        <v>272578</v>
      </c>
      <c r="J26" s="42">
        <f t="shared" si="9"/>
        <v>0</v>
      </c>
      <c r="K26" s="42">
        <f t="shared" si="0"/>
        <v>290807</v>
      </c>
      <c r="L26" s="42">
        <f t="shared" ref="L26:L34" si="10">ROUND(J26/118.7*121,0)</f>
        <v>0</v>
      </c>
      <c r="M26" s="97">
        <v>885000</v>
      </c>
      <c r="N26" s="97">
        <f t="shared" ref="N26:N36" si="11">ROUND(L26/121*122.9,0)</f>
        <v>0</v>
      </c>
      <c r="O26" s="97">
        <f t="shared" si="4"/>
        <v>929311</v>
      </c>
      <c r="P26" s="97">
        <f t="shared" si="5"/>
        <v>0</v>
      </c>
    </row>
    <row r="27" spans="1:17" s="2" customFormat="1">
      <c r="A27" s="94" t="s">
        <v>141</v>
      </c>
      <c r="B27" s="94" t="s">
        <v>147</v>
      </c>
      <c r="C27" s="95" t="s">
        <v>148</v>
      </c>
      <c r="D27" s="94" t="s">
        <v>149</v>
      </c>
      <c r="E27" s="94" t="s">
        <v>27</v>
      </c>
      <c r="F27" s="93" t="s">
        <v>349</v>
      </c>
      <c r="G27" s="42">
        <v>33237</v>
      </c>
      <c r="H27" s="42">
        <v>0</v>
      </c>
      <c r="I27" s="42">
        <f t="shared" si="8"/>
        <v>34317</v>
      </c>
      <c r="J27" s="42">
        <f t="shared" si="9"/>
        <v>0</v>
      </c>
      <c r="K27" s="42">
        <f t="shared" si="0"/>
        <v>36612</v>
      </c>
      <c r="L27" s="42">
        <f t="shared" si="10"/>
        <v>0</v>
      </c>
      <c r="M27" s="97">
        <v>35000</v>
      </c>
      <c r="N27" s="97">
        <f t="shared" si="11"/>
        <v>0</v>
      </c>
      <c r="O27" s="97">
        <f t="shared" si="4"/>
        <v>36752</v>
      </c>
      <c r="P27" s="97">
        <f t="shared" si="5"/>
        <v>0</v>
      </c>
      <c r="Q27" s="11" t="s">
        <v>143</v>
      </c>
    </row>
    <row r="28" spans="1:17">
      <c r="A28" s="94" t="s">
        <v>261</v>
      </c>
      <c r="B28" s="94" t="s">
        <v>112</v>
      </c>
      <c r="C28" s="95">
        <v>1</v>
      </c>
      <c r="D28" s="94" t="s">
        <v>111</v>
      </c>
      <c r="E28" s="94" t="s">
        <v>27</v>
      </c>
      <c r="F28" s="89" t="s">
        <v>367</v>
      </c>
      <c r="G28" s="42">
        <v>1473028</v>
      </c>
      <c r="H28" s="74">
        <v>315000</v>
      </c>
      <c r="I28" s="42">
        <f t="shared" si="8"/>
        <v>1520892</v>
      </c>
      <c r="J28" s="42">
        <f>ROUND(H28/118.2*118.7,0)</f>
        <v>316332</v>
      </c>
      <c r="K28" s="42">
        <f t="shared" si="0"/>
        <v>1622604</v>
      </c>
      <c r="L28" s="42">
        <f t="shared" si="10"/>
        <v>322461</v>
      </c>
      <c r="M28" s="97">
        <v>2000000</v>
      </c>
      <c r="N28" s="97">
        <f t="shared" si="11"/>
        <v>327524</v>
      </c>
      <c r="O28" s="97">
        <f t="shared" si="4"/>
        <v>2100137</v>
      </c>
      <c r="P28" s="97">
        <f t="shared" si="5"/>
        <v>328057</v>
      </c>
      <c r="Q28" s="11" t="s">
        <v>133</v>
      </c>
    </row>
    <row r="29" spans="1:17" s="35" customFormat="1">
      <c r="A29" s="125" t="s">
        <v>118</v>
      </c>
      <c r="B29" s="125" t="s">
        <v>44</v>
      </c>
      <c r="C29" s="126">
        <v>23</v>
      </c>
      <c r="D29" s="125" t="s">
        <v>113</v>
      </c>
      <c r="E29" s="125" t="s">
        <v>27</v>
      </c>
      <c r="F29" s="93" t="s">
        <v>368</v>
      </c>
      <c r="G29" s="114">
        <v>3054623</v>
      </c>
      <c r="H29" s="114">
        <v>700000</v>
      </c>
      <c r="I29" s="114">
        <f t="shared" si="8"/>
        <v>3153880</v>
      </c>
      <c r="J29" s="114">
        <v>975000</v>
      </c>
      <c r="K29" s="42">
        <f t="shared" si="0"/>
        <v>3364800</v>
      </c>
      <c r="L29" s="42">
        <f t="shared" si="10"/>
        <v>993892</v>
      </c>
      <c r="M29" s="97">
        <v>3660000</v>
      </c>
      <c r="N29" s="97">
        <f t="shared" si="11"/>
        <v>1009499</v>
      </c>
      <c r="O29" s="97">
        <f t="shared" si="4"/>
        <v>3843251</v>
      </c>
      <c r="P29" s="97">
        <f t="shared" si="5"/>
        <v>1011142</v>
      </c>
      <c r="Q29" s="36" t="s">
        <v>133</v>
      </c>
    </row>
    <row r="30" spans="1:17" s="35" customFormat="1">
      <c r="A30" s="125" t="s">
        <v>119</v>
      </c>
      <c r="B30" s="125" t="s">
        <v>31</v>
      </c>
      <c r="C30" s="126">
        <v>9</v>
      </c>
      <c r="D30" s="125" t="s">
        <v>114</v>
      </c>
      <c r="E30" s="125" t="s">
        <v>27</v>
      </c>
      <c r="F30" s="91" t="s">
        <v>369</v>
      </c>
      <c r="G30" s="114">
        <v>1883457</v>
      </c>
      <c r="H30" s="114">
        <v>450000</v>
      </c>
      <c r="I30" s="114">
        <f t="shared" si="8"/>
        <v>1944658</v>
      </c>
      <c r="J30" s="114">
        <f>ROUND(H30/118.2*118.7,0)</f>
        <v>451904</v>
      </c>
      <c r="K30" s="42">
        <f t="shared" si="0"/>
        <v>2074710</v>
      </c>
      <c r="L30" s="42">
        <f t="shared" si="10"/>
        <v>460660</v>
      </c>
      <c r="M30" s="97">
        <v>2550000</v>
      </c>
      <c r="N30" s="97">
        <f t="shared" si="11"/>
        <v>467894</v>
      </c>
      <c r="O30" s="97">
        <f t="shared" si="4"/>
        <v>2677675</v>
      </c>
      <c r="P30" s="97">
        <f t="shared" si="5"/>
        <v>468655</v>
      </c>
      <c r="Q30" s="36" t="s">
        <v>133</v>
      </c>
    </row>
    <row r="31" spans="1:17" s="35" customFormat="1">
      <c r="A31" s="125" t="s">
        <v>129</v>
      </c>
      <c r="B31" s="125" t="s">
        <v>45</v>
      </c>
      <c r="C31" s="127" t="s">
        <v>46</v>
      </c>
      <c r="D31" s="125" t="s">
        <v>115</v>
      </c>
      <c r="E31" s="125" t="s">
        <v>27</v>
      </c>
      <c r="F31" s="93" t="s">
        <v>296</v>
      </c>
      <c r="G31" s="114">
        <v>21960000</v>
      </c>
      <c r="H31" s="114">
        <v>0</v>
      </c>
      <c r="I31" s="114">
        <f t="shared" si="8"/>
        <v>22673566</v>
      </c>
      <c r="J31" s="114"/>
      <c r="K31" s="42">
        <f t="shared" si="0"/>
        <v>24189894</v>
      </c>
      <c r="L31" s="42">
        <f t="shared" si="10"/>
        <v>0</v>
      </c>
      <c r="M31" s="97">
        <v>23875000</v>
      </c>
      <c r="N31" s="97">
        <f t="shared" si="11"/>
        <v>0</v>
      </c>
      <c r="O31" s="97">
        <f>ROUND(M31/145.8*153.1,0)+147323</f>
        <v>25217711</v>
      </c>
      <c r="P31" s="97">
        <f t="shared" si="5"/>
        <v>0</v>
      </c>
      <c r="Q31" s="36" t="s">
        <v>133</v>
      </c>
    </row>
    <row r="32" spans="1:17" s="35" customFormat="1">
      <c r="A32" s="125" t="s">
        <v>129</v>
      </c>
      <c r="B32" s="125" t="s">
        <v>45</v>
      </c>
      <c r="C32" s="127" t="s">
        <v>46</v>
      </c>
      <c r="D32" s="125" t="s">
        <v>115</v>
      </c>
      <c r="E32" s="125" t="s">
        <v>27</v>
      </c>
      <c r="F32" s="93" t="s">
        <v>296</v>
      </c>
      <c r="G32" s="114">
        <v>0</v>
      </c>
      <c r="H32" s="114">
        <v>6000000</v>
      </c>
      <c r="I32" s="114">
        <f t="shared" si="8"/>
        <v>0</v>
      </c>
      <c r="J32" s="114">
        <f>ROUND(H32/118.2*118.7,0)</f>
        <v>6025381</v>
      </c>
      <c r="K32" s="42">
        <f t="shared" si="0"/>
        <v>0</v>
      </c>
      <c r="L32" s="42">
        <f t="shared" si="10"/>
        <v>6142132</v>
      </c>
      <c r="M32" s="97">
        <v>500000</v>
      </c>
      <c r="N32" s="97">
        <f t="shared" si="11"/>
        <v>6238579</v>
      </c>
      <c r="O32" s="97">
        <f t="shared" si="4"/>
        <v>525034</v>
      </c>
      <c r="P32" s="97">
        <f t="shared" si="5"/>
        <v>6248731</v>
      </c>
      <c r="Q32" s="36" t="s">
        <v>133</v>
      </c>
    </row>
    <row r="33" spans="1:17">
      <c r="A33" s="94" t="s">
        <v>276</v>
      </c>
      <c r="B33" s="94" t="s">
        <v>63</v>
      </c>
      <c r="C33" s="95" t="s">
        <v>67</v>
      </c>
      <c r="D33" s="94" t="s">
        <v>110</v>
      </c>
      <c r="E33" s="94" t="s">
        <v>27</v>
      </c>
      <c r="F33" s="93" t="s">
        <v>303</v>
      </c>
      <c r="G33" s="97">
        <v>994672</v>
      </c>
      <c r="H33" s="97">
        <v>79338</v>
      </c>
      <c r="I33" s="97">
        <f t="shared" si="8"/>
        <v>1026993</v>
      </c>
      <c r="J33" s="97"/>
      <c r="K33" s="42">
        <f t="shared" si="0"/>
        <v>1095675</v>
      </c>
      <c r="L33" s="42">
        <f t="shared" si="10"/>
        <v>0</v>
      </c>
      <c r="M33" s="97">
        <v>1300000</v>
      </c>
      <c r="N33" s="97">
        <f t="shared" si="11"/>
        <v>0</v>
      </c>
      <c r="O33" s="97">
        <f t="shared" si="4"/>
        <v>1365089</v>
      </c>
      <c r="P33" s="97">
        <f t="shared" si="5"/>
        <v>0</v>
      </c>
      <c r="Q33" s="11" t="s">
        <v>133</v>
      </c>
    </row>
    <row r="34" spans="1:17">
      <c r="A34" s="94" t="s">
        <v>277</v>
      </c>
      <c r="B34" s="94" t="s">
        <v>63</v>
      </c>
      <c r="C34" s="95" t="s">
        <v>68</v>
      </c>
      <c r="D34" s="94" t="s">
        <v>110</v>
      </c>
      <c r="E34" s="94" t="s">
        <v>27</v>
      </c>
      <c r="F34" s="93" t="s">
        <v>300</v>
      </c>
      <c r="G34" s="97">
        <v>7008169</v>
      </c>
      <c r="H34" s="97">
        <v>407455</v>
      </c>
      <c r="I34" s="97">
        <f t="shared" si="8"/>
        <v>7235892</v>
      </c>
      <c r="J34" s="97"/>
      <c r="K34" s="42">
        <f t="shared" si="0"/>
        <v>7719803</v>
      </c>
      <c r="L34" s="42">
        <f t="shared" si="10"/>
        <v>0</v>
      </c>
      <c r="M34" s="97">
        <v>5380000</v>
      </c>
      <c r="N34" s="97">
        <f t="shared" si="11"/>
        <v>0</v>
      </c>
      <c r="O34" s="97">
        <f t="shared" si="4"/>
        <v>5649369</v>
      </c>
      <c r="P34" s="97">
        <f t="shared" si="5"/>
        <v>0</v>
      </c>
      <c r="Q34" s="11" t="s">
        <v>133</v>
      </c>
    </row>
    <row r="35" spans="1:17" s="119" customFormat="1">
      <c r="A35" s="94" t="s">
        <v>277</v>
      </c>
      <c r="B35" s="94" t="s">
        <v>63</v>
      </c>
      <c r="C35" s="95" t="s">
        <v>278</v>
      </c>
      <c r="D35" s="94" t="s">
        <v>110</v>
      </c>
      <c r="E35" s="94" t="s">
        <v>27</v>
      </c>
      <c r="F35" s="92" t="s">
        <v>279</v>
      </c>
      <c r="G35" s="107"/>
      <c r="H35" s="107"/>
      <c r="I35" s="97"/>
      <c r="J35" s="97">
        <v>1500000</v>
      </c>
      <c r="K35" s="42">
        <f t="shared" si="0"/>
        <v>0</v>
      </c>
      <c r="L35" s="42">
        <f>ROUND(J35/119.9*121,0)</f>
        <v>1513761</v>
      </c>
      <c r="M35" s="97">
        <f t="shared" si="1"/>
        <v>0</v>
      </c>
      <c r="N35" s="97">
        <f t="shared" si="11"/>
        <v>1537531</v>
      </c>
      <c r="O35" s="97">
        <f t="shared" si="4"/>
        <v>0</v>
      </c>
      <c r="P35" s="97">
        <f t="shared" si="5"/>
        <v>1540033</v>
      </c>
      <c r="Q35" s="11" t="s">
        <v>133</v>
      </c>
    </row>
    <row r="36" spans="1:17" s="119" customFormat="1">
      <c r="A36" s="94" t="s">
        <v>270</v>
      </c>
      <c r="B36" s="94" t="s">
        <v>285</v>
      </c>
      <c r="C36" s="95">
        <v>24</v>
      </c>
      <c r="D36" s="94" t="s">
        <v>286</v>
      </c>
      <c r="E36" s="94" t="s">
        <v>27</v>
      </c>
      <c r="F36" s="94"/>
      <c r="G36" s="120"/>
      <c r="H36" s="120"/>
      <c r="I36" s="120"/>
      <c r="J36" s="120"/>
      <c r="K36" s="124">
        <v>875000</v>
      </c>
      <c r="L36" s="120"/>
      <c r="M36" s="97">
        <f t="shared" si="1"/>
        <v>940819</v>
      </c>
      <c r="N36" s="97">
        <f t="shared" si="11"/>
        <v>0</v>
      </c>
      <c r="O36" s="97">
        <f t="shared" si="4"/>
        <v>987924</v>
      </c>
      <c r="P36" s="97">
        <f t="shared" si="5"/>
        <v>0</v>
      </c>
      <c r="Q36" s="121"/>
    </row>
    <row r="37" spans="1:17">
      <c r="A37" s="5"/>
      <c r="B37" s="5"/>
      <c r="C37" s="6"/>
      <c r="D37" s="5"/>
      <c r="E37" s="5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7" ht="13.5" thickBot="1">
      <c r="A38" s="7"/>
      <c r="B38" s="5"/>
      <c r="C38" s="6"/>
      <c r="D38" s="5"/>
      <c r="E38" s="1" t="s">
        <v>59</v>
      </c>
      <c r="F38" s="15"/>
      <c r="G38" s="49">
        <v>59391062</v>
      </c>
      <c r="H38" s="49">
        <v>11642808</v>
      </c>
      <c r="I38" s="49">
        <f>SUM(I4:I35)</f>
        <v>58204280</v>
      </c>
      <c r="J38" s="49">
        <f>SUM(J4:J35)</f>
        <v>12276417</v>
      </c>
      <c r="K38" s="49">
        <f t="shared" ref="K38:P38" si="12">SUM(K4:K36)</f>
        <v>62971776</v>
      </c>
      <c r="L38" s="49">
        <f t="shared" si="12"/>
        <v>12741077</v>
      </c>
      <c r="M38" s="49">
        <f t="shared" si="12"/>
        <v>64092155</v>
      </c>
      <c r="N38" s="49">
        <f t="shared" si="12"/>
        <v>12972910</v>
      </c>
      <c r="O38" s="49">
        <f t="shared" si="12"/>
        <v>67448481</v>
      </c>
      <c r="P38" s="49">
        <f t="shared" si="12"/>
        <v>12994020</v>
      </c>
    </row>
    <row r="39" spans="1:17" ht="13.5" thickTop="1"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7">
      <c r="G40" s="52">
        <v>71033870</v>
      </c>
      <c r="H40" s="51"/>
      <c r="I40" s="52">
        <f>I38+J38</f>
        <v>70480697</v>
      </c>
      <c r="J40" s="51"/>
      <c r="K40" s="52">
        <f>K38+L38</f>
        <v>75712853</v>
      </c>
      <c r="L40" s="51"/>
      <c r="M40" s="52">
        <f>M38+N38</f>
        <v>77065065</v>
      </c>
      <c r="N40" s="51"/>
      <c r="O40" s="52">
        <f>O38+P38</f>
        <v>80442501</v>
      </c>
      <c r="P40" s="51"/>
    </row>
    <row r="42" spans="1:17" s="2" customFormat="1">
      <c r="A42" s="2" t="s">
        <v>248</v>
      </c>
      <c r="C42" s="83"/>
      <c r="Q42" s="11"/>
    </row>
    <row r="43" spans="1:17" s="2" customFormat="1">
      <c r="A43" s="2" t="s">
        <v>252</v>
      </c>
      <c r="C43" s="83"/>
      <c r="L43" s="137"/>
      <c r="M43" s="137"/>
      <c r="N43" s="137"/>
      <c r="O43" s="137"/>
      <c r="P43" s="137"/>
      <c r="Q43" s="11"/>
    </row>
    <row r="44" spans="1:17">
      <c r="A44" s="2" t="s">
        <v>263</v>
      </c>
    </row>
    <row r="45" spans="1:17">
      <c r="A45" s="101" t="s">
        <v>269</v>
      </c>
      <c r="B45" s="101"/>
    </row>
    <row r="46" spans="1:17">
      <c r="A46" s="101" t="s">
        <v>275</v>
      </c>
      <c r="B46" s="101"/>
    </row>
    <row r="47" spans="1:17" s="101" customFormat="1">
      <c r="A47" s="101" t="s">
        <v>316</v>
      </c>
      <c r="C47" s="138"/>
      <c r="Q47" s="122"/>
    </row>
    <row r="48" spans="1:17" s="101" customFormat="1">
      <c r="A48" s="101" t="s">
        <v>317</v>
      </c>
      <c r="C48" s="138"/>
      <c r="Q48" s="122"/>
    </row>
    <row r="49" spans="1:17" s="101" customFormat="1" ht="14.25" customHeight="1">
      <c r="A49" s="101" t="s">
        <v>320</v>
      </c>
      <c r="C49" s="138"/>
      <c r="Q49" s="122"/>
    </row>
    <row r="50" spans="1:17" s="101" customFormat="1" ht="14.25" customHeight="1">
      <c r="A50" s="101" t="s">
        <v>322</v>
      </c>
      <c r="C50" s="138"/>
      <c r="Q50" s="122"/>
    </row>
    <row r="51" spans="1:17" s="101" customFormat="1" ht="14.25" customHeight="1">
      <c r="A51" s="101" t="s">
        <v>324</v>
      </c>
      <c r="C51" s="138"/>
      <c r="Q51" s="122"/>
    </row>
    <row r="52" spans="1:17" s="101" customFormat="1" ht="14.25" customHeight="1">
      <c r="A52" s="101" t="s">
        <v>325</v>
      </c>
      <c r="C52" s="138"/>
      <c r="Q52" s="122"/>
    </row>
    <row r="53" spans="1:17" s="101" customFormat="1">
      <c r="A53" s="101" t="s">
        <v>342</v>
      </c>
      <c r="C53" s="138"/>
      <c r="Q53" s="122"/>
    </row>
    <row r="54" spans="1:17" s="101" customFormat="1">
      <c r="A54" s="101" t="s">
        <v>343</v>
      </c>
      <c r="C54" s="138"/>
      <c r="Q54" s="122"/>
    </row>
    <row r="55" spans="1:17" s="101" customFormat="1">
      <c r="A55" s="101" t="s">
        <v>344</v>
      </c>
      <c r="C55" s="138"/>
      <c r="Q55" s="122"/>
    </row>
    <row r="56" spans="1:17" s="101" customFormat="1">
      <c r="A56" s="101" t="s">
        <v>346</v>
      </c>
      <c r="C56" s="138"/>
      <c r="Q56" s="122"/>
    </row>
    <row r="57" spans="1:17" s="101" customFormat="1">
      <c r="A57" s="101" t="s">
        <v>347</v>
      </c>
      <c r="C57" s="138"/>
      <c r="Q57" s="122"/>
    </row>
    <row r="58" spans="1:17" s="101" customFormat="1">
      <c r="A58" s="101" t="s">
        <v>348</v>
      </c>
      <c r="C58" s="138"/>
      <c r="Q58" s="122"/>
    </row>
    <row r="59" spans="1:17" s="101" customFormat="1">
      <c r="A59" s="101" t="s">
        <v>351</v>
      </c>
      <c r="C59" s="138"/>
      <c r="Q59" s="122"/>
    </row>
    <row r="60" spans="1:17" s="101" customFormat="1">
      <c r="A60" s="101" t="s">
        <v>350</v>
      </c>
      <c r="C60" s="138"/>
      <c r="Q60" s="122"/>
    </row>
    <row r="61" spans="1:17" s="101" customFormat="1">
      <c r="A61" s="101" t="s">
        <v>352</v>
      </c>
      <c r="C61" s="138"/>
      <c r="Q61" s="122"/>
    </row>
    <row r="62" spans="1:17" s="101" customFormat="1">
      <c r="A62" s="101" t="s">
        <v>353</v>
      </c>
      <c r="C62" s="138"/>
      <c r="Q62" s="122"/>
    </row>
    <row r="63" spans="1:17" s="101" customFormat="1">
      <c r="C63" s="138"/>
      <c r="Q63" s="122"/>
    </row>
  </sheetData>
  <phoneticPr fontId="0" type="noConversion"/>
  <pageMargins left="0.78740157480314965" right="0.78740157480314965" top="1.7716535433070868" bottom="0.98425196850393704" header="0.51181102362204722" footer="0.51181102362204722"/>
  <pageSetup paperSize="9" scale="83" fitToHeight="2" orientation="landscape" r:id="rId1"/>
  <headerFooter alignWithMargins="0">
    <oddFooter>&amp;L&amp;F &amp;A&amp;C&amp;P&amp;R&amp;D</oddFooter>
  </headerFooter>
  <rowBreaks count="1" manualBreakCount="1">
    <brk id="23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6</vt:i4>
      </vt:variant>
    </vt:vector>
  </HeadingPairs>
  <TitlesOfParts>
    <vt:vector size="10" baseType="lpstr">
      <vt:lpstr>totaal</vt:lpstr>
      <vt:lpstr>Elst</vt:lpstr>
      <vt:lpstr>Heteren</vt:lpstr>
      <vt:lpstr>Valburg </vt:lpstr>
      <vt:lpstr>Elst!Afdrukbereik</vt:lpstr>
      <vt:lpstr>Heteren!Afdrukbereik</vt:lpstr>
      <vt:lpstr>'Valburg '!Afdrukbereik</vt:lpstr>
      <vt:lpstr>Elst!Afdruktitels</vt:lpstr>
      <vt:lpstr>Heteren!Afdruktitels</vt:lpstr>
      <vt:lpstr>'Valburg '!Afdruktitels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Cornelisse</dc:creator>
  <cp:lastModifiedBy>Petra Cornelisse</cp:lastModifiedBy>
  <cp:lastPrinted>2020-07-29T13:08:26Z</cp:lastPrinted>
  <dcterms:created xsi:type="dcterms:W3CDTF">2002-01-17T13:17:36Z</dcterms:created>
  <dcterms:modified xsi:type="dcterms:W3CDTF">2021-01-07T12:33:10Z</dcterms:modified>
</cp:coreProperties>
</file>