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Meridiaan\Aanbesteding 2020_2021\Uitlever\"/>
    </mc:Choice>
  </mc:AlternateContent>
  <xr:revisionPtr revIDLastSave="0" documentId="8_{1B54DBEF-9E7C-4873-B756-2CFB456C5E22}" xr6:coauthVersionLast="45" xr6:coauthVersionMax="45" xr10:uidLastSave="{00000000-0000-0000-0000-000000000000}"/>
  <bookViews>
    <workbookView xWindow="1905" yWindow="1905" windowWidth="21600" windowHeight="11385" firstSheet="5" activeTab="10" xr2:uid="{B49C72D9-0AA3-4890-9274-A3BE44F0E0D2}"/>
  </bookViews>
  <sheets>
    <sheet name="Omreken" sheetId="1" r:id="rId1"/>
    <sheet name="Categorienormen" sheetId="2" r:id="rId2"/>
    <sheet name="Regulier werk" sheetId="3" r:id="rId3"/>
    <sheet name="Ruimten werkdag" sheetId="4" r:id="rId4"/>
    <sheet name="Objectinformatie" sheetId="5" r:id="rId5"/>
    <sheet name="Objecten" sheetId="6" r:id="rId6"/>
    <sheet name="Niet-meewerkende objectleiding" sheetId="7" r:id="rId7"/>
    <sheet name="Totaalblad Objecten" sheetId="8" r:id="rId8"/>
    <sheet name="Afroep" sheetId="9" r:id="rId9"/>
    <sheet name="Afroep incidenteel" sheetId="10" r:id="rId10"/>
    <sheet name="Totaal" sheetId="11" r:id="rId11"/>
  </sheets>
  <definedNames>
    <definedName name="_xlnm.Print_Titles" localSheetId="8">Afroep!$1:$3</definedName>
    <definedName name="_xlnm.Print_Titles" localSheetId="9">'Afroep incidenteel'!$1:$3</definedName>
    <definedName name="_xlnm.Print_Titles" localSheetId="1">Categorienormen!$1:$3</definedName>
    <definedName name="_xlnm.Print_Titles" localSheetId="6">'Niet-meewerkende objectleiding'!$1:$3</definedName>
    <definedName name="_xlnm.Print_Titles" localSheetId="5">Objecten!$1:$3</definedName>
    <definedName name="_xlnm.Print_Titles" localSheetId="4">Objectinformatie!$A:$D,Objectinformatie!$1:$4</definedName>
    <definedName name="_xlnm.Print_Titles" localSheetId="2">'Regulier werk'!$1:$3</definedName>
    <definedName name="_xlnm.Print_Titles" localSheetId="3">'Ruimten werkdag'!$1:$3</definedName>
    <definedName name="_xlnm.Print_Titles" localSheetId="10">Totaal!$1:$3</definedName>
    <definedName name="_xlnm.Print_Titles" localSheetId="7">'Totaalblad Objecten'!$1:$3</definedName>
    <definedName name="catdw_1_AHB_1">Categorienormen!$F$14</definedName>
    <definedName name="catdw_1_AHV_40">Categorienormen!$F$15</definedName>
    <definedName name="catdw_1_BHB_1">Categorienormen!$F$6</definedName>
    <definedName name="catdw_1_BHV_42">Categorienormen!$F$7</definedName>
    <definedName name="catdw_1_EHB_1">Categorienormen!$F$16</definedName>
    <definedName name="catdw_1_EHV_40">Categorienormen!$F$17</definedName>
    <definedName name="catdw_1_LHB_1">Categorienormen!$F$8</definedName>
    <definedName name="catdw_1_LHV_40">Categorienormen!$F$9</definedName>
    <definedName name="catdw_1_PHB_1">Categorienormen!$F$18</definedName>
    <definedName name="catdw_1_PHV_40">Categorienormen!$F$19</definedName>
    <definedName name="catdw_1_PUHB_1">Categorienormen!$F$10</definedName>
    <definedName name="catdw_1_PUHV_40">Categorienormen!$F$11</definedName>
    <definedName name="catdw_1_SHB_1">Categorienormen!$F$12</definedName>
    <definedName name="catdw_1_SHV_40">Categorienormen!$F$13</definedName>
    <definedName name="catdw_1_THB_1">Categorienormen!$F$20</definedName>
    <definedName name="catdw_1_THV_40">Categorienormen!$F$21</definedName>
    <definedName name="catdw_1_VHB_1">Categorienormen!$F$22</definedName>
    <definedName name="catdw_1_VHV_40">Categorienormen!$F$23</definedName>
    <definedName name="catdw_1_XBB_1">Categorienormen!$F$24</definedName>
    <definedName name="catfd_1_AHB_1">Categorienormen!$C$14</definedName>
    <definedName name="catfd_1_AHV_40">Categorienormen!$C$15</definedName>
    <definedName name="catfd_1_BHB_1">Categorienormen!$C$6</definedName>
    <definedName name="catfd_1_BHV_42">Categorienormen!$C$7</definedName>
    <definedName name="catfd_1_EHB_1">Categorienormen!$C$16</definedName>
    <definedName name="catfd_1_EHV_40">Categorienormen!$C$17</definedName>
    <definedName name="catfd_1_LHB_1">Categorienormen!$C$8</definedName>
    <definedName name="catfd_1_LHV_40">Categorienormen!$C$9</definedName>
    <definedName name="catfd_1_PHB_1">Categorienormen!$C$18</definedName>
    <definedName name="catfd_1_PHV_40">Categorienormen!$C$19</definedName>
    <definedName name="catfd_1_PUHB_1">Categorienormen!$C$10</definedName>
    <definedName name="catfd_1_PUHV_40">Categorienormen!$C$11</definedName>
    <definedName name="catfd_1_SHB_1">Categorienormen!$C$12</definedName>
    <definedName name="catfd_1_SHV_40">Categorienormen!$C$13</definedName>
    <definedName name="catfd_1_THB_1">Categorienormen!$C$20</definedName>
    <definedName name="catfd_1_THV_40">Categorienormen!$C$21</definedName>
    <definedName name="catfd_1_VHB_1">Categorienormen!$C$22</definedName>
    <definedName name="catfd_1_VHV_40">Categorienormen!$C$23</definedName>
    <definedName name="catfd_1_XBB_1">Categorienormen!$C$24</definedName>
    <definedName name="catpn_1_AHB_1">Categorienormen!$E$14</definedName>
    <definedName name="catpn_1_AHV_40">Categorienormen!$E$15</definedName>
    <definedName name="catpn_1_BHB_1">Categorienormen!$E$6</definedName>
    <definedName name="catpn_1_BHV_42">Categorienormen!$E$7</definedName>
    <definedName name="catpn_1_EHB_1">Categorienormen!$E$16</definedName>
    <definedName name="catpn_1_EHV_40">Categorienormen!$E$17</definedName>
    <definedName name="catpn_1_LHB_1">Categorienormen!$E$8</definedName>
    <definedName name="catpn_1_LHV_40">Categorienormen!$E$9</definedName>
    <definedName name="catpn_1_PHB_1">Categorienormen!$E$18</definedName>
    <definedName name="catpn_1_PHV_40">Categorienormen!$E$19</definedName>
    <definedName name="catpn_1_PUHB_1">Categorienormen!$E$10</definedName>
    <definedName name="catpn_1_PUHV_40">Categorienormen!$E$11</definedName>
    <definedName name="catpn_1_SHB_1">Categorienormen!$E$12</definedName>
    <definedName name="catpn_1_SHV_40">Categorienormen!$E$13</definedName>
    <definedName name="catpn_1_THB_1">Categorienormen!$E$20</definedName>
    <definedName name="catpn_1_THV_40">Categorienormen!$E$21</definedName>
    <definedName name="catpn_1_VHB_1">Categorienormen!$E$22</definedName>
    <definedName name="catpn_1_VHV_40">Categorienormen!$E$23</definedName>
    <definedName name="catpn_1_XBB_1">Categorienormen!$E$24</definedName>
    <definedName name="cattf_1_AHB_1">Categorienormen!$H$14</definedName>
    <definedName name="cattf_1_AHV_40">Categorienormen!$H$15</definedName>
    <definedName name="cattf_1_BHB_1">Categorienormen!$H$6</definedName>
    <definedName name="cattf_1_BHV_42">Categorienormen!$H$7</definedName>
    <definedName name="cattf_1_EHB_1">Categorienormen!$H$16</definedName>
    <definedName name="cattf_1_EHV_40">Categorienormen!$H$17</definedName>
    <definedName name="cattf_1_LHB_1">Categorienormen!$H$8</definedName>
    <definedName name="cattf_1_LHV_40">Categorienormen!$H$9</definedName>
    <definedName name="cattf_1_PHB_1">Categorienormen!$H$18</definedName>
    <definedName name="cattf_1_PHV_40">Categorienormen!$H$19</definedName>
    <definedName name="cattf_1_PUHB_1">Categorienormen!$H$10</definedName>
    <definedName name="cattf_1_PUHV_40">Categorienormen!$H$11</definedName>
    <definedName name="cattf_1_SHB_1">Categorienormen!$H$12</definedName>
    <definedName name="cattf_1_SHV_40">Categorienormen!$H$13</definedName>
    <definedName name="cattf_1_THB_1">Categorienormen!$H$20</definedName>
    <definedName name="cattf_1_THV_40">Categorienormen!$H$21</definedName>
    <definedName name="cattf_1_VHB_1">Categorienormen!$H$22</definedName>
    <definedName name="cattf_1_VHV_40">Categorienormen!$H$23</definedName>
    <definedName name="cattf_1_XBB_1">Categorienormen!$H$24</definedName>
    <definedName name="dagenperjaar1">Omreken!$B$9</definedName>
    <definedName name="dagenperweek1">Omreken!$B$10</definedName>
    <definedName name="dagsoorttabel1">Omreken!$A$13:$B$28</definedName>
    <definedName name="dagwerk1">'Regulier werk'!$H$6</definedName>
    <definedName name="dagwerk10">'Regulier werk'!$H$15</definedName>
    <definedName name="dagwerk2">'Regulier werk'!$H$7</definedName>
    <definedName name="dagwerk3">'Regulier werk'!$H$8</definedName>
    <definedName name="dagwerk4">'Regulier werk'!$H$9</definedName>
    <definedName name="dagwerk5">'Regulier werk'!$H$10</definedName>
    <definedName name="dagwerk6">'Regulier werk'!$H$11</definedName>
    <definedName name="dagwerk7">'Regulier werk'!$H$12</definedName>
    <definedName name="dagwerk8">'Regulier werk'!$H$13</definedName>
    <definedName name="dagwerk9">'Regulier werk'!$H$14</definedName>
    <definedName name="dagwerktabel1">Objectinformatie!$H$5:$H$14</definedName>
    <definedName name="gemuurtarief1">'Regulier werk'!$J$18</definedName>
    <definedName name="kengetaltabel1">Objectinformatie!$G$5:$G$14</definedName>
    <definedName name="object1_gemuurtarief1">'Ruimten werkdag'!$P$147</definedName>
    <definedName name="object1_opptabel1">Objectinformatie!$J$5:$J$14</definedName>
    <definedName name="object1_prijsdag1">'Ruimten werkdag'!$S$147</definedName>
    <definedName name="object1_prijsjaar1">'Ruimten werkdag'!$U$147</definedName>
    <definedName name="object1_urendag1">'Ruimten werkdag'!$Q$147</definedName>
    <definedName name="object1_urendaghf1">'Ruimten werkdag'!$R$147</definedName>
    <definedName name="object1_urenjaar1">'Ruimten werkdag'!$T$147</definedName>
    <definedName name="objectprijs1_1">Objecten!$Q$6</definedName>
    <definedName name="objecturen1_1">Objecten!$P$6</definedName>
    <definedName name="objecturenhf1_1">Objecten!$O$6</definedName>
    <definedName name="prijsdag1">'Regulier werk'!$L$16</definedName>
    <definedName name="prijsjaar">'Regulier werk'!$N$21</definedName>
    <definedName name="prijsjaar1">'Regulier werk'!$N$16</definedName>
    <definedName name="prijsjaarafroep">Afroep!$K$14</definedName>
    <definedName name="prijsjaarafroep1">Afroep!$K$12</definedName>
    <definedName name="prijsjaarnietmeewerkend">'Niet-meewerkende objectleiding'!$J$17</definedName>
    <definedName name="prijsjaartotaal">Objecten!$Q$10</definedName>
    <definedName name="prijsjaartotaal1">Objecten!$Q$7</definedName>
    <definedName name="prijsjaartotaaloverzicht">'Totaalblad Objecten'!$G$6</definedName>
    <definedName name="prijsmaandtotaal1">Objecten!$R$7</definedName>
    <definedName name="prodnorm1">'Regulier werk'!$G$6</definedName>
    <definedName name="prodnorm10">'Regulier werk'!$G$15</definedName>
    <definedName name="prodnorm2">'Regulier werk'!$G$7</definedName>
    <definedName name="prodnorm3">'Regulier werk'!$G$8</definedName>
    <definedName name="prodnorm4">'Regulier werk'!$G$9</definedName>
    <definedName name="prodnorm5">'Regulier werk'!$G$10</definedName>
    <definedName name="prodnorm6">'Regulier werk'!$G$11</definedName>
    <definedName name="prodnorm7">'Regulier werk'!$G$12</definedName>
    <definedName name="prodnorm8">'Regulier werk'!$G$13</definedName>
    <definedName name="prodnorm9">'Regulier werk'!$G$14</definedName>
    <definedName name="taakfreqtabel1">Objectinformatie!$E$5:$E$14</definedName>
    <definedName name="tabeltype">Omreken!$B$5:$B$5</definedName>
    <definedName name="tarieftabel1">Objectinformatie!$I$5:$I$14</definedName>
    <definedName name="tzpjt1">'Niet-meewerkende objectleiding'!$J$14</definedName>
    <definedName name="tzpjt1_1">'Niet-meewerkende objectleiding'!$J$12</definedName>
    <definedName name="tzpmt1">'Niet-meewerkende objectleiding'!$K$14</definedName>
    <definedName name="tzpmt1_1">'Niet-meewerkende objectleiding'!$K$12</definedName>
    <definedName name="tzujt1">'Niet-meewerkende objectleiding'!$H$14</definedName>
    <definedName name="tzujt1_1">'Niet-meewerkende objectleiding'!$H$12</definedName>
    <definedName name="urendag1">'Regulier werk'!$K$16</definedName>
    <definedName name="urenjaar">'Regulier werk'!$M$21</definedName>
    <definedName name="urenjaar1">'Regulier werk'!$M$16</definedName>
    <definedName name="urenjaarnietmeewerkend">'Niet-meewerkende objectleiding'!$H$17</definedName>
    <definedName name="urenjaartotaal">Objecten!$P$10</definedName>
    <definedName name="urenjaartotaal1">Objecten!$P$7</definedName>
    <definedName name="urenjaartotaalhf">Objecten!$O$10</definedName>
    <definedName name="urenjaartotaalhf1">Objecten!$O$7</definedName>
    <definedName name="urenjaartotaaloverzicht">'Totaalblad Objecten'!$F$6</definedName>
    <definedName name="urenjaartotaaloverzichthf">'Totaalblad Objecten'!$E$6</definedName>
    <definedName name="uurfactortabel1">Objectinformatie!$F$5:$F$14</definedName>
    <definedName name="uurtarief1">'Regulier werk'!$J$6</definedName>
    <definedName name="uurtarief10">'Regulier werk'!$J$15</definedName>
    <definedName name="uurtarief2">'Regulier werk'!$J$7</definedName>
    <definedName name="uurtarief3">'Regulier werk'!$J$8</definedName>
    <definedName name="uurtarief4">'Regulier werk'!$J$9</definedName>
    <definedName name="uurtarief5">'Regulier werk'!$J$10</definedName>
    <definedName name="uurtarief6">'Regulier werk'!$J$11</definedName>
    <definedName name="uurtarief7">'Regulier werk'!$J$12</definedName>
    <definedName name="uurtarief8">'Regulier werk'!$J$13</definedName>
    <definedName name="uurtarief9">'Regulier werk'!$J$14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1" l="1"/>
  <c r="A1" i="10"/>
  <c r="J11" i="9"/>
  <c r="C11" i="9"/>
  <c r="K11" i="9" s="1"/>
  <c r="L11" i="9" s="1"/>
  <c r="J10" i="9"/>
  <c r="C10" i="9"/>
  <c r="K10" i="9" s="1"/>
  <c r="L10" i="9" s="1"/>
  <c r="J9" i="9"/>
  <c r="J8" i="9"/>
  <c r="J7" i="9"/>
  <c r="J6" i="9"/>
  <c r="A1" i="9"/>
  <c r="A1" i="8"/>
  <c r="J11" i="7"/>
  <c r="K11" i="7" s="1"/>
  <c r="I11" i="7"/>
  <c r="H11" i="7"/>
  <c r="C11" i="7"/>
  <c r="K10" i="7"/>
  <c r="J10" i="7"/>
  <c r="I10" i="7"/>
  <c r="H10" i="7"/>
  <c r="C10" i="7"/>
  <c r="J9" i="7"/>
  <c r="K9" i="7" s="1"/>
  <c r="H9" i="7"/>
  <c r="C9" i="7"/>
  <c r="I9" i="7" s="1"/>
  <c r="K8" i="7"/>
  <c r="K12" i="7" s="1"/>
  <c r="K14" i="7" s="1"/>
  <c r="K17" i="7" s="1"/>
  <c r="K19" i="7" s="1"/>
  <c r="J8" i="7"/>
  <c r="J12" i="7" s="1"/>
  <c r="H8" i="7"/>
  <c r="H12" i="7" s="1"/>
  <c r="C8" i="7"/>
  <c r="A1" i="7"/>
  <c r="A1" i="6"/>
  <c r="G14" i="5"/>
  <c r="E7" i="5"/>
  <c r="G6" i="5"/>
  <c r="E6" i="5"/>
  <c r="L145" i="4"/>
  <c r="M141" i="4"/>
  <c r="L135" i="4"/>
  <c r="P134" i="4"/>
  <c r="N127" i="4"/>
  <c r="L127" i="4"/>
  <c r="P124" i="4"/>
  <c r="P123" i="4"/>
  <c r="M120" i="4"/>
  <c r="P119" i="4"/>
  <c r="P116" i="4"/>
  <c r="N116" i="4"/>
  <c r="L116" i="4"/>
  <c r="N112" i="4"/>
  <c r="M110" i="4"/>
  <c r="M109" i="4"/>
  <c r="M105" i="4"/>
  <c r="L102" i="4"/>
  <c r="L98" i="4"/>
  <c r="L96" i="4"/>
  <c r="N95" i="4"/>
  <c r="M92" i="4"/>
  <c r="P91" i="4"/>
  <c r="M88" i="4"/>
  <c r="L88" i="4"/>
  <c r="P87" i="4"/>
  <c r="N87" i="4"/>
  <c r="P86" i="4"/>
  <c r="P84" i="4"/>
  <c r="N84" i="4"/>
  <c r="L84" i="4"/>
  <c r="N78" i="4"/>
  <c r="M78" i="4"/>
  <c r="P77" i="4"/>
  <c r="N77" i="4"/>
  <c r="M77" i="4"/>
  <c r="L77" i="4"/>
  <c r="P76" i="4"/>
  <c r="N76" i="4"/>
  <c r="P74" i="4"/>
  <c r="N74" i="4"/>
  <c r="P73" i="4"/>
  <c r="N73" i="4"/>
  <c r="M73" i="4"/>
  <c r="N72" i="4"/>
  <c r="M72" i="4"/>
  <c r="P71" i="4"/>
  <c r="M71" i="4"/>
  <c r="L71" i="4"/>
  <c r="P70" i="4"/>
  <c r="M70" i="4"/>
  <c r="P66" i="4"/>
  <c r="L65" i="4"/>
  <c r="N63" i="4"/>
  <c r="M63" i="4"/>
  <c r="L63" i="4"/>
  <c r="P60" i="4"/>
  <c r="M60" i="4"/>
  <c r="Q59" i="4"/>
  <c r="T59" i="4" s="1"/>
  <c r="U59" i="4" s="1"/>
  <c r="P59" i="4"/>
  <c r="S59" i="4" s="1"/>
  <c r="N59" i="4"/>
  <c r="M59" i="4"/>
  <c r="L59" i="4"/>
  <c r="M56" i="4"/>
  <c r="P55" i="4"/>
  <c r="L55" i="4"/>
  <c r="P54" i="4"/>
  <c r="N53" i="4"/>
  <c r="L53" i="4"/>
  <c r="P52" i="4"/>
  <c r="N52" i="4"/>
  <c r="M52" i="4"/>
  <c r="L49" i="4"/>
  <c r="P48" i="4"/>
  <c r="N48" i="4"/>
  <c r="M46" i="4"/>
  <c r="P45" i="4"/>
  <c r="N45" i="4"/>
  <c r="M45" i="4"/>
  <c r="Q45" i="4" s="1"/>
  <c r="T45" i="4" s="1"/>
  <c r="U45" i="4" s="1"/>
  <c r="L45" i="4"/>
  <c r="L43" i="4"/>
  <c r="P42" i="4"/>
  <c r="N41" i="4"/>
  <c r="M41" i="4"/>
  <c r="Q41" i="4" s="1"/>
  <c r="L41" i="4"/>
  <c r="L39" i="4"/>
  <c r="P38" i="4"/>
  <c r="N38" i="4"/>
  <c r="M38" i="4"/>
  <c r="P37" i="4"/>
  <c r="Q35" i="4"/>
  <c r="T35" i="4" s="1"/>
  <c r="N35" i="4"/>
  <c r="M35" i="4"/>
  <c r="R35" i="4" s="1"/>
  <c r="L35" i="4"/>
  <c r="P34" i="4"/>
  <c r="L33" i="4"/>
  <c r="L32" i="4"/>
  <c r="N31" i="4"/>
  <c r="M31" i="4"/>
  <c r="N30" i="4"/>
  <c r="M28" i="4"/>
  <c r="L28" i="4"/>
  <c r="Q27" i="4"/>
  <c r="T27" i="4" s="1"/>
  <c r="U27" i="4" s="1"/>
  <c r="P27" i="4"/>
  <c r="S27" i="4" s="1"/>
  <c r="N27" i="4"/>
  <c r="M27" i="4"/>
  <c r="L27" i="4"/>
  <c r="L26" i="4"/>
  <c r="M24" i="4"/>
  <c r="L24" i="4"/>
  <c r="P23" i="4"/>
  <c r="Q20" i="4"/>
  <c r="T20" i="4" s="1"/>
  <c r="U20" i="4" s="1"/>
  <c r="P20" i="4"/>
  <c r="S20" i="4" s="1"/>
  <c r="N20" i="4"/>
  <c r="R20" i="4" s="1"/>
  <c r="M20" i="4"/>
  <c r="L20" i="4"/>
  <c r="P19" i="4"/>
  <c r="M18" i="4"/>
  <c r="Q18" i="4" s="1"/>
  <c r="T18" i="4" s="1"/>
  <c r="L18" i="4"/>
  <c r="P17" i="4"/>
  <c r="N17" i="4"/>
  <c r="M17" i="4"/>
  <c r="L17" i="4"/>
  <c r="Q17" i="4" s="1"/>
  <c r="T16" i="4"/>
  <c r="U16" i="4" s="1"/>
  <c r="S16" i="4"/>
  <c r="Q16" i="4"/>
  <c r="P16" i="4"/>
  <c r="N16" i="4"/>
  <c r="R16" i="4" s="1"/>
  <c r="M16" i="4"/>
  <c r="L16" i="4"/>
  <c r="L14" i="4"/>
  <c r="P13" i="4"/>
  <c r="N13" i="4"/>
  <c r="M13" i="4"/>
  <c r="L11" i="4"/>
  <c r="P10" i="4"/>
  <c r="L9" i="4"/>
  <c r="P7" i="4"/>
  <c r="N7" i="4"/>
  <c r="M7" i="4"/>
  <c r="Q7" i="4" s="1"/>
  <c r="T7" i="4" s="1"/>
  <c r="U7" i="4" s="1"/>
  <c r="L7" i="4"/>
  <c r="P6" i="4"/>
  <c r="N6" i="4"/>
  <c r="M6" i="4"/>
  <c r="P5" i="4"/>
  <c r="N5" i="4"/>
  <c r="M5" i="4"/>
  <c r="A1" i="4"/>
  <c r="J15" i="3"/>
  <c r="P115" i="4" s="1"/>
  <c r="H15" i="3"/>
  <c r="N140" i="4" s="1"/>
  <c r="G15" i="3"/>
  <c r="M101" i="4" s="1"/>
  <c r="J14" i="3"/>
  <c r="P79" i="4" s="1"/>
  <c r="H14" i="3"/>
  <c r="N104" i="4" s="1"/>
  <c r="G14" i="3"/>
  <c r="M69" i="4" s="1"/>
  <c r="F14" i="3"/>
  <c r="N13" i="3"/>
  <c r="M13" i="3"/>
  <c r="L13" i="3"/>
  <c r="K13" i="3"/>
  <c r="J13" i="3"/>
  <c r="P139" i="4" s="1"/>
  <c r="H13" i="3"/>
  <c r="N57" i="4" s="1"/>
  <c r="G13" i="3"/>
  <c r="G12" i="5" s="1"/>
  <c r="K12" i="3"/>
  <c r="M12" i="3" s="1"/>
  <c r="N12" i="3" s="1"/>
  <c r="J12" i="3"/>
  <c r="P26" i="4" s="1"/>
  <c r="H12" i="3"/>
  <c r="N19" i="4" s="1"/>
  <c r="G12" i="3"/>
  <c r="M76" i="4" s="1"/>
  <c r="J11" i="3"/>
  <c r="I10" i="5" s="1"/>
  <c r="H11" i="3"/>
  <c r="H10" i="5" s="1"/>
  <c r="G11" i="3"/>
  <c r="G10" i="5" s="1"/>
  <c r="F11" i="3"/>
  <c r="J10" i="3"/>
  <c r="P43" i="4" s="1"/>
  <c r="H10" i="3"/>
  <c r="N43" i="4" s="1"/>
  <c r="G10" i="3"/>
  <c r="M43" i="4" s="1"/>
  <c r="F10" i="3"/>
  <c r="N9" i="3"/>
  <c r="M9" i="3"/>
  <c r="L9" i="3"/>
  <c r="K9" i="3"/>
  <c r="J9" i="3"/>
  <c r="P51" i="4" s="1"/>
  <c r="H9" i="3"/>
  <c r="N108" i="4" s="1"/>
  <c r="G9" i="3"/>
  <c r="M108" i="4" s="1"/>
  <c r="K8" i="3"/>
  <c r="L8" i="3" s="1"/>
  <c r="J8" i="3"/>
  <c r="I7" i="5" s="1"/>
  <c r="H8" i="3"/>
  <c r="H7" i="5" s="1"/>
  <c r="G8" i="3"/>
  <c r="G7" i="5" s="1"/>
  <c r="J7" i="3"/>
  <c r="P118" i="4" s="1"/>
  <c r="H7" i="3"/>
  <c r="N44" i="4" s="1"/>
  <c r="G7" i="3"/>
  <c r="M133" i="4" s="1"/>
  <c r="F7" i="3"/>
  <c r="J6" i="3"/>
  <c r="H6" i="3"/>
  <c r="N12" i="4" s="1"/>
  <c r="G6" i="3"/>
  <c r="M12" i="4" s="1"/>
  <c r="F6" i="3"/>
  <c r="A1" i="3"/>
  <c r="A1" i="2"/>
  <c r="B28" i="1"/>
  <c r="L126" i="4" s="1"/>
  <c r="B27" i="1"/>
  <c r="B26" i="1"/>
  <c r="B25" i="1"/>
  <c r="B24" i="1"/>
  <c r="B23" i="1"/>
  <c r="C9" i="9" s="1"/>
  <c r="K9" i="9" s="1"/>
  <c r="L9" i="9" s="1"/>
  <c r="B22" i="1"/>
  <c r="B21" i="1"/>
  <c r="B20" i="1"/>
  <c r="B19" i="1"/>
  <c r="B18" i="1"/>
  <c r="B17" i="1"/>
  <c r="B16" i="1"/>
  <c r="L94" i="4" s="1"/>
  <c r="B15" i="1"/>
  <c r="B14" i="1"/>
  <c r="L133" i="4" s="1"/>
  <c r="B13" i="1"/>
  <c r="H14" i="7" l="1"/>
  <c r="H17" i="7" s="1"/>
  <c r="D5" i="11" s="1"/>
  <c r="D8" i="11" s="1"/>
  <c r="H4" i="8"/>
  <c r="H6" i="8" s="1"/>
  <c r="R41" i="4"/>
  <c r="T41" i="4"/>
  <c r="R17" i="4"/>
  <c r="Q133" i="4"/>
  <c r="T133" i="4" s="1"/>
  <c r="U133" i="4" s="1"/>
  <c r="S17" i="4"/>
  <c r="T17" i="4"/>
  <c r="U17" i="4" s="1"/>
  <c r="Q13" i="4"/>
  <c r="T13" i="4" s="1"/>
  <c r="U13" i="4" s="1"/>
  <c r="S45" i="4"/>
  <c r="J14" i="7"/>
  <c r="J17" i="7" s="1"/>
  <c r="I4" i="8"/>
  <c r="I6" i="8" s="1"/>
  <c r="Q43" i="4"/>
  <c r="T43" i="4" s="1"/>
  <c r="U43" i="4" s="1"/>
  <c r="S7" i="4"/>
  <c r="S13" i="4"/>
  <c r="N15" i="4"/>
  <c r="P12" i="4"/>
  <c r="L23" i="4"/>
  <c r="M30" i="4"/>
  <c r="N37" i="4"/>
  <c r="P44" i="4"/>
  <c r="M62" i="4"/>
  <c r="N69" i="4"/>
  <c r="L87" i="4"/>
  <c r="M94" i="4"/>
  <c r="N101" i="4"/>
  <c r="P108" i="4"/>
  <c r="L119" i="4"/>
  <c r="M126" i="4"/>
  <c r="N133" i="4"/>
  <c r="P140" i="4"/>
  <c r="H12" i="5"/>
  <c r="L113" i="4"/>
  <c r="M23" i="4"/>
  <c r="L48" i="4"/>
  <c r="M55" i="4"/>
  <c r="N62" i="4"/>
  <c r="P69" i="4"/>
  <c r="L80" i="4"/>
  <c r="M87" i="4"/>
  <c r="N94" i="4"/>
  <c r="P101" i="4"/>
  <c r="L112" i="4"/>
  <c r="M119" i="4"/>
  <c r="N126" i="4"/>
  <c r="P133" i="4"/>
  <c r="L144" i="4"/>
  <c r="I12" i="5"/>
  <c r="N23" i="4"/>
  <c r="P30" i="4"/>
  <c r="M48" i="4"/>
  <c r="N55" i="4"/>
  <c r="P62" i="4"/>
  <c r="L73" i="4"/>
  <c r="Q73" i="4" s="1"/>
  <c r="M80" i="4"/>
  <c r="P94" i="4"/>
  <c r="L105" i="4"/>
  <c r="Q105" i="4" s="1"/>
  <c r="M112" i="4"/>
  <c r="N119" i="4"/>
  <c r="P126" i="4"/>
  <c r="L137" i="4"/>
  <c r="M144" i="4"/>
  <c r="E5" i="5"/>
  <c r="E13" i="5"/>
  <c r="L66" i="4"/>
  <c r="N80" i="4"/>
  <c r="L130" i="4"/>
  <c r="M137" i="4"/>
  <c r="N144" i="4"/>
  <c r="G5" i="5"/>
  <c r="G13" i="5"/>
  <c r="L34" i="4"/>
  <c r="N9" i="4"/>
  <c r="M34" i="4"/>
  <c r="M66" i="4"/>
  <c r="P80" i="4"/>
  <c r="L91" i="4"/>
  <c r="M98" i="4"/>
  <c r="N105" i="4"/>
  <c r="P112" i="4"/>
  <c r="L123" i="4"/>
  <c r="M130" i="4"/>
  <c r="N137" i="4"/>
  <c r="P144" i="4"/>
  <c r="H5" i="5"/>
  <c r="H13" i="5"/>
  <c r="I8" i="7"/>
  <c r="M9" i="4"/>
  <c r="P9" i="4"/>
  <c r="N34" i="4"/>
  <c r="P41" i="4"/>
  <c r="S41" i="4" s="1"/>
  <c r="L52" i="4"/>
  <c r="Q52" i="4" s="1"/>
  <c r="S52" i="4" s="1"/>
  <c r="N66" i="4"/>
  <c r="M91" i="4"/>
  <c r="N98" i="4"/>
  <c r="P105" i="4"/>
  <c r="M123" i="4"/>
  <c r="N130" i="4"/>
  <c r="P137" i="4"/>
  <c r="I5" i="5"/>
  <c r="I13" i="5"/>
  <c r="L13" i="4"/>
  <c r="M84" i="4"/>
  <c r="N91" i="4"/>
  <c r="P98" i="4"/>
  <c r="L109" i="4"/>
  <c r="Q109" i="4" s="1"/>
  <c r="M116" i="4"/>
  <c r="N123" i="4"/>
  <c r="P130" i="4"/>
  <c r="L141" i="4"/>
  <c r="Q141" i="4" s="1"/>
  <c r="E14" i="5"/>
  <c r="L95" i="4"/>
  <c r="M102" i="4"/>
  <c r="N109" i="4"/>
  <c r="M134" i="4"/>
  <c r="N141" i="4"/>
  <c r="H6" i="5"/>
  <c r="H14" i="5"/>
  <c r="R27" i="4"/>
  <c r="L56" i="4"/>
  <c r="Q56" i="4" s="1"/>
  <c r="R59" i="4"/>
  <c r="N70" i="4"/>
  <c r="M95" i="4"/>
  <c r="N102" i="4"/>
  <c r="P109" i="4"/>
  <c r="L120" i="4"/>
  <c r="M127" i="4"/>
  <c r="N134" i="4"/>
  <c r="P141" i="4"/>
  <c r="I6" i="5"/>
  <c r="I14" i="5"/>
  <c r="Q77" i="4"/>
  <c r="T77" i="4" s="1"/>
  <c r="U77" i="4" s="1"/>
  <c r="L10" i="3"/>
  <c r="L10" i="4"/>
  <c r="N24" i="4"/>
  <c r="P31" i="4"/>
  <c r="L42" i="4"/>
  <c r="R45" i="4"/>
  <c r="M49" i="4"/>
  <c r="N56" i="4"/>
  <c r="P63" i="4"/>
  <c r="S63" i="4" s="1"/>
  <c r="Q70" i="4"/>
  <c r="T70" i="4" s="1"/>
  <c r="U70" i="4" s="1"/>
  <c r="L74" i="4"/>
  <c r="M81" i="4"/>
  <c r="N88" i="4"/>
  <c r="P95" i="4"/>
  <c r="L106" i="4"/>
  <c r="M113" i="4"/>
  <c r="N120" i="4"/>
  <c r="P127" i="4"/>
  <c r="L138" i="4"/>
  <c r="M145" i="4"/>
  <c r="L6" i="4"/>
  <c r="Q6" i="4" s="1"/>
  <c r="M10" i="4"/>
  <c r="P24" i="4"/>
  <c r="M42" i="4"/>
  <c r="N49" i="4"/>
  <c r="P56" i="4"/>
  <c r="Q63" i="4"/>
  <c r="T63" i="4" s="1"/>
  <c r="L67" i="4"/>
  <c r="M74" i="4"/>
  <c r="N81" i="4"/>
  <c r="P88" i="4"/>
  <c r="L99" i="4"/>
  <c r="M106" i="4"/>
  <c r="N113" i="4"/>
  <c r="P120" i="4"/>
  <c r="S120" i="4" s="1"/>
  <c r="L131" i="4"/>
  <c r="M138" i="4"/>
  <c r="N145" i="4"/>
  <c r="N10" i="4"/>
  <c r="Q24" i="4"/>
  <c r="T24" i="4" s="1"/>
  <c r="U24" i="4" s="1"/>
  <c r="N42" i="4"/>
  <c r="P49" i="4"/>
  <c r="L60" i="4"/>
  <c r="Q60" i="4" s="1"/>
  <c r="M67" i="4"/>
  <c r="P81" i="4"/>
  <c r="Q88" i="4"/>
  <c r="T88" i="4" s="1"/>
  <c r="U88" i="4" s="1"/>
  <c r="L92" i="4"/>
  <c r="Q92" i="4" s="1"/>
  <c r="M99" i="4"/>
  <c r="N106" i="4"/>
  <c r="P113" i="4"/>
  <c r="Q120" i="4"/>
  <c r="T120" i="4" s="1"/>
  <c r="L124" i="4"/>
  <c r="M131" i="4"/>
  <c r="N138" i="4"/>
  <c r="P145" i="4"/>
  <c r="K6" i="3"/>
  <c r="L6" i="3" s="1"/>
  <c r="F15" i="3"/>
  <c r="N67" i="4"/>
  <c r="L85" i="4"/>
  <c r="N99" i="4"/>
  <c r="P106" i="4"/>
  <c r="L117" i="4"/>
  <c r="M124" i="4"/>
  <c r="N131" i="4"/>
  <c r="P138" i="4"/>
  <c r="E8" i="5"/>
  <c r="M21" i="4"/>
  <c r="N28" i="4"/>
  <c r="P35" i="4"/>
  <c r="S35" i="4" s="1"/>
  <c r="L46" i="4"/>
  <c r="Q46" i="4" s="1"/>
  <c r="M53" i="4"/>
  <c r="N60" i="4"/>
  <c r="P67" i="4"/>
  <c r="L78" i="4"/>
  <c r="M85" i="4"/>
  <c r="N92" i="4"/>
  <c r="P99" i="4"/>
  <c r="L110" i="4"/>
  <c r="M117" i="4"/>
  <c r="N124" i="4"/>
  <c r="P131" i="4"/>
  <c r="L142" i="4"/>
  <c r="G8" i="5"/>
  <c r="L103" i="4"/>
  <c r="M142" i="4"/>
  <c r="H8" i="5"/>
  <c r="L70" i="4"/>
  <c r="K10" i="3"/>
  <c r="M10" i="3" s="1"/>
  <c r="N10" i="3" s="1"/>
  <c r="P92" i="4"/>
  <c r="N117" i="4"/>
  <c r="N14" i="4"/>
  <c r="M39" i="4"/>
  <c r="N46" i="4"/>
  <c r="P53" i="4"/>
  <c r="M103" i="4"/>
  <c r="N110" i="4"/>
  <c r="P117" i="4"/>
  <c r="L128" i="4"/>
  <c r="M135" i="4"/>
  <c r="N142" i="4"/>
  <c r="I8" i="5"/>
  <c r="P21" i="4"/>
  <c r="Q28" i="4"/>
  <c r="T28" i="4" s="1"/>
  <c r="L64" i="4"/>
  <c r="P85" i="4"/>
  <c r="K7" i="3"/>
  <c r="M7" i="3" s="1"/>
  <c r="N7" i="3" s="1"/>
  <c r="K11" i="3"/>
  <c r="M11" i="3" s="1"/>
  <c r="N11" i="3" s="1"/>
  <c r="K15" i="3"/>
  <c r="M15" i="3" s="1"/>
  <c r="N15" i="3" s="1"/>
  <c r="P14" i="4"/>
  <c r="L25" i="4"/>
  <c r="M32" i="4"/>
  <c r="N39" i="4"/>
  <c r="P46" i="4"/>
  <c r="L57" i="4"/>
  <c r="M64" i="4"/>
  <c r="N71" i="4"/>
  <c r="P78" i="4"/>
  <c r="L89" i="4"/>
  <c r="M96" i="4"/>
  <c r="N103" i="4"/>
  <c r="P110" i="4"/>
  <c r="L121" i="4"/>
  <c r="M128" i="4"/>
  <c r="N135" i="4"/>
  <c r="P142" i="4"/>
  <c r="E9" i="5"/>
  <c r="L31" i="4"/>
  <c r="Q31" i="4" s="1"/>
  <c r="M25" i="4"/>
  <c r="N32" i="4"/>
  <c r="P39" i="4"/>
  <c r="L50" i="4"/>
  <c r="M57" i="4"/>
  <c r="N64" i="4"/>
  <c r="Q78" i="4"/>
  <c r="T78" i="4" s="1"/>
  <c r="U78" i="4" s="1"/>
  <c r="L82" i="4"/>
  <c r="M89" i="4"/>
  <c r="N96" i="4"/>
  <c r="P103" i="4"/>
  <c r="Q110" i="4"/>
  <c r="T110" i="4" s="1"/>
  <c r="U110" i="4" s="1"/>
  <c r="L114" i="4"/>
  <c r="M121" i="4"/>
  <c r="N128" i="4"/>
  <c r="P135" i="4"/>
  <c r="L146" i="4"/>
  <c r="G9" i="5"/>
  <c r="C6" i="9"/>
  <c r="K6" i="9" s="1"/>
  <c r="M14" i="4"/>
  <c r="Q71" i="4"/>
  <c r="T71" i="4" s="1"/>
  <c r="U71" i="4" s="1"/>
  <c r="M82" i="4"/>
  <c r="L139" i="4"/>
  <c r="M146" i="4"/>
  <c r="H9" i="5"/>
  <c r="L75" i="4"/>
  <c r="R7" i="4"/>
  <c r="M11" i="4"/>
  <c r="N18" i="4"/>
  <c r="P25" i="4"/>
  <c r="L36" i="4"/>
  <c r="N50" i="4"/>
  <c r="P57" i="4"/>
  <c r="L68" i="4"/>
  <c r="M75" i="4"/>
  <c r="N82" i="4"/>
  <c r="P89" i="4"/>
  <c r="L100" i="4"/>
  <c r="M107" i="4"/>
  <c r="N114" i="4"/>
  <c r="P121" i="4"/>
  <c r="L132" i="4"/>
  <c r="M139" i="4"/>
  <c r="N146" i="4"/>
  <c r="I9" i="5"/>
  <c r="N25" i="4"/>
  <c r="L107" i="4"/>
  <c r="M114" i="4"/>
  <c r="N121" i="4"/>
  <c r="P128" i="4"/>
  <c r="F8" i="3"/>
  <c r="F12" i="3"/>
  <c r="N11" i="4"/>
  <c r="P18" i="4"/>
  <c r="S18" i="4" s="1"/>
  <c r="L29" i="4"/>
  <c r="M36" i="4"/>
  <c r="P50" i="4"/>
  <c r="L61" i="4"/>
  <c r="M68" i="4"/>
  <c r="N75" i="4"/>
  <c r="P82" i="4"/>
  <c r="L93" i="4"/>
  <c r="M100" i="4"/>
  <c r="N107" i="4"/>
  <c r="P114" i="4"/>
  <c r="L125" i="4"/>
  <c r="M132" i="4"/>
  <c r="N139" i="4"/>
  <c r="P146" i="4"/>
  <c r="E10" i="5"/>
  <c r="K14" i="3"/>
  <c r="M14" i="3" s="1"/>
  <c r="N14" i="3" s="1"/>
  <c r="P32" i="4"/>
  <c r="L22" i="4"/>
  <c r="N36" i="4"/>
  <c r="L54" i="4"/>
  <c r="M61" i="4"/>
  <c r="N68" i="4"/>
  <c r="P75" i="4"/>
  <c r="L86" i="4"/>
  <c r="M93" i="4"/>
  <c r="N100" i="4"/>
  <c r="P107" i="4"/>
  <c r="L118" i="4"/>
  <c r="M125" i="4"/>
  <c r="N132" i="4"/>
  <c r="C7" i="9"/>
  <c r="K7" i="9" s="1"/>
  <c r="L7" i="9" s="1"/>
  <c r="N85" i="4"/>
  <c r="P64" i="4"/>
  <c r="P96" i="4"/>
  <c r="P11" i="4"/>
  <c r="L15" i="4"/>
  <c r="R18" i="4"/>
  <c r="M22" i="4"/>
  <c r="N29" i="4"/>
  <c r="P36" i="4"/>
  <c r="L47" i="4"/>
  <c r="M54" i="4"/>
  <c r="N61" i="4"/>
  <c r="P68" i="4"/>
  <c r="L79" i="4"/>
  <c r="M86" i="4"/>
  <c r="N93" i="4"/>
  <c r="P100" i="4"/>
  <c r="L111" i="4"/>
  <c r="M118" i="4"/>
  <c r="N125" i="4"/>
  <c r="P132" i="4"/>
  <c r="L143" i="4"/>
  <c r="L21" i="4"/>
  <c r="N21" i="4"/>
  <c r="M50" i="4"/>
  <c r="N89" i="4"/>
  <c r="M29" i="4"/>
  <c r="L8" i="4"/>
  <c r="M15" i="4"/>
  <c r="N22" i="4"/>
  <c r="P29" i="4"/>
  <c r="L40" i="4"/>
  <c r="M47" i="4"/>
  <c r="N54" i="4"/>
  <c r="P61" i="4"/>
  <c r="L72" i="4"/>
  <c r="M79" i="4"/>
  <c r="N86" i="4"/>
  <c r="P93" i="4"/>
  <c r="L104" i="4"/>
  <c r="M111" i="4"/>
  <c r="N118" i="4"/>
  <c r="P125" i="4"/>
  <c r="L136" i="4"/>
  <c r="M143" i="4"/>
  <c r="L81" i="4"/>
  <c r="P28" i="4"/>
  <c r="S28" i="4" s="1"/>
  <c r="M8" i="4"/>
  <c r="P22" i="4"/>
  <c r="M40" i="4"/>
  <c r="N47" i="4"/>
  <c r="L97" i="4"/>
  <c r="M104" i="4"/>
  <c r="N111" i="4"/>
  <c r="L129" i="4"/>
  <c r="M136" i="4"/>
  <c r="N143" i="4"/>
  <c r="E11" i="5"/>
  <c r="P15" i="4"/>
  <c r="N40" i="4"/>
  <c r="L122" i="4"/>
  <c r="M129" i="4"/>
  <c r="P143" i="4"/>
  <c r="C8" i="9"/>
  <c r="K8" i="9" s="1"/>
  <c r="L8" i="9" s="1"/>
  <c r="L134" i="4"/>
  <c r="P102" i="4"/>
  <c r="N79" i="4"/>
  <c r="L12" i="3"/>
  <c r="N8" i="4"/>
  <c r="P47" i="4"/>
  <c r="M65" i="4"/>
  <c r="L90" i="4"/>
  <c r="P111" i="4"/>
  <c r="M8" i="3"/>
  <c r="N8" i="3" s="1"/>
  <c r="P8" i="4"/>
  <c r="L19" i="4"/>
  <c r="M26" i="4"/>
  <c r="N33" i="4"/>
  <c r="P40" i="4"/>
  <c r="L51" i="4"/>
  <c r="M58" i="4"/>
  <c r="N65" i="4"/>
  <c r="P72" i="4"/>
  <c r="S72" i="4" s="1"/>
  <c r="L83" i="4"/>
  <c r="M90" i="4"/>
  <c r="N97" i="4"/>
  <c r="P104" i="4"/>
  <c r="L115" i="4"/>
  <c r="M122" i="4"/>
  <c r="N129" i="4"/>
  <c r="P136" i="4"/>
  <c r="H11" i="5"/>
  <c r="L58" i="4"/>
  <c r="G11" i="5"/>
  <c r="L12" i="4"/>
  <c r="Q12" i="4" s="1"/>
  <c r="M19" i="4"/>
  <c r="N26" i="4"/>
  <c r="P33" i="4"/>
  <c r="L44" i="4"/>
  <c r="M51" i="4"/>
  <c r="N58" i="4"/>
  <c r="P65" i="4"/>
  <c r="Q72" i="4"/>
  <c r="T72" i="4" s="1"/>
  <c r="L76" i="4"/>
  <c r="Q76" i="4" s="1"/>
  <c r="M83" i="4"/>
  <c r="N90" i="4"/>
  <c r="P97" i="4"/>
  <c r="L108" i="4"/>
  <c r="Q108" i="4" s="1"/>
  <c r="M115" i="4"/>
  <c r="N122" i="4"/>
  <c r="P129" i="4"/>
  <c r="L140" i="4"/>
  <c r="I11" i="5"/>
  <c r="L38" i="4"/>
  <c r="Q38" i="4" s="1"/>
  <c r="M33" i="4"/>
  <c r="M97" i="4"/>
  <c r="N136" i="4"/>
  <c r="F9" i="3"/>
  <c r="F13" i="3"/>
  <c r="L5" i="4"/>
  <c r="Q5" i="4" s="1"/>
  <c r="L37" i="4"/>
  <c r="M44" i="4"/>
  <c r="N51" i="4"/>
  <c r="P58" i="4"/>
  <c r="L69" i="4"/>
  <c r="Q69" i="4" s="1"/>
  <c r="N83" i="4"/>
  <c r="P90" i="4"/>
  <c r="L101" i="4"/>
  <c r="Q101" i="4" s="1"/>
  <c r="N115" i="4"/>
  <c r="P122" i="4"/>
  <c r="M140" i="4"/>
  <c r="E12" i="5"/>
  <c r="L30" i="4"/>
  <c r="M37" i="4"/>
  <c r="L62" i="4"/>
  <c r="P83" i="4"/>
  <c r="R105" i="4" l="1"/>
  <c r="T105" i="4"/>
  <c r="U105" i="4" s="1"/>
  <c r="R73" i="4"/>
  <c r="T73" i="4"/>
  <c r="U73" i="4" s="1"/>
  <c r="S73" i="4"/>
  <c r="T69" i="4"/>
  <c r="U69" i="4" s="1"/>
  <c r="R69" i="4"/>
  <c r="T141" i="4"/>
  <c r="U141" i="4" s="1"/>
  <c r="R141" i="4"/>
  <c r="T109" i="4"/>
  <c r="U109" i="4" s="1"/>
  <c r="R109" i="4"/>
  <c r="T38" i="4"/>
  <c r="U38" i="4" s="1"/>
  <c r="S38" i="4"/>
  <c r="R38" i="4"/>
  <c r="T56" i="4"/>
  <c r="U56" i="4" s="1"/>
  <c r="R56" i="4"/>
  <c r="T12" i="4"/>
  <c r="U12" i="4" s="1"/>
  <c r="R12" i="4"/>
  <c r="T60" i="4"/>
  <c r="U60" i="4" s="1"/>
  <c r="R60" i="4"/>
  <c r="S60" i="4"/>
  <c r="T46" i="4"/>
  <c r="U46" i="4" s="1"/>
  <c r="R46" i="4"/>
  <c r="T6" i="4"/>
  <c r="U6" i="4" s="1"/>
  <c r="S6" i="4"/>
  <c r="R6" i="4"/>
  <c r="T31" i="4"/>
  <c r="U31" i="4" s="1"/>
  <c r="R31" i="4"/>
  <c r="T108" i="4"/>
  <c r="U108" i="4" s="1"/>
  <c r="R108" i="4"/>
  <c r="T101" i="4"/>
  <c r="U101" i="4" s="1"/>
  <c r="R101" i="4"/>
  <c r="T92" i="4"/>
  <c r="U92" i="4" s="1"/>
  <c r="R92" i="4"/>
  <c r="T76" i="4"/>
  <c r="U76" i="4" s="1"/>
  <c r="S76" i="4"/>
  <c r="R76" i="4"/>
  <c r="Q90" i="4"/>
  <c r="T90" i="4" s="1"/>
  <c r="U90" i="4" s="1"/>
  <c r="R90" i="4"/>
  <c r="Q112" i="4"/>
  <c r="T112" i="4" s="1"/>
  <c r="U112" i="4" s="1"/>
  <c r="Q94" i="4"/>
  <c r="T94" i="4" s="1"/>
  <c r="U94" i="4" s="1"/>
  <c r="R72" i="4"/>
  <c r="R88" i="4"/>
  <c r="Q67" i="4"/>
  <c r="T67" i="4" s="1"/>
  <c r="U67" i="4" s="1"/>
  <c r="Q113" i="4"/>
  <c r="T113" i="4" s="1"/>
  <c r="U113" i="4" s="1"/>
  <c r="Q9" i="4"/>
  <c r="T9" i="4" s="1"/>
  <c r="U9" i="4" s="1"/>
  <c r="S94" i="4"/>
  <c r="Q85" i="4"/>
  <c r="T85" i="4" s="1"/>
  <c r="U85" i="4" s="1"/>
  <c r="Q80" i="4"/>
  <c r="T80" i="4" s="1"/>
  <c r="U80" i="4" s="1"/>
  <c r="Q95" i="4"/>
  <c r="T95" i="4" s="1"/>
  <c r="U95" i="4" s="1"/>
  <c r="R107" i="4"/>
  <c r="Q107" i="4"/>
  <c r="T107" i="4" s="1"/>
  <c r="U107" i="4" s="1"/>
  <c r="S85" i="4"/>
  <c r="Q62" i="4"/>
  <c r="T62" i="4" s="1"/>
  <c r="U62" i="4" s="1"/>
  <c r="H6" i="6"/>
  <c r="J6" i="6" s="1"/>
  <c r="O6" i="6" s="1"/>
  <c r="S62" i="4"/>
  <c r="Q115" i="4"/>
  <c r="Q143" i="4"/>
  <c r="T143" i="4" s="1"/>
  <c r="U143" i="4" s="1"/>
  <c r="Q57" i="4"/>
  <c r="T57" i="4" s="1"/>
  <c r="U57" i="4" s="1"/>
  <c r="U28" i="4"/>
  <c r="S144" i="4"/>
  <c r="Q132" i="4"/>
  <c r="T132" i="4" s="1"/>
  <c r="U132" i="4" s="1"/>
  <c r="Q53" i="4"/>
  <c r="T53" i="4" s="1"/>
  <c r="U53" i="4" s="1"/>
  <c r="Q81" i="4"/>
  <c r="T81" i="4" s="1"/>
  <c r="U81" i="4" s="1"/>
  <c r="Q134" i="4"/>
  <c r="R134" i="4" s="1"/>
  <c r="Q48" i="4"/>
  <c r="Q30" i="4"/>
  <c r="T30" i="4" s="1"/>
  <c r="U30" i="4" s="1"/>
  <c r="R24" i="4"/>
  <c r="R133" i="4"/>
  <c r="R97" i="4"/>
  <c r="Q97" i="4"/>
  <c r="T97" i="4" s="1"/>
  <c r="U97" i="4" s="1"/>
  <c r="R118" i="4"/>
  <c r="Q118" i="4"/>
  <c r="Q26" i="4"/>
  <c r="R26" i="4"/>
  <c r="Q130" i="4"/>
  <c r="T130" i="4" s="1"/>
  <c r="U130" i="4" s="1"/>
  <c r="Q58" i="4"/>
  <c r="T58" i="4" s="1"/>
  <c r="U58" i="4" s="1"/>
  <c r="Q86" i="4"/>
  <c r="R86" i="4"/>
  <c r="S39" i="4"/>
  <c r="R102" i="4"/>
  <c r="Q102" i="4"/>
  <c r="T102" i="4" s="1"/>
  <c r="U102" i="4" s="1"/>
  <c r="S12" i="4"/>
  <c r="S36" i="4"/>
  <c r="S57" i="4"/>
  <c r="Q135" i="4"/>
  <c r="T135" i="4" s="1"/>
  <c r="U135" i="4" s="1"/>
  <c r="R135" i="4"/>
  <c r="Q138" i="4"/>
  <c r="T138" i="4" s="1"/>
  <c r="U138" i="4" s="1"/>
  <c r="S112" i="4"/>
  <c r="R63" i="4"/>
  <c r="U18" i="4"/>
  <c r="Q139" i="4"/>
  <c r="Q21" i="4"/>
  <c r="T21" i="4" s="1"/>
  <c r="U21" i="4" s="1"/>
  <c r="Q49" i="4"/>
  <c r="T49" i="4" s="1"/>
  <c r="U49" i="4" s="1"/>
  <c r="R49" i="4"/>
  <c r="Q98" i="4"/>
  <c r="T98" i="4" s="1"/>
  <c r="U98" i="4" s="1"/>
  <c r="S133" i="4"/>
  <c r="S43" i="4"/>
  <c r="R103" i="4"/>
  <c r="Q103" i="4"/>
  <c r="T103" i="4" s="1"/>
  <c r="U103" i="4" s="1"/>
  <c r="Q106" i="4"/>
  <c r="T106" i="4" s="1"/>
  <c r="U106" i="4" s="1"/>
  <c r="R119" i="4"/>
  <c r="Q119" i="4"/>
  <c r="Q104" i="4"/>
  <c r="T104" i="4" s="1"/>
  <c r="U104" i="4" s="1"/>
  <c r="S14" i="4"/>
  <c r="Q33" i="4"/>
  <c r="T33" i="4" s="1"/>
  <c r="U33" i="4" s="1"/>
  <c r="S114" i="4"/>
  <c r="U72" i="4"/>
  <c r="S65" i="4"/>
  <c r="Q68" i="4"/>
  <c r="T68" i="4" s="1"/>
  <c r="U68" i="4" s="1"/>
  <c r="Q11" i="4"/>
  <c r="T11" i="4" s="1"/>
  <c r="U11" i="4" s="1"/>
  <c r="S142" i="4"/>
  <c r="Q124" i="4"/>
  <c r="Q116" i="4"/>
  <c r="Q66" i="4"/>
  <c r="R43" i="4"/>
  <c r="Q140" i="4"/>
  <c r="T140" i="4" s="1"/>
  <c r="U140" i="4" s="1"/>
  <c r="S88" i="4"/>
  <c r="S31" i="4"/>
  <c r="Q34" i="4"/>
  <c r="R34" i="4"/>
  <c r="S101" i="4"/>
  <c r="Q40" i="4"/>
  <c r="T40" i="4" s="1"/>
  <c r="U40" i="4" s="1"/>
  <c r="S67" i="4"/>
  <c r="L15" i="3"/>
  <c r="S122" i="4"/>
  <c r="S33" i="4"/>
  <c r="S102" i="4"/>
  <c r="S64" i="4"/>
  <c r="S50" i="4"/>
  <c r="Q128" i="4"/>
  <c r="T128" i="4" s="1"/>
  <c r="U128" i="4" s="1"/>
  <c r="S106" i="4"/>
  <c r="U35" i="4"/>
  <c r="Q89" i="4"/>
  <c r="T89" i="4" s="1"/>
  <c r="U89" i="4" s="1"/>
  <c r="S97" i="4"/>
  <c r="Q47" i="4"/>
  <c r="T47" i="4" s="1"/>
  <c r="U47" i="4" s="1"/>
  <c r="Q36" i="4"/>
  <c r="T36" i="4" s="1"/>
  <c r="U36" i="4" s="1"/>
  <c r="Q39" i="4"/>
  <c r="T39" i="4" s="1"/>
  <c r="U39" i="4" s="1"/>
  <c r="R39" i="4"/>
  <c r="Q74" i="4"/>
  <c r="R13" i="4"/>
  <c r="Q87" i="4"/>
  <c r="R87" i="4" s="1"/>
  <c r="S71" i="4"/>
  <c r="R52" i="4"/>
  <c r="T52" i="4"/>
  <c r="U52" i="4" s="1"/>
  <c r="Q8" i="4"/>
  <c r="T8" i="4" s="1"/>
  <c r="U8" i="4" s="1"/>
  <c r="Q146" i="4"/>
  <c r="T146" i="4" s="1"/>
  <c r="U146" i="4" s="1"/>
  <c r="Q84" i="4"/>
  <c r="R84" i="4" s="1"/>
  <c r="Q117" i="4"/>
  <c r="T117" i="4" s="1"/>
  <c r="U117" i="4" s="1"/>
  <c r="S8" i="4"/>
  <c r="Q54" i="4"/>
  <c r="Q65" i="4"/>
  <c r="T65" i="4" s="1"/>
  <c r="U65" i="4" s="1"/>
  <c r="U63" i="4"/>
  <c r="S69" i="4"/>
  <c r="J19" i="7"/>
  <c r="E5" i="11"/>
  <c r="F5" i="11" s="1"/>
  <c r="R71" i="4"/>
  <c r="Q83" i="4"/>
  <c r="T83" i="4" s="1"/>
  <c r="U83" i="4" s="1"/>
  <c r="Q100" i="4"/>
  <c r="T100" i="4" s="1"/>
  <c r="U100" i="4" s="1"/>
  <c r="S110" i="4"/>
  <c r="S90" i="4"/>
  <c r="S143" i="4"/>
  <c r="Q129" i="4"/>
  <c r="T129" i="4" s="1"/>
  <c r="U129" i="4" s="1"/>
  <c r="R125" i="4"/>
  <c r="Q125" i="4"/>
  <c r="T125" i="4" s="1"/>
  <c r="U125" i="4" s="1"/>
  <c r="Q82" i="4"/>
  <c r="T82" i="4" s="1"/>
  <c r="U82" i="4" s="1"/>
  <c r="Q96" i="4"/>
  <c r="T96" i="4" s="1"/>
  <c r="U96" i="4" s="1"/>
  <c r="S92" i="4"/>
  <c r="S56" i="4"/>
  <c r="R78" i="4"/>
  <c r="R28" i="4"/>
  <c r="S108" i="4"/>
  <c r="Q25" i="4"/>
  <c r="T25" i="4" s="1"/>
  <c r="U25" i="4" s="1"/>
  <c r="Q79" i="4"/>
  <c r="Q15" i="4"/>
  <c r="T15" i="4" s="1"/>
  <c r="U15" i="4" s="1"/>
  <c r="K16" i="3"/>
  <c r="M6" i="3"/>
  <c r="Q137" i="4"/>
  <c r="T137" i="4" s="1"/>
  <c r="U137" i="4" s="1"/>
  <c r="Q55" i="4"/>
  <c r="R120" i="4"/>
  <c r="S70" i="4"/>
  <c r="S83" i="4"/>
  <c r="Q14" i="4"/>
  <c r="T14" i="4" s="1"/>
  <c r="U14" i="4" s="1"/>
  <c r="Q42" i="4"/>
  <c r="S137" i="4"/>
  <c r="R77" i="4"/>
  <c r="U41" i="4"/>
  <c r="R145" i="4"/>
  <c r="Q145" i="4"/>
  <c r="T145" i="4" s="1"/>
  <c r="U145" i="4" s="1"/>
  <c r="S136" i="4"/>
  <c r="S15" i="4"/>
  <c r="Q29" i="4"/>
  <c r="T29" i="4" s="1"/>
  <c r="U29" i="4" s="1"/>
  <c r="R29" i="4"/>
  <c r="L6" i="9"/>
  <c r="K12" i="9"/>
  <c r="Q23" i="4"/>
  <c r="Q99" i="4"/>
  <c r="T99" i="4" s="1"/>
  <c r="U99" i="4" s="1"/>
  <c r="R99" i="4"/>
  <c r="S49" i="4"/>
  <c r="S78" i="4"/>
  <c r="Q44" i="4"/>
  <c r="T44" i="4" s="1"/>
  <c r="U44" i="4" s="1"/>
  <c r="Q93" i="4"/>
  <c r="T93" i="4" s="1"/>
  <c r="U93" i="4" s="1"/>
  <c r="Q64" i="4"/>
  <c r="T64" i="4" s="1"/>
  <c r="U64" i="4" s="1"/>
  <c r="Q142" i="4"/>
  <c r="T142" i="4" s="1"/>
  <c r="U142" i="4" s="1"/>
  <c r="Q131" i="4"/>
  <c r="T131" i="4" s="1"/>
  <c r="U131" i="4" s="1"/>
  <c r="R131" i="4"/>
  <c r="S24" i="4"/>
  <c r="S141" i="4"/>
  <c r="Q123" i="4"/>
  <c r="R110" i="4"/>
  <c r="L7" i="3"/>
  <c r="L16" i="3" s="1"/>
  <c r="S129" i="4"/>
  <c r="Q75" i="4"/>
  <c r="T75" i="4" s="1"/>
  <c r="U75" i="4" s="1"/>
  <c r="Q51" i="4"/>
  <c r="Q19" i="4"/>
  <c r="R19" i="4" s="1"/>
  <c r="Q114" i="4"/>
  <c r="T114" i="4" s="1"/>
  <c r="U114" i="4" s="1"/>
  <c r="Q10" i="4"/>
  <c r="S105" i="4"/>
  <c r="Q22" i="4"/>
  <c r="T22" i="4" s="1"/>
  <c r="U22" i="4" s="1"/>
  <c r="R22" i="4"/>
  <c r="Q37" i="4"/>
  <c r="R37" i="4" s="1"/>
  <c r="Q50" i="4"/>
  <c r="T50" i="4" s="1"/>
  <c r="U50" i="4" s="1"/>
  <c r="Q136" i="4"/>
  <c r="T136" i="4" s="1"/>
  <c r="U136" i="4" s="1"/>
  <c r="S46" i="4"/>
  <c r="U120" i="4"/>
  <c r="Q127" i="4"/>
  <c r="T127" i="4" s="1"/>
  <c r="U127" i="4" s="1"/>
  <c r="L6" i="6"/>
  <c r="G6" i="6"/>
  <c r="K6" i="6" s="1"/>
  <c r="P6" i="6" s="1"/>
  <c r="S140" i="4"/>
  <c r="R70" i="4"/>
  <c r="Q111" i="4"/>
  <c r="T111" i="4" s="1"/>
  <c r="U111" i="4" s="1"/>
  <c r="Q147" i="4"/>
  <c r="T5" i="4"/>
  <c r="S5" i="4"/>
  <c r="S147" i="4" s="1"/>
  <c r="R5" i="4"/>
  <c r="R147" i="4" s="1"/>
  <c r="S104" i="4"/>
  <c r="S113" i="4"/>
  <c r="L14" i="3"/>
  <c r="Q91" i="4"/>
  <c r="R144" i="4"/>
  <c r="Q144" i="4"/>
  <c r="T144" i="4" s="1"/>
  <c r="U144" i="4" s="1"/>
  <c r="Q122" i="4"/>
  <c r="T122" i="4" s="1"/>
  <c r="U122" i="4" s="1"/>
  <c r="R122" i="4"/>
  <c r="Q61" i="4"/>
  <c r="T61" i="4" s="1"/>
  <c r="U61" i="4" s="1"/>
  <c r="L11" i="3"/>
  <c r="Q121" i="4"/>
  <c r="T121" i="4" s="1"/>
  <c r="U121" i="4" s="1"/>
  <c r="Q32" i="4"/>
  <c r="T32" i="4" s="1"/>
  <c r="U32" i="4" s="1"/>
  <c r="S109" i="4"/>
  <c r="Q126" i="4"/>
  <c r="T126" i="4" s="1"/>
  <c r="U126" i="4" s="1"/>
  <c r="S77" i="4"/>
  <c r="R25" i="4" l="1"/>
  <c r="R21" i="4"/>
  <c r="S128" i="4"/>
  <c r="R80" i="4"/>
  <c r="R117" i="4"/>
  <c r="K14" i="9"/>
  <c r="L12" i="9"/>
  <c r="R11" i="4"/>
  <c r="T134" i="4"/>
  <c r="U134" i="4" s="1"/>
  <c r="S134" i="4"/>
  <c r="T51" i="4"/>
  <c r="U51" i="4" s="1"/>
  <c r="S51" i="4"/>
  <c r="S21" i="4"/>
  <c r="R9" i="4"/>
  <c r="T54" i="4"/>
  <c r="U54" i="4" s="1"/>
  <c r="S54" i="4"/>
  <c r="R128" i="4"/>
  <c r="T139" i="4"/>
  <c r="U139" i="4" s="1"/>
  <c r="S139" i="4"/>
  <c r="R75" i="4"/>
  <c r="R104" i="4"/>
  <c r="R132" i="4"/>
  <c r="R113" i="4"/>
  <c r="S146" i="4"/>
  <c r="R67" i="4"/>
  <c r="T19" i="4"/>
  <c r="U19" i="4" s="1"/>
  <c r="S19" i="4"/>
  <c r="S126" i="4"/>
  <c r="R30" i="4"/>
  <c r="R139" i="4"/>
  <c r="S11" i="4"/>
  <c r="R111" i="4"/>
  <c r="R95" i="4"/>
  <c r="R8" i="4"/>
  <c r="S96" i="4"/>
  <c r="R106" i="4"/>
  <c r="T86" i="4"/>
  <c r="U86" i="4" s="1"/>
  <c r="S86" i="4"/>
  <c r="P7" i="6"/>
  <c r="P10" i="6" s="1"/>
  <c r="F4" i="8"/>
  <c r="F6" i="8" s="1"/>
  <c r="B4" i="11" s="1"/>
  <c r="B8" i="11" s="1"/>
  <c r="B10" i="11" s="1"/>
  <c r="R82" i="4"/>
  <c r="T42" i="4"/>
  <c r="U42" i="4" s="1"/>
  <c r="S42" i="4"/>
  <c r="R42" i="4"/>
  <c r="S145" i="4"/>
  <c r="S131" i="4"/>
  <c r="R14" i="4"/>
  <c r="R136" i="4"/>
  <c r="S61" i="4"/>
  <c r="R58" i="4"/>
  <c r="R57" i="4"/>
  <c r="R94" i="4"/>
  <c r="R51" i="4"/>
  <c r="U5" i="4"/>
  <c r="U147" i="4" s="1"/>
  <c r="T147" i="4"/>
  <c r="P147" i="4" s="1"/>
  <c r="R146" i="4"/>
  <c r="T123" i="4"/>
  <c r="U123" i="4" s="1"/>
  <c r="S123" i="4"/>
  <c r="T34" i="4"/>
  <c r="U34" i="4" s="1"/>
  <c r="S34" i="4"/>
  <c r="T74" i="4"/>
  <c r="U74" i="4" s="1"/>
  <c r="S74" i="4"/>
  <c r="S89" i="4"/>
  <c r="S9" i="4"/>
  <c r="S48" i="4"/>
  <c r="T48" i="4"/>
  <c r="U48" i="4" s="1"/>
  <c r="S81" i="4"/>
  <c r="R123" i="4"/>
  <c r="S53" i="4"/>
  <c r="R93" i="4"/>
  <c r="R83" i="4"/>
  <c r="R36" i="4"/>
  <c r="R140" i="4"/>
  <c r="S100" i="4"/>
  <c r="S32" i="4"/>
  <c r="S68" i="4"/>
  <c r="T55" i="4"/>
  <c r="U55" i="4" s="1"/>
  <c r="S55" i="4"/>
  <c r="S40" i="4"/>
  <c r="S103" i="4"/>
  <c r="S30" i="4"/>
  <c r="R112" i="4"/>
  <c r="R68" i="4"/>
  <c r="R96" i="4"/>
  <c r="R142" i="4"/>
  <c r="R100" i="4"/>
  <c r="R61" i="4"/>
  <c r="R44" i="4"/>
  <c r="R55" i="4"/>
  <c r="R47" i="4"/>
  <c r="S99" i="4"/>
  <c r="S130" i="4"/>
  <c r="R130" i="4"/>
  <c r="R143" i="4"/>
  <c r="S127" i="4"/>
  <c r="R81" i="4"/>
  <c r="R129" i="4"/>
  <c r="S135" i="4"/>
  <c r="S75" i="4"/>
  <c r="R121" i="4"/>
  <c r="T37" i="4"/>
  <c r="U37" i="4" s="1"/>
  <c r="S37" i="4"/>
  <c r="S93" i="4"/>
  <c r="S132" i="4"/>
  <c r="S138" i="4"/>
  <c r="T115" i="4"/>
  <c r="U115" i="4" s="1"/>
  <c r="S115" i="4"/>
  <c r="R85" i="4"/>
  <c r="R126" i="4"/>
  <c r="S107" i="4"/>
  <c r="R137" i="4"/>
  <c r="S111" i="4"/>
  <c r="R115" i="4"/>
  <c r="R48" i="4"/>
  <c r="R74" i="4"/>
  <c r="R50" i="4"/>
  <c r="S22" i="4"/>
  <c r="S121" i="4"/>
  <c r="S58" i="4"/>
  <c r="M16" i="3"/>
  <c r="N6" i="3"/>
  <c r="N16" i="3" s="1"/>
  <c r="N21" i="3" s="1"/>
  <c r="S125" i="4"/>
  <c r="T66" i="4"/>
  <c r="U66" i="4" s="1"/>
  <c r="S66" i="4"/>
  <c r="T26" i="4"/>
  <c r="U26" i="4" s="1"/>
  <c r="S26" i="4"/>
  <c r="S44" i="4"/>
  <c r="R33" i="4"/>
  <c r="R32" i="4"/>
  <c r="S82" i="4"/>
  <c r="S29" i="4"/>
  <c r="R66" i="4"/>
  <c r="R98" i="4"/>
  <c r="T118" i="4"/>
  <c r="U118" i="4" s="1"/>
  <c r="S118" i="4"/>
  <c r="S25" i="4"/>
  <c r="R53" i="4"/>
  <c r="O7" i="6"/>
  <c r="O10" i="6" s="1"/>
  <c r="E4" i="8"/>
  <c r="E6" i="8" s="1"/>
  <c r="C4" i="11" s="1"/>
  <c r="C8" i="11" s="1"/>
  <c r="R127" i="4"/>
  <c r="R64" i="4"/>
  <c r="S47" i="4"/>
  <c r="T116" i="4"/>
  <c r="U116" i="4" s="1"/>
  <c r="S116" i="4"/>
  <c r="R15" i="4"/>
  <c r="R89" i="4"/>
  <c r="R116" i="4"/>
  <c r="S95" i="4"/>
  <c r="R138" i="4"/>
  <c r="T119" i="4"/>
  <c r="U119" i="4" s="1"/>
  <c r="S119" i="4"/>
  <c r="T10" i="4"/>
  <c r="U10" i="4" s="1"/>
  <c r="S10" i="4"/>
  <c r="T79" i="4"/>
  <c r="U79" i="4" s="1"/>
  <c r="S79" i="4"/>
  <c r="R65" i="4"/>
  <c r="T124" i="4"/>
  <c r="U124" i="4" s="1"/>
  <c r="S124" i="4"/>
  <c r="T84" i="4"/>
  <c r="U84" i="4" s="1"/>
  <c r="S84" i="4"/>
  <c r="R40" i="4"/>
  <c r="T87" i="4"/>
  <c r="U87" i="4" s="1"/>
  <c r="S87" i="4"/>
  <c r="S80" i="4"/>
  <c r="T91" i="4"/>
  <c r="U91" i="4" s="1"/>
  <c r="S91" i="4"/>
  <c r="R10" i="4"/>
  <c r="R91" i="4"/>
  <c r="T23" i="4"/>
  <c r="U23" i="4" s="1"/>
  <c r="S23" i="4"/>
  <c r="R114" i="4"/>
  <c r="R23" i="4"/>
  <c r="R79" i="4"/>
  <c r="R54" i="4"/>
  <c r="S98" i="4"/>
  <c r="R124" i="4"/>
  <c r="S117" i="4"/>
  <c r="R62" i="4"/>
  <c r="M21" i="3" l="1"/>
  <c r="J18" i="3"/>
  <c r="F6" i="6" s="1"/>
  <c r="M6" i="6" s="1"/>
  <c r="N6" i="6" s="1"/>
  <c r="Q6" i="6" s="1"/>
  <c r="E6" i="11"/>
  <c r="F6" i="11" s="1"/>
  <c r="L14" i="9"/>
  <c r="Q7" i="6" l="1"/>
  <c r="Q10" i="6" s="1"/>
  <c r="Q12" i="6" s="1"/>
  <c r="R6" i="6"/>
  <c r="R7" i="6" s="1"/>
  <c r="R10" i="6" s="1"/>
  <c r="R12" i="6" s="1"/>
  <c r="G4" i="8"/>
  <c r="G6" i="8" l="1"/>
  <c r="E4" i="11" s="1"/>
  <c r="J4" i="8"/>
  <c r="J6" i="8" l="1"/>
  <c r="K4" i="8"/>
  <c r="E8" i="11"/>
  <c r="F8" i="11" s="1"/>
  <c r="F4" i="11"/>
  <c r="K6" i="8" l="1"/>
  <c r="L4" i="8"/>
  <c r="L6" i="8" s="1"/>
</calcChain>
</file>

<file path=xl/sharedStrings.xml><?xml version="1.0" encoding="utf-8"?>
<sst xmlns="http://schemas.openxmlformats.org/spreadsheetml/2006/main" count="2125" uniqueCount="453">
  <si>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</si>
  <si>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</si>
  <si>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</si>
  <si>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</si>
  <si>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</si>
  <si>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</si>
  <si>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</si>
  <si>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</si>
  <si>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</si>
  <si>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207J</t>
  </si>
  <si>
    <t>205J</t>
  </si>
  <si>
    <t>5W</t>
  </si>
  <si>
    <t>200J</t>
  </si>
  <si>
    <t>4W</t>
  </si>
  <si>
    <t>3W</t>
  </si>
  <si>
    <t>2W</t>
  </si>
  <si>
    <t>1W</t>
  </si>
  <si>
    <t>26J</t>
  </si>
  <si>
    <t>12J</t>
  </si>
  <si>
    <t>10J</t>
  </si>
  <si>
    <t>6J</t>
  </si>
  <si>
    <t>4J</t>
  </si>
  <si>
    <t>3J</t>
  </si>
  <si>
    <t>2J</t>
  </si>
  <si>
    <t>1J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</si>
  <si>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</si>
  <si>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</si>
  <si>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</si>
  <si>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</si>
  <si>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</si>
  <si>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</si>
  <si>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</si>
  <si>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</si>
  <si>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</si>
  <si>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BHB</t>
  </si>
  <si>
    <t xml:space="preserve">B    </t>
  </si>
  <si>
    <t>Kantoor-/personeels-/vergaderruimte - harde vloeren (basis)</t>
  </si>
  <si>
    <t>m²/uur</t>
  </si>
  <si>
    <t>BHV</t>
  </si>
  <si>
    <t>Kantoor-/personeels-/vergaderruimte - harde vloeren (volledig)</t>
  </si>
  <si>
    <t>LHB</t>
  </si>
  <si>
    <t>Leslokalen/studieruimte - harde vloeren (basis)</t>
  </si>
  <si>
    <t>LHV</t>
  </si>
  <si>
    <t>Leslokalen/studieruimte - harde vloeren (volledig)</t>
  </si>
  <si>
    <t>PUHB</t>
  </si>
  <si>
    <t xml:space="preserve">PU   </t>
  </si>
  <si>
    <t>Praktijklokaal uitgebreid - harde vloeren (basis)</t>
  </si>
  <si>
    <t>PUHV</t>
  </si>
  <si>
    <t>Praktijklokaal uitgebreid - harde vloeren (volledig)</t>
  </si>
  <si>
    <t>SHB</t>
  </si>
  <si>
    <t xml:space="preserve">S    </t>
  </si>
  <si>
    <t>Sanitaire ruimte/toiletgroep - harde vloeren (basis)</t>
  </si>
  <si>
    <t>SHV</t>
  </si>
  <si>
    <t>Sanitaire ruimte/toiletgroep - harde vloeren (volledig)</t>
  </si>
  <si>
    <t>AHB</t>
  </si>
  <si>
    <t xml:space="preserve">V    </t>
  </si>
  <si>
    <t>Aula/pauzeruimte - harde vloeren (basis)</t>
  </si>
  <si>
    <t>AHV</t>
  </si>
  <si>
    <t>Aula/pauzeruimte - harde vloeren (volledig)</t>
  </si>
  <si>
    <t>EHB</t>
  </si>
  <si>
    <t>Entree - harde vloeren (basis)</t>
  </si>
  <si>
    <t>EHV</t>
  </si>
  <si>
    <t>Entree - harde vloeren (volledig)</t>
  </si>
  <si>
    <t>PHB</t>
  </si>
  <si>
    <t>Pantry/keuken - harde vloeren (basis)</t>
  </si>
  <si>
    <t>PHV</t>
  </si>
  <si>
    <t>Pantry/keuken - harde vloeren (volledig)</t>
  </si>
  <si>
    <t>THB</t>
  </si>
  <si>
    <t>Trap - harde vloeren (basis)</t>
  </si>
  <si>
    <t>THV</t>
  </si>
  <si>
    <t>Trap - harde vloeren (volledig)</t>
  </si>
  <si>
    <t>VHB</t>
  </si>
  <si>
    <t>Verkeersruimte/garderobe/reprografie - harde vloeren (basis)</t>
  </si>
  <si>
    <t>VHV</t>
  </si>
  <si>
    <t>Verkeersruimte/garderobe/reprografie - harde vloeren (volledig)</t>
  </si>
  <si>
    <t>XBB</t>
  </si>
  <si>
    <t xml:space="preserve">X    </t>
  </si>
  <si>
    <t>Periodiek vloeren beschermd (basis)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</si>
  <si>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</si>
  <si>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</si>
  <si>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</si>
  <si>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</si>
  <si>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</si>
  <si>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</si>
  <si>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</si>
  <si>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</si>
  <si>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</si>
  <si>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</si>
  <si>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Aula/pauzeruimte - harde vloeren</t>
  </si>
  <si>
    <t>BH</t>
  </si>
  <si>
    <t>Kantoor/personeels-/vergaderrruimte - harde vloeren</t>
  </si>
  <si>
    <t>EH</t>
  </si>
  <si>
    <t>Entree - harde vloer</t>
  </si>
  <si>
    <t>LH</t>
  </si>
  <si>
    <t>Leslokaal/studieruimte - harde vloeren</t>
  </si>
  <si>
    <t>PH</t>
  </si>
  <si>
    <t>Pantry/keuken - harde vloeren</t>
  </si>
  <si>
    <t>PUH</t>
  </si>
  <si>
    <t>Praktijklokaal uitgebreid - harde vloeren</t>
  </si>
  <si>
    <t>SH</t>
  </si>
  <si>
    <t>Sanitaire ruimte/toiletten - harde vloeren</t>
  </si>
  <si>
    <t>TH</t>
  </si>
  <si>
    <t>Trap - harde vloeren</t>
  </si>
  <si>
    <t>VH</t>
  </si>
  <si>
    <t>Verkeersruimte/garderobe/reprografie - harde vloeren</t>
  </si>
  <si>
    <t>XB</t>
  </si>
  <si>
    <t>Periodiek vloeren beschermd</t>
  </si>
  <si>
    <t xml:space="preserve">Totaal werkdag             </t>
  </si>
  <si>
    <t xml:space="preserve">Gemiddeld uurtarief werkdag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</si>
  <si>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</si>
  <si>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</si>
  <si>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</si>
  <si>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</si>
  <si>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</si>
  <si>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</si>
  <si>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</si>
  <si>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</si>
  <si>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DAG-KRACHT</t>
  </si>
  <si>
    <t>UREN HOOG-FREQUENT/ DAG</t>
  </si>
  <si>
    <t>400 - Mavo Muurhuizen, Zangvogelweg 2-4, Amersfoort</t>
  </si>
  <si>
    <t>400</t>
  </si>
  <si>
    <t/>
  </si>
  <si>
    <t>00</t>
  </si>
  <si>
    <t>0.01</t>
  </si>
  <si>
    <t>Entree</t>
  </si>
  <si>
    <t>linoleum</t>
  </si>
  <si>
    <t>0.02</t>
  </si>
  <si>
    <t>Entree hal</t>
  </si>
  <si>
    <t>0.03</t>
  </si>
  <si>
    <t>Ontvangst bar</t>
  </si>
  <si>
    <t>0.04</t>
  </si>
  <si>
    <t>Keuken</t>
  </si>
  <si>
    <t>gietvloer</t>
  </si>
  <si>
    <t>0.05</t>
  </si>
  <si>
    <t>Aula</t>
  </si>
  <si>
    <t>0.06</t>
  </si>
  <si>
    <t>Repro</t>
  </si>
  <si>
    <t>0.07</t>
  </si>
  <si>
    <t>Toilet</t>
  </si>
  <si>
    <t>0.08</t>
  </si>
  <si>
    <t>0.09</t>
  </si>
  <si>
    <t>0.10</t>
  </si>
  <si>
    <t>0.11</t>
  </si>
  <si>
    <t>Studieruimte</t>
  </si>
  <si>
    <t>0.12</t>
  </si>
  <si>
    <t>Verkeersruimte</t>
  </si>
  <si>
    <t>0.13</t>
  </si>
  <si>
    <t>Leslokaal</t>
  </si>
  <si>
    <t>parket</t>
  </si>
  <si>
    <t>0.14</t>
  </si>
  <si>
    <t>0.15</t>
  </si>
  <si>
    <t>Toilet dames</t>
  </si>
  <si>
    <t>0.16</t>
  </si>
  <si>
    <t>Toilet heren</t>
  </si>
  <si>
    <t>0.17</t>
  </si>
  <si>
    <t>0.18</t>
  </si>
  <si>
    <t>0.19</t>
  </si>
  <si>
    <t>Beeldend lokaal</t>
  </si>
  <si>
    <t>pvc</t>
  </si>
  <si>
    <t>0.20</t>
  </si>
  <si>
    <t>Leslokaal biologie</t>
  </si>
  <si>
    <t>0.21</t>
  </si>
  <si>
    <t>0.22</t>
  </si>
  <si>
    <t>Toa ruimte</t>
  </si>
  <si>
    <t>0.23</t>
  </si>
  <si>
    <t>Leslokaal natuur/scheikunde</t>
  </si>
  <si>
    <t>0.24</t>
  </si>
  <si>
    <t>0.25</t>
  </si>
  <si>
    <t>Pantry personeel</t>
  </si>
  <si>
    <t>0.26</t>
  </si>
  <si>
    <t>Personeelsruimte</t>
  </si>
  <si>
    <t>0.27</t>
  </si>
  <si>
    <t>Kantoor directie</t>
  </si>
  <si>
    <t>0.28</t>
  </si>
  <si>
    <t>0.29</t>
  </si>
  <si>
    <t>0.30</t>
  </si>
  <si>
    <t>0.31</t>
  </si>
  <si>
    <t>Muzieklokaal</t>
  </si>
  <si>
    <t>0.32</t>
  </si>
  <si>
    <t>Kantoor</t>
  </si>
  <si>
    <t>0.33</t>
  </si>
  <si>
    <t>Trap</t>
  </si>
  <si>
    <t>0.34</t>
  </si>
  <si>
    <t>0.35</t>
  </si>
  <si>
    <t>0.36</t>
  </si>
  <si>
    <t>0.37</t>
  </si>
  <si>
    <t>0.38</t>
  </si>
  <si>
    <t>Werkkast</t>
  </si>
  <si>
    <t>0.39</t>
  </si>
  <si>
    <t>0.40</t>
  </si>
  <si>
    <t>0.41</t>
  </si>
  <si>
    <t>0.42</t>
  </si>
  <si>
    <t>0.43</t>
  </si>
  <si>
    <t>Kleedruimte</t>
  </si>
  <si>
    <t>0.44</t>
  </si>
  <si>
    <t>Douche</t>
  </si>
  <si>
    <t>tegel</t>
  </si>
  <si>
    <t>0.45</t>
  </si>
  <si>
    <t>0.46</t>
  </si>
  <si>
    <t>0.47</t>
  </si>
  <si>
    <t>Sportzaal</t>
  </si>
  <si>
    <t>sportvloer</t>
  </si>
  <si>
    <t>0.48</t>
  </si>
  <si>
    <t>Berging</t>
  </si>
  <si>
    <t>0.49</t>
  </si>
  <si>
    <t>01</t>
  </si>
  <si>
    <t>1.01</t>
  </si>
  <si>
    <t>verzorgingslokaal</t>
  </si>
  <si>
    <t>1.02</t>
  </si>
  <si>
    <t>1.03</t>
  </si>
  <si>
    <t>1.04</t>
  </si>
  <si>
    <t>1.05</t>
  </si>
  <si>
    <t>1.06</t>
  </si>
  <si>
    <t>1.07</t>
  </si>
  <si>
    <t>1.08</t>
  </si>
  <si>
    <t>RT kantoor</t>
  </si>
  <si>
    <t>1.09</t>
  </si>
  <si>
    <t>P kantoor</t>
  </si>
  <si>
    <t>1.10</t>
  </si>
  <si>
    <t>Rooster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</si>
  <si>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</si>
  <si>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</si>
  <si>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</si>
  <si>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</si>
  <si>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</si>
  <si>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</si>
  <si>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</si>
  <si>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</si>
  <si>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</si>
  <si>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</si>
  <si>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</si>
  <si>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</si>
  <si>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Mediaplein</t>
  </si>
  <si>
    <t>1.23</t>
  </si>
  <si>
    <t>Afd. leider</t>
  </si>
  <si>
    <t>1.24</t>
  </si>
  <si>
    <t>1.25</t>
  </si>
  <si>
    <t>1.26</t>
  </si>
  <si>
    <t>1.27</t>
  </si>
  <si>
    <t>Kantoor ICT</t>
  </si>
  <si>
    <t>1.28</t>
  </si>
  <si>
    <t>Kantoor GGD</t>
  </si>
  <si>
    <t>1.29</t>
  </si>
  <si>
    <t>1.30</t>
  </si>
  <si>
    <t>dhgt</t>
  </si>
  <si>
    <t>1.31</t>
  </si>
  <si>
    <t>1.32</t>
  </si>
  <si>
    <t>1.33</t>
  </si>
  <si>
    <t>1.34</t>
  </si>
  <si>
    <t>Totaal werkdag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</si>
  <si>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</si>
  <si>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</si>
  <si>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</si>
  <si>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</si>
  <si>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</si>
  <si>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</si>
  <si>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</si>
  <si>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 400</t>
  </si>
  <si>
    <t>werkdag</t>
  </si>
  <si>
    <t>NAAM</t>
  </si>
  <si>
    <t>ADRES</t>
  </si>
  <si>
    <t>PLAATS</t>
  </si>
  <si>
    <t>BASIS UUR- TARIEF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</si>
  <si>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</si>
  <si>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</si>
  <si>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</si>
  <si>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</si>
  <si>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</si>
  <si>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</si>
  <si>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</si>
  <si>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</si>
  <si>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</si>
  <si>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JAAR (EURO)</t>
  </si>
  <si>
    <t>PRIJS/ MAAND (EURO)</t>
  </si>
  <si>
    <t>Mavo Muurhuizen</t>
  </si>
  <si>
    <t>Zangvogelweg 2-4</t>
  </si>
  <si>
    <t>Amersfoort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</si>
  <si>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</si>
  <si>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</si>
  <si>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</si>
  <si>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</si>
  <si>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</si>
  <si>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</si>
  <si>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</si>
  <si>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</si>
  <si>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</si>
  <si>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(euro)</t>
  </si>
  <si>
    <t>PRIJS/ MAAND (euro)</t>
  </si>
  <si>
    <t>&lt;invullen functie afh. van uren uitvoering per jaar&gt;</t>
  </si>
  <si>
    <t>&lt;invullen functie met vaste uren per dag&gt;</t>
  </si>
  <si>
    <t>Totaal 400 - Mavo Muurhuizen, Zangvogelweg 2-4, Amersfoort</t>
  </si>
  <si>
    <t>Totaal niet-meewerkende objectleiding</t>
  </si>
  <si>
    <t>Totaal niet-meewerkende objectleiding (incl. BTW)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</si>
  <si>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</si>
  <si>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</si>
  <si>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</si>
  <si>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</si>
  <si>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</si>
  <si>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</si>
  <si>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</si>
  <si>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</si>
  <si>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</si>
  <si>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</si>
  <si>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</si>
  <si>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</si>
  <si>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</si>
  <si>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</si>
  <si>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9000</t>
  </si>
  <si>
    <t>Medewerker regiewerkzaamheden</t>
  </si>
  <si>
    <t>prijs per uur</t>
  </si>
  <si>
    <t>9050</t>
  </si>
  <si>
    <t>Medewerker regiewerkzaamheden weekend</t>
  </si>
  <si>
    <t>9100</t>
  </si>
  <si>
    <t>Medewerker specialistische werkzaamheden</t>
  </si>
  <si>
    <t>9200</t>
  </si>
  <si>
    <t>Uurtarief vervanging eigen beheer</t>
  </si>
  <si>
    <t>9300</t>
  </si>
  <si>
    <t>Uurtarief glasbewassing</t>
  </si>
  <si>
    <t>9400</t>
  </si>
  <si>
    <t>Periodieke beurt keuken en bakkerij</t>
  </si>
  <si>
    <t>totaalprijs</t>
  </si>
  <si>
    <t>Totaal afroep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</si>
  <si>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</si>
  <si>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</si>
  <si>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</si>
  <si>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</si>
  <si>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</si>
  <si>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</si>
  <si>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</si>
  <si>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</si>
  <si>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</si>
  <si>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</si>
  <si>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</si>
  <si>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</si>
  <si>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</si>
  <si>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</si>
  <si>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</si>
  <si>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</si>
  <si>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2020A</t>
  </si>
  <si>
    <t>Fax uitwendig reinigen</t>
  </si>
  <si>
    <t>2020B</t>
  </si>
  <si>
    <t>2020C</t>
  </si>
  <si>
    <t>2020D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</si>
  <si>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</si>
  <si>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</si>
  <si>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</si>
  <si>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</si>
  <si>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</si>
  <si>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</si>
  <si>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</si>
  <si>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</si>
  <si>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</si>
  <si>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</si>
  <si>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</si>
  <si>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</si>
  <si>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</si>
  <si>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</si>
  <si>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</si>
  <si>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</si>
  <si>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</si>
  <si>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</si>
  <si>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</si>
  <si>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</si>
  <si>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</si>
  <si>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</si>
  <si>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</si>
  <si>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</si>
  <si>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</si>
  <si>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</si>
  <si>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</si>
  <si>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</si>
  <si>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</si>
  <si>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</si>
  <si>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</si>
  <si>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</si>
  <si>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</si>
  <si>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</si>
  <si>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</si>
  <si>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</si>
  <si>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</si>
  <si>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</si>
  <si>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</si>
  <si>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</si>
  <si>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</si>
  <si>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</si>
  <si>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</si>
  <si>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</si>
  <si>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</si>
  <si>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</si>
  <si>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</si>
  <si>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>3040</t>
  </si>
  <si>
    <t>Graffiti verwijderen spec.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</si>
  <si>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</si>
  <si>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</si>
  <si>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</si>
  <si>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</si>
  <si>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</si>
  <si>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</si>
  <si>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</si>
  <si>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</si>
  <si>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</si>
  <si>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</si>
  <si>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</si>
  <si>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</si>
  <si>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</si>
  <si>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</si>
  <si>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</si>
  <si>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</si>
  <si>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</si>
  <si>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</si>
  <si>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</si>
  <si>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</si>
  <si>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</si>
  <si>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</si>
  <si>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</si>
  <si>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</si>
  <si>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</si>
  <si>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</si>
  <si>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</si>
  <si>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</si>
  <si>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</si>
  <si>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</si>
  <si>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</si>
  <si>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</si>
  <si>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</si>
  <si>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</si>
  <si>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</si>
  <si>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</si>
  <si>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</si>
  <si>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</si>
  <si>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</si>
  <si>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</si>
  <si>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</si>
  <si>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</si>
  <si>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</si>
  <si>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</si>
  <si>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</si>
  <si>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</si>
  <si>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</si>
  <si>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</si>
  <si>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</si>
  <si>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Totaal afroep incidenteel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</si>
  <si>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</si>
  <si>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</si>
  <si>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</si>
  <si>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</si>
  <si>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</si>
  <si>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Bedrag per jaar incl. BTW (euro)</t>
  </si>
  <si>
    <t>Regulier werk</t>
  </si>
  <si>
    <t>Objectleiding</t>
  </si>
  <si>
    <t>Afroepwerk (geschatte frequenties)</t>
  </si>
  <si>
    <t>Totaal generaal</t>
  </si>
  <si>
    <t>Percentage objectleiding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</si>
</sst>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9" fontId="0" fillId="2" borderId="16" xfId="0" applyNumberFormat="1" applyFill="1" applyBorder="1"/>
    <xf numFmtId="1" fontId="0" fillId="2" borderId="16" xfId="0" applyNumberFormat="1" applyFill="1" applyBorder="1"/>
    <xf numFmtId="4" fontId="0" fillId="0" borderId="16" xfId="0" applyNumberFormat="1" applyBorder="1" applyProtection="1">
      <protection locked="0"/>
    </xf>
    <xf numFmtId="10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0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0" fontId="0" fillId="2" borderId="15" xfId="0" applyNumberFormat="1" applyFill="1" applyBorder="1"/>
    <xf numFmtId="164" fontId="0" fillId="2" borderId="15" xfId="0" applyNumberFormat="1" applyFill="1" applyBorder="1"/>
    <xf numFmtId="4" fontId="0" fillId="2" borderId="16" xfId="0" applyNumberFormat="1" applyFill="1" applyBorder="1"/>
    <xf numFmtId="165" fontId="0" fillId="2" borderId="16" xfId="0" applyNumberFormat="1" applyFill="1" applyBorder="1"/>
    <xf numFmtId="10" fontId="0" fillId="2" borderId="16" xfId="0" applyNumberFormat="1" applyFill="1" applyBorder="1"/>
    <xf numFmtId="164" fontId="0" fillId="2" borderId="16" xfId="0" applyNumberFormat="1" applyFill="1" applyBorder="1"/>
    <xf numFmtId="0" fontId="0" fillId="3" borderId="18" xfId="0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7" xfId="0" applyNumberFormat="1" applyFill="1" applyBorder="1"/>
    <xf numFmtId="0" fontId="0" fillId="3" borderId="10" xfId="0" applyFill="1" applyBorder="1"/>
    <xf numFmtId="0" fontId="0" fillId="3" borderId="19" xfId="0" applyFill="1" applyBorder="1"/>
    <xf numFmtId="49" fontId="0" fillId="3" borderId="20" xfId="0" applyNumberFormat="1" applyFill="1" applyBorder="1" applyAlignment="1">
      <alignment wrapText="1"/>
    </xf>
    <xf numFmtId="49" fontId="0" fillId="3" borderId="17" xfId="0" applyNumberFormat="1" applyFill="1" applyBorder="1" applyAlignment="1">
      <alignment wrapText="1"/>
    </xf>
    <xf numFmtId="0" fontId="0" fillId="3" borderId="21" xfId="0" applyFill="1" applyBorder="1"/>
    <xf numFmtId="49" fontId="0" fillId="2" borderId="23" xfId="0" applyNumberFormat="1" applyFill="1" applyBorder="1"/>
    <xf numFmtId="49" fontId="0" fillId="2" borderId="24" xfId="0" applyNumberFormat="1" applyFill="1" applyBorder="1"/>
    <xf numFmtId="49" fontId="0" fillId="2" borderId="24" xfId="0" applyNumberFormat="1" applyFill="1" applyBorder="1" applyAlignment="1">
      <alignment wrapText="1"/>
    </xf>
    <xf numFmtId="4" fontId="0" fillId="2" borderId="24" xfId="0" applyNumberFormat="1" applyFill="1" applyBorder="1"/>
    <xf numFmtId="165" fontId="0" fillId="2" borderId="24" xfId="0" applyNumberFormat="1" applyFill="1" applyBorder="1"/>
    <xf numFmtId="10" fontId="0" fillId="2" borderId="24" xfId="0" applyNumberFormat="1" applyFill="1" applyBorder="1"/>
    <xf numFmtId="164" fontId="0" fillId="2" borderId="24" xfId="0" applyNumberFormat="1" applyFill="1" applyBorder="1"/>
    <xf numFmtId="164" fontId="0" fillId="2" borderId="25" xfId="0" applyNumberFormat="1" applyFill="1" applyBorder="1"/>
    <xf numFmtId="49" fontId="0" fillId="2" borderId="26" xfId="0" applyNumberFormat="1" applyFill="1" applyBorder="1"/>
    <xf numFmtId="49" fontId="0" fillId="2" borderId="27" xfId="0" applyNumberFormat="1" applyFill="1" applyBorder="1"/>
    <xf numFmtId="49" fontId="0" fillId="2" borderId="27" xfId="0" applyNumberFormat="1" applyFill="1" applyBorder="1" applyAlignment="1">
      <alignment wrapText="1"/>
    </xf>
    <xf numFmtId="4" fontId="0" fillId="2" borderId="27" xfId="0" applyNumberFormat="1" applyFill="1" applyBorder="1"/>
    <xf numFmtId="165" fontId="0" fillId="2" borderId="27" xfId="0" applyNumberFormat="1" applyFill="1" applyBorder="1"/>
    <xf numFmtId="10" fontId="0" fillId="2" borderId="27" xfId="0" applyNumberFormat="1" applyFill="1" applyBorder="1"/>
    <xf numFmtId="164" fontId="0" fillId="2" borderId="27" xfId="0" applyNumberFormat="1" applyFill="1" applyBorder="1"/>
    <xf numFmtId="164" fontId="0" fillId="2" borderId="28" xfId="0" applyNumberFormat="1" applyFill="1" applyBorder="1"/>
    <xf numFmtId="49" fontId="0" fillId="2" borderId="29" xfId="0" applyNumberFormat="1" applyFill="1" applyBorder="1"/>
    <xf numFmtId="49" fontId="0" fillId="2" borderId="30" xfId="0" applyNumberFormat="1" applyFill="1" applyBorder="1"/>
    <xf numFmtId="49" fontId="0" fillId="2" borderId="30" xfId="0" applyNumberFormat="1" applyFill="1" applyBorder="1" applyAlignment="1">
      <alignment wrapText="1"/>
    </xf>
    <xf numFmtId="4" fontId="0" fillId="2" borderId="30" xfId="0" applyNumberFormat="1" applyFill="1" applyBorder="1"/>
    <xf numFmtId="165" fontId="0" fillId="2" borderId="30" xfId="0" applyNumberFormat="1" applyFill="1" applyBorder="1"/>
    <xf numFmtId="10" fontId="0" fillId="2" borderId="30" xfId="0" applyNumberFormat="1" applyFill="1" applyBorder="1"/>
    <xf numFmtId="164" fontId="0" fillId="2" borderId="30" xfId="0" applyNumberFormat="1" applyFill="1" applyBorder="1"/>
    <xf numFmtId="164" fontId="0" fillId="2" borderId="31" xfId="0" applyNumberFormat="1" applyFill="1" applyBorder="1"/>
    <xf numFmtId="49" fontId="0" fillId="3" borderId="3" xfId="0" applyNumberFormat="1" applyFill="1" applyBorder="1"/>
    <xf numFmtId="0" fontId="0" fillId="3" borderId="22" xfId="0" applyFill="1" applyBorder="1"/>
    <xf numFmtId="49" fontId="0" fillId="3" borderId="22" xfId="0" applyNumberFormat="1" applyFill="1" applyBorder="1"/>
    <xf numFmtId="0" fontId="0" fillId="3" borderId="6" xfId="0" applyFill="1" applyBorder="1"/>
    <xf numFmtId="49" fontId="0" fillId="2" borderId="6" xfId="0" applyNumberFormat="1" applyFill="1" applyBorder="1"/>
    <xf numFmtId="49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4" fontId="0" fillId="2" borderId="6" xfId="0" applyNumberFormat="1" applyFill="1" applyBorder="1"/>
    <xf numFmtId="4" fontId="0" fillId="0" borderId="6" xfId="0" applyNumberFormat="1" applyBorder="1"/>
    <xf numFmtId="164" fontId="0" fillId="2" borderId="6" xfId="0" applyNumberFormat="1" applyFill="1" applyBorder="1"/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3" borderId="7" xfId="0" applyFill="1" applyBorder="1" applyAlignment="1"/>
    <xf numFmtId="1" fontId="0" fillId="0" borderId="14" xfId="0" applyNumberFormat="1" applyBorder="1"/>
    <xf numFmtId="49" fontId="0" fillId="0" borderId="14" xfId="0" applyNumberFormat="1" applyBorder="1"/>
    <xf numFmtId="4" fontId="0" fillId="3" borderId="14" xfId="0" applyNumberFormat="1" applyFill="1" applyBorder="1"/>
    <xf numFmtId="1" fontId="0" fillId="0" borderId="15" xfId="0" applyNumberFormat="1" applyBorder="1"/>
    <xf numFmtId="49" fontId="0" fillId="0" borderId="15" xfId="0" applyNumberFormat="1" applyBorder="1"/>
    <xf numFmtId="4" fontId="0" fillId="3" borderId="15" xfId="0" applyNumberFormat="1" applyFill="1" applyBorder="1"/>
    <xf numFmtId="10" fontId="0" fillId="3" borderId="15" xfId="0" applyNumberFormat="1" applyFill="1" applyBorder="1"/>
    <xf numFmtId="1" fontId="0" fillId="0" borderId="16" xfId="0" applyNumberFormat="1" applyBorder="1"/>
    <xf numFmtId="49" fontId="0" fillId="0" borderId="16" xfId="0" applyNumberFormat="1" applyBorder="1"/>
    <xf numFmtId="10" fontId="0" fillId="3" borderId="16" xfId="0" applyNumberFormat="1" applyFill="1" applyBorder="1"/>
    <xf numFmtId="49" fontId="0" fillId="3" borderId="10" xfId="0" applyNumberFormat="1" applyFill="1" applyBorder="1" applyAlignment="1"/>
    <xf numFmtId="4" fontId="0" fillId="4" borderId="14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4" fontId="0" fillId="0" borderId="15" xfId="0" applyNumberFormat="1" applyBorder="1"/>
    <xf numFmtId="4" fontId="0" fillId="3" borderId="15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164" fontId="0" fillId="3" borderId="12" xfId="0" applyNumberFormat="1" applyFill="1" applyBorder="1"/>
    <xf numFmtId="0" fontId="0" fillId="3" borderId="12" xfId="0" applyFill="1" applyBorder="1"/>
    <xf numFmtId="49" fontId="0" fillId="3" borderId="14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6" xfId="0" applyNumberFormat="1" applyFill="1" applyBorder="1" applyAlignment="1">
      <alignment wrapText="1"/>
    </xf>
    <xf numFmtId="4" fontId="0" fillId="3" borderId="16" xfId="0" applyNumberFormat="1" applyFill="1" applyBorder="1"/>
    <xf numFmtId="10" fontId="0" fillId="3" borderId="6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EEE74-FDF3-4DC8-84F9-14F887931874}">
  <dimension ref="A1:B28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200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>IF(A13="2½W",2.5/dagenperweek1,IF(RIGHT(A13,1)="W",VALUE(LEFT(A13,LEN(A13)-1))/dagenperweek1,IF(RIGHT(A13,1)="J",VALUE(LEFT(A13,LEN(A13)-1))/dagenperjaar1,"handmatig!")))</f>
        <v>1.0349999999999999</v>
      </c>
    </row>
    <row r="14" spans="1:2" x14ac:dyDescent="0.2">
      <c r="A14" s="2" t="s">
        <v>10</v>
      </c>
      <c r="B14" s="3">
        <f>IF(A14="2½W",2.5/dagenperweek1,IF(RIGHT(A14,1)="W",VALUE(LEFT(A14,LEN(A14)-1))/dagenperweek1,IF(RIGHT(A14,1)="J",VALUE(LEFT(A14,LEN(A14)-1))/dagenperjaar1,"handmatig!")))</f>
        <v>1.0249999999999999</v>
      </c>
    </row>
    <row r="15" spans="1:2" x14ac:dyDescent="0.2">
      <c r="A15" s="2" t="s">
        <v>11</v>
      </c>
      <c r="B15" s="3">
        <f>IF(A15="2½W",2.5/dagenperweek1,IF(RIGHT(A15,1)="W",VALUE(LEFT(A15,LEN(A15)-1))/dagenperweek1,IF(RIGHT(A15,1)="J",VALUE(LEFT(A15,LEN(A15)-1))/dagenperjaar1,"handmatig!")))</f>
        <v>1</v>
      </c>
    </row>
    <row r="16" spans="1:2" x14ac:dyDescent="0.2">
      <c r="A16" s="2" t="s">
        <v>12</v>
      </c>
      <c r="B16" s="3">
        <f>IF(A16="2½W",2.5/dagenperweek1,IF(RIGHT(A16,1)="W",VALUE(LEFT(A16,LEN(A16)-1))/dagenperweek1,IF(RIGHT(A16,1)="J",VALUE(LEFT(A16,LEN(A16)-1))/dagenperjaar1,"handmatig!")))</f>
        <v>1</v>
      </c>
    </row>
    <row r="17" spans="1:2" x14ac:dyDescent="0.2">
      <c r="A17" s="2" t="s">
        <v>13</v>
      </c>
      <c r="B17" s="3">
        <f>IF(A17="2½W",2.5/dagenperweek1,IF(RIGHT(A17,1)="W",VALUE(LEFT(A17,LEN(A17)-1))/dagenperweek1,IF(RIGHT(A17,1)="J",VALUE(LEFT(A17,LEN(A17)-1))/dagenperjaar1,"handmatig!")))</f>
        <v>0.8</v>
      </c>
    </row>
    <row r="18" spans="1:2" x14ac:dyDescent="0.2">
      <c r="A18" s="2" t="s">
        <v>14</v>
      </c>
      <c r="B18" s="3">
        <f>IF(A18="2½W",2.5/dagenperweek1,IF(RIGHT(A18,1)="W",VALUE(LEFT(A18,LEN(A18)-1))/dagenperweek1,IF(RIGHT(A18,1)="J",VALUE(LEFT(A18,LEN(A18)-1))/dagenperjaar1,"handmatig!")))</f>
        <v>0.6</v>
      </c>
    </row>
    <row r="19" spans="1:2" x14ac:dyDescent="0.2">
      <c r="A19" s="2" t="s">
        <v>15</v>
      </c>
      <c r="B19" s="3">
        <f>IF(A19="2½W",2.5/dagenperweek1,IF(RIGHT(A19,1)="W",VALUE(LEFT(A19,LEN(A19)-1))/dagenperweek1,IF(RIGHT(A19,1)="J",VALUE(LEFT(A19,LEN(A19)-1))/dagenperjaar1,"handmatig!")))</f>
        <v>0.4</v>
      </c>
    </row>
    <row r="20" spans="1:2" x14ac:dyDescent="0.2">
      <c r="A20" s="2" t="s">
        <v>16</v>
      </c>
      <c r="B20" s="3">
        <f>IF(A20="2½W",2.5/dagenperweek1,IF(RIGHT(A20,1)="W",VALUE(LEFT(A20,LEN(A20)-1))/dagenperweek1,IF(RIGHT(A20,1)="J",VALUE(LEFT(A20,LEN(A20)-1))/dagenperjaar1,"handmatig!")))</f>
        <v>0.2</v>
      </c>
    </row>
    <row r="21" spans="1:2" x14ac:dyDescent="0.2">
      <c r="A21" s="2" t="s">
        <v>17</v>
      </c>
      <c r="B21" s="3">
        <f>IF(A21="2½W",2.5/dagenperweek1,IF(RIGHT(A21,1)="W",VALUE(LEFT(A21,LEN(A21)-1))/dagenperweek1,IF(RIGHT(A21,1)="J",VALUE(LEFT(A21,LEN(A21)-1))/dagenperjaar1,"handmatig!")))</f>
        <v>0.13</v>
      </c>
    </row>
    <row r="22" spans="1:2" x14ac:dyDescent="0.2">
      <c r="A22" s="2" t="s">
        <v>18</v>
      </c>
      <c r="B22" s="3">
        <f>IF(A22="2½W",2.5/dagenperweek1,IF(RIGHT(A22,1)="W",VALUE(LEFT(A22,LEN(A22)-1))/dagenperweek1,IF(RIGHT(A22,1)="J",VALUE(LEFT(A22,LEN(A22)-1))/dagenperjaar1,"handmatig!")))</f>
        <v>0.06</v>
      </c>
    </row>
    <row r="23" spans="1:2" x14ac:dyDescent="0.2">
      <c r="A23" s="2" t="s">
        <v>19</v>
      </c>
      <c r="B23" s="3">
        <f>IF(A23="2½W",2.5/dagenperweek1,IF(RIGHT(A23,1)="W",VALUE(LEFT(A23,LEN(A23)-1))/dagenperweek1,IF(RIGHT(A23,1)="J",VALUE(LEFT(A23,LEN(A23)-1))/dagenperjaar1,"handmatig!")))</f>
        <v>0.05</v>
      </c>
    </row>
    <row r="24" spans="1:2" x14ac:dyDescent="0.2">
      <c r="A24" s="2" t="s">
        <v>20</v>
      </c>
      <c r="B24" s="3">
        <f>IF(A24="2½W",2.5/dagenperweek1,IF(RIGHT(A24,1)="W",VALUE(LEFT(A24,LEN(A24)-1))/dagenperweek1,IF(RIGHT(A24,1)="J",VALUE(LEFT(A24,LEN(A24)-1))/dagenperjaar1,"handmatig!")))</f>
        <v>0.03</v>
      </c>
    </row>
    <row r="25" spans="1:2" x14ac:dyDescent="0.2">
      <c r="A25" s="2" t="s">
        <v>21</v>
      </c>
      <c r="B25" s="3">
        <f>IF(A25="2½W",2.5/dagenperweek1,IF(RIGHT(A25,1)="W",VALUE(LEFT(A25,LEN(A25)-1))/dagenperweek1,IF(RIGHT(A25,1)="J",VALUE(LEFT(A25,LEN(A25)-1))/dagenperjaar1,"handmatig!")))</f>
        <v>0.02</v>
      </c>
    </row>
    <row r="26" spans="1:2" x14ac:dyDescent="0.2">
      <c r="A26" s="2" t="s">
        <v>22</v>
      </c>
      <c r="B26" s="3">
        <f>IF(A26="2½W",2.5/dagenperweek1,IF(RIGHT(A26,1)="W",VALUE(LEFT(A26,LEN(A26)-1))/dagenperweek1,IF(RIGHT(A26,1)="J",VALUE(LEFT(A26,LEN(A26)-1))/dagenperjaar1,"handmatig!")))</f>
        <v>1.4999999999999999E-2</v>
      </c>
    </row>
    <row r="27" spans="1:2" x14ac:dyDescent="0.2">
      <c r="A27" s="2" t="s">
        <v>23</v>
      </c>
      <c r="B27" s="3">
        <f>IF(A27="2½W",2.5/dagenperweek1,IF(RIGHT(A27,1)="W",VALUE(LEFT(A27,LEN(A27)-1))/dagenperweek1,IF(RIGHT(A27,1)="J",VALUE(LEFT(A27,LEN(A27)-1))/dagenperjaar1,"handmatig!")))</f>
        <v>0.01</v>
      </c>
    </row>
    <row r="28" spans="1:2" x14ac:dyDescent="0.2">
      <c r="A28" s="6" t="s">
        <v>24</v>
      </c>
      <c r="B28" s="7">
        <f>IF(A28="2½W",2.5/dagenperweek1,IF(RIGHT(A28,1)="W",VALUE(LEFT(A28,LEN(A28)-1))/dagenperweek1,IF(RIGHT(A28,1)="J",VALUE(LEFT(A28,LEN(A28)-1))/dagenperjaar1,"handmatig!")))</f>
        <v>5.0000000000000001E-3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E860-B5E0-462C-8F97-4E3134124628}">
  <dimension ref="A1:E90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I4.8: ",tabeltype," afroep incidenteel")</f>
        <v>Bijlage I4.8: Invultabel afroep incidenteel</v>
      </c>
    </row>
    <row r="3" spans="1:5" ht="38.25" x14ac:dyDescent="0.2">
      <c r="A3" s="8" t="s">
        <v>300</v>
      </c>
      <c r="B3" s="8" t="s">
        <v>28</v>
      </c>
      <c r="C3" s="8" t="s">
        <v>31</v>
      </c>
      <c r="D3" s="8" t="s">
        <v>322</v>
      </c>
      <c r="E3" s="8" t="s">
        <v>305</v>
      </c>
    </row>
    <row r="4" spans="1:5" x14ac:dyDescent="0.2">
      <c r="A4" s="9"/>
      <c r="B4" s="10"/>
      <c r="C4" s="10"/>
      <c r="D4" s="10"/>
      <c r="E4" s="11"/>
    </row>
    <row r="5" spans="1:5" x14ac:dyDescent="0.2">
      <c r="A5" s="12" t="s">
        <v>33</v>
      </c>
      <c r="B5" s="13"/>
      <c r="C5" s="13"/>
      <c r="D5" s="13"/>
      <c r="E5" s="14"/>
    </row>
    <row r="6" spans="1:5" x14ac:dyDescent="0.2">
      <c r="A6" s="15" t="s">
        <v>323</v>
      </c>
      <c r="B6" s="15" t="s">
        <v>324</v>
      </c>
      <c r="C6" s="15" t="s">
        <v>325</v>
      </c>
      <c r="D6" s="15" t="s">
        <v>326</v>
      </c>
      <c r="E6" s="19"/>
    </row>
    <row r="7" spans="1:5" x14ac:dyDescent="0.2">
      <c r="A7" s="20" t="s">
        <v>327</v>
      </c>
      <c r="B7" s="20" t="s">
        <v>324</v>
      </c>
      <c r="C7" s="20" t="s">
        <v>325</v>
      </c>
      <c r="D7" s="20" t="s">
        <v>328</v>
      </c>
      <c r="E7" s="24"/>
    </row>
    <row r="8" spans="1:5" x14ac:dyDescent="0.2">
      <c r="A8" s="20" t="s">
        <v>329</v>
      </c>
      <c r="B8" s="20" t="s">
        <v>324</v>
      </c>
      <c r="C8" s="20" t="s">
        <v>325</v>
      </c>
      <c r="D8" s="20" t="s">
        <v>330</v>
      </c>
      <c r="E8" s="24"/>
    </row>
    <row r="9" spans="1:5" x14ac:dyDescent="0.2">
      <c r="A9" s="20" t="s">
        <v>331</v>
      </c>
      <c r="B9" s="20" t="s">
        <v>324</v>
      </c>
      <c r="C9" s="20" t="s">
        <v>325</v>
      </c>
      <c r="D9" s="20" t="s">
        <v>332</v>
      </c>
      <c r="E9" s="24"/>
    </row>
    <row r="10" spans="1:5" x14ac:dyDescent="0.2">
      <c r="A10" s="20" t="s">
        <v>333</v>
      </c>
      <c r="B10" s="20" t="s">
        <v>334</v>
      </c>
      <c r="C10" s="20" t="s">
        <v>325</v>
      </c>
      <c r="D10" s="20" t="s">
        <v>326</v>
      </c>
      <c r="E10" s="24"/>
    </row>
    <row r="11" spans="1:5" x14ac:dyDescent="0.2">
      <c r="A11" s="20" t="s">
        <v>335</v>
      </c>
      <c r="B11" s="20" t="s">
        <v>334</v>
      </c>
      <c r="C11" s="20" t="s">
        <v>325</v>
      </c>
      <c r="D11" s="20" t="s">
        <v>328</v>
      </c>
      <c r="E11" s="24"/>
    </row>
    <row r="12" spans="1:5" x14ac:dyDescent="0.2">
      <c r="A12" s="20" t="s">
        <v>336</v>
      </c>
      <c r="B12" s="20" t="s">
        <v>334</v>
      </c>
      <c r="C12" s="20" t="s">
        <v>325</v>
      </c>
      <c r="D12" s="20" t="s">
        <v>330</v>
      </c>
      <c r="E12" s="24"/>
    </row>
    <row r="13" spans="1:5" x14ac:dyDescent="0.2">
      <c r="A13" s="20" t="s">
        <v>337</v>
      </c>
      <c r="B13" s="20" t="s">
        <v>334</v>
      </c>
      <c r="C13" s="20" t="s">
        <v>325</v>
      </c>
      <c r="D13" s="20" t="s">
        <v>332</v>
      </c>
      <c r="E13" s="24"/>
    </row>
    <row r="14" spans="1:5" x14ac:dyDescent="0.2">
      <c r="A14" s="20" t="s">
        <v>338</v>
      </c>
      <c r="B14" s="20" t="s">
        <v>339</v>
      </c>
      <c r="C14" s="20" t="s">
        <v>325</v>
      </c>
      <c r="D14" s="20" t="s">
        <v>326</v>
      </c>
      <c r="E14" s="24"/>
    </row>
    <row r="15" spans="1:5" x14ac:dyDescent="0.2">
      <c r="A15" s="20" t="s">
        <v>340</v>
      </c>
      <c r="B15" s="20" t="s">
        <v>339</v>
      </c>
      <c r="C15" s="20" t="s">
        <v>325</v>
      </c>
      <c r="D15" s="20" t="s">
        <v>328</v>
      </c>
      <c r="E15" s="24"/>
    </row>
    <row r="16" spans="1:5" x14ac:dyDescent="0.2">
      <c r="A16" s="20" t="s">
        <v>341</v>
      </c>
      <c r="B16" s="20" t="s">
        <v>339</v>
      </c>
      <c r="C16" s="20" t="s">
        <v>325</v>
      </c>
      <c r="D16" s="20" t="s">
        <v>330</v>
      </c>
      <c r="E16" s="24"/>
    </row>
    <row r="17" spans="1:5" x14ac:dyDescent="0.2">
      <c r="A17" s="20" t="s">
        <v>342</v>
      </c>
      <c r="B17" s="20" t="s">
        <v>339</v>
      </c>
      <c r="C17" s="20" t="s">
        <v>325</v>
      </c>
      <c r="D17" s="20" t="s">
        <v>332</v>
      </c>
      <c r="E17" s="24"/>
    </row>
    <row r="18" spans="1:5" x14ac:dyDescent="0.2">
      <c r="A18" s="20" t="s">
        <v>343</v>
      </c>
      <c r="B18" s="20" t="s">
        <v>344</v>
      </c>
      <c r="C18" s="20" t="s">
        <v>325</v>
      </c>
      <c r="D18" s="20" t="s">
        <v>326</v>
      </c>
      <c r="E18" s="24"/>
    </row>
    <row r="19" spans="1:5" x14ac:dyDescent="0.2">
      <c r="A19" s="20" t="s">
        <v>345</v>
      </c>
      <c r="B19" s="20" t="s">
        <v>344</v>
      </c>
      <c r="C19" s="20" t="s">
        <v>325</v>
      </c>
      <c r="D19" s="20" t="s">
        <v>328</v>
      </c>
      <c r="E19" s="24"/>
    </row>
    <row r="20" spans="1:5" x14ac:dyDescent="0.2">
      <c r="A20" s="20" t="s">
        <v>346</v>
      </c>
      <c r="B20" s="20" t="s">
        <v>344</v>
      </c>
      <c r="C20" s="20" t="s">
        <v>325</v>
      </c>
      <c r="D20" s="20" t="s">
        <v>330</v>
      </c>
      <c r="E20" s="24"/>
    </row>
    <row r="21" spans="1:5" x14ac:dyDescent="0.2">
      <c r="A21" s="20" t="s">
        <v>347</v>
      </c>
      <c r="B21" s="20" t="s">
        <v>344</v>
      </c>
      <c r="C21" s="20" t="s">
        <v>325</v>
      </c>
      <c r="D21" s="20" t="s">
        <v>332</v>
      </c>
      <c r="E21" s="24"/>
    </row>
    <row r="22" spans="1:5" x14ac:dyDescent="0.2">
      <c r="A22" s="20" t="s">
        <v>348</v>
      </c>
      <c r="B22" s="20" t="s">
        <v>349</v>
      </c>
      <c r="C22" s="20" t="s">
        <v>350</v>
      </c>
      <c r="D22" s="20" t="s">
        <v>351</v>
      </c>
      <c r="E22" s="24"/>
    </row>
    <row r="23" spans="1:5" x14ac:dyDescent="0.2">
      <c r="A23" s="20" t="s">
        <v>352</v>
      </c>
      <c r="B23" s="20" t="s">
        <v>349</v>
      </c>
      <c r="C23" s="20" t="s">
        <v>350</v>
      </c>
      <c r="D23" s="20" t="s">
        <v>353</v>
      </c>
      <c r="E23" s="24"/>
    </row>
    <row r="24" spans="1:5" x14ac:dyDescent="0.2">
      <c r="A24" s="20" t="s">
        <v>354</v>
      </c>
      <c r="B24" s="20" t="s">
        <v>349</v>
      </c>
      <c r="C24" s="20" t="s">
        <v>350</v>
      </c>
      <c r="D24" s="20" t="s">
        <v>355</v>
      </c>
      <c r="E24" s="24"/>
    </row>
    <row r="25" spans="1:5" x14ac:dyDescent="0.2">
      <c r="A25" s="20" t="s">
        <v>356</v>
      </c>
      <c r="B25" s="20" t="s">
        <v>349</v>
      </c>
      <c r="C25" s="20" t="s">
        <v>350</v>
      </c>
      <c r="D25" s="20" t="s">
        <v>357</v>
      </c>
      <c r="E25" s="24"/>
    </row>
    <row r="26" spans="1:5" x14ac:dyDescent="0.2">
      <c r="A26" s="20" t="s">
        <v>358</v>
      </c>
      <c r="B26" s="20" t="s">
        <v>359</v>
      </c>
      <c r="C26" s="20" t="s">
        <v>350</v>
      </c>
      <c r="D26" s="20" t="s">
        <v>351</v>
      </c>
      <c r="E26" s="24"/>
    </row>
    <row r="27" spans="1:5" x14ac:dyDescent="0.2">
      <c r="A27" s="20" t="s">
        <v>360</v>
      </c>
      <c r="B27" s="20" t="s">
        <v>359</v>
      </c>
      <c r="C27" s="20" t="s">
        <v>350</v>
      </c>
      <c r="D27" s="20" t="s">
        <v>353</v>
      </c>
      <c r="E27" s="24"/>
    </row>
    <row r="28" spans="1:5" x14ac:dyDescent="0.2">
      <c r="A28" s="20" t="s">
        <v>361</v>
      </c>
      <c r="B28" s="20" t="s">
        <v>359</v>
      </c>
      <c r="C28" s="20" t="s">
        <v>350</v>
      </c>
      <c r="D28" s="20" t="s">
        <v>355</v>
      </c>
      <c r="E28" s="24"/>
    </row>
    <row r="29" spans="1:5" x14ac:dyDescent="0.2">
      <c r="A29" s="20" t="s">
        <v>362</v>
      </c>
      <c r="B29" s="20" t="s">
        <v>359</v>
      </c>
      <c r="C29" s="20" t="s">
        <v>350</v>
      </c>
      <c r="D29" s="20" t="s">
        <v>357</v>
      </c>
      <c r="E29" s="24"/>
    </row>
    <row r="30" spans="1:5" x14ac:dyDescent="0.2">
      <c r="A30" s="20" t="s">
        <v>363</v>
      </c>
      <c r="B30" s="20" t="s">
        <v>364</v>
      </c>
      <c r="C30" s="20" t="s">
        <v>350</v>
      </c>
      <c r="D30" s="20" t="s">
        <v>351</v>
      </c>
      <c r="E30" s="24"/>
    </row>
    <row r="31" spans="1:5" x14ac:dyDescent="0.2">
      <c r="A31" s="20" t="s">
        <v>365</v>
      </c>
      <c r="B31" s="20" t="s">
        <v>364</v>
      </c>
      <c r="C31" s="20" t="s">
        <v>350</v>
      </c>
      <c r="D31" s="20" t="s">
        <v>353</v>
      </c>
      <c r="E31" s="24"/>
    </row>
    <row r="32" spans="1:5" x14ac:dyDescent="0.2">
      <c r="A32" s="20" t="s">
        <v>366</v>
      </c>
      <c r="B32" s="20" t="s">
        <v>364</v>
      </c>
      <c r="C32" s="20" t="s">
        <v>350</v>
      </c>
      <c r="D32" s="20" t="s">
        <v>355</v>
      </c>
      <c r="E32" s="24"/>
    </row>
    <row r="33" spans="1:5" x14ac:dyDescent="0.2">
      <c r="A33" s="20" t="s">
        <v>367</v>
      </c>
      <c r="B33" s="20" t="s">
        <v>364</v>
      </c>
      <c r="C33" s="20" t="s">
        <v>350</v>
      </c>
      <c r="D33" s="20" t="s">
        <v>357</v>
      </c>
      <c r="E33" s="24"/>
    </row>
    <row r="34" spans="1:5" x14ac:dyDescent="0.2">
      <c r="A34" s="20" t="s">
        <v>368</v>
      </c>
      <c r="B34" s="20" t="s">
        <v>369</v>
      </c>
      <c r="C34" s="20" t="s">
        <v>350</v>
      </c>
      <c r="D34" s="20" t="s">
        <v>351</v>
      </c>
      <c r="E34" s="24"/>
    </row>
    <row r="35" spans="1:5" x14ac:dyDescent="0.2">
      <c r="A35" s="20" t="s">
        <v>370</v>
      </c>
      <c r="B35" s="20" t="s">
        <v>369</v>
      </c>
      <c r="C35" s="20" t="s">
        <v>350</v>
      </c>
      <c r="D35" s="20" t="s">
        <v>353</v>
      </c>
      <c r="E35" s="24"/>
    </row>
    <row r="36" spans="1:5" x14ac:dyDescent="0.2">
      <c r="A36" s="20" t="s">
        <v>371</v>
      </c>
      <c r="B36" s="20" t="s">
        <v>369</v>
      </c>
      <c r="C36" s="20" t="s">
        <v>350</v>
      </c>
      <c r="D36" s="20" t="s">
        <v>355</v>
      </c>
      <c r="E36" s="24"/>
    </row>
    <row r="37" spans="1:5" x14ac:dyDescent="0.2">
      <c r="A37" s="20" t="s">
        <v>372</v>
      </c>
      <c r="B37" s="20" t="s">
        <v>369</v>
      </c>
      <c r="C37" s="20" t="s">
        <v>350</v>
      </c>
      <c r="D37" s="20" t="s">
        <v>357</v>
      </c>
      <c r="E37" s="24"/>
    </row>
    <row r="38" spans="1:5" x14ac:dyDescent="0.2">
      <c r="A38" s="20" t="s">
        <v>373</v>
      </c>
      <c r="B38" s="20" t="s">
        <v>374</v>
      </c>
      <c r="C38" s="20" t="s">
        <v>350</v>
      </c>
      <c r="D38" s="20" t="s">
        <v>351</v>
      </c>
      <c r="E38" s="24"/>
    </row>
    <row r="39" spans="1:5" x14ac:dyDescent="0.2">
      <c r="A39" s="20" t="s">
        <v>375</v>
      </c>
      <c r="B39" s="20" t="s">
        <v>374</v>
      </c>
      <c r="C39" s="20" t="s">
        <v>350</v>
      </c>
      <c r="D39" s="20" t="s">
        <v>353</v>
      </c>
      <c r="E39" s="24"/>
    </row>
    <row r="40" spans="1:5" x14ac:dyDescent="0.2">
      <c r="A40" s="20" t="s">
        <v>376</v>
      </c>
      <c r="B40" s="20" t="s">
        <v>374</v>
      </c>
      <c r="C40" s="20" t="s">
        <v>350</v>
      </c>
      <c r="D40" s="20" t="s">
        <v>355</v>
      </c>
      <c r="E40" s="24"/>
    </row>
    <row r="41" spans="1:5" x14ac:dyDescent="0.2">
      <c r="A41" s="20" t="s">
        <v>377</v>
      </c>
      <c r="B41" s="20" t="s">
        <v>374</v>
      </c>
      <c r="C41" s="20" t="s">
        <v>350</v>
      </c>
      <c r="D41" s="20" t="s">
        <v>357</v>
      </c>
      <c r="E41" s="24"/>
    </row>
    <row r="42" spans="1:5" x14ac:dyDescent="0.2">
      <c r="A42" s="20" t="s">
        <v>378</v>
      </c>
      <c r="B42" s="20" t="s">
        <v>379</v>
      </c>
      <c r="C42" s="20" t="s">
        <v>350</v>
      </c>
      <c r="D42" s="20" t="s">
        <v>351</v>
      </c>
      <c r="E42" s="24"/>
    </row>
    <row r="43" spans="1:5" x14ac:dyDescent="0.2">
      <c r="A43" s="20" t="s">
        <v>380</v>
      </c>
      <c r="B43" s="20" t="s">
        <v>379</v>
      </c>
      <c r="C43" s="20" t="s">
        <v>350</v>
      </c>
      <c r="D43" s="20" t="s">
        <v>353</v>
      </c>
      <c r="E43" s="24"/>
    </row>
    <row r="44" spans="1:5" x14ac:dyDescent="0.2">
      <c r="A44" s="20" t="s">
        <v>381</v>
      </c>
      <c r="B44" s="20" t="s">
        <v>379</v>
      </c>
      <c r="C44" s="20" t="s">
        <v>350</v>
      </c>
      <c r="D44" s="20" t="s">
        <v>355</v>
      </c>
      <c r="E44" s="24"/>
    </row>
    <row r="45" spans="1:5" x14ac:dyDescent="0.2">
      <c r="A45" s="20" t="s">
        <v>382</v>
      </c>
      <c r="B45" s="20" t="s">
        <v>379</v>
      </c>
      <c r="C45" s="20" t="s">
        <v>350</v>
      </c>
      <c r="D45" s="20" t="s">
        <v>357</v>
      </c>
      <c r="E45" s="24"/>
    </row>
    <row r="46" spans="1:5" x14ac:dyDescent="0.2">
      <c r="A46" s="20" t="s">
        <v>383</v>
      </c>
      <c r="B46" s="20" t="s">
        <v>384</v>
      </c>
      <c r="C46" s="20" t="s">
        <v>350</v>
      </c>
      <c r="D46" s="20" t="s">
        <v>351</v>
      </c>
      <c r="E46" s="24"/>
    </row>
    <row r="47" spans="1:5" x14ac:dyDescent="0.2">
      <c r="A47" s="20" t="s">
        <v>385</v>
      </c>
      <c r="B47" s="20" t="s">
        <v>384</v>
      </c>
      <c r="C47" s="20" t="s">
        <v>350</v>
      </c>
      <c r="D47" s="20" t="s">
        <v>353</v>
      </c>
      <c r="E47" s="24"/>
    </row>
    <row r="48" spans="1:5" x14ac:dyDescent="0.2">
      <c r="A48" s="20" t="s">
        <v>386</v>
      </c>
      <c r="B48" s="20" t="s">
        <v>384</v>
      </c>
      <c r="C48" s="20" t="s">
        <v>350</v>
      </c>
      <c r="D48" s="20" t="s">
        <v>355</v>
      </c>
      <c r="E48" s="24"/>
    </row>
    <row r="49" spans="1:5" x14ac:dyDescent="0.2">
      <c r="A49" s="20" t="s">
        <v>387</v>
      </c>
      <c r="B49" s="20" t="s">
        <v>384</v>
      </c>
      <c r="C49" s="20" t="s">
        <v>350</v>
      </c>
      <c r="D49" s="20" t="s">
        <v>357</v>
      </c>
      <c r="E49" s="24"/>
    </row>
    <row r="50" spans="1:5" x14ac:dyDescent="0.2">
      <c r="A50" s="20" t="s">
        <v>388</v>
      </c>
      <c r="B50" s="20" t="s">
        <v>389</v>
      </c>
      <c r="C50" s="20" t="s">
        <v>350</v>
      </c>
      <c r="D50" s="20" t="s">
        <v>121</v>
      </c>
      <c r="E50" s="24"/>
    </row>
    <row r="51" spans="1:5" x14ac:dyDescent="0.2">
      <c r="A51" s="20" t="s">
        <v>390</v>
      </c>
      <c r="B51" s="20" t="s">
        <v>391</v>
      </c>
      <c r="C51" s="20" t="s">
        <v>309</v>
      </c>
      <c r="D51" s="20" t="s">
        <v>121</v>
      </c>
      <c r="E51" s="24"/>
    </row>
    <row r="52" spans="1:5" x14ac:dyDescent="0.2">
      <c r="A52" s="20" t="s">
        <v>392</v>
      </c>
      <c r="B52" s="20" t="s">
        <v>393</v>
      </c>
      <c r="C52" s="20" t="s">
        <v>350</v>
      </c>
      <c r="D52" s="20" t="s">
        <v>394</v>
      </c>
      <c r="E52" s="24"/>
    </row>
    <row r="53" spans="1:5" x14ac:dyDescent="0.2">
      <c r="A53" s="20" t="s">
        <v>395</v>
      </c>
      <c r="B53" s="20" t="s">
        <v>393</v>
      </c>
      <c r="C53" s="20" t="s">
        <v>350</v>
      </c>
      <c r="D53" s="20" t="s">
        <v>396</v>
      </c>
      <c r="E53" s="24"/>
    </row>
    <row r="54" spans="1:5" x14ac:dyDescent="0.2">
      <c r="A54" s="20" t="s">
        <v>397</v>
      </c>
      <c r="B54" s="20" t="s">
        <v>393</v>
      </c>
      <c r="C54" s="20" t="s">
        <v>350</v>
      </c>
      <c r="D54" s="20" t="s">
        <v>398</v>
      </c>
      <c r="E54" s="24"/>
    </row>
    <row r="55" spans="1:5" x14ac:dyDescent="0.2">
      <c r="A55" s="20" t="s">
        <v>399</v>
      </c>
      <c r="B55" s="20" t="s">
        <v>393</v>
      </c>
      <c r="C55" s="20" t="s">
        <v>350</v>
      </c>
      <c r="D55" s="20" t="s">
        <v>400</v>
      </c>
      <c r="E55" s="24"/>
    </row>
    <row r="56" spans="1:5" x14ac:dyDescent="0.2">
      <c r="A56" s="20" t="s">
        <v>401</v>
      </c>
      <c r="B56" s="20" t="s">
        <v>402</v>
      </c>
      <c r="C56" s="20" t="s">
        <v>350</v>
      </c>
      <c r="D56" s="20" t="s">
        <v>394</v>
      </c>
      <c r="E56" s="24"/>
    </row>
    <row r="57" spans="1:5" x14ac:dyDescent="0.2">
      <c r="A57" s="20" t="s">
        <v>403</v>
      </c>
      <c r="B57" s="20" t="s">
        <v>402</v>
      </c>
      <c r="C57" s="20" t="s">
        <v>350</v>
      </c>
      <c r="D57" s="20" t="s">
        <v>396</v>
      </c>
      <c r="E57" s="24"/>
    </row>
    <row r="58" spans="1:5" x14ac:dyDescent="0.2">
      <c r="A58" s="20" t="s">
        <v>404</v>
      </c>
      <c r="B58" s="20" t="s">
        <v>402</v>
      </c>
      <c r="C58" s="20" t="s">
        <v>350</v>
      </c>
      <c r="D58" s="20" t="s">
        <v>398</v>
      </c>
      <c r="E58" s="24"/>
    </row>
    <row r="59" spans="1:5" x14ac:dyDescent="0.2">
      <c r="A59" s="20" t="s">
        <v>405</v>
      </c>
      <c r="B59" s="20" t="s">
        <v>402</v>
      </c>
      <c r="C59" s="20" t="s">
        <v>350</v>
      </c>
      <c r="D59" s="20" t="s">
        <v>400</v>
      </c>
      <c r="E59" s="24"/>
    </row>
    <row r="60" spans="1:5" x14ac:dyDescent="0.2">
      <c r="A60" s="20" t="s">
        <v>406</v>
      </c>
      <c r="B60" s="20" t="s">
        <v>407</v>
      </c>
      <c r="C60" s="20" t="s">
        <v>350</v>
      </c>
      <c r="D60" s="20" t="s">
        <v>394</v>
      </c>
      <c r="E60" s="24"/>
    </row>
    <row r="61" spans="1:5" x14ac:dyDescent="0.2">
      <c r="A61" s="20" t="s">
        <v>408</v>
      </c>
      <c r="B61" s="20" t="s">
        <v>407</v>
      </c>
      <c r="C61" s="20" t="s">
        <v>350</v>
      </c>
      <c r="D61" s="20" t="s">
        <v>396</v>
      </c>
      <c r="E61" s="24"/>
    </row>
    <row r="62" spans="1:5" x14ac:dyDescent="0.2">
      <c r="A62" s="20" t="s">
        <v>409</v>
      </c>
      <c r="B62" s="20" t="s">
        <v>407</v>
      </c>
      <c r="C62" s="20" t="s">
        <v>350</v>
      </c>
      <c r="D62" s="20" t="s">
        <v>398</v>
      </c>
      <c r="E62" s="24"/>
    </row>
    <row r="63" spans="1:5" x14ac:dyDescent="0.2">
      <c r="A63" s="20" t="s">
        <v>410</v>
      </c>
      <c r="B63" s="20" t="s">
        <v>407</v>
      </c>
      <c r="C63" s="20" t="s">
        <v>350</v>
      </c>
      <c r="D63" s="20" t="s">
        <v>400</v>
      </c>
      <c r="E63" s="24"/>
    </row>
    <row r="64" spans="1:5" x14ac:dyDescent="0.2">
      <c r="A64" s="20" t="s">
        <v>411</v>
      </c>
      <c r="B64" s="20" t="s">
        <v>412</v>
      </c>
      <c r="C64" s="20" t="s">
        <v>350</v>
      </c>
      <c r="D64" s="20" t="s">
        <v>394</v>
      </c>
      <c r="E64" s="24"/>
    </row>
    <row r="65" spans="1:5" x14ac:dyDescent="0.2">
      <c r="A65" s="20" t="s">
        <v>413</v>
      </c>
      <c r="B65" s="20" t="s">
        <v>412</v>
      </c>
      <c r="C65" s="20" t="s">
        <v>350</v>
      </c>
      <c r="D65" s="20" t="s">
        <v>396</v>
      </c>
      <c r="E65" s="24"/>
    </row>
    <row r="66" spans="1:5" x14ac:dyDescent="0.2">
      <c r="A66" s="20" t="s">
        <v>414</v>
      </c>
      <c r="B66" s="20" t="s">
        <v>412</v>
      </c>
      <c r="C66" s="20" t="s">
        <v>350</v>
      </c>
      <c r="D66" s="20" t="s">
        <v>398</v>
      </c>
      <c r="E66" s="24"/>
    </row>
    <row r="67" spans="1:5" x14ac:dyDescent="0.2">
      <c r="A67" s="20" t="s">
        <v>415</v>
      </c>
      <c r="B67" s="20" t="s">
        <v>412</v>
      </c>
      <c r="C67" s="20" t="s">
        <v>350</v>
      </c>
      <c r="D67" s="20" t="s">
        <v>400</v>
      </c>
      <c r="E67" s="24"/>
    </row>
    <row r="68" spans="1:5" x14ac:dyDescent="0.2">
      <c r="A68" s="20" t="s">
        <v>416</v>
      </c>
      <c r="B68" s="20" t="s">
        <v>417</v>
      </c>
      <c r="C68" s="20" t="s">
        <v>350</v>
      </c>
      <c r="D68" s="20" t="s">
        <v>394</v>
      </c>
      <c r="E68" s="24"/>
    </row>
    <row r="69" spans="1:5" x14ac:dyDescent="0.2">
      <c r="A69" s="20" t="s">
        <v>418</v>
      </c>
      <c r="B69" s="20" t="s">
        <v>417</v>
      </c>
      <c r="C69" s="20" t="s">
        <v>350</v>
      </c>
      <c r="D69" s="20" t="s">
        <v>396</v>
      </c>
      <c r="E69" s="24"/>
    </row>
    <row r="70" spans="1:5" x14ac:dyDescent="0.2">
      <c r="A70" s="20" t="s">
        <v>419</v>
      </c>
      <c r="B70" s="20" t="s">
        <v>417</v>
      </c>
      <c r="C70" s="20" t="s">
        <v>350</v>
      </c>
      <c r="D70" s="20" t="s">
        <v>398</v>
      </c>
      <c r="E70" s="24"/>
    </row>
    <row r="71" spans="1:5" x14ac:dyDescent="0.2">
      <c r="A71" s="20" t="s">
        <v>420</v>
      </c>
      <c r="B71" s="20" t="s">
        <v>417</v>
      </c>
      <c r="C71" s="20" t="s">
        <v>350</v>
      </c>
      <c r="D71" s="20" t="s">
        <v>400</v>
      </c>
      <c r="E71" s="24"/>
    </row>
    <row r="72" spans="1:5" x14ac:dyDescent="0.2">
      <c r="A72" s="20" t="s">
        <v>421</v>
      </c>
      <c r="B72" s="20" t="s">
        <v>422</v>
      </c>
      <c r="C72" s="20" t="s">
        <v>350</v>
      </c>
      <c r="D72" s="20" t="s">
        <v>394</v>
      </c>
      <c r="E72" s="24"/>
    </row>
    <row r="73" spans="1:5" x14ac:dyDescent="0.2">
      <c r="A73" s="20" t="s">
        <v>423</v>
      </c>
      <c r="B73" s="20" t="s">
        <v>422</v>
      </c>
      <c r="C73" s="20" t="s">
        <v>350</v>
      </c>
      <c r="D73" s="20" t="s">
        <v>396</v>
      </c>
      <c r="E73" s="24"/>
    </row>
    <row r="74" spans="1:5" x14ac:dyDescent="0.2">
      <c r="A74" s="20" t="s">
        <v>424</v>
      </c>
      <c r="B74" s="20" t="s">
        <v>422</v>
      </c>
      <c r="C74" s="20" t="s">
        <v>350</v>
      </c>
      <c r="D74" s="20" t="s">
        <v>398</v>
      </c>
      <c r="E74" s="24"/>
    </row>
    <row r="75" spans="1:5" x14ac:dyDescent="0.2">
      <c r="A75" s="20" t="s">
        <v>425</v>
      </c>
      <c r="B75" s="20" t="s">
        <v>422</v>
      </c>
      <c r="C75" s="20" t="s">
        <v>350</v>
      </c>
      <c r="D75" s="20" t="s">
        <v>400</v>
      </c>
      <c r="E75" s="24"/>
    </row>
    <row r="76" spans="1:5" x14ac:dyDescent="0.2">
      <c r="A76" s="20" t="s">
        <v>426</v>
      </c>
      <c r="B76" s="20" t="s">
        <v>427</v>
      </c>
      <c r="C76" s="20" t="s">
        <v>350</v>
      </c>
      <c r="D76" s="20" t="s">
        <v>394</v>
      </c>
      <c r="E76" s="24"/>
    </row>
    <row r="77" spans="1:5" x14ac:dyDescent="0.2">
      <c r="A77" s="20" t="s">
        <v>428</v>
      </c>
      <c r="B77" s="20" t="s">
        <v>427</v>
      </c>
      <c r="C77" s="20" t="s">
        <v>350</v>
      </c>
      <c r="D77" s="20" t="s">
        <v>396</v>
      </c>
      <c r="E77" s="24"/>
    </row>
    <row r="78" spans="1:5" x14ac:dyDescent="0.2">
      <c r="A78" s="20" t="s">
        <v>429</v>
      </c>
      <c r="B78" s="20" t="s">
        <v>427</v>
      </c>
      <c r="C78" s="20" t="s">
        <v>350</v>
      </c>
      <c r="D78" s="20" t="s">
        <v>398</v>
      </c>
      <c r="E78" s="24"/>
    </row>
    <row r="79" spans="1:5" x14ac:dyDescent="0.2">
      <c r="A79" s="20" t="s">
        <v>430</v>
      </c>
      <c r="B79" s="20" t="s">
        <v>427</v>
      </c>
      <c r="C79" s="20" t="s">
        <v>350</v>
      </c>
      <c r="D79" s="20" t="s">
        <v>400</v>
      </c>
      <c r="E79" s="24"/>
    </row>
    <row r="80" spans="1:5" x14ac:dyDescent="0.2">
      <c r="A80" s="20" t="s">
        <v>431</v>
      </c>
      <c r="B80" s="20" t="s">
        <v>432</v>
      </c>
      <c r="C80" s="20" t="s">
        <v>350</v>
      </c>
      <c r="D80" s="20" t="s">
        <v>394</v>
      </c>
      <c r="E80" s="24"/>
    </row>
    <row r="81" spans="1:5" x14ac:dyDescent="0.2">
      <c r="A81" s="20" t="s">
        <v>433</v>
      </c>
      <c r="B81" s="20" t="s">
        <v>432</v>
      </c>
      <c r="C81" s="20" t="s">
        <v>350</v>
      </c>
      <c r="D81" s="20" t="s">
        <v>396</v>
      </c>
      <c r="E81" s="24"/>
    </row>
    <row r="82" spans="1:5" x14ac:dyDescent="0.2">
      <c r="A82" s="20" t="s">
        <v>434</v>
      </c>
      <c r="B82" s="20" t="s">
        <v>432</v>
      </c>
      <c r="C82" s="20" t="s">
        <v>350</v>
      </c>
      <c r="D82" s="20" t="s">
        <v>398</v>
      </c>
      <c r="E82" s="24"/>
    </row>
    <row r="83" spans="1:5" x14ac:dyDescent="0.2">
      <c r="A83" s="20" t="s">
        <v>435</v>
      </c>
      <c r="B83" s="20" t="s">
        <v>432</v>
      </c>
      <c r="C83" s="20" t="s">
        <v>350</v>
      </c>
      <c r="D83" s="20" t="s">
        <v>400</v>
      </c>
      <c r="E83" s="24"/>
    </row>
    <row r="84" spans="1:5" x14ac:dyDescent="0.2">
      <c r="A84" s="20" t="s">
        <v>436</v>
      </c>
      <c r="B84" s="20" t="s">
        <v>437</v>
      </c>
      <c r="C84" s="20" t="s">
        <v>350</v>
      </c>
      <c r="D84" s="20" t="s">
        <v>394</v>
      </c>
      <c r="E84" s="24"/>
    </row>
    <row r="85" spans="1:5" x14ac:dyDescent="0.2">
      <c r="A85" s="20" t="s">
        <v>438</v>
      </c>
      <c r="B85" s="20" t="s">
        <v>437</v>
      </c>
      <c r="C85" s="20" t="s">
        <v>350</v>
      </c>
      <c r="D85" s="20" t="s">
        <v>396</v>
      </c>
      <c r="E85" s="24"/>
    </row>
    <row r="86" spans="1:5" x14ac:dyDescent="0.2">
      <c r="A86" s="20" t="s">
        <v>439</v>
      </c>
      <c r="B86" s="20" t="s">
        <v>437</v>
      </c>
      <c r="C86" s="20" t="s">
        <v>350</v>
      </c>
      <c r="D86" s="20" t="s">
        <v>398</v>
      </c>
      <c r="E86" s="24"/>
    </row>
    <row r="87" spans="1:5" x14ac:dyDescent="0.2">
      <c r="A87" s="25" t="s">
        <v>440</v>
      </c>
      <c r="B87" s="25" t="s">
        <v>437</v>
      </c>
      <c r="C87" s="25" t="s">
        <v>350</v>
      </c>
      <c r="D87" s="25" t="s">
        <v>400</v>
      </c>
      <c r="E87" s="29"/>
    </row>
    <row r="88" spans="1:5" x14ac:dyDescent="0.2">
      <c r="A88" s="43" t="s">
        <v>107</v>
      </c>
      <c r="B88" s="44"/>
      <c r="C88" s="44"/>
      <c r="D88" s="44"/>
      <c r="E88" s="110"/>
    </row>
    <row r="90" spans="1:5" x14ac:dyDescent="0.2">
      <c r="A90" s="43" t="s">
        <v>441</v>
      </c>
      <c r="B90" s="44"/>
      <c r="C90" s="44"/>
      <c r="D90" s="44"/>
      <c r="E90" s="110"/>
    </row>
  </sheetData>
  <pageMargins left="0.7" right="0.7" top="0.75" bottom="0.75" header="0.3" footer="0.3"/>
  <pageSetup paperSize="9" scale="65" orientation="landscape" r:id="rId1"/>
  <headerFooter>
    <oddFooter>&amp;LMeridiaan College                                           &amp;ROpmaakdatum: 06-11-2020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F2630-DFEF-40DB-BDD2-1B290C279489}">
  <dimension ref="A1:F10"/>
  <sheetViews>
    <sheetView tabSelected="1" workbookViewId="0"/>
  </sheetViews>
  <sheetFormatPr defaultRowHeight="12.75" x14ac:dyDescent="0.2"/>
  <cols>
    <col min="1" max="1" width="30.625" customWidth="1"/>
    <col min="2" max="6" width="20.625" customWidth="1"/>
  </cols>
  <sheetData>
    <row r="1" spans="1:6" x14ac:dyDescent="0.2">
      <c r="A1" s="1" t="str">
        <f>CONCATENATE("Bijlage I4.9: ",tabeltype," totaalblad schoonmaakwerk")</f>
        <v>Bijlage I4.9: Invultabel totaalblad schoonmaakwerk</v>
      </c>
    </row>
    <row r="3" spans="1:6" ht="25.5" x14ac:dyDescent="0.2">
      <c r="A3" s="8" t="s">
        <v>442</v>
      </c>
      <c r="B3" s="8" t="s">
        <v>443</v>
      </c>
      <c r="C3" s="8" t="s">
        <v>444</v>
      </c>
      <c r="D3" s="8" t="s">
        <v>445</v>
      </c>
      <c r="E3" s="8" t="s">
        <v>446</v>
      </c>
      <c r="F3" s="8" t="s">
        <v>447</v>
      </c>
    </row>
    <row r="4" spans="1:6" x14ac:dyDescent="0.2">
      <c r="A4" s="111" t="s">
        <v>448</v>
      </c>
      <c r="B4" s="30">
        <f>urenjaartotaaloverzicht</f>
        <v>0</v>
      </c>
      <c r="C4" s="30">
        <f>urenjaartotaaloverzichthf</f>
        <v>0</v>
      </c>
      <c r="D4" s="93"/>
      <c r="E4" s="33">
        <f>prijsjaartotaaloverzicht</f>
        <v>0</v>
      </c>
      <c r="F4" s="33">
        <f>E4*1.21</f>
        <v>0</v>
      </c>
    </row>
    <row r="5" spans="1:6" x14ac:dyDescent="0.2">
      <c r="A5" s="112" t="s">
        <v>449</v>
      </c>
      <c r="B5" s="96"/>
      <c r="C5" s="96"/>
      <c r="D5" s="34">
        <f>urenjaarnietmeewerkend</f>
        <v>0</v>
      </c>
      <c r="E5" s="37">
        <f>prijsjaarnietmeewerkend</f>
        <v>0</v>
      </c>
      <c r="F5" s="37">
        <f>E5*1.21</f>
        <v>0</v>
      </c>
    </row>
    <row r="6" spans="1:6" ht="25.5" x14ac:dyDescent="0.2">
      <c r="A6" s="113" t="s">
        <v>450</v>
      </c>
      <c r="B6" s="114"/>
      <c r="C6" s="114"/>
      <c r="D6" s="114"/>
      <c r="E6" s="41">
        <f>prijsjaarafroep</f>
        <v>0</v>
      </c>
      <c r="F6" s="41">
        <f>E6*1.21</f>
        <v>0</v>
      </c>
    </row>
    <row r="8" spans="1:6" x14ac:dyDescent="0.2">
      <c r="A8" s="8" t="s">
        <v>451</v>
      </c>
      <c r="B8" s="45">
        <f>SUM(B4:B6)</f>
        <v>0</v>
      </c>
      <c r="C8" s="45">
        <f>SUM(C4:C6)</f>
        <v>0</v>
      </c>
      <c r="D8" s="45">
        <f>SUM(D4:D6)</f>
        <v>0</v>
      </c>
      <c r="E8" s="46">
        <f>SUM(E4:E6)</f>
        <v>0</v>
      </c>
      <c r="F8" s="46">
        <f>E8*1.21</f>
        <v>0</v>
      </c>
    </row>
    <row r="10" spans="1:6" x14ac:dyDescent="0.2">
      <c r="A10" s="8" t="s">
        <v>452</v>
      </c>
      <c r="B10" s="115">
        <f>IF(B8&gt;0,D8/B8,0)</f>
        <v>0</v>
      </c>
    </row>
  </sheetData>
  <pageMargins left="0.7" right="0.7" top="0.75" bottom="0.75" header="0.3" footer="0.3"/>
  <pageSetup paperSize="9" scale="70" orientation="landscape" r:id="rId1"/>
  <headerFooter>
    <oddFooter>&amp;LMeridiaan College                                           &amp;ROpmaakdatum: 06-11-2020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8683-6698-4494-B24C-6ADC0BF1D067}">
  <dimension ref="A1:H24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I4.1: ",tabeltype," categorienormen")</f>
        <v>Bijlage I4.1: Invultabel categorienormen</v>
      </c>
    </row>
    <row r="3" spans="1:8" ht="38.25" x14ac:dyDescent="0.2">
      <c r="A3" s="8" t="s">
        <v>25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8" t="s">
        <v>32</v>
      </c>
    </row>
    <row r="4" spans="1:8" x14ac:dyDescent="0.2">
      <c r="A4" s="9"/>
      <c r="B4" s="10"/>
      <c r="C4" s="10"/>
      <c r="D4" s="10"/>
      <c r="E4" s="10"/>
      <c r="F4" s="10"/>
      <c r="G4" s="10"/>
      <c r="H4" s="11"/>
    </row>
    <row r="5" spans="1:8" x14ac:dyDescent="0.2">
      <c r="A5" s="12" t="s">
        <v>33</v>
      </c>
      <c r="B5" s="13"/>
      <c r="C5" s="13"/>
      <c r="D5" s="13"/>
      <c r="E5" s="13"/>
      <c r="F5" s="13"/>
      <c r="G5" s="13"/>
      <c r="H5" s="14"/>
    </row>
    <row r="6" spans="1:8" x14ac:dyDescent="0.2">
      <c r="A6" s="15" t="s">
        <v>34</v>
      </c>
      <c r="B6" s="16" t="s">
        <v>35</v>
      </c>
      <c r="C6" s="15">
        <v>1</v>
      </c>
      <c r="D6" s="15" t="s">
        <v>36</v>
      </c>
      <c r="E6" s="17"/>
      <c r="F6" s="18"/>
      <c r="G6" s="15" t="s">
        <v>37</v>
      </c>
      <c r="H6" s="19"/>
    </row>
    <row r="7" spans="1:8" x14ac:dyDescent="0.2">
      <c r="A7" s="20" t="s">
        <v>38</v>
      </c>
      <c r="B7" s="21" t="s">
        <v>35</v>
      </c>
      <c r="C7" s="20">
        <v>42</v>
      </c>
      <c r="D7" s="20" t="s">
        <v>39</v>
      </c>
      <c r="E7" s="22"/>
      <c r="F7" s="23"/>
      <c r="G7" s="20" t="s">
        <v>37</v>
      </c>
      <c r="H7" s="24"/>
    </row>
    <row r="8" spans="1:8" x14ac:dyDescent="0.2">
      <c r="A8" s="20" t="s">
        <v>40</v>
      </c>
      <c r="B8" s="21" t="s">
        <v>35</v>
      </c>
      <c r="C8" s="20">
        <v>1</v>
      </c>
      <c r="D8" s="20" t="s">
        <v>41</v>
      </c>
      <c r="E8" s="22"/>
      <c r="F8" s="23"/>
      <c r="G8" s="20" t="s">
        <v>37</v>
      </c>
      <c r="H8" s="24"/>
    </row>
    <row r="9" spans="1:8" x14ac:dyDescent="0.2">
      <c r="A9" s="20" t="s">
        <v>42</v>
      </c>
      <c r="B9" s="21" t="s">
        <v>35</v>
      </c>
      <c r="C9" s="20">
        <v>40</v>
      </c>
      <c r="D9" s="20" t="s">
        <v>43</v>
      </c>
      <c r="E9" s="22"/>
      <c r="F9" s="23"/>
      <c r="G9" s="20" t="s">
        <v>37</v>
      </c>
      <c r="H9" s="24"/>
    </row>
    <row r="10" spans="1:8" x14ac:dyDescent="0.2">
      <c r="A10" s="20" t="s">
        <v>44</v>
      </c>
      <c r="B10" s="21" t="s">
        <v>45</v>
      </c>
      <c r="C10" s="20">
        <v>1</v>
      </c>
      <c r="D10" s="20" t="s">
        <v>46</v>
      </c>
      <c r="E10" s="22"/>
      <c r="F10" s="23"/>
      <c r="G10" s="20" t="s">
        <v>37</v>
      </c>
      <c r="H10" s="24"/>
    </row>
    <row r="11" spans="1:8" x14ac:dyDescent="0.2">
      <c r="A11" s="20" t="s">
        <v>47</v>
      </c>
      <c r="B11" s="21" t="s">
        <v>45</v>
      </c>
      <c r="C11" s="20">
        <v>40</v>
      </c>
      <c r="D11" s="20" t="s">
        <v>48</v>
      </c>
      <c r="E11" s="22"/>
      <c r="F11" s="23"/>
      <c r="G11" s="20" t="s">
        <v>37</v>
      </c>
      <c r="H11" s="24"/>
    </row>
    <row r="12" spans="1:8" x14ac:dyDescent="0.2">
      <c r="A12" s="20" t="s">
        <v>49</v>
      </c>
      <c r="B12" s="21" t="s">
        <v>50</v>
      </c>
      <c r="C12" s="20">
        <v>1</v>
      </c>
      <c r="D12" s="20" t="s">
        <v>51</v>
      </c>
      <c r="E12" s="22"/>
      <c r="F12" s="23"/>
      <c r="G12" s="20" t="s">
        <v>37</v>
      </c>
      <c r="H12" s="24"/>
    </row>
    <row r="13" spans="1:8" x14ac:dyDescent="0.2">
      <c r="A13" s="20" t="s">
        <v>52</v>
      </c>
      <c r="B13" s="21" t="s">
        <v>50</v>
      </c>
      <c r="C13" s="20">
        <v>40</v>
      </c>
      <c r="D13" s="20" t="s">
        <v>53</v>
      </c>
      <c r="E13" s="22"/>
      <c r="F13" s="23"/>
      <c r="G13" s="20" t="s">
        <v>37</v>
      </c>
      <c r="H13" s="24"/>
    </row>
    <row r="14" spans="1:8" x14ac:dyDescent="0.2">
      <c r="A14" s="20" t="s">
        <v>54</v>
      </c>
      <c r="B14" s="21" t="s">
        <v>55</v>
      </c>
      <c r="C14" s="20">
        <v>1</v>
      </c>
      <c r="D14" s="20" t="s">
        <v>56</v>
      </c>
      <c r="E14" s="22"/>
      <c r="F14" s="23"/>
      <c r="G14" s="20" t="s">
        <v>37</v>
      </c>
      <c r="H14" s="24"/>
    </row>
    <row r="15" spans="1:8" x14ac:dyDescent="0.2">
      <c r="A15" s="20" t="s">
        <v>57</v>
      </c>
      <c r="B15" s="21" t="s">
        <v>55</v>
      </c>
      <c r="C15" s="20">
        <v>40</v>
      </c>
      <c r="D15" s="20" t="s">
        <v>58</v>
      </c>
      <c r="E15" s="22"/>
      <c r="F15" s="23"/>
      <c r="G15" s="20" t="s">
        <v>37</v>
      </c>
      <c r="H15" s="24"/>
    </row>
    <row r="16" spans="1:8" x14ac:dyDescent="0.2">
      <c r="A16" s="20" t="s">
        <v>59</v>
      </c>
      <c r="B16" s="21" t="s">
        <v>55</v>
      </c>
      <c r="C16" s="20">
        <v>1</v>
      </c>
      <c r="D16" s="20" t="s">
        <v>60</v>
      </c>
      <c r="E16" s="22"/>
      <c r="F16" s="23"/>
      <c r="G16" s="20" t="s">
        <v>37</v>
      </c>
      <c r="H16" s="24"/>
    </row>
    <row r="17" spans="1:8" x14ac:dyDescent="0.2">
      <c r="A17" s="20" t="s">
        <v>61</v>
      </c>
      <c r="B17" s="21" t="s">
        <v>55</v>
      </c>
      <c r="C17" s="20">
        <v>40</v>
      </c>
      <c r="D17" s="20" t="s">
        <v>62</v>
      </c>
      <c r="E17" s="22"/>
      <c r="F17" s="23"/>
      <c r="G17" s="20" t="s">
        <v>37</v>
      </c>
      <c r="H17" s="24"/>
    </row>
    <row r="18" spans="1:8" x14ac:dyDescent="0.2">
      <c r="A18" s="20" t="s">
        <v>63</v>
      </c>
      <c r="B18" s="21" t="s">
        <v>55</v>
      </c>
      <c r="C18" s="20">
        <v>1</v>
      </c>
      <c r="D18" s="20" t="s">
        <v>64</v>
      </c>
      <c r="E18" s="22"/>
      <c r="F18" s="23"/>
      <c r="G18" s="20" t="s">
        <v>37</v>
      </c>
      <c r="H18" s="24"/>
    </row>
    <row r="19" spans="1:8" x14ac:dyDescent="0.2">
      <c r="A19" s="20" t="s">
        <v>65</v>
      </c>
      <c r="B19" s="21" t="s">
        <v>55</v>
      </c>
      <c r="C19" s="20">
        <v>40</v>
      </c>
      <c r="D19" s="20" t="s">
        <v>66</v>
      </c>
      <c r="E19" s="22"/>
      <c r="F19" s="23"/>
      <c r="G19" s="20" t="s">
        <v>37</v>
      </c>
      <c r="H19" s="24"/>
    </row>
    <row r="20" spans="1:8" x14ac:dyDescent="0.2">
      <c r="A20" s="20" t="s">
        <v>67</v>
      </c>
      <c r="B20" s="21" t="s">
        <v>55</v>
      </c>
      <c r="C20" s="20">
        <v>1</v>
      </c>
      <c r="D20" s="20" t="s">
        <v>68</v>
      </c>
      <c r="E20" s="22"/>
      <c r="F20" s="23"/>
      <c r="G20" s="20" t="s">
        <v>37</v>
      </c>
      <c r="H20" s="24"/>
    </row>
    <row r="21" spans="1:8" x14ac:dyDescent="0.2">
      <c r="A21" s="20" t="s">
        <v>69</v>
      </c>
      <c r="B21" s="21" t="s">
        <v>55</v>
      </c>
      <c r="C21" s="20">
        <v>40</v>
      </c>
      <c r="D21" s="20" t="s">
        <v>70</v>
      </c>
      <c r="E21" s="22"/>
      <c r="F21" s="23"/>
      <c r="G21" s="20" t="s">
        <v>37</v>
      </c>
      <c r="H21" s="24"/>
    </row>
    <row r="22" spans="1:8" x14ac:dyDescent="0.2">
      <c r="A22" s="20" t="s">
        <v>71</v>
      </c>
      <c r="B22" s="21" t="s">
        <v>55</v>
      </c>
      <c r="C22" s="20">
        <v>1</v>
      </c>
      <c r="D22" s="20" t="s">
        <v>72</v>
      </c>
      <c r="E22" s="22"/>
      <c r="F22" s="23"/>
      <c r="G22" s="20" t="s">
        <v>37</v>
      </c>
      <c r="H22" s="24"/>
    </row>
    <row r="23" spans="1:8" x14ac:dyDescent="0.2">
      <c r="A23" s="20" t="s">
        <v>73</v>
      </c>
      <c r="B23" s="21" t="s">
        <v>55</v>
      </c>
      <c r="C23" s="20">
        <v>40</v>
      </c>
      <c r="D23" s="20" t="s">
        <v>74</v>
      </c>
      <c r="E23" s="22"/>
      <c r="F23" s="23"/>
      <c r="G23" s="20" t="s">
        <v>37</v>
      </c>
      <c r="H23" s="24"/>
    </row>
    <row r="24" spans="1:8" x14ac:dyDescent="0.2">
      <c r="A24" s="25" t="s">
        <v>75</v>
      </c>
      <c r="B24" s="26" t="s">
        <v>76</v>
      </c>
      <c r="C24" s="25">
        <v>1</v>
      </c>
      <c r="D24" s="25" t="s">
        <v>77</v>
      </c>
      <c r="E24" s="27"/>
      <c r="F24" s="28"/>
      <c r="G24" s="25" t="s">
        <v>37</v>
      </c>
      <c r="H24" s="29"/>
    </row>
  </sheetData>
  <pageMargins left="0.7" right="0.7" top="0.75" bottom="0.75" header="0.3" footer="0.3"/>
  <pageSetup paperSize="9" scale="70" orientation="landscape" r:id="rId1"/>
  <headerFooter>
    <oddFooter>&amp;LMeridiaan College                                           &amp;ROpmaakdatum: 06-11-2020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6F86-34C2-4EC8-95AD-E591F99B71B4}">
  <dimension ref="A1:N21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8" width="11.625" customWidth="1"/>
    <col min="9" max="9" width="9.625" customWidth="1"/>
    <col min="10" max="12" width="11.625" customWidth="1"/>
    <col min="13" max="13" width="12.625" customWidth="1"/>
    <col min="14" max="14" width="14.625" customWidth="1"/>
  </cols>
  <sheetData>
    <row r="1" spans="1:14" x14ac:dyDescent="0.2">
      <c r="A1" s="1" t="str">
        <f>CONCATENATE("Bijlage I4.2: ",tabeltype," regulier werk")</f>
        <v>Bijlage I4.2: Invultabel regulier werk</v>
      </c>
    </row>
    <row r="3" spans="1:14" ht="38.25" x14ac:dyDescent="0.2">
      <c r="A3" s="8" t="s">
        <v>78</v>
      </c>
      <c r="B3" s="8" t="s">
        <v>7</v>
      </c>
      <c r="C3" s="8" t="s">
        <v>79</v>
      </c>
      <c r="D3" s="8" t="s">
        <v>28</v>
      </c>
      <c r="E3" s="8" t="s">
        <v>80</v>
      </c>
      <c r="F3" s="8" t="s">
        <v>81</v>
      </c>
      <c r="G3" s="8" t="s">
        <v>29</v>
      </c>
      <c r="H3" s="8" t="s">
        <v>30</v>
      </c>
      <c r="I3" s="8" t="s">
        <v>31</v>
      </c>
      <c r="J3" s="8" t="s">
        <v>32</v>
      </c>
      <c r="K3" s="8" t="s">
        <v>82</v>
      </c>
      <c r="L3" s="8" t="s">
        <v>83</v>
      </c>
      <c r="M3" s="8" t="s">
        <v>84</v>
      </c>
      <c r="N3" s="8" t="s">
        <v>85</v>
      </c>
    </row>
    <row r="4" spans="1:14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x14ac:dyDescent="0.2">
      <c r="A5" s="12" t="s">
        <v>33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x14ac:dyDescent="0.2">
      <c r="A6" s="15" t="s">
        <v>86</v>
      </c>
      <c r="B6" s="15" t="s">
        <v>12</v>
      </c>
      <c r="C6" s="15" t="s">
        <v>87</v>
      </c>
      <c r="D6" s="15" t="s">
        <v>88</v>
      </c>
      <c r="E6" s="30">
        <v>311</v>
      </c>
      <c r="F6" s="30">
        <f>E6*VLOOKUP(B6,dagsoorttabel1,2,FALSE)</f>
        <v>311</v>
      </c>
      <c r="G6" s="31">
        <f>IF(AND(catpn_1_AHB_1&gt;0,catpn_1_AHV_40&gt;0),(dagenperjaar1*VLOOKUP(B6,dagsoorttabel1,2,FALSE))/(((dagenperjaar1*VLOOKUP(B6,dagsoorttabel1,2,FALSE))-catfd_1_AHV_40)/catpn_1_AHB_1+catfd_1_AHV_40/catpn_1_AHV_40),0)</f>
        <v>0</v>
      </c>
      <c r="H6" s="32">
        <f>IF(AND(catpn_1_AHB_1&gt;0,catpn_1_AHV_40&gt;0),(catdw_1_AHB_1*((dagenperjaar1*VLOOKUP(B6,dagsoorttabel1,2,FALSE))-catfd_1_AHV_40)/catpn_1_AHB_1+catdw_1_AHV_40*catfd_1_AHV_40/catpn_1_AHV_40)/(((dagenperjaar1*VLOOKUP(B6,dagsoorttabel1,2,FALSE))-catfd_1_AHV_40)/catpn_1_AHB_1+catfd_1_AHV_40/catpn_1_AHV_40),0)</f>
        <v>0</v>
      </c>
      <c r="I6" s="15" t="s">
        <v>37</v>
      </c>
      <c r="J6" s="33">
        <f>IF(AND(catpn_1_AHB_1&gt;0,catpn_1_AHV_40&gt;0),(cattf_1_AHB_1*((dagenperjaar1*VLOOKUP(B6,dagsoorttabel1,2,FALSE))-catfd_1_AHV_40)/catpn_1_AHB_1+cattf_1_AHV_40*catfd_1_AHV_40/catpn_1_AHV_40)/(((dagenperjaar1*VLOOKUP(B6,dagsoorttabel1,2,FALSE))-catfd_1_AHV_40)/catpn_1_AHB_1+catfd_1_AHV_40/catpn_1_AHV_40),0)</f>
        <v>0</v>
      </c>
      <c r="K6" s="30">
        <f>IF(OR(ISBLANK(G6),G6=0),0,F6/G6)</f>
        <v>0</v>
      </c>
      <c r="L6" s="33">
        <f>J6*K6</f>
        <v>0</v>
      </c>
      <c r="M6" s="30">
        <f>K6*dagenperjaar1</f>
        <v>0</v>
      </c>
      <c r="N6" s="33">
        <f>M6*J6</f>
        <v>0</v>
      </c>
    </row>
    <row r="7" spans="1:14" x14ac:dyDescent="0.2">
      <c r="A7" s="20" t="s">
        <v>89</v>
      </c>
      <c r="B7" s="20" t="s">
        <v>10</v>
      </c>
      <c r="C7" s="20" t="s">
        <v>87</v>
      </c>
      <c r="D7" s="20" t="s">
        <v>90</v>
      </c>
      <c r="E7" s="34">
        <v>608.6</v>
      </c>
      <c r="F7" s="34">
        <f>E7*VLOOKUP(B7,dagsoorttabel1,2,FALSE)</f>
        <v>623.81499999999994</v>
      </c>
      <c r="G7" s="35">
        <f>IF(AND(catpn_1_BHB_1&gt;0,catpn_1_BHV_42&gt;0),(dagenperjaar1*VLOOKUP(B7,dagsoorttabel1,2,FALSE))/(((dagenperjaar1*VLOOKUP(B7,dagsoorttabel1,2,FALSE))-catfd_1_BHV_42)/catpn_1_BHB_1+catfd_1_BHV_42/catpn_1_BHV_42),0)</f>
        <v>0</v>
      </c>
      <c r="H7" s="36">
        <f>IF(AND(catpn_1_BHB_1&gt;0,catpn_1_BHV_42&gt;0),(catdw_1_BHB_1*((dagenperjaar1*VLOOKUP(B7,dagsoorttabel1,2,FALSE))-catfd_1_BHV_42)/catpn_1_BHB_1+catdw_1_BHV_42*catfd_1_BHV_42/catpn_1_BHV_42)/(((dagenperjaar1*VLOOKUP(B7,dagsoorttabel1,2,FALSE))-catfd_1_BHV_42)/catpn_1_BHB_1+catfd_1_BHV_42/catpn_1_BHV_42),0)</f>
        <v>0</v>
      </c>
      <c r="I7" s="20" t="s">
        <v>37</v>
      </c>
      <c r="J7" s="37">
        <f>IF(AND(catpn_1_BHB_1&gt;0,catpn_1_BHV_42&gt;0),(cattf_1_BHB_1*((dagenperjaar1*VLOOKUP(B7,dagsoorttabel1,2,FALSE))-catfd_1_BHV_42)/catpn_1_BHB_1+cattf_1_BHV_42*catfd_1_BHV_42/catpn_1_BHV_42)/(((dagenperjaar1*VLOOKUP(B7,dagsoorttabel1,2,FALSE))-catfd_1_BHV_42)/catpn_1_BHB_1+catfd_1_BHV_42/catpn_1_BHV_42),0)</f>
        <v>0</v>
      </c>
      <c r="K7" s="34">
        <f>IF(OR(ISBLANK(G7),G7=0),0,F7/G7)</f>
        <v>0</v>
      </c>
      <c r="L7" s="37">
        <f>J7*K7</f>
        <v>0</v>
      </c>
      <c r="M7" s="34">
        <f>K7*dagenperjaar1</f>
        <v>0</v>
      </c>
      <c r="N7" s="37">
        <f>M7*J7</f>
        <v>0</v>
      </c>
    </row>
    <row r="8" spans="1:14" x14ac:dyDescent="0.2">
      <c r="A8" s="20" t="s">
        <v>91</v>
      </c>
      <c r="B8" s="20" t="s">
        <v>12</v>
      </c>
      <c r="C8" s="20" t="s">
        <v>87</v>
      </c>
      <c r="D8" s="20" t="s">
        <v>92</v>
      </c>
      <c r="E8" s="34">
        <v>238</v>
      </c>
      <c r="F8" s="34">
        <f>E8*VLOOKUP(B8,dagsoorttabel1,2,FALSE)</f>
        <v>238</v>
      </c>
      <c r="G8" s="35">
        <f>IF(AND(catpn_1_EHB_1&gt;0,catpn_1_EHV_40&gt;0),(dagenperjaar1*VLOOKUP(B8,dagsoorttabel1,2,FALSE))/(((dagenperjaar1*VLOOKUP(B8,dagsoorttabel1,2,FALSE))-catfd_1_EHV_40)/catpn_1_EHB_1+catfd_1_EHV_40/catpn_1_EHV_40),0)</f>
        <v>0</v>
      </c>
      <c r="H8" s="36">
        <f>IF(AND(catpn_1_EHB_1&gt;0,catpn_1_EHV_40&gt;0),(catdw_1_EHB_1*((dagenperjaar1*VLOOKUP(B8,dagsoorttabel1,2,FALSE))-catfd_1_EHV_40)/catpn_1_EHB_1+catdw_1_EHV_40*catfd_1_EHV_40/catpn_1_EHV_40)/(((dagenperjaar1*VLOOKUP(B8,dagsoorttabel1,2,FALSE))-catfd_1_EHV_40)/catpn_1_EHB_1+catfd_1_EHV_40/catpn_1_EHV_40),0)</f>
        <v>0</v>
      </c>
      <c r="I8" s="20" t="s">
        <v>37</v>
      </c>
      <c r="J8" s="37">
        <f>IF(AND(catpn_1_EHB_1&gt;0,catpn_1_EHV_40&gt;0),(cattf_1_EHB_1*((dagenperjaar1*VLOOKUP(B8,dagsoorttabel1,2,FALSE))-catfd_1_EHV_40)/catpn_1_EHB_1+cattf_1_EHV_40*catfd_1_EHV_40/catpn_1_EHV_40)/(((dagenperjaar1*VLOOKUP(B8,dagsoorttabel1,2,FALSE))-catfd_1_EHV_40)/catpn_1_EHB_1+catfd_1_EHV_40/catpn_1_EHV_40),0)</f>
        <v>0</v>
      </c>
      <c r="K8" s="34">
        <f>IF(OR(ISBLANK(G8),G8=0),0,F8/G8)</f>
        <v>0</v>
      </c>
      <c r="L8" s="37">
        <f>J8*K8</f>
        <v>0</v>
      </c>
      <c r="M8" s="34">
        <f>K8*dagenperjaar1</f>
        <v>0</v>
      </c>
      <c r="N8" s="37">
        <f>M8*J8</f>
        <v>0</v>
      </c>
    </row>
    <row r="9" spans="1:14" x14ac:dyDescent="0.2">
      <c r="A9" s="20" t="s">
        <v>93</v>
      </c>
      <c r="B9" s="20" t="s">
        <v>12</v>
      </c>
      <c r="C9" s="20" t="s">
        <v>87</v>
      </c>
      <c r="D9" s="20" t="s">
        <v>94</v>
      </c>
      <c r="E9" s="34">
        <v>1655.7200000000003</v>
      </c>
      <c r="F9" s="34">
        <f>E9*VLOOKUP(B9,dagsoorttabel1,2,FALSE)</f>
        <v>1655.7200000000003</v>
      </c>
      <c r="G9" s="35">
        <f>IF(AND(catpn_1_LHB_1&gt;0,catpn_1_LHV_40&gt;0),(dagenperjaar1*VLOOKUP(B9,dagsoorttabel1,2,FALSE))/(((dagenperjaar1*VLOOKUP(B9,dagsoorttabel1,2,FALSE))-catfd_1_LHV_40)/catpn_1_LHB_1+catfd_1_LHV_40/catpn_1_LHV_40),0)</f>
        <v>0</v>
      </c>
      <c r="H9" s="36">
        <f>IF(AND(catpn_1_LHB_1&gt;0,catpn_1_LHV_40&gt;0),(catdw_1_LHB_1*((dagenperjaar1*VLOOKUP(B9,dagsoorttabel1,2,FALSE))-catfd_1_LHV_40)/catpn_1_LHB_1+catdw_1_LHV_40*catfd_1_LHV_40/catpn_1_LHV_40)/(((dagenperjaar1*VLOOKUP(B9,dagsoorttabel1,2,FALSE))-catfd_1_LHV_40)/catpn_1_LHB_1+catfd_1_LHV_40/catpn_1_LHV_40),0)</f>
        <v>0</v>
      </c>
      <c r="I9" s="20" t="s">
        <v>37</v>
      </c>
      <c r="J9" s="37">
        <f>IF(AND(catpn_1_LHB_1&gt;0,catpn_1_LHV_40&gt;0),(cattf_1_LHB_1*((dagenperjaar1*VLOOKUP(B9,dagsoorttabel1,2,FALSE))-catfd_1_LHV_40)/catpn_1_LHB_1+cattf_1_LHV_40*catfd_1_LHV_40/catpn_1_LHV_40)/(((dagenperjaar1*VLOOKUP(B9,dagsoorttabel1,2,FALSE))-catfd_1_LHV_40)/catpn_1_LHB_1+catfd_1_LHV_40/catpn_1_LHV_40),0)</f>
        <v>0</v>
      </c>
      <c r="K9" s="34">
        <f>IF(OR(ISBLANK(G9),G9=0),0,F9/G9)</f>
        <v>0</v>
      </c>
      <c r="L9" s="37">
        <f>J9*K9</f>
        <v>0</v>
      </c>
      <c r="M9" s="34">
        <f>K9*dagenperjaar1</f>
        <v>0</v>
      </c>
      <c r="N9" s="37">
        <f>M9*J9</f>
        <v>0</v>
      </c>
    </row>
    <row r="10" spans="1:14" x14ac:dyDescent="0.2">
      <c r="A10" s="20" t="s">
        <v>95</v>
      </c>
      <c r="B10" s="20" t="s">
        <v>12</v>
      </c>
      <c r="C10" s="20" t="s">
        <v>87</v>
      </c>
      <c r="D10" s="20" t="s">
        <v>96</v>
      </c>
      <c r="E10" s="34">
        <v>77</v>
      </c>
      <c r="F10" s="34">
        <f>E10*VLOOKUP(B10,dagsoorttabel1,2,FALSE)</f>
        <v>77</v>
      </c>
      <c r="G10" s="35">
        <f>IF(AND(catpn_1_PHB_1&gt;0,catpn_1_PHV_40&gt;0),(dagenperjaar1*VLOOKUP(B10,dagsoorttabel1,2,FALSE))/(((dagenperjaar1*VLOOKUP(B10,dagsoorttabel1,2,FALSE))-catfd_1_PHV_40)/catpn_1_PHB_1+catfd_1_PHV_40/catpn_1_PHV_40),0)</f>
        <v>0</v>
      </c>
      <c r="H10" s="36">
        <f>IF(AND(catpn_1_PHB_1&gt;0,catpn_1_PHV_40&gt;0),(catdw_1_PHB_1*((dagenperjaar1*VLOOKUP(B10,dagsoorttabel1,2,FALSE))-catfd_1_PHV_40)/catpn_1_PHB_1+catdw_1_PHV_40*catfd_1_PHV_40/catpn_1_PHV_40)/(((dagenperjaar1*VLOOKUP(B10,dagsoorttabel1,2,FALSE))-catfd_1_PHV_40)/catpn_1_PHB_1+catfd_1_PHV_40/catpn_1_PHV_40),0)</f>
        <v>0</v>
      </c>
      <c r="I10" s="20" t="s">
        <v>37</v>
      </c>
      <c r="J10" s="37">
        <f>IF(AND(catpn_1_PHB_1&gt;0,catpn_1_PHV_40&gt;0),(cattf_1_PHB_1*((dagenperjaar1*VLOOKUP(B10,dagsoorttabel1,2,FALSE))-catfd_1_PHV_40)/catpn_1_PHB_1+cattf_1_PHV_40*catfd_1_PHV_40/catpn_1_PHV_40)/(((dagenperjaar1*VLOOKUP(B10,dagsoorttabel1,2,FALSE))-catfd_1_PHV_40)/catpn_1_PHB_1+catfd_1_PHV_40/catpn_1_PHV_40),0)</f>
        <v>0</v>
      </c>
      <c r="K10" s="34">
        <f>IF(OR(ISBLANK(G10),G10=0),0,F10/G10)</f>
        <v>0</v>
      </c>
      <c r="L10" s="37">
        <f>J10*K10</f>
        <v>0</v>
      </c>
      <c r="M10" s="34">
        <f>K10*dagenperjaar1</f>
        <v>0</v>
      </c>
      <c r="N10" s="37">
        <f>M10*J10</f>
        <v>0</v>
      </c>
    </row>
    <row r="11" spans="1:14" x14ac:dyDescent="0.2">
      <c r="A11" s="20" t="s">
        <v>97</v>
      </c>
      <c r="B11" s="20" t="s">
        <v>12</v>
      </c>
      <c r="C11" s="20" t="s">
        <v>87</v>
      </c>
      <c r="D11" s="20" t="s">
        <v>98</v>
      </c>
      <c r="E11" s="34">
        <v>279</v>
      </c>
      <c r="F11" s="34">
        <f>E11*VLOOKUP(B11,dagsoorttabel1,2,FALSE)</f>
        <v>279</v>
      </c>
      <c r="G11" s="35">
        <f>IF(AND(catpn_1_PUHB_1&gt;0,catpn_1_PUHV_40&gt;0),(dagenperjaar1*VLOOKUP(B11,dagsoorttabel1,2,FALSE))/(((dagenperjaar1*VLOOKUP(B11,dagsoorttabel1,2,FALSE))-catfd_1_PUHV_40)/catpn_1_PUHB_1+catfd_1_PUHV_40/catpn_1_PUHV_40),0)</f>
        <v>0</v>
      </c>
      <c r="H11" s="36">
        <f>IF(AND(catpn_1_PUHB_1&gt;0,catpn_1_PUHV_40&gt;0),(catdw_1_PUHB_1*((dagenperjaar1*VLOOKUP(B11,dagsoorttabel1,2,FALSE))-catfd_1_PUHV_40)/catpn_1_PUHB_1+catdw_1_PUHV_40*catfd_1_PUHV_40/catpn_1_PUHV_40)/(((dagenperjaar1*VLOOKUP(B11,dagsoorttabel1,2,FALSE))-catfd_1_PUHV_40)/catpn_1_PUHB_1+catfd_1_PUHV_40/catpn_1_PUHV_40),0)</f>
        <v>0</v>
      </c>
      <c r="I11" s="20" t="s">
        <v>37</v>
      </c>
      <c r="J11" s="37">
        <f>IF(AND(catpn_1_PUHB_1&gt;0,catpn_1_PUHV_40&gt;0),(cattf_1_PUHB_1*((dagenperjaar1*VLOOKUP(B11,dagsoorttabel1,2,FALSE))-catfd_1_PUHV_40)/catpn_1_PUHB_1+cattf_1_PUHV_40*catfd_1_PUHV_40/catpn_1_PUHV_40)/(((dagenperjaar1*VLOOKUP(B11,dagsoorttabel1,2,FALSE))-catfd_1_PUHV_40)/catpn_1_PUHB_1+catfd_1_PUHV_40/catpn_1_PUHV_40),0)</f>
        <v>0</v>
      </c>
      <c r="K11" s="34">
        <f>IF(OR(ISBLANK(G11),G11=0),0,F11/G11)</f>
        <v>0</v>
      </c>
      <c r="L11" s="37">
        <f>J11*K11</f>
        <v>0</v>
      </c>
      <c r="M11" s="34">
        <f>K11*dagenperjaar1</f>
        <v>0</v>
      </c>
      <c r="N11" s="37">
        <f>M11*J11</f>
        <v>0</v>
      </c>
    </row>
    <row r="12" spans="1:14" x14ac:dyDescent="0.2">
      <c r="A12" s="20" t="s">
        <v>99</v>
      </c>
      <c r="B12" s="20" t="s">
        <v>12</v>
      </c>
      <c r="C12" s="20" t="s">
        <v>87</v>
      </c>
      <c r="D12" s="20" t="s">
        <v>100</v>
      </c>
      <c r="E12" s="34">
        <v>140.6</v>
      </c>
      <c r="F12" s="34">
        <f>E12*VLOOKUP(B12,dagsoorttabel1,2,FALSE)</f>
        <v>140.6</v>
      </c>
      <c r="G12" s="35">
        <f>IF(AND(catpn_1_SHB_1&gt;0,catpn_1_SHV_40&gt;0),(dagenperjaar1*VLOOKUP(B12,dagsoorttabel1,2,FALSE))/(((dagenperjaar1*VLOOKUP(B12,dagsoorttabel1,2,FALSE))-catfd_1_SHV_40)/catpn_1_SHB_1+catfd_1_SHV_40/catpn_1_SHV_40),0)</f>
        <v>0</v>
      </c>
      <c r="H12" s="36">
        <f>IF(AND(catpn_1_SHB_1&gt;0,catpn_1_SHV_40&gt;0),(catdw_1_SHB_1*((dagenperjaar1*VLOOKUP(B12,dagsoorttabel1,2,FALSE))-catfd_1_SHV_40)/catpn_1_SHB_1+catdw_1_SHV_40*catfd_1_SHV_40/catpn_1_SHV_40)/(((dagenperjaar1*VLOOKUP(B12,dagsoorttabel1,2,FALSE))-catfd_1_SHV_40)/catpn_1_SHB_1+catfd_1_SHV_40/catpn_1_SHV_40),0)</f>
        <v>0</v>
      </c>
      <c r="I12" s="20" t="s">
        <v>37</v>
      </c>
      <c r="J12" s="37">
        <f>IF(AND(catpn_1_SHB_1&gt;0,catpn_1_SHV_40&gt;0),(cattf_1_SHB_1*((dagenperjaar1*VLOOKUP(B12,dagsoorttabel1,2,FALSE))-catfd_1_SHV_40)/catpn_1_SHB_1+cattf_1_SHV_40*catfd_1_SHV_40/catpn_1_SHV_40)/(((dagenperjaar1*VLOOKUP(B12,dagsoorttabel1,2,FALSE))-catfd_1_SHV_40)/catpn_1_SHB_1+catfd_1_SHV_40/catpn_1_SHV_40),0)</f>
        <v>0</v>
      </c>
      <c r="K12" s="34">
        <f>IF(OR(ISBLANK(G12),G12=0),0,F12/G12)</f>
        <v>0</v>
      </c>
      <c r="L12" s="37">
        <f>J12*K12</f>
        <v>0</v>
      </c>
      <c r="M12" s="34">
        <f>K12*dagenperjaar1</f>
        <v>0</v>
      </c>
      <c r="N12" s="37">
        <f>M12*J12</f>
        <v>0</v>
      </c>
    </row>
    <row r="13" spans="1:14" x14ac:dyDescent="0.2">
      <c r="A13" s="20" t="s">
        <v>101</v>
      </c>
      <c r="B13" s="20" t="s">
        <v>12</v>
      </c>
      <c r="C13" s="20" t="s">
        <v>87</v>
      </c>
      <c r="D13" s="20" t="s">
        <v>102</v>
      </c>
      <c r="E13" s="34">
        <v>51</v>
      </c>
      <c r="F13" s="34">
        <f>E13*VLOOKUP(B13,dagsoorttabel1,2,FALSE)</f>
        <v>51</v>
      </c>
      <c r="G13" s="35">
        <f>IF(AND(catpn_1_THB_1&gt;0,catpn_1_THV_40&gt;0),(dagenperjaar1*VLOOKUP(B13,dagsoorttabel1,2,FALSE))/(((dagenperjaar1*VLOOKUP(B13,dagsoorttabel1,2,FALSE))-catfd_1_THV_40)/catpn_1_THB_1+catfd_1_THV_40/catpn_1_THV_40),0)</f>
        <v>0</v>
      </c>
      <c r="H13" s="36">
        <f>IF(AND(catpn_1_THB_1&gt;0,catpn_1_THV_40&gt;0),(catdw_1_THB_1*((dagenperjaar1*VLOOKUP(B13,dagsoorttabel1,2,FALSE))-catfd_1_THV_40)/catpn_1_THB_1+catdw_1_THV_40*catfd_1_THV_40/catpn_1_THV_40)/(((dagenperjaar1*VLOOKUP(B13,dagsoorttabel1,2,FALSE))-catfd_1_THV_40)/catpn_1_THB_1+catfd_1_THV_40/catpn_1_THV_40),0)</f>
        <v>0</v>
      </c>
      <c r="I13" s="20" t="s">
        <v>37</v>
      </c>
      <c r="J13" s="37">
        <f>IF(AND(catpn_1_THB_1&gt;0,catpn_1_THV_40&gt;0),(cattf_1_THB_1*((dagenperjaar1*VLOOKUP(B13,dagsoorttabel1,2,FALSE))-catfd_1_THV_40)/catpn_1_THB_1+cattf_1_THV_40*catfd_1_THV_40/catpn_1_THV_40)/(((dagenperjaar1*VLOOKUP(B13,dagsoorttabel1,2,FALSE))-catfd_1_THV_40)/catpn_1_THB_1+catfd_1_THV_40/catpn_1_THV_40),0)</f>
        <v>0</v>
      </c>
      <c r="K13" s="34">
        <f>IF(OR(ISBLANK(G13),G13=0),0,F13/G13)</f>
        <v>0</v>
      </c>
      <c r="L13" s="37">
        <f>J13*K13</f>
        <v>0</v>
      </c>
      <c r="M13" s="34">
        <f>K13*dagenperjaar1</f>
        <v>0</v>
      </c>
      <c r="N13" s="37">
        <f>M13*J13</f>
        <v>0</v>
      </c>
    </row>
    <row r="14" spans="1:14" x14ac:dyDescent="0.2">
      <c r="A14" s="20" t="s">
        <v>103</v>
      </c>
      <c r="B14" s="20" t="s">
        <v>12</v>
      </c>
      <c r="C14" s="20" t="s">
        <v>87</v>
      </c>
      <c r="D14" s="20" t="s">
        <v>104</v>
      </c>
      <c r="E14" s="34">
        <v>815.80000000000007</v>
      </c>
      <c r="F14" s="34">
        <f>E14*VLOOKUP(B14,dagsoorttabel1,2,FALSE)</f>
        <v>815.80000000000007</v>
      </c>
      <c r="G14" s="35">
        <f>IF(AND(catpn_1_VHB_1&gt;0,catpn_1_VHV_40&gt;0),(dagenperjaar1*VLOOKUP(B14,dagsoorttabel1,2,FALSE))/(((dagenperjaar1*VLOOKUP(B14,dagsoorttabel1,2,FALSE))-catfd_1_VHV_40)/catpn_1_VHB_1+catfd_1_VHV_40/catpn_1_VHV_40),0)</f>
        <v>0</v>
      </c>
      <c r="H14" s="36">
        <f>IF(AND(catpn_1_VHB_1&gt;0,catpn_1_VHV_40&gt;0),(catdw_1_VHB_1*((dagenperjaar1*VLOOKUP(B14,dagsoorttabel1,2,FALSE))-catfd_1_VHV_40)/catpn_1_VHB_1+catdw_1_VHV_40*catfd_1_VHV_40/catpn_1_VHV_40)/(((dagenperjaar1*VLOOKUP(B14,dagsoorttabel1,2,FALSE))-catfd_1_VHV_40)/catpn_1_VHB_1+catfd_1_VHV_40/catpn_1_VHV_40),0)</f>
        <v>0</v>
      </c>
      <c r="I14" s="20" t="s">
        <v>37</v>
      </c>
      <c r="J14" s="37">
        <f>IF(AND(catpn_1_VHB_1&gt;0,catpn_1_VHV_40&gt;0),(cattf_1_VHB_1*((dagenperjaar1*VLOOKUP(B14,dagsoorttabel1,2,FALSE))-catfd_1_VHV_40)/catpn_1_VHB_1+cattf_1_VHV_40*catfd_1_VHV_40/catpn_1_VHV_40)/(((dagenperjaar1*VLOOKUP(B14,dagsoorttabel1,2,FALSE))-catfd_1_VHV_40)/catpn_1_VHB_1+catfd_1_VHV_40/catpn_1_VHV_40),0)</f>
        <v>0</v>
      </c>
      <c r="K14" s="34">
        <f>IF(OR(ISBLANK(G14),G14=0),0,F14/G14)</f>
        <v>0</v>
      </c>
      <c r="L14" s="37">
        <f>J14*K14</f>
        <v>0</v>
      </c>
      <c r="M14" s="34">
        <f>K14*dagenperjaar1</f>
        <v>0</v>
      </c>
      <c r="N14" s="37">
        <f>M14*J14</f>
        <v>0</v>
      </c>
    </row>
    <row r="15" spans="1:14" x14ac:dyDescent="0.2">
      <c r="A15" s="25" t="s">
        <v>105</v>
      </c>
      <c r="B15" s="25" t="s">
        <v>24</v>
      </c>
      <c r="C15" s="25" t="s">
        <v>87</v>
      </c>
      <c r="D15" s="25" t="s">
        <v>106</v>
      </c>
      <c r="E15" s="38">
        <v>3291.82</v>
      </c>
      <c r="F15" s="38">
        <f>E15*VLOOKUP(B15,dagsoorttabel1,2,FALSE)</f>
        <v>16.459099999999999</v>
      </c>
      <c r="G15" s="39">
        <f>catpn_1_XBB_1</f>
        <v>0</v>
      </c>
      <c r="H15" s="40">
        <f>catdw_1_XBB_1</f>
        <v>0</v>
      </c>
      <c r="I15" s="25" t="s">
        <v>37</v>
      </c>
      <c r="J15" s="41">
        <f>cattf_1_XBB_1</f>
        <v>0</v>
      </c>
      <c r="K15" s="38">
        <f>IF(OR(ISBLANK(G15),G15=0),0,F15/G15)</f>
        <v>0</v>
      </c>
      <c r="L15" s="41">
        <f>J15*K15</f>
        <v>0</v>
      </c>
      <c r="M15" s="38">
        <f>K15*dagenperjaar1</f>
        <v>0</v>
      </c>
      <c r="N15" s="41">
        <f>M15*J15</f>
        <v>0</v>
      </c>
    </row>
    <row r="16" spans="1:14" x14ac:dyDescent="0.2">
      <c r="A16" s="43" t="s">
        <v>107</v>
      </c>
      <c r="B16" s="44"/>
      <c r="C16" s="44"/>
      <c r="D16" s="44"/>
      <c r="E16" s="44"/>
      <c r="F16" s="44"/>
      <c r="G16" s="44"/>
      <c r="H16" s="44"/>
      <c r="I16" s="44"/>
      <c r="J16" s="44"/>
      <c r="K16" s="45">
        <f>SUM(K6:K15)</f>
        <v>0</v>
      </c>
      <c r="L16" s="46">
        <f>SUM(L6:L15)</f>
        <v>0</v>
      </c>
      <c r="M16" s="45">
        <f>SUM(M6:M15)</f>
        <v>0</v>
      </c>
      <c r="N16" s="47">
        <f>SUM(N6:N15)</f>
        <v>0</v>
      </c>
    </row>
    <row r="17" spans="1:14" x14ac:dyDescent="0.2">
      <c r="A17" s="48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9"/>
    </row>
    <row r="18" spans="1:14" x14ac:dyDescent="0.2">
      <c r="A18" s="43" t="s">
        <v>108</v>
      </c>
      <c r="B18" s="44"/>
      <c r="C18" s="44"/>
      <c r="D18" s="44"/>
      <c r="E18" s="44"/>
      <c r="F18" s="44"/>
      <c r="G18" s="44"/>
      <c r="H18" s="44"/>
      <c r="I18" s="44"/>
      <c r="J18" s="46">
        <f>IF(urenjaar1&gt;0,SUMIF(M6:M15,"&gt;0",N6:N15)/urenjaar1,0)</f>
        <v>0</v>
      </c>
      <c r="K18" s="44"/>
      <c r="L18" s="44"/>
      <c r="M18" s="44"/>
      <c r="N18" s="49"/>
    </row>
    <row r="19" spans="1:14" x14ac:dyDescent="0.2">
      <c r="A19" s="48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9"/>
    </row>
    <row r="21" spans="1:14" x14ac:dyDescent="0.2">
      <c r="A21" s="43" t="s">
        <v>109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>
        <f>urenjaar1</f>
        <v>0</v>
      </c>
      <c r="N21" s="46">
        <f>prijsjaar1</f>
        <v>0</v>
      </c>
    </row>
  </sheetData>
  <pageMargins left="0.7" right="0.7" top="0.75" bottom="0.75" header="0.3" footer="0.3"/>
  <pageSetup paperSize="9" scale="70" orientation="landscape" r:id="rId1"/>
  <headerFooter>
    <oddFooter>&amp;LMeridiaan College                                           &amp;ROpmaakdatum: 06-11-2020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E3AD-32EB-4912-A095-9E8709C6435C}">
  <dimension ref="A1:U147"/>
  <sheetViews>
    <sheetView workbookViewId="0"/>
  </sheetViews>
  <sheetFormatPr defaultRowHeight="12.75" x14ac:dyDescent="0.2"/>
  <cols>
    <col min="1" max="1" width="8.625" customWidth="1"/>
    <col min="2" max="3" width="7.625" customWidth="1"/>
    <col min="4" max="4" width="10.625" customWidth="1"/>
    <col min="5" max="5" width="25.625" customWidth="1"/>
    <col min="6" max="6" width="11.625" customWidth="1"/>
    <col min="7" max="7" width="7.625" customWidth="1"/>
    <col min="8" max="8" width="6.625" customWidth="1"/>
    <col min="9" max="10" width="8.625" customWidth="1"/>
    <col min="11" max="12" width="10.625" customWidth="1"/>
    <col min="13" max="14" width="11.625" customWidth="1"/>
    <col min="15" max="15" width="9.625" customWidth="1"/>
    <col min="16" max="19" width="11.625" customWidth="1"/>
    <col min="20" max="20" width="12.625" customWidth="1"/>
    <col min="21" max="21" width="14.625" customWidth="1"/>
  </cols>
  <sheetData>
    <row r="1" spans="1:21" x14ac:dyDescent="0.2">
      <c r="A1" s="1" t="str">
        <f>CONCATENATE("Bijlage I4.3: ",tabeltype," ruimten werkdag")</f>
        <v>Bijlage I4.3: Invultabel ruimten werkdag</v>
      </c>
    </row>
    <row r="3" spans="1:21" ht="38.25" x14ac:dyDescent="0.2">
      <c r="A3" s="50" t="s">
        <v>110</v>
      </c>
      <c r="B3" s="8" t="s">
        <v>111</v>
      </c>
      <c r="C3" s="8" t="s">
        <v>112</v>
      </c>
      <c r="D3" s="8" t="s">
        <v>113</v>
      </c>
      <c r="E3" s="8" t="s">
        <v>114</v>
      </c>
      <c r="F3" s="8" t="s">
        <v>115</v>
      </c>
      <c r="G3" s="8" t="s">
        <v>78</v>
      </c>
      <c r="H3" s="8" t="s">
        <v>7</v>
      </c>
      <c r="I3" s="8" t="s">
        <v>116</v>
      </c>
      <c r="J3" s="8" t="s">
        <v>117</v>
      </c>
      <c r="K3" s="8" t="s">
        <v>80</v>
      </c>
      <c r="L3" s="8" t="s">
        <v>81</v>
      </c>
      <c r="M3" s="8" t="s">
        <v>29</v>
      </c>
      <c r="N3" s="8" t="s">
        <v>30</v>
      </c>
      <c r="O3" s="8" t="s">
        <v>31</v>
      </c>
      <c r="P3" s="8" t="s">
        <v>32</v>
      </c>
      <c r="Q3" s="8" t="s">
        <v>82</v>
      </c>
      <c r="R3" s="8" t="s">
        <v>118</v>
      </c>
      <c r="S3" s="8" t="s">
        <v>83</v>
      </c>
      <c r="T3" s="8" t="s">
        <v>84</v>
      </c>
      <c r="U3" s="51" t="s">
        <v>85</v>
      </c>
    </row>
    <row r="4" spans="1:21" x14ac:dyDescent="0.2">
      <c r="A4" s="52" t="s">
        <v>119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42"/>
    </row>
    <row r="5" spans="1:21" x14ac:dyDescent="0.2">
      <c r="A5" s="53" t="s">
        <v>120</v>
      </c>
      <c r="B5" s="54" t="s">
        <v>121</v>
      </c>
      <c r="C5" s="54" t="s">
        <v>122</v>
      </c>
      <c r="D5" s="54" t="s">
        <v>123</v>
      </c>
      <c r="E5" s="55" t="s">
        <v>124</v>
      </c>
      <c r="F5" s="54" t="s">
        <v>125</v>
      </c>
      <c r="G5" s="54" t="s">
        <v>91</v>
      </c>
      <c r="H5" s="54" t="s">
        <v>12</v>
      </c>
      <c r="I5" s="54" t="s">
        <v>87</v>
      </c>
      <c r="J5" s="54"/>
      <c r="K5" s="56">
        <v>31</v>
      </c>
      <c r="L5" s="56">
        <f>K5*VLOOKUP(H5,dagsoorttabel1,2,FALSE)</f>
        <v>31</v>
      </c>
      <c r="M5" s="57">
        <f>prodnorm3</f>
        <v>0</v>
      </c>
      <c r="N5" s="58">
        <f>dagwerk3</f>
        <v>0</v>
      </c>
      <c r="O5" s="54" t="s">
        <v>37</v>
      </c>
      <c r="P5" s="59">
        <f>uurtarief3</f>
        <v>0</v>
      </c>
      <c r="Q5" s="56" t="e">
        <f>IF(ISBLANK(M5),0,L5/M5)</f>
        <v>#DIV/0!</v>
      </c>
      <c r="R5" s="56" t="e">
        <f>IF(ISBLANK(M5),0,Q5*N5)</f>
        <v>#DIV/0!</v>
      </c>
      <c r="S5" s="59" t="e">
        <f>P5*Q5</f>
        <v>#DIV/0!</v>
      </c>
      <c r="T5" s="56" t="e">
        <f>Q5*dagenperjaar1</f>
        <v>#DIV/0!</v>
      </c>
      <c r="U5" s="60" t="e">
        <f>T5*P5</f>
        <v>#DIV/0!</v>
      </c>
    </row>
    <row r="6" spans="1:21" x14ac:dyDescent="0.2">
      <c r="A6" s="61" t="s">
        <v>120</v>
      </c>
      <c r="B6" s="62" t="s">
        <v>121</v>
      </c>
      <c r="C6" s="62" t="s">
        <v>122</v>
      </c>
      <c r="D6" s="62" t="s">
        <v>123</v>
      </c>
      <c r="E6" s="63" t="s">
        <v>124</v>
      </c>
      <c r="F6" s="62" t="s">
        <v>125</v>
      </c>
      <c r="G6" s="62" t="s">
        <v>105</v>
      </c>
      <c r="H6" s="62" t="s">
        <v>24</v>
      </c>
      <c r="I6" s="62" t="s">
        <v>87</v>
      </c>
      <c r="J6" s="62"/>
      <c r="K6" s="64">
        <v>31</v>
      </c>
      <c r="L6" s="64">
        <f>K6*VLOOKUP(H6,dagsoorttabel1,2,FALSE)</f>
        <v>0.155</v>
      </c>
      <c r="M6" s="65">
        <f>prodnorm10</f>
        <v>0</v>
      </c>
      <c r="N6" s="66">
        <f>dagwerk10</f>
        <v>0</v>
      </c>
      <c r="O6" s="62" t="s">
        <v>37</v>
      </c>
      <c r="P6" s="67">
        <f>uurtarief10</f>
        <v>0</v>
      </c>
      <c r="Q6" s="64" t="e">
        <f>IF(ISBLANK(M6),0,L6/M6)</f>
        <v>#DIV/0!</v>
      </c>
      <c r="R6" s="64" t="e">
        <f>IF(ISBLANK(M6),0,Q6*N6)</f>
        <v>#DIV/0!</v>
      </c>
      <c r="S6" s="67" t="e">
        <f>P6*Q6</f>
        <v>#DIV/0!</v>
      </c>
      <c r="T6" s="64" t="e">
        <f>Q6*dagenperjaar1</f>
        <v>#DIV/0!</v>
      </c>
      <c r="U6" s="68" t="e">
        <f>T6*P6</f>
        <v>#DIV/0!</v>
      </c>
    </row>
    <row r="7" spans="1:21" x14ac:dyDescent="0.2">
      <c r="A7" s="61" t="s">
        <v>120</v>
      </c>
      <c r="B7" s="62" t="s">
        <v>121</v>
      </c>
      <c r="C7" s="62" t="s">
        <v>122</v>
      </c>
      <c r="D7" s="62" t="s">
        <v>126</v>
      </c>
      <c r="E7" s="63" t="s">
        <v>127</v>
      </c>
      <c r="F7" s="62" t="s">
        <v>125</v>
      </c>
      <c r="G7" s="62" t="s">
        <v>91</v>
      </c>
      <c r="H7" s="62" t="s">
        <v>12</v>
      </c>
      <c r="I7" s="62" t="s">
        <v>87</v>
      </c>
      <c r="J7" s="62"/>
      <c r="K7" s="64">
        <v>207</v>
      </c>
      <c r="L7" s="64">
        <f>K7*VLOOKUP(H7,dagsoorttabel1,2,FALSE)</f>
        <v>207</v>
      </c>
      <c r="M7" s="65">
        <f>prodnorm3</f>
        <v>0</v>
      </c>
      <c r="N7" s="66">
        <f>dagwerk3</f>
        <v>0</v>
      </c>
      <c r="O7" s="62" t="s">
        <v>37</v>
      </c>
      <c r="P7" s="67">
        <f>uurtarief3</f>
        <v>0</v>
      </c>
      <c r="Q7" s="64" t="e">
        <f>IF(ISBLANK(M7),0,L7/M7)</f>
        <v>#DIV/0!</v>
      </c>
      <c r="R7" s="64" t="e">
        <f>IF(ISBLANK(M7),0,Q7*N7)</f>
        <v>#DIV/0!</v>
      </c>
      <c r="S7" s="67" t="e">
        <f>P7*Q7</f>
        <v>#DIV/0!</v>
      </c>
      <c r="T7" s="64" t="e">
        <f>Q7*dagenperjaar1</f>
        <v>#DIV/0!</v>
      </c>
      <c r="U7" s="68" t="e">
        <f>T7*P7</f>
        <v>#DIV/0!</v>
      </c>
    </row>
    <row r="8" spans="1:21" x14ac:dyDescent="0.2">
      <c r="A8" s="61" t="s">
        <v>120</v>
      </c>
      <c r="B8" s="62" t="s">
        <v>121</v>
      </c>
      <c r="C8" s="62" t="s">
        <v>122</v>
      </c>
      <c r="D8" s="62" t="s">
        <v>126</v>
      </c>
      <c r="E8" s="63" t="s">
        <v>127</v>
      </c>
      <c r="F8" s="62" t="s">
        <v>125</v>
      </c>
      <c r="G8" s="62" t="s">
        <v>105</v>
      </c>
      <c r="H8" s="62" t="s">
        <v>24</v>
      </c>
      <c r="I8" s="62" t="s">
        <v>87</v>
      </c>
      <c r="J8" s="62"/>
      <c r="K8" s="64">
        <v>207</v>
      </c>
      <c r="L8" s="64">
        <f>K8*VLOOKUP(H8,dagsoorttabel1,2,FALSE)</f>
        <v>1.0349999999999999</v>
      </c>
      <c r="M8" s="65">
        <f>prodnorm10</f>
        <v>0</v>
      </c>
      <c r="N8" s="66">
        <f>dagwerk10</f>
        <v>0</v>
      </c>
      <c r="O8" s="62" t="s">
        <v>37</v>
      </c>
      <c r="P8" s="67">
        <f>uurtarief10</f>
        <v>0</v>
      </c>
      <c r="Q8" s="64" t="e">
        <f>IF(ISBLANK(M8),0,L8/M8)</f>
        <v>#DIV/0!</v>
      </c>
      <c r="R8" s="64" t="e">
        <f>IF(ISBLANK(M8),0,Q8*N8)</f>
        <v>#DIV/0!</v>
      </c>
      <c r="S8" s="67" t="e">
        <f>P8*Q8</f>
        <v>#DIV/0!</v>
      </c>
      <c r="T8" s="64" t="e">
        <f>Q8*dagenperjaar1</f>
        <v>#DIV/0!</v>
      </c>
      <c r="U8" s="68" t="e">
        <f>T8*P8</f>
        <v>#DIV/0!</v>
      </c>
    </row>
    <row r="9" spans="1:21" x14ac:dyDescent="0.2">
      <c r="A9" s="61" t="s">
        <v>120</v>
      </c>
      <c r="B9" s="62" t="s">
        <v>121</v>
      </c>
      <c r="C9" s="62" t="s">
        <v>122</v>
      </c>
      <c r="D9" s="62" t="s">
        <v>128</v>
      </c>
      <c r="E9" s="63" t="s">
        <v>129</v>
      </c>
      <c r="F9" s="62" t="s">
        <v>125</v>
      </c>
      <c r="G9" s="62" t="s">
        <v>95</v>
      </c>
      <c r="H9" s="62" t="s">
        <v>12</v>
      </c>
      <c r="I9" s="62" t="s">
        <v>87</v>
      </c>
      <c r="J9" s="62"/>
      <c r="K9" s="64">
        <v>40</v>
      </c>
      <c r="L9" s="64">
        <f>K9*VLOOKUP(H9,dagsoorttabel1,2,FALSE)</f>
        <v>40</v>
      </c>
      <c r="M9" s="65">
        <f>prodnorm5</f>
        <v>0</v>
      </c>
      <c r="N9" s="66">
        <f>dagwerk5</f>
        <v>0</v>
      </c>
      <c r="O9" s="62" t="s">
        <v>37</v>
      </c>
      <c r="P9" s="67">
        <f>uurtarief5</f>
        <v>0</v>
      </c>
      <c r="Q9" s="64" t="e">
        <f>IF(ISBLANK(M9),0,L9/M9)</f>
        <v>#DIV/0!</v>
      </c>
      <c r="R9" s="64" t="e">
        <f>IF(ISBLANK(M9),0,Q9*N9)</f>
        <v>#DIV/0!</v>
      </c>
      <c r="S9" s="67" t="e">
        <f>P9*Q9</f>
        <v>#DIV/0!</v>
      </c>
      <c r="T9" s="64" t="e">
        <f>Q9*dagenperjaar1</f>
        <v>#DIV/0!</v>
      </c>
      <c r="U9" s="68" t="e">
        <f>T9*P9</f>
        <v>#DIV/0!</v>
      </c>
    </row>
    <row r="10" spans="1:21" x14ac:dyDescent="0.2">
      <c r="A10" s="61" t="s">
        <v>120</v>
      </c>
      <c r="B10" s="62" t="s">
        <v>121</v>
      </c>
      <c r="C10" s="62" t="s">
        <v>122</v>
      </c>
      <c r="D10" s="62" t="s">
        <v>128</v>
      </c>
      <c r="E10" s="63" t="s">
        <v>129</v>
      </c>
      <c r="F10" s="62" t="s">
        <v>125</v>
      </c>
      <c r="G10" s="62" t="s">
        <v>105</v>
      </c>
      <c r="H10" s="62" t="s">
        <v>24</v>
      </c>
      <c r="I10" s="62" t="s">
        <v>87</v>
      </c>
      <c r="J10" s="62"/>
      <c r="K10" s="64">
        <v>40</v>
      </c>
      <c r="L10" s="64">
        <f>K10*VLOOKUP(H10,dagsoorttabel1,2,FALSE)</f>
        <v>0.2</v>
      </c>
      <c r="M10" s="65">
        <f>prodnorm10</f>
        <v>0</v>
      </c>
      <c r="N10" s="66">
        <f>dagwerk10</f>
        <v>0</v>
      </c>
      <c r="O10" s="62" t="s">
        <v>37</v>
      </c>
      <c r="P10" s="67">
        <f>uurtarief10</f>
        <v>0</v>
      </c>
      <c r="Q10" s="64" t="e">
        <f>IF(ISBLANK(M10),0,L10/M10)</f>
        <v>#DIV/0!</v>
      </c>
      <c r="R10" s="64" t="e">
        <f>IF(ISBLANK(M10),0,Q10*N10)</f>
        <v>#DIV/0!</v>
      </c>
      <c r="S10" s="67" t="e">
        <f>P10*Q10</f>
        <v>#DIV/0!</v>
      </c>
      <c r="T10" s="64" t="e">
        <f>Q10*dagenperjaar1</f>
        <v>#DIV/0!</v>
      </c>
      <c r="U10" s="68" t="e">
        <f>T10*P10</f>
        <v>#DIV/0!</v>
      </c>
    </row>
    <row r="11" spans="1:21" x14ac:dyDescent="0.2">
      <c r="A11" s="61" t="s">
        <v>120</v>
      </c>
      <c r="B11" s="62" t="s">
        <v>121</v>
      </c>
      <c r="C11" s="62" t="s">
        <v>122</v>
      </c>
      <c r="D11" s="62" t="s">
        <v>130</v>
      </c>
      <c r="E11" s="63" t="s">
        <v>131</v>
      </c>
      <c r="F11" s="62" t="s">
        <v>132</v>
      </c>
      <c r="G11" s="62" t="s">
        <v>95</v>
      </c>
      <c r="H11" s="62" t="s">
        <v>12</v>
      </c>
      <c r="I11" s="62" t="s">
        <v>87</v>
      </c>
      <c r="J11" s="62"/>
      <c r="K11" s="64">
        <v>14</v>
      </c>
      <c r="L11" s="64">
        <f>K11*VLOOKUP(H11,dagsoorttabel1,2,FALSE)</f>
        <v>14</v>
      </c>
      <c r="M11" s="65">
        <f>prodnorm5</f>
        <v>0</v>
      </c>
      <c r="N11" s="66">
        <f>dagwerk5</f>
        <v>0</v>
      </c>
      <c r="O11" s="62" t="s">
        <v>37</v>
      </c>
      <c r="P11" s="67">
        <f>uurtarief5</f>
        <v>0</v>
      </c>
      <c r="Q11" s="64" t="e">
        <f>IF(ISBLANK(M11),0,L11/M11)</f>
        <v>#DIV/0!</v>
      </c>
      <c r="R11" s="64" t="e">
        <f>IF(ISBLANK(M11),0,Q11*N11)</f>
        <v>#DIV/0!</v>
      </c>
      <c r="S11" s="67" t="e">
        <f>P11*Q11</f>
        <v>#DIV/0!</v>
      </c>
      <c r="T11" s="64" t="e">
        <f>Q11*dagenperjaar1</f>
        <v>#DIV/0!</v>
      </c>
      <c r="U11" s="68" t="e">
        <f>T11*P11</f>
        <v>#DIV/0!</v>
      </c>
    </row>
    <row r="12" spans="1:21" x14ac:dyDescent="0.2">
      <c r="A12" s="61" t="s">
        <v>120</v>
      </c>
      <c r="B12" s="62" t="s">
        <v>121</v>
      </c>
      <c r="C12" s="62" t="s">
        <v>122</v>
      </c>
      <c r="D12" s="62" t="s">
        <v>133</v>
      </c>
      <c r="E12" s="63" t="s">
        <v>134</v>
      </c>
      <c r="F12" s="62" t="s">
        <v>125</v>
      </c>
      <c r="G12" s="62" t="s">
        <v>86</v>
      </c>
      <c r="H12" s="62" t="s">
        <v>12</v>
      </c>
      <c r="I12" s="62" t="s">
        <v>87</v>
      </c>
      <c r="J12" s="62"/>
      <c r="K12" s="64">
        <v>311</v>
      </c>
      <c r="L12" s="64">
        <f>K12*VLOOKUP(H12,dagsoorttabel1,2,FALSE)</f>
        <v>311</v>
      </c>
      <c r="M12" s="65">
        <f>prodnorm1</f>
        <v>0</v>
      </c>
      <c r="N12" s="66">
        <f>dagwerk1</f>
        <v>0</v>
      </c>
      <c r="O12" s="62" t="s">
        <v>37</v>
      </c>
      <c r="P12" s="67">
        <f>uurtarief1</f>
        <v>0</v>
      </c>
      <c r="Q12" s="64" t="e">
        <f>IF(ISBLANK(M12),0,L12/M12)</f>
        <v>#DIV/0!</v>
      </c>
      <c r="R12" s="64" t="e">
        <f>IF(ISBLANK(M12),0,Q12*N12)</f>
        <v>#DIV/0!</v>
      </c>
      <c r="S12" s="67" t="e">
        <f>P12*Q12</f>
        <v>#DIV/0!</v>
      </c>
      <c r="T12" s="64" t="e">
        <f>Q12*dagenperjaar1</f>
        <v>#DIV/0!</v>
      </c>
      <c r="U12" s="68" t="e">
        <f>T12*P12</f>
        <v>#DIV/0!</v>
      </c>
    </row>
    <row r="13" spans="1:21" x14ac:dyDescent="0.2">
      <c r="A13" s="61" t="s">
        <v>120</v>
      </c>
      <c r="B13" s="62" t="s">
        <v>121</v>
      </c>
      <c r="C13" s="62" t="s">
        <v>122</v>
      </c>
      <c r="D13" s="62" t="s">
        <v>133</v>
      </c>
      <c r="E13" s="63" t="s">
        <v>134</v>
      </c>
      <c r="F13" s="62" t="s">
        <v>125</v>
      </c>
      <c r="G13" s="62" t="s">
        <v>105</v>
      </c>
      <c r="H13" s="62" t="s">
        <v>24</v>
      </c>
      <c r="I13" s="62" t="s">
        <v>87</v>
      </c>
      <c r="J13" s="62"/>
      <c r="K13" s="64">
        <v>311</v>
      </c>
      <c r="L13" s="64">
        <f>K13*VLOOKUP(H13,dagsoorttabel1,2,FALSE)</f>
        <v>1.5549999999999999</v>
      </c>
      <c r="M13" s="65">
        <f>prodnorm10</f>
        <v>0</v>
      </c>
      <c r="N13" s="66">
        <f>dagwerk10</f>
        <v>0</v>
      </c>
      <c r="O13" s="62" t="s">
        <v>37</v>
      </c>
      <c r="P13" s="67">
        <f>uurtarief10</f>
        <v>0</v>
      </c>
      <c r="Q13" s="64" t="e">
        <f>IF(ISBLANK(M13),0,L13/M13)</f>
        <v>#DIV/0!</v>
      </c>
      <c r="R13" s="64" t="e">
        <f>IF(ISBLANK(M13),0,Q13*N13)</f>
        <v>#DIV/0!</v>
      </c>
      <c r="S13" s="67" t="e">
        <f>P13*Q13</f>
        <v>#DIV/0!</v>
      </c>
      <c r="T13" s="64" t="e">
        <f>Q13*dagenperjaar1</f>
        <v>#DIV/0!</v>
      </c>
      <c r="U13" s="68" t="e">
        <f>T13*P13</f>
        <v>#DIV/0!</v>
      </c>
    </row>
    <row r="14" spans="1:21" x14ac:dyDescent="0.2">
      <c r="A14" s="61" t="s">
        <v>120</v>
      </c>
      <c r="B14" s="62" t="s">
        <v>121</v>
      </c>
      <c r="C14" s="62" t="s">
        <v>122</v>
      </c>
      <c r="D14" s="62" t="s">
        <v>135</v>
      </c>
      <c r="E14" s="63" t="s">
        <v>136</v>
      </c>
      <c r="F14" s="62" t="s">
        <v>125</v>
      </c>
      <c r="G14" s="62" t="s">
        <v>103</v>
      </c>
      <c r="H14" s="62" t="s">
        <v>12</v>
      </c>
      <c r="I14" s="62" t="s">
        <v>87</v>
      </c>
      <c r="J14" s="62"/>
      <c r="K14" s="64">
        <v>5.3</v>
      </c>
      <c r="L14" s="64">
        <f>K14*VLOOKUP(H14,dagsoorttabel1,2,FALSE)</f>
        <v>5.3</v>
      </c>
      <c r="M14" s="65">
        <f>prodnorm9</f>
        <v>0</v>
      </c>
      <c r="N14" s="66">
        <f>dagwerk9</f>
        <v>0</v>
      </c>
      <c r="O14" s="62" t="s">
        <v>37</v>
      </c>
      <c r="P14" s="67">
        <f>uurtarief9</f>
        <v>0</v>
      </c>
      <c r="Q14" s="64" t="e">
        <f>IF(ISBLANK(M14),0,L14/M14)</f>
        <v>#DIV/0!</v>
      </c>
      <c r="R14" s="64" t="e">
        <f>IF(ISBLANK(M14),0,Q14*N14)</f>
        <v>#DIV/0!</v>
      </c>
      <c r="S14" s="67" t="e">
        <f>P14*Q14</f>
        <v>#DIV/0!</v>
      </c>
      <c r="T14" s="64" t="e">
        <f>Q14*dagenperjaar1</f>
        <v>#DIV/0!</v>
      </c>
      <c r="U14" s="68" t="e">
        <f>T14*P14</f>
        <v>#DIV/0!</v>
      </c>
    </row>
    <row r="15" spans="1:21" x14ac:dyDescent="0.2">
      <c r="A15" s="61" t="s">
        <v>120</v>
      </c>
      <c r="B15" s="62" t="s">
        <v>121</v>
      </c>
      <c r="C15" s="62" t="s">
        <v>122</v>
      </c>
      <c r="D15" s="62" t="s">
        <v>135</v>
      </c>
      <c r="E15" s="63" t="s">
        <v>136</v>
      </c>
      <c r="F15" s="62" t="s">
        <v>125</v>
      </c>
      <c r="G15" s="62" t="s">
        <v>105</v>
      </c>
      <c r="H15" s="62" t="s">
        <v>24</v>
      </c>
      <c r="I15" s="62" t="s">
        <v>87</v>
      </c>
      <c r="J15" s="62"/>
      <c r="K15" s="64">
        <v>5.3</v>
      </c>
      <c r="L15" s="64">
        <f>K15*VLOOKUP(H15,dagsoorttabel1,2,FALSE)</f>
        <v>2.6499999999999999E-2</v>
      </c>
      <c r="M15" s="65">
        <f>prodnorm10</f>
        <v>0</v>
      </c>
      <c r="N15" s="66">
        <f>dagwerk10</f>
        <v>0</v>
      </c>
      <c r="O15" s="62" t="s">
        <v>37</v>
      </c>
      <c r="P15" s="67">
        <f>uurtarief10</f>
        <v>0</v>
      </c>
      <c r="Q15" s="64" t="e">
        <f>IF(ISBLANK(M15),0,L15/M15)</f>
        <v>#DIV/0!</v>
      </c>
      <c r="R15" s="64" t="e">
        <f>IF(ISBLANK(M15),0,Q15*N15)</f>
        <v>#DIV/0!</v>
      </c>
      <c r="S15" s="67" t="e">
        <f>P15*Q15</f>
        <v>#DIV/0!</v>
      </c>
      <c r="T15" s="64" t="e">
        <f>Q15*dagenperjaar1</f>
        <v>#DIV/0!</v>
      </c>
      <c r="U15" s="68" t="e">
        <f>T15*P15</f>
        <v>#DIV/0!</v>
      </c>
    </row>
    <row r="16" spans="1:21" x14ac:dyDescent="0.2">
      <c r="A16" s="61" t="s">
        <v>120</v>
      </c>
      <c r="B16" s="62" t="s">
        <v>121</v>
      </c>
      <c r="C16" s="62" t="s">
        <v>122</v>
      </c>
      <c r="D16" s="62" t="s">
        <v>137</v>
      </c>
      <c r="E16" s="63" t="s">
        <v>138</v>
      </c>
      <c r="F16" s="62" t="s">
        <v>132</v>
      </c>
      <c r="G16" s="62" t="s">
        <v>99</v>
      </c>
      <c r="H16" s="62" t="s">
        <v>12</v>
      </c>
      <c r="I16" s="62" t="s">
        <v>87</v>
      </c>
      <c r="J16" s="62"/>
      <c r="K16" s="64">
        <v>4.7</v>
      </c>
      <c r="L16" s="64">
        <f>K16*VLOOKUP(H16,dagsoorttabel1,2,FALSE)</f>
        <v>4.7</v>
      </c>
      <c r="M16" s="65">
        <f>prodnorm7</f>
        <v>0</v>
      </c>
      <c r="N16" s="66">
        <f>dagwerk7</f>
        <v>0</v>
      </c>
      <c r="O16" s="62" t="s">
        <v>37</v>
      </c>
      <c r="P16" s="67">
        <f>uurtarief7</f>
        <v>0</v>
      </c>
      <c r="Q16" s="64" t="e">
        <f>IF(ISBLANK(M16),0,L16/M16)</f>
        <v>#DIV/0!</v>
      </c>
      <c r="R16" s="64" t="e">
        <f>IF(ISBLANK(M16),0,Q16*N16)</f>
        <v>#DIV/0!</v>
      </c>
      <c r="S16" s="67" t="e">
        <f>P16*Q16</f>
        <v>#DIV/0!</v>
      </c>
      <c r="T16" s="64" t="e">
        <f>Q16*dagenperjaar1</f>
        <v>#DIV/0!</v>
      </c>
      <c r="U16" s="68" t="e">
        <f>T16*P16</f>
        <v>#DIV/0!</v>
      </c>
    </row>
    <row r="17" spans="1:21" x14ac:dyDescent="0.2">
      <c r="A17" s="61" t="s">
        <v>120</v>
      </c>
      <c r="B17" s="62" t="s">
        <v>121</v>
      </c>
      <c r="C17" s="62" t="s">
        <v>122</v>
      </c>
      <c r="D17" s="62" t="s">
        <v>139</v>
      </c>
      <c r="E17" s="63" t="s">
        <v>138</v>
      </c>
      <c r="F17" s="62" t="s">
        <v>132</v>
      </c>
      <c r="G17" s="62" t="s">
        <v>99</v>
      </c>
      <c r="H17" s="62" t="s">
        <v>12</v>
      </c>
      <c r="I17" s="62" t="s">
        <v>87</v>
      </c>
      <c r="J17" s="62"/>
      <c r="K17" s="64">
        <v>4.7</v>
      </c>
      <c r="L17" s="64">
        <f>K17*VLOOKUP(H17,dagsoorttabel1,2,FALSE)</f>
        <v>4.7</v>
      </c>
      <c r="M17" s="65">
        <f>prodnorm7</f>
        <v>0</v>
      </c>
      <c r="N17" s="66">
        <f>dagwerk7</f>
        <v>0</v>
      </c>
      <c r="O17" s="62" t="s">
        <v>37</v>
      </c>
      <c r="P17" s="67">
        <f>uurtarief7</f>
        <v>0</v>
      </c>
      <c r="Q17" s="64" t="e">
        <f>IF(ISBLANK(M17),0,L17/M17)</f>
        <v>#DIV/0!</v>
      </c>
      <c r="R17" s="64" t="e">
        <f>IF(ISBLANK(M17),0,Q17*N17)</f>
        <v>#DIV/0!</v>
      </c>
      <c r="S17" s="67" t="e">
        <f>P17*Q17</f>
        <v>#DIV/0!</v>
      </c>
      <c r="T17" s="64" t="e">
        <f>Q17*dagenperjaar1</f>
        <v>#DIV/0!</v>
      </c>
      <c r="U17" s="68" t="e">
        <f>T17*P17</f>
        <v>#DIV/0!</v>
      </c>
    </row>
    <row r="18" spans="1:21" x14ac:dyDescent="0.2">
      <c r="A18" s="61" t="s">
        <v>120</v>
      </c>
      <c r="B18" s="62" t="s">
        <v>121</v>
      </c>
      <c r="C18" s="62" t="s">
        <v>122</v>
      </c>
      <c r="D18" s="62" t="s">
        <v>140</v>
      </c>
      <c r="E18" s="63" t="s">
        <v>138</v>
      </c>
      <c r="F18" s="62" t="s">
        <v>132</v>
      </c>
      <c r="G18" s="62" t="s">
        <v>99</v>
      </c>
      <c r="H18" s="62" t="s">
        <v>12</v>
      </c>
      <c r="I18" s="62" t="s">
        <v>87</v>
      </c>
      <c r="J18" s="62"/>
      <c r="K18" s="64">
        <v>8</v>
      </c>
      <c r="L18" s="64">
        <f>K18*VLOOKUP(H18,dagsoorttabel1,2,FALSE)</f>
        <v>8</v>
      </c>
      <c r="M18" s="65">
        <f>prodnorm7</f>
        <v>0</v>
      </c>
      <c r="N18" s="66">
        <f>dagwerk7</f>
        <v>0</v>
      </c>
      <c r="O18" s="62" t="s">
        <v>37</v>
      </c>
      <c r="P18" s="67">
        <f>uurtarief7</f>
        <v>0</v>
      </c>
      <c r="Q18" s="64" t="e">
        <f>IF(ISBLANK(M18),0,L18/M18)</f>
        <v>#DIV/0!</v>
      </c>
      <c r="R18" s="64" t="e">
        <f>IF(ISBLANK(M18),0,Q18*N18)</f>
        <v>#DIV/0!</v>
      </c>
      <c r="S18" s="67" t="e">
        <f>P18*Q18</f>
        <v>#DIV/0!</v>
      </c>
      <c r="T18" s="64" t="e">
        <f>Q18*dagenperjaar1</f>
        <v>#DIV/0!</v>
      </c>
      <c r="U18" s="68" t="e">
        <f>T18*P18</f>
        <v>#DIV/0!</v>
      </c>
    </row>
    <row r="19" spans="1:21" x14ac:dyDescent="0.2">
      <c r="A19" s="61" t="s">
        <v>120</v>
      </c>
      <c r="B19" s="62" t="s">
        <v>121</v>
      </c>
      <c r="C19" s="62" t="s">
        <v>122</v>
      </c>
      <c r="D19" s="62" t="s">
        <v>141</v>
      </c>
      <c r="E19" s="63" t="s">
        <v>138</v>
      </c>
      <c r="F19" s="62" t="s">
        <v>132</v>
      </c>
      <c r="G19" s="62" t="s">
        <v>99</v>
      </c>
      <c r="H19" s="62" t="s">
        <v>12</v>
      </c>
      <c r="I19" s="62" t="s">
        <v>87</v>
      </c>
      <c r="J19" s="62"/>
      <c r="K19" s="64">
        <v>8</v>
      </c>
      <c r="L19" s="64">
        <f>K19*VLOOKUP(H19,dagsoorttabel1,2,FALSE)</f>
        <v>8</v>
      </c>
      <c r="M19" s="65">
        <f>prodnorm7</f>
        <v>0</v>
      </c>
      <c r="N19" s="66">
        <f>dagwerk7</f>
        <v>0</v>
      </c>
      <c r="O19" s="62" t="s">
        <v>37</v>
      </c>
      <c r="P19" s="67">
        <f>uurtarief7</f>
        <v>0</v>
      </c>
      <c r="Q19" s="64" t="e">
        <f>IF(ISBLANK(M19),0,L19/M19)</f>
        <v>#DIV/0!</v>
      </c>
      <c r="R19" s="64" t="e">
        <f>IF(ISBLANK(M19),0,Q19*N19)</f>
        <v>#DIV/0!</v>
      </c>
      <c r="S19" s="67" t="e">
        <f>P19*Q19</f>
        <v>#DIV/0!</v>
      </c>
      <c r="T19" s="64" t="e">
        <f>Q19*dagenperjaar1</f>
        <v>#DIV/0!</v>
      </c>
      <c r="U19" s="68" t="e">
        <f>T19*P19</f>
        <v>#DIV/0!</v>
      </c>
    </row>
    <row r="20" spans="1:21" x14ac:dyDescent="0.2">
      <c r="A20" s="61" t="s">
        <v>120</v>
      </c>
      <c r="B20" s="62" t="s">
        <v>121</v>
      </c>
      <c r="C20" s="62" t="s">
        <v>122</v>
      </c>
      <c r="D20" s="62" t="s">
        <v>142</v>
      </c>
      <c r="E20" s="63" t="s">
        <v>143</v>
      </c>
      <c r="F20" s="62" t="s">
        <v>125</v>
      </c>
      <c r="G20" s="62" t="s">
        <v>89</v>
      </c>
      <c r="H20" s="62" t="s">
        <v>10</v>
      </c>
      <c r="I20" s="62" t="s">
        <v>87</v>
      </c>
      <c r="J20" s="62"/>
      <c r="K20" s="64">
        <v>75</v>
      </c>
      <c r="L20" s="64">
        <f>K20*VLOOKUP(H20,dagsoorttabel1,2,FALSE)</f>
        <v>76.875</v>
      </c>
      <c r="M20" s="65">
        <f>prodnorm2</f>
        <v>0</v>
      </c>
      <c r="N20" s="66">
        <f>dagwerk2</f>
        <v>0</v>
      </c>
      <c r="O20" s="62" t="s">
        <v>37</v>
      </c>
      <c r="P20" s="67">
        <f>uurtarief2</f>
        <v>0</v>
      </c>
      <c r="Q20" s="64" t="e">
        <f>IF(ISBLANK(M20),0,L20/M20)</f>
        <v>#DIV/0!</v>
      </c>
      <c r="R20" s="64" t="e">
        <f>IF(ISBLANK(M20),0,Q20*N20)</f>
        <v>#DIV/0!</v>
      </c>
      <c r="S20" s="67" t="e">
        <f>P20*Q20</f>
        <v>#DIV/0!</v>
      </c>
      <c r="T20" s="64" t="e">
        <f>Q20*dagenperjaar1</f>
        <v>#DIV/0!</v>
      </c>
      <c r="U20" s="68" t="e">
        <f>T20*P20</f>
        <v>#DIV/0!</v>
      </c>
    </row>
    <row r="21" spans="1:21" x14ac:dyDescent="0.2">
      <c r="A21" s="61" t="s">
        <v>120</v>
      </c>
      <c r="B21" s="62" t="s">
        <v>121</v>
      </c>
      <c r="C21" s="62" t="s">
        <v>122</v>
      </c>
      <c r="D21" s="62" t="s">
        <v>142</v>
      </c>
      <c r="E21" s="63" t="s">
        <v>143</v>
      </c>
      <c r="F21" s="62" t="s">
        <v>125</v>
      </c>
      <c r="G21" s="62" t="s">
        <v>105</v>
      </c>
      <c r="H21" s="62" t="s">
        <v>24</v>
      </c>
      <c r="I21" s="62" t="s">
        <v>87</v>
      </c>
      <c r="J21" s="62"/>
      <c r="K21" s="64">
        <v>75</v>
      </c>
      <c r="L21" s="64">
        <f>K21*VLOOKUP(H21,dagsoorttabel1,2,FALSE)</f>
        <v>0.375</v>
      </c>
      <c r="M21" s="65">
        <f>prodnorm10</f>
        <v>0</v>
      </c>
      <c r="N21" s="66">
        <f>dagwerk10</f>
        <v>0</v>
      </c>
      <c r="O21" s="62" t="s">
        <v>37</v>
      </c>
      <c r="P21" s="67">
        <f>uurtarief10</f>
        <v>0</v>
      </c>
      <c r="Q21" s="64" t="e">
        <f>IF(ISBLANK(M21),0,L21/M21)</f>
        <v>#DIV/0!</v>
      </c>
      <c r="R21" s="64" t="e">
        <f>IF(ISBLANK(M21),0,Q21*N21)</f>
        <v>#DIV/0!</v>
      </c>
      <c r="S21" s="67" t="e">
        <f>P21*Q21</f>
        <v>#DIV/0!</v>
      </c>
      <c r="T21" s="64" t="e">
        <f>Q21*dagenperjaar1</f>
        <v>#DIV/0!</v>
      </c>
      <c r="U21" s="68" t="e">
        <f>T21*P21</f>
        <v>#DIV/0!</v>
      </c>
    </row>
    <row r="22" spans="1:21" x14ac:dyDescent="0.2">
      <c r="A22" s="61" t="s">
        <v>120</v>
      </c>
      <c r="B22" s="62" t="s">
        <v>121</v>
      </c>
      <c r="C22" s="62" t="s">
        <v>122</v>
      </c>
      <c r="D22" s="62" t="s">
        <v>144</v>
      </c>
      <c r="E22" s="63" t="s">
        <v>145</v>
      </c>
      <c r="F22" s="62" t="s">
        <v>125</v>
      </c>
      <c r="G22" s="62" t="s">
        <v>103</v>
      </c>
      <c r="H22" s="62" t="s">
        <v>12</v>
      </c>
      <c r="I22" s="62" t="s">
        <v>87</v>
      </c>
      <c r="J22" s="62"/>
      <c r="K22" s="64">
        <v>140</v>
      </c>
      <c r="L22" s="64">
        <f>K22*VLOOKUP(H22,dagsoorttabel1,2,FALSE)</f>
        <v>140</v>
      </c>
      <c r="M22" s="65">
        <f>prodnorm9</f>
        <v>0</v>
      </c>
      <c r="N22" s="66">
        <f>dagwerk9</f>
        <v>0</v>
      </c>
      <c r="O22" s="62" t="s">
        <v>37</v>
      </c>
      <c r="P22" s="67">
        <f>uurtarief9</f>
        <v>0</v>
      </c>
      <c r="Q22" s="64" t="e">
        <f>IF(ISBLANK(M22),0,L22/M22)</f>
        <v>#DIV/0!</v>
      </c>
      <c r="R22" s="64" t="e">
        <f>IF(ISBLANK(M22),0,Q22*N22)</f>
        <v>#DIV/0!</v>
      </c>
      <c r="S22" s="67" t="e">
        <f>P22*Q22</f>
        <v>#DIV/0!</v>
      </c>
      <c r="T22" s="64" t="e">
        <f>Q22*dagenperjaar1</f>
        <v>#DIV/0!</v>
      </c>
      <c r="U22" s="68" t="e">
        <f>T22*P22</f>
        <v>#DIV/0!</v>
      </c>
    </row>
    <row r="23" spans="1:21" x14ac:dyDescent="0.2">
      <c r="A23" s="61" t="s">
        <v>120</v>
      </c>
      <c r="B23" s="62" t="s">
        <v>121</v>
      </c>
      <c r="C23" s="62" t="s">
        <v>122</v>
      </c>
      <c r="D23" s="62" t="s">
        <v>144</v>
      </c>
      <c r="E23" s="63" t="s">
        <v>145</v>
      </c>
      <c r="F23" s="62" t="s">
        <v>125</v>
      </c>
      <c r="G23" s="62" t="s">
        <v>105</v>
      </c>
      <c r="H23" s="62" t="s">
        <v>24</v>
      </c>
      <c r="I23" s="62" t="s">
        <v>87</v>
      </c>
      <c r="J23" s="62"/>
      <c r="K23" s="64">
        <v>140</v>
      </c>
      <c r="L23" s="64">
        <f>K23*VLOOKUP(H23,dagsoorttabel1,2,FALSE)</f>
        <v>0.70000000000000007</v>
      </c>
      <c r="M23" s="65">
        <f>prodnorm10</f>
        <v>0</v>
      </c>
      <c r="N23" s="66">
        <f>dagwerk10</f>
        <v>0</v>
      </c>
      <c r="O23" s="62" t="s">
        <v>37</v>
      </c>
      <c r="P23" s="67">
        <f>uurtarief10</f>
        <v>0</v>
      </c>
      <c r="Q23" s="64" t="e">
        <f>IF(ISBLANK(M23),0,L23/M23)</f>
        <v>#DIV/0!</v>
      </c>
      <c r="R23" s="64" t="e">
        <f>IF(ISBLANK(M23),0,Q23*N23)</f>
        <v>#DIV/0!</v>
      </c>
      <c r="S23" s="67" t="e">
        <f>P23*Q23</f>
        <v>#DIV/0!</v>
      </c>
      <c r="T23" s="64" t="e">
        <f>Q23*dagenperjaar1</f>
        <v>#DIV/0!</v>
      </c>
      <c r="U23" s="68" t="e">
        <f>T23*P23</f>
        <v>#DIV/0!</v>
      </c>
    </row>
    <row r="24" spans="1:21" x14ac:dyDescent="0.2">
      <c r="A24" s="61" t="s">
        <v>120</v>
      </c>
      <c r="B24" s="62" t="s">
        <v>121</v>
      </c>
      <c r="C24" s="62" t="s">
        <v>122</v>
      </c>
      <c r="D24" s="62" t="s">
        <v>146</v>
      </c>
      <c r="E24" s="63" t="s">
        <v>147</v>
      </c>
      <c r="F24" s="62" t="s">
        <v>148</v>
      </c>
      <c r="G24" s="62" t="s">
        <v>93</v>
      </c>
      <c r="H24" s="62" t="s">
        <v>12</v>
      </c>
      <c r="I24" s="62" t="s">
        <v>87</v>
      </c>
      <c r="J24" s="62"/>
      <c r="K24" s="64">
        <v>52</v>
      </c>
      <c r="L24" s="64">
        <f>K24*VLOOKUP(H24,dagsoorttabel1,2,FALSE)</f>
        <v>52</v>
      </c>
      <c r="M24" s="65">
        <f>prodnorm4</f>
        <v>0</v>
      </c>
      <c r="N24" s="66">
        <f>dagwerk4</f>
        <v>0</v>
      </c>
      <c r="O24" s="62" t="s">
        <v>37</v>
      </c>
      <c r="P24" s="67">
        <f>uurtarief4</f>
        <v>0</v>
      </c>
      <c r="Q24" s="64" t="e">
        <f>IF(ISBLANK(M24),0,L24/M24)</f>
        <v>#DIV/0!</v>
      </c>
      <c r="R24" s="64" t="e">
        <f>IF(ISBLANK(M24),0,Q24*N24)</f>
        <v>#DIV/0!</v>
      </c>
      <c r="S24" s="67" t="e">
        <f>P24*Q24</f>
        <v>#DIV/0!</v>
      </c>
      <c r="T24" s="64" t="e">
        <f>Q24*dagenperjaar1</f>
        <v>#DIV/0!</v>
      </c>
      <c r="U24" s="68" t="e">
        <f>T24*P24</f>
        <v>#DIV/0!</v>
      </c>
    </row>
    <row r="25" spans="1:21" x14ac:dyDescent="0.2">
      <c r="A25" s="61" t="s">
        <v>120</v>
      </c>
      <c r="B25" s="62" t="s">
        <v>121</v>
      </c>
      <c r="C25" s="62" t="s">
        <v>122</v>
      </c>
      <c r="D25" s="62" t="s">
        <v>149</v>
      </c>
      <c r="E25" s="63" t="s">
        <v>147</v>
      </c>
      <c r="F25" s="62" t="s">
        <v>148</v>
      </c>
      <c r="G25" s="62" t="s">
        <v>93</v>
      </c>
      <c r="H25" s="62" t="s">
        <v>12</v>
      </c>
      <c r="I25" s="62" t="s">
        <v>87</v>
      </c>
      <c r="J25" s="62"/>
      <c r="K25" s="64">
        <v>48</v>
      </c>
      <c r="L25" s="64">
        <f>K25*VLOOKUP(H25,dagsoorttabel1,2,FALSE)</f>
        <v>48</v>
      </c>
      <c r="M25" s="65">
        <f>prodnorm4</f>
        <v>0</v>
      </c>
      <c r="N25" s="66">
        <f>dagwerk4</f>
        <v>0</v>
      </c>
      <c r="O25" s="62" t="s">
        <v>37</v>
      </c>
      <c r="P25" s="67">
        <f>uurtarief4</f>
        <v>0</v>
      </c>
      <c r="Q25" s="64" t="e">
        <f>IF(ISBLANK(M25),0,L25/M25)</f>
        <v>#DIV/0!</v>
      </c>
      <c r="R25" s="64" t="e">
        <f>IF(ISBLANK(M25),0,Q25*N25)</f>
        <v>#DIV/0!</v>
      </c>
      <c r="S25" s="67" t="e">
        <f>P25*Q25</f>
        <v>#DIV/0!</v>
      </c>
      <c r="T25" s="64" t="e">
        <f>Q25*dagenperjaar1</f>
        <v>#DIV/0!</v>
      </c>
      <c r="U25" s="68" t="e">
        <f>T25*P25</f>
        <v>#DIV/0!</v>
      </c>
    </row>
    <row r="26" spans="1:21" x14ac:dyDescent="0.2">
      <c r="A26" s="61" t="s">
        <v>120</v>
      </c>
      <c r="B26" s="62" t="s">
        <v>121</v>
      </c>
      <c r="C26" s="62" t="s">
        <v>122</v>
      </c>
      <c r="D26" s="62" t="s">
        <v>150</v>
      </c>
      <c r="E26" s="63" t="s">
        <v>151</v>
      </c>
      <c r="F26" s="62" t="s">
        <v>132</v>
      </c>
      <c r="G26" s="62" t="s">
        <v>99</v>
      </c>
      <c r="H26" s="62" t="s">
        <v>12</v>
      </c>
      <c r="I26" s="62" t="s">
        <v>87</v>
      </c>
      <c r="J26" s="62"/>
      <c r="K26" s="64">
        <v>15.3</v>
      </c>
      <c r="L26" s="64">
        <f>K26*VLOOKUP(H26,dagsoorttabel1,2,FALSE)</f>
        <v>15.3</v>
      </c>
      <c r="M26" s="65">
        <f>prodnorm7</f>
        <v>0</v>
      </c>
      <c r="N26" s="66">
        <f>dagwerk7</f>
        <v>0</v>
      </c>
      <c r="O26" s="62" t="s">
        <v>37</v>
      </c>
      <c r="P26" s="67">
        <f>uurtarief7</f>
        <v>0</v>
      </c>
      <c r="Q26" s="64" t="e">
        <f>IF(ISBLANK(M26),0,L26/M26)</f>
        <v>#DIV/0!</v>
      </c>
      <c r="R26" s="64" t="e">
        <f>IF(ISBLANK(M26),0,Q26*N26)</f>
        <v>#DIV/0!</v>
      </c>
      <c r="S26" s="67" t="e">
        <f>P26*Q26</f>
        <v>#DIV/0!</v>
      </c>
      <c r="T26" s="64" t="e">
        <f>Q26*dagenperjaar1</f>
        <v>#DIV/0!</v>
      </c>
      <c r="U26" s="68" t="e">
        <f>T26*P26</f>
        <v>#DIV/0!</v>
      </c>
    </row>
    <row r="27" spans="1:21" x14ac:dyDescent="0.2">
      <c r="A27" s="61" t="s">
        <v>120</v>
      </c>
      <c r="B27" s="62" t="s">
        <v>121</v>
      </c>
      <c r="C27" s="62" t="s">
        <v>122</v>
      </c>
      <c r="D27" s="62" t="s">
        <v>152</v>
      </c>
      <c r="E27" s="63" t="s">
        <v>153</v>
      </c>
      <c r="F27" s="62" t="s">
        <v>132</v>
      </c>
      <c r="G27" s="62" t="s">
        <v>99</v>
      </c>
      <c r="H27" s="62" t="s">
        <v>12</v>
      </c>
      <c r="I27" s="62" t="s">
        <v>87</v>
      </c>
      <c r="J27" s="62"/>
      <c r="K27" s="64">
        <v>15.3</v>
      </c>
      <c r="L27" s="64">
        <f>K27*VLOOKUP(H27,dagsoorttabel1,2,FALSE)</f>
        <v>15.3</v>
      </c>
      <c r="M27" s="65">
        <f>prodnorm7</f>
        <v>0</v>
      </c>
      <c r="N27" s="66">
        <f>dagwerk7</f>
        <v>0</v>
      </c>
      <c r="O27" s="62" t="s">
        <v>37</v>
      </c>
      <c r="P27" s="67">
        <f>uurtarief7</f>
        <v>0</v>
      </c>
      <c r="Q27" s="64" t="e">
        <f>IF(ISBLANK(M27),0,L27/M27)</f>
        <v>#DIV/0!</v>
      </c>
      <c r="R27" s="64" t="e">
        <f>IF(ISBLANK(M27),0,Q27*N27)</f>
        <v>#DIV/0!</v>
      </c>
      <c r="S27" s="67" t="e">
        <f>P27*Q27</f>
        <v>#DIV/0!</v>
      </c>
      <c r="T27" s="64" t="e">
        <f>Q27*dagenperjaar1</f>
        <v>#DIV/0!</v>
      </c>
      <c r="U27" s="68" t="e">
        <f>T27*P27</f>
        <v>#DIV/0!</v>
      </c>
    </row>
    <row r="28" spans="1:21" x14ac:dyDescent="0.2">
      <c r="A28" s="61" t="s">
        <v>120</v>
      </c>
      <c r="B28" s="62" t="s">
        <v>121</v>
      </c>
      <c r="C28" s="62" t="s">
        <v>122</v>
      </c>
      <c r="D28" s="62" t="s">
        <v>154</v>
      </c>
      <c r="E28" s="63" t="s">
        <v>147</v>
      </c>
      <c r="F28" s="62" t="s">
        <v>125</v>
      </c>
      <c r="G28" s="62" t="s">
        <v>93</v>
      </c>
      <c r="H28" s="62" t="s">
        <v>12</v>
      </c>
      <c r="I28" s="62" t="s">
        <v>87</v>
      </c>
      <c r="J28" s="62"/>
      <c r="K28" s="64">
        <v>49.71</v>
      </c>
      <c r="L28" s="64">
        <f>K28*VLOOKUP(H28,dagsoorttabel1,2,FALSE)</f>
        <v>49.71</v>
      </c>
      <c r="M28" s="65">
        <f>prodnorm4</f>
        <v>0</v>
      </c>
      <c r="N28" s="66">
        <f>dagwerk4</f>
        <v>0</v>
      </c>
      <c r="O28" s="62" t="s">
        <v>37</v>
      </c>
      <c r="P28" s="67">
        <f>uurtarief4</f>
        <v>0</v>
      </c>
      <c r="Q28" s="64" t="e">
        <f>IF(ISBLANK(M28),0,L28/M28)</f>
        <v>#DIV/0!</v>
      </c>
      <c r="R28" s="64" t="e">
        <f>IF(ISBLANK(M28),0,Q28*N28)</f>
        <v>#DIV/0!</v>
      </c>
      <c r="S28" s="67" t="e">
        <f>P28*Q28</f>
        <v>#DIV/0!</v>
      </c>
      <c r="T28" s="64" t="e">
        <f>Q28*dagenperjaar1</f>
        <v>#DIV/0!</v>
      </c>
      <c r="U28" s="68" t="e">
        <f>T28*P28</f>
        <v>#DIV/0!</v>
      </c>
    </row>
    <row r="29" spans="1:21" x14ac:dyDescent="0.2">
      <c r="A29" s="61" t="s">
        <v>120</v>
      </c>
      <c r="B29" s="62" t="s">
        <v>121</v>
      </c>
      <c r="C29" s="62" t="s">
        <v>122</v>
      </c>
      <c r="D29" s="62" t="s">
        <v>154</v>
      </c>
      <c r="E29" s="63" t="s">
        <v>147</v>
      </c>
      <c r="F29" s="62" t="s">
        <v>125</v>
      </c>
      <c r="G29" s="62" t="s">
        <v>105</v>
      </c>
      <c r="H29" s="62" t="s">
        <v>24</v>
      </c>
      <c r="I29" s="62" t="s">
        <v>87</v>
      </c>
      <c r="J29" s="62"/>
      <c r="K29" s="64">
        <v>49.71</v>
      </c>
      <c r="L29" s="64">
        <f>K29*VLOOKUP(H29,dagsoorttabel1,2,FALSE)</f>
        <v>0.24855000000000002</v>
      </c>
      <c r="M29" s="65">
        <f>prodnorm10</f>
        <v>0</v>
      </c>
      <c r="N29" s="66">
        <f>dagwerk10</f>
        <v>0</v>
      </c>
      <c r="O29" s="62" t="s">
        <v>37</v>
      </c>
      <c r="P29" s="67">
        <f>uurtarief10</f>
        <v>0</v>
      </c>
      <c r="Q29" s="64" t="e">
        <f>IF(ISBLANK(M29),0,L29/M29)</f>
        <v>#DIV/0!</v>
      </c>
      <c r="R29" s="64" t="e">
        <f>IF(ISBLANK(M29),0,Q29*N29)</f>
        <v>#DIV/0!</v>
      </c>
      <c r="S29" s="67" t="e">
        <f>P29*Q29</f>
        <v>#DIV/0!</v>
      </c>
      <c r="T29" s="64" t="e">
        <f>Q29*dagenperjaar1</f>
        <v>#DIV/0!</v>
      </c>
      <c r="U29" s="68" t="e">
        <f>T29*P29</f>
        <v>#DIV/0!</v>
      </c>
    </row>
    <row r="30" spans="1:21" x14ac:dyDescent="0.2">
      <c r="A30" s="61" t="s">
        <v>120</v>
      </c>
      <c r="B30" s="62" t="s">
        <v>121</v>
      </c>
      <c r="C30" s="62" t="s">
        <v>122</v>
      </c>
      <c r="D30" s="62" t="s">
        <v>155</v>
      </c>
      <c r="E30" s="63" t="s">
        <v>147</v>
      </c>
      <c r="F30" s="62" t="s">
        <v>125</v>
      </c>
      <c r="G30" s="62" t="s">
        <v>93</v>
      </c>
      <c r="H30" s="62" t="s">
        <v>12</v>
      </c>
      <c r="I30" s="62" t="s">
        <v>87</v>
      </c>
      <c r="J30" s="62"/>
      <c r="K30" s="64">
        <v>49.3</v>
      </c>
      <c r="L30" s="64">
        <f>K30*VLOOKUP(H30,dagsoorttabel1,2,FALSE)</f>
        <v>49.3</v>
      </c>
      <c r="M30" s="65">
        <f>prodnorm4</f>
        <v>0</v>
      </c>
      <c r="N30" s="66">
        <f>dagwerk4</f>
        <v>0</v>
      </c>
      <c r="O30" s="62" t="s">
        <v>37</v>
      </c>
      <c r="P30" s="67">
        <f>uurtarief4</f>
        <v>0</v>
      </c>
      <c r="Q30" s="64" t="e">
        <f>IF(ISBLANK(M30),0,L30/M30)</f>
        <v>#DIV/0!</v>
      </c>
      <c r="R30" s="64" t="e">
        <f>IF(ISBLANK(M30),0,Q30*N30)</f>
        <v>#DIV/0!</v>
      </c>
      <c r="S30" s="67" t="e">
        <f>P30*Q30</f>
        <v>#DIV/0!</v>
      </c>
      <c r="T30" s="64" t="e">
        <f>Q30*dagenperjaar1</f>
        <v>#DIV/0!</v>
      </c>
      <c r="U30" s="68" t="e">
        <f>T30*P30</f>
        <v>#DIV/0!</v>
      </c>
    </row>
    <row r="31" spans="1:21" x14ac:dyDescent="0.2">
      <c r="A31" s="61" t="s">
        <v>120</v>
      </c>
      <c r="B31" s="62" t="s">
        <v>121</v>
      </c>
      <c r="C31" s="62" t="s">
        <v>122</v>
      </c>
      <c r="D31" s="62" t="s">
        <v>155</v>
      </c>
      <c r="E31" s="63" t="s">
        <v>147</v>
      </c>
      <c r="F31" s="62" t="s">
        <v>125</v>
      </c>
      <c r="G31" s="62" t="s">
        <v>105</v>
      </c>
      <c r="H31" s="62" t="s">
        <v>24</v>
      </c>
      <c r="I31" s="62" t="s">
        <v>87</v>
      </c>
      <c r="J31" s="62"/>
      <c r="K31" s="64">
        <v>49.3</v>
      </c>
      <c r="L31" s="64">
        <f>K31*VLOOKUP(H31,dagsoorttabel1,2,FALSE)</f>
        <v>0.2465</v>
      </c>
      <c r="M31" s="65">
        <f>prodnorm10</f>
        <v>0</v>
      </c>
      <c r="N31" s="66">
        <f>dagwerk10</f>
        <v>0</v>
      </c>
      <c r="O31" s="62" t="s">
        <v>37</v>
      </c>
      <c r="P31" s="67">
        <f>uurtarief10</f>
        <v>0</v>
      </c>
      <c r="Q31" s="64" t="e">
        <f>IF(ISBLANK(M31),0,L31/M31)</f>
        <v>#DIV/0!</v>
      </c>
      <c r="R31" s="64" t="e">
        <f>IF(ISBLANK(M31),0,Q31*N31)</f>
        <v>#DIV/0!</v>
      </c>
      <c r="S31" s="67" t="e">
        <f>P31*Q31</f>
        <v>#DIV/0!</v>
      </c>
      <c r="T31" s="64" t="e">
        <f>Q31*dagenperjaar1</f>
        <v>#DIV/0!</v>
      </c>
      <c r="U31" s="68" t="e">
        <f>T31*P31</f>
        <v>#DIV/0!</v>
      </c>
    </row>
    <row r="32" spans="1:21" x14ac:dyDescent="0.2">
      <c r="A32" s="61" t="s">
        <v>120</v>
      </c>
      <c r="B32" s="62" t="s">
        <v>121</v>
      </c>
      <c r="C32" s="62" t="s">
        <v>122</v>
      </c>
      <c r="D32" s="62" t="s">
        <v>156</v>
      </c>
      <c r="E32" s="63" t="s">
        <v>157</v>
      </c>
      <c r="F32" s="62" t="s">
        <v>158</v>
      </c>
      <c r="G32" s="62" t="s">
        <v>97</v>
      </c>
      <c r="H32" s="62" t="s">
        <v>12</v>
      </c>
      <c r="I32" s="62" t="s">
        <v>87</v>
      </c>
      <c r="J32" s="62"/>
      <c r="K32" s="64">
        <v>177</v>
      </c>
      <c r="L32" s="64">
        <f>K32*VLOOKUP(H32,dagsoorttabel1,2,FALSE)</f>
        <v>177</v>
      </c>
      <c r="M32" s="65">
        <f>prodnorm6</f>
        <v>0</v>
      </c>
      <c r="N32" s="66">
        <f>dagwerk6</f>
        <v>0</v>
      </c>
      <c r="O32" s="62" t="s">
        <v>37</v>
      </c>
      <c r="P32" s="67">
        <f>uurtarief6</f>
        <v>0</v>
      </c>
      <c r="Q32" s="64" t="e">
        <f>IF(ISBLANK(M32),0,L32/M32)</f>
        <v>#DIV/0!</v>
      </c>
      <c r="R32" s="64" t="e">
        <f>IF(ISBLANK(M32),0,Q32*N32)</f>
        <v>#DIV/0!</v>
      </c>
      <c r="S32" s="67" t="e">
        <f>P32*Q32</f>
        <v>#DIV/0!</v>
      </c>
      <c r="T32" s="64" t="e">
        <f>Q32*dagenperjaar1</f>
        <v>#DIV/0!</v>
      </c>
      <c r="U32" s="68" t="e">
        <f>T32*P32</f>
        <v>#DIV/0!</v>
      </c>
    </row>
    <row r="33" spans="1:21" x14ac:dyDescent="0.2">
      <c r="A33" s="61" t="s">
        <v>120</v>
      </c>
      <c r="B33" s="62" t="s">
        <v>121</v>
      </c>
      <c r="C33" s="62" t="s">
        <v>122</v>
      </c>
      <c r="D33" s="62" t="s">
        <v>159</v>
      </c>
      <c r="E33" s="63" t="s">
        <v>160</v>
      </c>
      <c r="F33" s="62" t="s">
        <v>125</v>
      </c>
      <c r="G33" s="62" t="s">
        <v>93</v>
      </c>
      <c r="H33" s="62" t="s">
        <v>12</v>
      </c>
      <c r="I33" s="62" t="s">
        <v>87</v>
      </c>
      <c r="J33" s="62"/>
      <c r="K33" s="64">
        <v>66</v>
      </c>
      <c r="L33" s="64">
        <f>K33*VLOOKUP(H33,dagsoorttabel1,2,FALSE)</f>
        <v>66</v>
      </c>
      <c r="M33" s="65">
        <f>prodnorm4</f>
        <v>0</v>
      </c>
      <c r="N33" s="66">
        <f>dagwerk4</f>
        <v>0</v>
      </c>
      <c r="O33" s="62" t="s">
        <v>37</v>
      </c>
      <c r="P33" s="67">
        <f>uurtarief4</f>
        <v>0</v>
      </c>
      <c r="Q33" s="64" t="e">
        <f>IF(ISBLANK(M33),0,L33/M33)</f>
        <v>#DIV/0!</v>
      </c>
      <c r="R33" s="64" t="e">
        <f>IF(ISBLANK(M33),0,Q33*N33)</f>
        <v>#DIV/0!</v>
      </c>
      <c r="S33" s="67" t="e">
        <f>P33*Q33</f>
        <v>#DIV/0!</v>
      </c>
      <c r="T33" s="64" t="e">
        <f>Q33*dagenperjaar1</f>
        <v>#DIV/0!</v>
      </c>
      <c r="U33" s="68" t="e">
        <f>T33*P33</f>
        <v>#DIV/0!</v>
      </c>
    </row>
    <row r="34" spans="1:21" x14ac:dyDescent="0.2">
      <c r="A34" s="61" t="s">
        <v>120</v>
      </c>
      <c r="B34" s="62" t="s">
        <v>121</v>
      </c>
      <c r="C34" s="62" t="s">
        <v>122</v>
      </c>
      <c r="D34" s="62" t="s">
        <v>159</v>
      </c>
      <c r="E34" s="63" t="s">
        <v>160</v>
      </c>
      <c r="F34" s="62" t="s">
        <v>125</v>
      </c>
      <c r="G34" s="62" t="s">
        <v>105</v>
      </c>
      <c r="H34" s="62" t="s">
        <v>24</v>
      </c>
      <c r="I34" s="62" t="s">
        <v>87</v>
      </c>
      <c r="J34" s="62"/>
      <c r="K34" s="64">
        <v>66</v>
      </c>
      <c r="L34" s="64">
        <f>K34*VLOOKUP(H34,dagsoorttabel1,2,FALSE)</f>
        <v>0.33</v>
      </c>
      <c r="M34" s="65">
        <f>prodnorm10</f>
        <v>0</v>
      </c>
      <c r="N34" s="66">
        <f>dagwerk10</f>
        <v>0</v>
      </c>
      <c r="O34" s="62" t="s">
        <v>37</v>
      </c>
      <c r="P34" s="67">
        <f>uurtarief10</f>
        <v>0</v>
      </c>
      <c r="Q34" s="64" t="e">
        <f>IF(ISBLANK(M34),0,L34/M34)</f>
        <v>#DIV/0!</v>
      </c>
      <c r="R34" s="64" t="e">
        <f>IF(ISBLANK(M34),0,Q34*N34)</f>
        <v>#DIV/0!</v>
      </c>
      <c r="S34" s="67" t="e">
        <f>P34*Q34</f>
        <v>#DIV/0!</v>
      </c>
      <c r="T34" s="64" t="e">
        <f>Q34*dagenperjaar1</f>
        <v>#DIV/0!</v>
      </c>
      <c r="U34" s="68" t="e">
        <f>T34*P34</f>
        <v>#DIV/0!</v>
      </c>
    </row>
    <row r="35" spans="1:21" x14ac:dyDescent="0.2">
      <c r="A35" s="61" t="s">
        <v>120</v>
      </c>
      <c r="B35" s="62" t="s">
        <v>121</v>
      </c>
      <c r="C35" s="62" t="s">
        <v>122</v>
      </c>
      <c r="D35" s="62" t="s">
        <v>161</v>
      </c>
      <c r="E35" s="63" t="s">
        <v>147</v>
      </c>
      <c r="F35" s="62" t="s">
        <v>125</v>
      </c>
      <c r="G35" s="62" t="s">
        <v>93</v>
      </c>
      <c r="H35" s="62" t="s">
        <v>12</v>
      </c>
      <c r="I35" s="62" t="s">
        <v>87</v>
      </c>
      <c r="J35" s="62"/>
      <c r="K35" s="64">
        <v>67</v>
      </c>
      <c r="L35" s="64">
        <f>K35*VLOOKUP(H35,dagsoorttabel1,2,FALSE)</f>
        <v>67</v>
      </c>
      <c r="M35" s="65">
        <f>prodnorm4</f>
        <v>0</v>
      </c>
      <c r="N35" s="66">
        <f>dagwerk4</f>
        <v>0</v>
      </c>
      <c r="O35" s="62" t="s">
        <v>37</v>
      </c>
      <c r="P35" s="67">
        <f>uurtarief4</f>
        <v>0</v>
      </c>
      <c r="Q35" s="64" t="e">
        <f>IF(ISBLANK(M35),0,L35/M35)</f>
        <v>#DIV/0!</v>
      </c>
      <c r="R35" s="64" t="e">
        <f>IF(ISBLANK(M35),0,Q35*N35)</f>
        <v>#DIV/0!</v>
      </c>
      <c r="S35" s="67" t="e">
        <f>P35*Q35</f>
        <v>#DIV/0!</v>
      </c>
      <c r="T35" s="64" t="e">
        <f>Q35*dagenperjaar1</f>
        <v>#DIV/0!</v>
      </c>
      <c r="U35" s="68" t="e">
        <f>T35*P35</f>
        <v>#DIV/0!</v>
      </c>
    </row>
    <row r="36" spans="1:21" x14ac:dyDescent="0.2">
      <c r="A36" s="61" t="s">
        <v>120</v>
      </c>
      <c r="B36" s="62" t="s">
        <v>121</v>
      </c>
      <c r="C36" s="62" t="s">
        <v>122</v>
      </c>
      <c r="D36" s="62" t="s">
        <v>161</v>
      </c>
      <c r="E36" s="63" t="s">
        <v>147</v>
      </c>
      <c r="F36" s="62" t="s">
        <v>125</v>
      </c>
      <c r="G36" s="62" t="s">
        <v>105</v>
      </c>
      <c r="H36" s="62" t="s">
        <v>24</v>
      </c>
      <c r="I36" s="62" t="s">
        <v>87</v>
      </c>
      <c r="J36" s="62"/>
      <c r="K36" s="64">
        <v>67</v>
      </c>
      <c r="L36" s="64">
        <f>K36*VLOOKUP(H36,dagsoorttabel1,2,FALSE)</f>
        <v>0.33500000000000002</v>
      </c>
      <c r="M36" s="65">
        <f>prodnorm10</f>
        <v>0</v>
      </c>
      <c r="N36" s="66">
        <f>dagwerk10</f>
        <v>0</v>
      </c>
      <c r="O36" s="62" t="s">
        <v>37</v>
      </c>
      <c r="P36" s="67">
        <f>uurtarief10</f>
        <v>0</v>
      </c>
      <c r="Q36" s="64" t="e">
        <f>IF(ISBLANK(M36),0,L36/M36)</f>
        <v>#DIV/0!</v>
      </c>
      <c r="R36" s="64" t="e">
        <f>IF(ISBLANK(M36),0,Q36*N36)</f>
        <v>#DIV/0!</v>
      </c>
      <c r="S36" s="67" t="e">
        <f>P36*Q36</f>
        <v>#DIV/0!</v>
      </c>
      <c r="T36" s="64" t="e">
        <f>Q36*dagenperjaar1</f>
        <v>#DIV/0!</v>
      </c>
      <c r="U36" s="68" t="e">
        <f>T36*P36</f>
        <v>#DIV/0!</v>
      </c>
    </row>
    <row r="37" spans="1:21" x14ac:dyDescent="0.2">
      <c r="A37" s="61" t="s">
        <v>120</v>
      </c>
      <c r="B37" s="62" t="s">
        <v>121</v>
      </c>
      <c r="C37" s="62" t="s">
        <v>122</v>
      </c>
      <c r="D37" s="62" t="s">
        <v>162</v>
      </c>
      <c r="E37" s="63" t="s">
        <v>163</v>
      </c>
      <c r="F37" s="62" t="s">
        <v>125</v>
      </c>
      <c r="G37" s="62" t="s">
        <v>89</v>
      </c>
      <c r="H37" s="62" t="s">
        <v>10</v>
      </c>
      <c r="I37" s="62" t="s">
        <v>87</v>
      </c>
      <c r="J37" s="62"/>
      <c r="K37" s="64">
        <v>33</v>
      </c>
      <c r="L37" s="64">
        <f>K37*VLOOKUP(H37,dagsoorttabel1,2,FALSE)</f>
        <v>33.824999999999996</v>
      </c>
      <c r="M37" s="65">
        <f>prodnorm2</f>
        <v>0</v>
      </c>
      <c r="N37" s="66">
        <f>dagwerk2</f>
        <v>0</v>
      </c>
      <c r="O37" s="62" t="s">
        <v>37</v>
      </c>
      <c r="P37" s="67">
        <f>uurtarief2</f>
        <v>0</v>
      </c>
      <c r="Q37" s="64" t="e">
        <f>IF(ISBLANK(M37),0,L37/M37)</f>
        <v>#DIV/0!</v>
      </c>
      <c r="R37" s="64" t="e">
        <f>IF(ISBLANK(M37),0,Q37*N37)</f>
        <v>#DIV/0!</v>
      </c>
      <c r="S37" s="67" t="e">
        <f>P37*Q37</f>
        <v>#DIV/0!</v>
      </c>
      <c r="T37" s="64" t="e">
        <f>Q37*dagenperjaar1</f>
        <v>#DIV/0!</v>
      </c>
      <c r="U37" s="68" t="e">
        <f>T37*P37</f>
        <v>#DIV/0!</v>
      </c>
    </row>
    <row r="38" spans="1:21" x14ac:dyDescent="0.2">
      <c r="A38" s="61" t="s">
        <v>120</v>
      </c>
      <c r="B38" s="62" t="s">
        <v>121</v>
      </c>
      <c r="C38" s="62" t="s">
        <v>122</v>
      </c>
      <c r="D38" s="62" t="s">
        <v>162</v>
      </c>
      <c r="E38" s="63" t="s">
        <v>163</v>
      </c>
      <c r="F38" s="62" t="s">
        <v>125</v>
      </c>
      <c r="G38" s="62" t="s">
        <v>105</v>
      </c>
      <c r="H38" s="62" t="s">
        <v>24</v>
      </c>
      <c r="I38" s="62" t="s">
        <v>87</v>
      </c>
      <c r="J38" s="62"/>
      <c r="K38" s="64">
        <v>33</v>
      </c>
      <c r="L38" s="64">
        <f>K38*VLOOKUP(H38,dagsoorttabel1,2,FALSE)</f>
        <v>0.16500000000000001</v>
      </c>
      <c r="M38" s="65">
        <f>prodnorm10</f>
        <v>0</v>
      </c>
      <c r="N38" s="66">
        <f>dagwerk10</f>
        <v>0</v>
      </c>
      <c r="O38" s="62" t="s">
        <v>37</v>
      </c>
      <c r="P38" s="67">
        <f>uurtarief10</f>
        <v>0</v>
      </c>
      <c r="Q38" s="64" t="e">
        <f>IF(ISBLANK(M38),0,L38/M38)</f>
        <v>#DIV/0!</v>
      </c>
      <c r="R38" s="64" t="e">
        <f>IF(ISBLANK(M38),0,Q38*N38)</f>
        <v>#DIV/0!</v>
      </c>
      <c r="S38" s="67" t="e">
        <f>P38*Q38</f>
        <v>#DIV/0!</v>
      </c>
      <c r="T38" s="64" t="e">
        <f>Q38*dagenperjaar1</f>
        <v>#DIV/0!</v>
      </c>
      <c r="U38" s="68" t="e">
        <f>T38*P38</f>
        <v>#DIV/0!</v>
      </c>
    </row>
    <row r="39" spans="1:21" x14ac:dyDescent="0.2">
      <c r="A39" s="61" t="s">
        <v>120</v>
      </c>
      <c r="B39" s="62" t="s">
        <v>121</v>
      </c>
      <c r="C39" s="62" t="s">
        <v>122</v>
      </c>
      <c r="D39" s="62" t="s">
        <v>164</v>
      </c>
      <c r="E39" s="63" t="s">
        <v>165</v>
      </c>
      <c r="F39" s="62" t="s">
        <v>125</v>
      </c>
      <c r="G39" s="62" t="s">
        <v>93</v>
      </c>
      <c r="H39" s="62" t="s">
        <v>12</v>
      </c>
      <c r="I39" s="62" t="s">
        <v>87</v>
      </c>
      <c r="J39" s="62"/>
      <c r="K39" s="64">
        <v>83</v>
      </c>
      <c r="L39" s="64">
        <f>K39*VLOOKUP(H39,dagsoorttabel1,2,FALSE)</f>
        <v>83</v>
      </c>
      <c r="M39" s="65">
        <f>prodnorm4</f>
        <v>0</v>
      </c>
      <c r="N39" s="66">
        <f>dagwerk4</f>
        <v>0</v>
      </c>
      <c r="O39" s="62" t="s">
        <v>37</v>
      </c>
      <c r="P39" s="67">
        <f>uurtarief4</f>
        <v>0</v>
      </c>
      <c r="Q39" s="64" t="e">
        <f>IF(ISBLANK(M39),0,L39/M39)</f>
        <v>#DIV/0!</v>
      </c>
      <c r="R39" s="64" t="e">
        <f>IF(ISBLANK(M39),0,Q39*N39)</f>
        <v>#DIV/0!</v>
      </c>
      <c r="S39" s="67" t="e">
        <f>P39*Q39</f>
        <v>#DIV/0!</v>
      </c>
      <c r="T39" s="64" t="e">
        <f>Q39*dagenperjaar1</f>
        <v>#DIV/0!</v>
      </c>
      <c r="U39" s="68" t="e">
        <f>T39*P39</f>
        <v>#DIV/0!</v>
      </c>
    </row>
    <row r="40" spans="1:21" x14ac:dyDescent="0.2">
      <c r="A40" s="61" t="s">
        <v>120</v>
      </c>
      <c r="B40" s="62" t="s">
        <v>121</v>
      </c>
      <c r="C40" s="62" t="s">
        <v>122</v>
      </c>
      <c r="D40" s="62" t="s">
        <v>164</v>
      </c>
      <c r="E40" s="63" t="s">
        <v>165</v>
      </c>
      <c r="F40" s="62" t="s">
        <v>125</v>
      </c>
      <c r="G40" s="62" t="s">
        <v>105</v>
      </c>
      <c r="H40" s="62" t="s">
        <v>24</v>
      </c>
      <c r="I40" s="62" t="s">
        <v>87</v>
      </c>
      <c r="J40" s="62"/>
      <c r="K40" s="64">
        <v>83</v>
      </c>
      <c r="L40" s="64">
        <f>K40*VLOOKUP(H40,dagsoorttabel1,2,FALSE)</f>
        <v>0.41500000000000004</v>
      </c>
      <c r="M40" s="65">
        <f>prodnorm10</f>
        <v>0</v>
      </c>
      <c r="N40" s="66">
        <f>dagwerk10</f>
        <v>0</v>
      </c>
      <c r="O40" s="62" t="s">
        <v>37</v>
      </c>
      <c r="P40" s="67">
        <f>uurtarief10</f>
        <v>0</v>
      </c>
      <c r="Q40" s="64" t="e">
        <f>IF(ISBLANK(M40),0,L40/M40)</f>
        <v>#DIV/0!</v>
      </c>
      <c r="R40" s="64" t="e">
        <f>IF(ISBLANK(M40),0,Q40*N40)</f>
        <v>#DIV/0!</v>
      </c>
      <c r="S40" s="67" t="e">
        <f>P40*Q40</f>
        <v>#DIV/0!</v>
      </c>
      <c r="T40" s="64" t="e">
        <f>Q40*dagenperjaar1</f>
        <v>#DIV/0!</v>
      </c>
      <c r="U40" s="68" t="e">
        <f>T40*P40</f>
        <v>#DIV/0!</v>
      </c>
    </row>
    <row r="41" spans="1:21" x14ac:dyDescent="0.2">
      <c r="A41" s="61" t="s">
        <v>120</v>
      </c>
      <c r="B41" s="62" t="s">
        <v>121</v>
      </c>
      <c r="C41" s="62" t="s">
        <v>122</v>
      </c>
      <c r="D41" s="62" t="s">
        <v>166</v>
      </c>
      <c r="E41" s="63" t="s">
        <v>147</v>
      </c>
      <c r="F41" s="62" t="s">
        <v>125</v>
      </c>
      <c r="G41" s="62" t="s">
        <v>93</v>
      </c>
      <c r="H41" s="62" t="s">
        <v>12</v>
      </c>
      <c r="I41" s="62" t="s">
        <v>87</v>
      </c>
      <c r="J41" s="62"/>
      <c r="K41" s="64">
        <v>61</v>
      </c>
      <c r="L41" s="64">
        <f>K41*VLOOKUP(H41,dagsoorttabel1,2,FALSE)</f>
        <v>61</v>
      </c>
      <c r="M41" s="65">
        <f>prodnorm4</f>
        <v>0</v>
      </c>
      <c r="N41" s="66">
        <f>dagwerk4</f>
        <v>0</v>
      </c>
      <c r="O41" s="62" t="s">
        <v>37</v>
      </c>
      <c r="P41" s="67">
        <f>uurtarief4</f>
        <v>0</v>
      </c>
      <c r="Q41" s="64" t="e">
        <f>IF(ISBLANK(M41),0,L41/M41)</f>
        <v>#DIV/0!</v>
      </c>
      <c r="R41" s="64" t="e">
        <f>IF(ISBLANK(M41),0,Q41*N41)</f>
        <v>#DIV/0!</v>
      </c>
      <c r="S41" s="67" t="e">
        <f>P41*Q41</f>
        <v>#DIV/0!</v>
      </c>
      <c r="T41" s="64" t="e">
        <f>Q41*dagenperjaar1</f>
        <v>#DIV/0!</v>
      </c>
      <c r="U41" s="68" t="e">
        <f>T41*P41</f>
        <v>#DIV/0!</v>
      </c>
    </row>
    <row r="42" spans="1:21" x14ac:dyDescent="0.2">
      <c r="A42" s="61" t="s">
        <v>120</v>
      </c>
      <c r="B42" s="62" t="s">
        <v>121</v>
      </c>
      <c r="C42" s="62" t="s">
        <v>122</v>
      </c>
      <c r="D42" s="62" t="s">
        <v>166</v>
      </c>
      <c r="E42" s="63" t="s">
        <v>147</v>
      </c>
      <c r="F42" s="62" t="s">
        <v>125</v>
      </c>
      <c r="G42" s="62" t="s">
        <v>105</v>
      </c>
      <c r="H42" s="62" t="s">
        <v>24</v>
      </c>
      <c r="I42" s="62" t="s">
        <v>87</v>
      </c>
      <c r="J42" s="62"/>
      <c r="K42" s="64">
        <v>61</v>
      </c>
      <c r="L42" s="64">
        <f>K42*VLOOKUP(H42,dagsoorttabel1,2,FALSE)</f>
        <v>0.30499999999999999</v>
      </c>
      <c r="M42" s="65">
        <f>prodnorm10</f>
        <v>0</v>
      </c>
      <c r="N42" s="66">
        <f>dagwerk10</f>
        <v>0</v>
      </c>
      <c r="O42" s="62" t="s">
        <v>37</v>
      </c>
      <c r="P42" s="67">
        <f>uurtarief10</f>
        <v>0</v>
      </c>
      <c r="Q42" s="64" t="e">
        <f>IF(ISBLANK(M42),0,L42/M42)</f>
        <v>#DIV/0!</v>
      </c>
      <c r="R42" s="64" t="e">
        <f>IF(ISBLANK(M42),0,Q42*N42)</f>
        <v>#DIV/0!</v>
      </c>
      <c r="S42" s="67" t="e">
        <f>P42*Q42</f>
        <v>#DIV/0!</v>
      </c>
      <c r="T42" s="64" t="e">
        <f>Q42*dagenperjaar1</f>
        <v>#DIV/0!</v>
      </c>
      <c r="U42" s="68" t="e">
        <f>T42*P42</f>
        <v>#DIV/0!</v>
      </c>
    </row>
    <row r="43" spans="1:21" x14ac:dyDescent="0.2">
      <c r="A43" s="61" t="s">
        <v>120</v>
      </c>
      <c r="B43" s="62" t="s">
        <v>121</v>
      </c>
      <c r="C43" s="62" t="s">
        <v>122</v>
      </c>
      <c r="D43" s="62" t="s">
        <v>167</v>
      </c>
      <c r="E43" s="63" t="s">
        <v>168</v>
      </c>
      <c r="F43" s="62" t="s">
        <v>158</v>
      </c>
      <c r="G43" s="62" t="s">
        <v>95</v>
      </c>
      <c r="H43" s="62" t="s">
        <v>12</v>
      </c>
      <c r="I43" s="62" t="s">
        <v>87</v>
      </c>
      <c r="J43" s="62"/>
      <c r="K43" s="64">
        <v>23</v>
      </c>
      <c r="L43" s="64">
        <f>K43*VLOOKUP(H43,dagsoorttabel1,2,FALSE)</f>
        <v>23</v>
      </c>
      <c r="M43" s="65">
        <f>prodnorm5</f>
        <v>0</v>
      </c>
      <c r="N43" s="66">
        <f>dagwerk5</f>
        <v>0</v>
      </c>
      <c r="O43" s="62" t="s">
        <v>37</v>
      </c>
      <c r="P43" s="67">
        <f>uurtarief5</f>
        <v>0</v>
      </c>
      <c r="Q43" s="64" t="e">
        <f>IF(ISBLANK(M43),0,L43/M43)</f>
        <v>#DIV/0!</v>
      </c>
      <c r="R43" s="64" t="e">
        <f>IF(ISBLANK(M43),0,Q43*N43)</f>
        <v>#DIV/0!</v>
      </c>
      <c r="S43" s="67" t="e">
        <f>P43*Q43</f>
        <v>#DIV/0!</v>
      </c>
      <c r="T43" s="64" t="e">
        <f>Q43*dagenperjaar1</f>
        <v>#DIV/0!</v>
      </c>
      <c r="U43" s="68" t="e">
        <f>T43*P43</f>
        <v>#DIV/0!</v>
      </c>
    </row>
    <row r="44" spans="1:21" x14ac:dyDescent="0.2">
      <c r="A44" s="61" t="s">
        <v>120</v>
      </c>
      <c r="B44" s="62" t="s">
        <v>121</v>
      </c>
      <c r="C44" s="62" t="s">
        <v>122</v>
      </c>
      <c r="D44" s="62" t="s">
        <v>169</v>
      </c>
      <c r="E44" s="63" t="s">
        <v>170</v>
      </c>
      <c r="F44" s="62" t="s">
        <v>158</v>
      </c>
      <c r="G44" s="62" t="s">
        <v>89</v>
      </c>
      <c r="H44" s="62" t="s">
        <v>10</v>
      </c>
      <c r="I44" s="62" t="s">
        <v>87</v>
      </c>
      <c r="J44" s="62"/>
      <c r="K44" s="64">
        <v>165</v>
      </c>
      <c r="L44" s="64">
        <f>K44*VLOOKUP(H44,dagsoorttabel1,2,FALSE)</f>
        <v>169.12499999999997</v>
      </c>
      <c r="M44" s="65">
        <f>prodnorm2</f>
        <v>0</v>
      </c>
      <c r="N44" s="66">
        <f>dagwerk2</f>
        <v>0</v>
      </c>
      <c r="O44" s="62" t="s">
        <v>37</v>
      </c>
      <c r="P44" s="67">
        <f>uurtarief2</f>
        <v>0</v>
      </c>
      <c r="Q44" s="64" t="e">
        <f>IF(ISBLANK(M44),0,L44/M44)</f>
        <v>#DIV/0!</v>
      </c>
      <c r="R44" s="64" t="e">
        <f>IF(ISBLANK(M44),0,Q44*N44)</f>
        <v>#DIV/0!</v>
      </c>
      <c r="S44" s="67" t="e">
        <f>P44*Q44</f>
        <v>#DIV/0!</v>
      </c>
      <c r="T44" s="64" t="e">
        <f>Q44*dagenperjaar1</f>
        <v>#DIV/0!</v>
      </c>
      <c r="U44" s="68" t="e">
        <f>T44*P44</f>
        <v>#DIV/0!</v>
      </c>
    </row>
    <row r="45" spans="1:21" x14ac:dyDescent="0.2">
      <c r="A45" s="61" t="s">
        <v>120</v>
      </c>
      <c r="B45" s="62" t="s">
        <v>121</v>
      </c>
      <c r="C45" s="62" t="s">
        <v>122</v>
      </c>
      <c r="D45" s="62" t="s">
        <v>171</v>
      </c>
      <c r="E45" s="63" t="s">
        <v>172</v>
      </c>
      <c r="F45" s="62" t="s">
        <v>125</v>
      </c>
      <c r="G45" s="62" t="s">
        <v>89</v>
      </c>
      <c r="H45" s="62" t="s">
        <v>10</v>
      </c>
      <c r="I45" s="62" t="s">
        <v>87</v>
      </c>
      <c r="J45" s="62"/>
      <c r="K45" s="64">
        <v>26</v>
      </c>
      <c r="L45" s="64">
        <f>K45*VLOOKUP(H45,dagsoorttabel1,2,FALSE)</f>
        <v>26.65</v>
      </c>
      <c r="M45" s="65">
        <f>prodnorm2</f>
        <v>0</v>
      </c>
      <c r="N45" s="66">
        <f>dagwerk2</f>
        <v>0</v>
      </c>
      <c r="O45" s="62" t="s">
        <v>37</v>
      </c>
      <c r="P45" s="67">
        <f>uurtarief2</f>
        <v>0</v>
      </c>
      <c r="Q45" s="64" t="e">
        <f>IF(ISBLANK(M45),0,L45/M45)</f>
        <v>#DIV/0!</v>
      </c>
      <c r="R45" s="64" t="e">
        <f>IF(ISBLANK(M45),0,Q45*N45)</f>
        <v>#DIV/0!</v>
      </c>
      <c r="S45" s="67" t="e">
        <f>P45*Q45</f>
        <v>#DIV/0!</v>
      </c>
      <c r="T45" s="64" t="e">
        <f>Q45*dagenperjaar1</f>
        <v>#DIV/0!</v>
      </c>
      <c r="U45" s="68" t="e">
        <f>T45*P45</f>
        <v>#DIV/0!</v>
      </c>
    </row>
    <row r="46" spans="1:21" x14ac:dyDescent="0.2">
      <c r="A46" s="61" t="s">
        <v>120</v>
      </c>
      <c r="B46" s="62" t="s">
        <v>121</v>
      </c>
      <c r="C46" s="62" t="s">
        <v>122</v>
      </c>
      <c r="D46" s="62" t="s">
        <v>171</v>
      </c>
      <c r="E46" s="63" t="s">
        <v>172</v>
      </c>
      <c r="F46" s="62" t="s">
        <v>125</v>
      </c>
      <c r="G46" s="62" t="s">
        <v>105</v>
      </c>
      <c r="H46" s="62" t="s">
        <v>24</v>
      </c>
      <c r="I46" s="62" t="s">
        <v>87</v>
      </c>
      <c r="J46" s="62"/>
      <c r="K46" s="64">
        <v>26</v>
      </c>
      <c r="L46" s="64">
        <f>K46*VLOOKUP(H46,dagsoorttabel1,2,FALSE)</f>
        <v>0.13</v>
      </c>
      <c r="M46" s="65">
        <f>prodnorm10</f>
        <v>0</v>
      </c>
      <c r="N46" s="66">
        <f>dagwerk10</f>
        <v>0</v>
      </c>
      <c r="O46" s="62" t="s">
        <v>37</v>
      </c>
      <c r="P46" s="67">
        <f>uurtarief10</f>
        <v>0</v>
      </c>
      <c r="Q46" s="64" t="e">
        <f>IF(ISBLANK(M46),0,L46/M46)</f>
        <v>#DIV/0!</v>
      </c>
      <c r="R46" s="64" t="e">
        <f>IF(ISBLANK(M46),0,Q46*N46)</f>
        <v>#DIV/0!</v>
      </c>
      <c r="S46" s="67" t="e">
        <f>P46*Q46</f>
        <v>#DIV/0!</v>
      </c>
      <c r="T46" s="64" t="e">
        <f>Q46*dagenperjaar1</f>
        <v>#DIV/0!</v>
      </c>
      <c r="U46" s="68" t="e">
        <f>T46*P46</f>
        <v>#DIV/0!</v>
      </c>
    </row>
    <row r="47" spans="1:21" x14ac:dyDescent="0.2">
      <c r="A47" s="61" t="s">
        <v>120</v>
      </c>
      <c r="B47" s="62" t="s">
        <v>121</v>
      </c>
      <c r="C47" s="62" t="s">
        <v>122</v>
      </c>
      <c r="D47" s="62" t="s">
        <v>173</v>
      </c>
      <c r="E47" s="63" t="s">
        <v>145</v>
      </c>
      <c r="F47" s="62" t="s">
        <v>125</v>
      </c>
      <c r="G47" s="62" t="s">
        <v>103</v>
      </c>
      <c r="H47" s="62" t="s">
        <v>12</v>
      </c>
      <c r="I47" s="62" t="s">
        <v>87</v>
      </c>
      <c r="J47" s="62"/>
      <c r="K47" s="64">
        <v>94</v>
      </c>
      <c r="L47" s="64">
        <f>K47*VLOOKUP(H47,dagsoorttabel1,2,FALSE)</f>
        <v>94</v>
      </c>
      <c r="M47" s="65">
        <f>prodnorm9</f>
        <v>0</v>
      </c>
      <c r="N47" s="66">
        <f>dagwerk9</f>
        <v>0</v>
      </c>
      <c r="O47" s="62" t="s">
        <v>37</v>
      </c>
      <c r="P47" s="67">
        <f>uurtarief9</f>
        <v>0</v>
      </c>
      <c r="Q47" s="64" t="e">
        <f>IF(ISBLANK(M47),0,L47/M47)</f>
        <v>#DIV/0!</v>
      </c>
      <c r="R47" s="64" t="e">
        <f>IF(ISBLANK(M47),0,Q47*N47)</f>
        <v>#DIV/0!</v>
      </c>
      <c r="S47" s="67" t="e">
        <f>P47*Q47</f>
        <v>#DIV/0!</v>
      </c>
      <c r="T47" s="64" t="e">
        <f>Q47*dagenperjaar1</f>
        <v>#DIV/0!</v>
      </c>
      <c r="U47" s="68" t="e">
        <f>T47*P47</f>
        <v>#DIV/0!</v>
      </c>
    </row>
    <row r="48" spans="1:21" x14ac:dyDescent="0.2">
      <c r="A48" s="61" t="s">
        <v>120</v>
      </c>
      <c r="B48" s="62" t="s">
        <v>121</v>
      </c>
      <c r="C48" s="62" t="s">
        <v>122</v>
      </c>
      <c r="D48" s="62" t="s">
        <v>173</v>
      </c>
      <c r="E48" s="63" t="s">
        <v>145</v>
      </c>
      <c r="F48" s="62" t="s">
        <v>125</v>
      </c>
      <c r="G48" s="62" t="s">
        <v>105</v>
      </c>
      <c r="H48" s="62" t="s">
        <v>24</v>
      </c>
      <c r="I48" s="62" t="s">
        <v>87</v>
      </c>
      <c r="J48" s="62"/>
      <c r="K48" s="64">
        <v>94</v>
      </c>
      <c r="L48" s="64">
        <f>K48*VLOOKUP(H48,dagsoorttabel1,2,FALSE)</f>
        <v>0.47000000000000003</v>
      </c>
      <c r="M48" s="65">
        <f>prodnorm10</f>
        <v>0</v>
      </c>
      <c r="N48" s="66">
        <f>dagwerk10</f>
        <v>0</v>
      </c>
      <c r="O48" s="62" t="s">
        <v>37</v>
      </c>
      <c r="P48" s="67">
        <f>uurtarief10</f>
        <v>0</v>
      </c>
      <c r="Q48" s="64" t="e">
        <f>IF(ISBLANK(M48),0,L48/M48)</f>
        <v>#DIV/0!</v>
      </c>
      <c r="R48" s="64" t="e">
        <f>IF(ISBLANK(M48),0,Q48*N48)</f>
        <v>#DIV/0!</v>
      </c>
      <c r="S48" s="67" t="e">
        <f>P48*Q48</f>
        <v>#DIV/0!</v>
      </c>
      <c r="T48" s="64" t="e">
        <f>Q48*dagenperjaar1</f>
        <v>#DIV/0!</v>
      </c>
      <c r="U48" s="68" t="e">
        <f>T48*P48</f>
        <v>#DIV/0!</v>
      </c>
    </row>
    <row r="49" spans="1:21" x14ac:dyDescent="0.2">
      <c r="A49" s="61" t="s">
        <v>120</v>
      </c>
      <c r="B49" s="62" t="s">
        <v>121</v>
      </c>
      <c r="C49" s="62" t="s">
        <v>122</v>
      </c>
      <c r="D49" s="62" t="s">
        <v>174</v>
      </c>
      <c r="E49" s="63" t="s">
        <v>147</v>
      </c>
      <c r="F49" s="62" t="s">
        <v>125</v>
      </c>
      <c r="G49" s="62" t="s">
        <v>93</v>
      </c>
      <c r="H49" s="62" t="s">
        <v>12</v>
      </c>
      <c r="I49" s="62" t="s">
        <v>87</v>
      </c>
      <c r="J49" s="62"/>
      <c r="K49" s="64">
        <v>51</v>
      </c>
      <c r="L49" s="64">
        <f>K49*VLOOKUP(H49,dagsoorttabel1,2,FALSE)</f>
        <v>51</v>
      </c>
      <c r="M49" s="65">
        <f>prodnorm4</f>
        <v>0</v>
      </c>
      <c r="N49" s="66">
        <f>dagwerk4</f>
        <v>0</v>
      </c>
      <c r="O49" s="62" t="s">
        <v>37</v>
      </c>
      <c r="P49" s="67">
        <f>uurtarief4</f>
        <v>0</v>
      </c>
      <c r="Q49" s="64" t="e">
        <f>IF(ISBLANK(M49),0,L49/M49)</f>
        <v>#DIV/0!</v>
      </c>
      <c r="R49" s="64" t="e">
        <f>IF(ISBLANK(M49),0,Q49*N49)</f>
        <v>#DIV/0!</v>
      </c>
      <c r="S49" s="67" t="e">
        <f>P49*Q49</f>
        <v>#DIV/0!</v>
      </c>
      <c r="T49" s="64" t="e">
        <f>Q49*dagenperjaar1</f>
        <v>#DIV/0!</v>
      </c>
      <c r="U49" s="68" t="e">
        <f>T49*P49</f>
        <v>#DIV/0!</v>
      </c>
    </row>
    <row r="50" spans="1:21" x14ac:dyDescent="0.2">
      <c r="A50" s="61" t="s">
        <v>120</v>
      </c>
      <c r="B50" s="62" t="s">
        <v>121</v>
      </c>
      <c r="C50" s="62" t="s">
        <v>122</v>
      </c>
      <c r="D50" s="62" t="s">
        <v>174</v>
      </c>
      <c r="E50" s="63" t="s">
        <v>147</v>
      </c>
      <c r="F50" s="62" t="s">
        <v>125</v>
      </c>
      <c r="G50" s="62" t="s">
        <v>105</v>
      </c>
      <c r="H50" s="62" t="s">
        <v>24</v>
      </c>
      <c r="I50" s="62" t="s">
        <v>87</v>
      </c>
      <c r="J50" s="62"/>
      <c r="K50" s="64">
        <v>51</v>
      </c>
      <c r="L50" s="64">
        <f>K50*VLOOKUP(H50,dagsoorttabel1,2,FALSE)</f>
        <v>0.255</v>
      </c>
      <c r="M50" s="65">
        <f>prodnorm10</f>
        <v>0</v>
      </c>
      <c r="N50" s="66">
        <f>dagwerk10</f>
        <v>0</v>
      </c>
      <c r="O50" s="62" t="s">
        <v>37</v>
      </c>
      <c r="P50" s="67">
        <f>uurtarief10</f>
        <v>0</v>
      </c>
      <c r="Q50" s="64" t="e">
        <f>IF(ISBLANK(M50),0,L50/M50)</f>
        <v>#DIV/0!</v>
      </c>
      <c r="R50" s="64" t="e">
        <f>IF(ISBLANK(M50),0,Q50*N50)</f>
        <v>#DIV/0!</v>
      </c>
      <c r="S50" s="67" t="e">
        <f>P50*Q50</f>
        <v>#DIV/0!</v>
      </c>
      <c r="T50" s="64" t="e">
        <f>Q50*dagenperjaar1</f>
        <v>#DIV/0!</v>
      </c>
      <c r="U50" s="68" t="e">
        <f>T50*P50</f>
        <v>#DIV/0!</v>
      </c>
    </row>
    <row r="51" spans="1:21" x14ac:dyDescent="0.2">
      <c r="A51" s="61" t="s">
        <v>120</v>
      </c>
      <c r="B51" s="62" t="s">
        <v>121</v>
      </c>
      <c r="C51" s="62" t="s">
        <v>122</v>
      </c>
      <c r="D51" s="62" t="s">
        <v>175</v>
      </c>
      <c r="E51" s="63" t="s">
        <v>147</v>
      </c>
      <c r="F51" s="62" t="s">
        <v>125</v>
      </c>
      <c r="G51" s="62" t="s">
        <v>93</v>
      </c>
      <c r="H51" s="62" t="s">
        <v>12</v>
      </c>
      <c r="I51" s="62" t="s">
        <v>87</v>
      </c>
      <c r="J51" s="62"/>
      <c r="K51" s="64">
        <v>53</v>
      </c>
      <c r="L51" s="64">
        <f>K51*VLOOKUP(H51,dagsoorttabel1,2,FALSE)</f>
        <v>53</v>
      </c>
      <c r="M51" s="65">
        <f>prodnorm4</f>
        <v>0</v>
      </c>
      <c r="N51" s="66">
        <f>dagwerk4</f>
        <v>0</v>
      </c>
      <c r="O51" s="62" t="s">
        <v>37</v>
      </c>
      <c r="P51" s="67">
        <f>uurtarief4</f>
        <v>0</v>
      </c>
      <c r="Q51" s="64" t="e">
        <f>IF(ISBLANK(M51),0,L51/M51)</f>
        <v>#DIV/0!</v>
      </c>
      <c r="R51" s="64" t="e">
        <f>IF(ISBLANK(M51),0,Q51*N51)</f>
        <v>#DIV/0!</v>
      </c>
      <c r="S51" s="67" t="e">
        <f>P51*Q51</f>
        <v>#DIV/0!</v>
      </c>
      <c r="T51" s="64" t="e">
        <f>Q51*dagenperjaar1</f>
        <v>#DIV/0!</v>
      </c>
      <c r="U51" s="68" t="e">
        <f>T51*P51</f>
        <v>#DIV/0!</v>
      </c>
    </row>
    <row r="52" spans="1:21" x14ac:dyDescent="0.2">
      <c r="A52" s="61" t="s">
        <v>120</v>
      </c>
      <c r="B52" s="62" t="s">
        <v>121</v>
      </c>
      <c r="C52" s="62" t="s">
        <v>122</v>
      </c>
      <c r="D52" s="62" t="s">
        <v>175</v>
      </c>
      <c r="E52" s="63" t="s">
        <v>147</v>
      </c>
      <c r="F52" s="62" t="s">
        <v>125</v>
      </c>
      <c r="G52" s="62" t="s">
        <v>105</v>
      </c>
      <c r="H52" s="62" t="s">
        <v>24</v>
      </c>
      <c r="I52" s="62" t="s">
        <v>87</v>
      </c>
      <c r="J52" s="62"/>
      <c r="K52" s="64">
        <v>53</v>
      </c>
      <c r="L52" s="64">
        <f>K52*VLOOKUP(H52,dagsoorttabel1,2,FALSE)</f>
        <v>0.26500000000000001</v>
      </c>
      <c r="M52" s="65">
        <f>prodnorm10</f>
        <v>0</v>
      </c>
      <c r="N52" s="66">
        <f>dagwerk10</f>
        <v>0</v>
      </c>
      <c r="O52" s="62" t="s">
        <v>37</v>
      </c>
      <c r="P52" s="67">
        <f>uurtarief10</f>
        <v>0</v>
      </c>
      <c r="Q52" s="64" t="e">
        <f>IF(ISBLANK(M52),0,L52/M52)</f>
        <v>#DIV/0!</v>
      </c>
      <c r="R52" s="64" t="e">
        <f>IF(ISBLANK(M52),0,Q52*N52)</f>
        <v>#DIV/0!</v>
      </c>
      <c r="S52" s="67" t="e">
        <f>P52*Q52</f>
        <v>#DIV/0!</v>
      </c>
      <c r="T52" s="64" t="e">
        <f>Q52*dagenperjaar1</f>
        <v>#DIV/0!</v>
      </c>
      <c r="U52" s="68" t="e">
        <f>T52*P52</f>
        <v>#DIV/0!</v>
      </c>
    </row>
    <row r="53" spans="1:21" x14ac:dyDescent="0.2">
      <c r="A53" s="61" t="s">
        <v>120</v>
      </c>
      <c r="B53" s="62" t="s">
        <v>121</v>
      </c>
      <c r="C53" s="62" t="s">
        <v>122</v>
      </c>
      <c r="D53" s="62" t="s">
        <v>176</v>
      </c>
      <c r="E53" s="63" t="s">
        <v>177</v>
      </c>
      <c r="F53" s="62" t="s">
        <v>125</v>
      </c>
      <c r="G53" s="62" t="s">
        <v>93</v>
      </c>
      <c r="H53" s="62" t="s">
        <v>12</v>
      </c>
      <c r="I53" s="62" t="s">
        <v>87</v>
      </c>
      <c r="J53" s="62"/>
      <c r="K53" s="64">
        <v>66</v>
      </c>
      <c r="L53" s="64">
        <f>K53*VLOOKUP(H53,dagsoorttabel1,2,FALSE)</f>
        <v>66</v>
      </c>
      <c r="M53" s="65">
        <f>prodnorm4</f>
        <v>0</v>
      </c>
      <c r="N53" s="66">
        <f>dagwerk4</f>
        <v>0</v>
      </c>
      <c r="O53" s="62" t="s">
        <v>37</v>
      </c>
      <c r="P53" s="67">
        <f>uurtarief4</f>
        <v>0</v>
      </c>
      <c r="Q53" s="64" t="e">
        <f>IF(ISBLANK(M53),0,L53/M53)</f>
        <v>#DIV/0!</v>
      </c>
      <c r="R53" s="64" t="e">
        <f>IF(ISBLANK(M53),0,Q53*N53)</f>
        <v>#DIV/0!</v>
      </c>
      <c r="S53" s="67" t="e">
        <f>P53*Q53</f>
        <v>#DIV/0!</v>
      </c>
      <c r="T53" s="64" t="e">
        <f>Q53*dagenperjaar1</f>
        <v>#DIV/0!</v>
      </c>
      <c r="U53" s="68" t="e">
        <f>T53*P53</f>
        <v>#DIV/0!</v>
      </c>
    </row>
    <row r="54" spans="1:21" x14ac:dyDescent="0.2">
      <c r="A54" s="61" t="s">
        <v>120</v>
      </c>
      <c r="B54" s="62" t="s">
        <v>121</v>
      </c>
      <c r="C54" s="62" t="s">
        <v>122</v>
      </c>
      <c r="D54" s="62" t="s">
        <v>176</v>
      </c>
      <c r="E54" s="63" t="s">
        <v>177</v>
      </c>
      <c r="F54" s="62" t="s">
        <v>125</v>
      </c>
      <c r="G54" s="62" t="s">
        <v>105</v>
      </c>
      <c r="H54" s="62" t="s">
        <v>24</v>
      </c>
      <c r="I54" s="62" t="s">
        <v>87</v>
      </c>
      <c r="J54" s="62"/>
      <c r="K54" s="64">
        <v>66</v>
      </c>
      <c r="L54" s="64">
        <f>K54*VLOOKUP(H54,dagsoorttabel1,2,FALSE)</f>
        <v>0.33</v>
      </c>
      <c r="M54" s="65">
        <f>prodnorm10</f>
        <v>0</v>
      </c>
      <c r="N54" s="66">
        <f>dagwerk10</f>
        <v>0</v>
      </c>
      <c r="O54" s="62" t="s">
        <v>37</v>
      </c>
      <c r="P54" s="67">
        <f>uurtarief10</f>
        <v>0</v>
      </c>
      <c r="Q54" s="64" t="e">
        <f>IF(ISBLANK(M54),0,L54/M54)</f>
        <v>#DIV/0!</v>
      </c>
      <c r="R54" s="64" t="e">
        <f>IF(ISBLANK(M54),0,Q54*N54)</f>
        <v>#DIV/0!</v>
      </c>
      <c r="S54" s="67" t="e">
        <f>P54*Q54</f>
        <v>#DIV/0!</v>
      </c>
      <c r="T54" s="64" t="e">
        <f>Q54*dagenperjaar1</f>
        <v>#DIV/0!</v>
      </c>
      <c r="U54" s="68" t="e">
        <f>T54*P54</f>
        <v>#DIV/0!</v>
      </c>
    </row>
    <row r="55" spans="1:21" x14ac:dyDescent="0.2">
      <c r="A55" s="61" t="s">
        <v>120</v>
      </c>
      <c r="B55" s="62" t="s">
        <v>121</v>
      </c>
      <c r="C55" s="62" t="s">
        <v>122</v>
      </c>
      <c r="D55" s="62" t="s">
        <v>178</v>
      </c>
      <c r="E55" s="63" t="s">
        <v>179</v>
      </c>
      <c r="F55" s="62" t="s">
        <v>125</v>
      </c>
      <c r="G55" s="62" t="s">
        <v>89</v>
      </c>
      <c r="H55" s="62" t="s">
        <v>10</v>
      </c>
      <c r="I55" s="62" t="s">
        <v>87</v>
      </c>
      <c r="J55" s="62"/>
      <c r="K55" s="64">
        <v>22</v>
      </c>
      <c r="L55" s="64">
        <f>K55*VLOOKUP(H55,dagsoorttabel1,2,FALSE)</f>
        <v>22.549999999999997</v>
      </c>
      <c r="M55" s="65">
        <f>prodnorm2</f>
        <v>0</v>
      </c>
      <c r="N55" s="66">
        <f>dagwerk2</f>
        <v>0</v>
      </c>
      <c r="O55" s="62" t="s">
        <v>37</v>
      </c>
      <c r="P55" s="67">
        <f>uurtarief2</f>
        <v>0</v>
      </c>
      <c r="Q55" s="64" t="e">
        <f>IF(ISBLANK(M55),0,L55/M55)</f>
        <v>#DIV/0!</v>
      </c>
      <c r="R55" s="64" t="e">
        <f>IF(ISBLANK(M55),0,Q55*N55)</f>
        <v>#DIV/0!</v>
      </c>
      <c r="S55" s="67" t="e">
        <f>P55*Q55</f>
        <v>#DIV/0!</v>
      </c>
      <c r="T55" s="64" t="e">
        <f>Q55*dagenperjaar1</f>
        <v>#DIV/0!</v>
      </c>
      <c r="U55" s="68" t="e">
        <f>T55*P55</f>
        <v>#DIV/0!</v>
      </c>
    </row>
    <row r="56" spans="1:21" x14ac:dyDescent="0.2">
      <c r="A56" s="61" t="s">
        <v>120</v>
      </c>
      <c r="B56" s="62" t="s">
        <v>121</v>
      </c>
      <c r="C56" s="62" t="s">
        <v>122</v>
      </c>
      <c r="D56" s="62" t="s">
        <v>178</v>
      </c>
      <c r="E56" s="63" t="s">
        <v>179</v>
      </c>
      <c r="F56" s="62" t="s">
        <v>125</v>
      </c>
      <c r="G56" s="62" t="s">
        <v>105</v>
      </c>
      <c r="H56" s="62" t="s">
        <v>24</v>
      </c>
      <c r="I56" s="62" t="s">
        <v>87</v>
      </c>
      <c r="J56" s="62"/>
      <c r="K56" s="64">
        <v>22</v>
      </c>
      <c r="L56" s="64">
        <f>K56*VLOOKUP(H56,dagsoorttabel1,2,FALSE)</f>
        <v>0.11</v>
      </c>
      <c r="M56" s="65">
        <f>prodnorm10</f>
        <v>0</v>
      </c>
      <c r="N56" s="66">
        <f>dagwerk10</f>
        <v>0</v>
      </c>
      <c r="O56" s="62" t="s">
        <v>37</v>
      </c>
      <c r="P56" s="67">
        <f>uurtarief10</f>
        <v>0</v>
      </c>
      <c r="Q56" s="64" t="e">
        <f>IF(ISBLANK(M56),0,L56/M56)</f>
        <v>#DIV/0!</v>
      </c>
      <c r="R56" s="64" t="e">
        <f>IF(ISBLANK(M56),0,Q56*N56)</f>
        <v>#DIV/0!</v>
      </c>
      <c r="S56" s="67" t="e">
        <f>P56*Q56</f>
        <v>#DIV/0!</v>
      </c>
      <c r="T56" s="64" t="e">
        <f>Q56*dagenperjaar1</f>
        <v>#DIV/0!</v>
      </c>
      <c r="U56" s="68" t="e">
        <f>T56*P56</f>
        <v>#DIV/0!</v>
      </c>
    </row>
    <row r="57" spans="1:21" x14ac:dyDescent="0.2">
      <c r="A57" s="61" t="s">
        <v>120</v>
      </c>
      <c r="B57" s="62" t="s">
        <v>121</v>
      </c>
      <c r="C57" s="62" t="s">
        <v>122</v>
      </c>
      <c r="D57" s="62" t="s">
        <v>180</v>
      </c>
      <c r="E57" s="63" t="s">
        <v>181</v>
      </c>
      <c r="F57" s="62" t="s">
        <v>125</v>
      </c>
      <c r="G57" s="62" t="s">
        <v>101</v>
      </c>
      <c r="H57" s="62" t="s">
        <v>12</v>
      </c>
      <c r="I57" s="62" t="s">
        <v>87</v>
      </c>
      <c r="J57" s="62"/>
      <c r="K57" s="64">
        <v>33</v>
      </c>
      <c r="L57" s="64">
        <f>K57*VLOOKUP(H57,dagsoorttabel1,2,FALSE)</f>
        <v>33</v>
      </c>
      <c r="M57" s="65">
        <f>prodnorm8</f>
        <v>0</v>
      </c>
      <c r="N57" s="66">
        <f>dagwerk8</f>
        <v>0</v>
      </c>
      <c r="O57" s="62" t="s">
        <v>37</v>
      </c>
      <c r="P57" s="67">
        <f>uurtarief8</f>
        <v>0</v>
      </c>
      <c r="Q57" s="64" t="e">
        <f>IF(ISBLANK(M57),0,L57/M57)</f>
        <v>#DIV/0!</v>
      </c>
      <c r="R57" s="64" t="e">
        <f>IF(ISBLANK(M57),0,Q57*N57)</f>
        <v>#DIV/0!</v>
      </c>
      <c r="S57" s="67" t="e">
        <f>P57*Q57</f>
        <v>#DIV/0!</v>
      </c>
      <c r="T57" s="64" t="e">
        <f>Q57*dagenperjaar1</f>
        <v>#DIV/0!</v>
      </c>
      <c r="U57" s="68" t="e">
        <f>T57*P57</f>
        <v>#DIV/0!</v>
      </c>
    </row>
    <row r="58" spans="1:21" x14ac:dyDescent="0.2">
      <c r="A58" s="61" t="s">
        <v>120</v>
      </c>
      <c r="B58" s="62" t="s">
        <v>121</v>
      </c>
      <c r="C58" s="62" t="s">
        <v>122</v>
      </c>
      <c r="D58" s="62" t="s">
        <v>180</v>
      </c>
      <c r="E58" s="63" t="s">
        <v>181</v>
      </c>
      <c r="F58" s="62" t="s">
        <v>125</v>
      </c>
      <c r="G58" s="62" t="s">
        <v>105</v>
      </c>
      <c r="H58" s="62" t="s">
        <v>24</v>
      </c>
      <c r="I58" s="62" t="s">
        <v>87</v>
      </c>
      <c r="J58" s="62"/>
      <c r="K58" s="64">
        <v>33</v>
      </c>
      <c r="L58" s="64">
        <f>K58*VLOOKUP(H58,dagsoorttabel1,2,FALSE)</f>
        <v>0.16500000000000001</v>
      </c>
      <c r="M58" s="65">
        <f>prodnorm10</f>
        <v>0</v>
      </c>
      <c r="N58" s="66">
        <f>dagwerk10</f>
        <v>0</v>
      </c>
      <c r="O58" s="62" t="s">
        <v>37</v>
      </c>
      <c r="P58" s="67">
        <f>uurtarief10</f>
        <v>0</v>
      </c>
      <c r="Q58" s="64" t="e">
        <f>IF(ISBLANK(M58),0,L58/M58)</f>
        <v>#DIV/0!</v>
      </c>
      <c r="R58" s="64" t="e">
        <f>IF(ISBLANK(M58),0,Q58*N58)</f>
        <v>#DIV/0!</v>
      </c>
      <c r="S58" s="67" t="e">
        <f>P58*Q58</f>
        <v>#DIV/0!</v>
      </c>
      <c r="T58" s="64" t="e">
        <f>Q58*dagenperjaar1</f>
        <v>#DIV/0!</v>
      </c>
      <c r="U58" s="68" t="e">
        <f>T58*P58</f>
        <v>#DIV/0!</v>
      </c>
    </row>
    <row r="59" spans="1:21" x14ac:dyDescent="0.2">
      <c r="A59" s="61" t="s">
        <v>120</v>
      </c>
      <c r="B59" s="62" t="s">
        <v>121</v>
      </c>
      <c r="C59" s="62" t="s">
        <v>122</v>
      </c>
      <c r="D59" s="62" t="s">
        <v>182</v>
      </c>
      <c r="E59" s="63" t="s">
        <v>147</v>
      </c>
      <c r="F59" s="62" t="s">
        <v>125</v>
      </c>
      <c r="G59" s="62" t="s">
        <v>93</v>
      </c>
      <c r="H59" s="62" t="s">
        <v>12</v>
      </c>
      <c r="I59" s="62" t="s">
        <v>87</v>
      </c>
      <c r="J59" s="62"/>
      <c r="K59" s="64">
        <v>48</v>
      </c>
      <c r="L59" s="64">
        <f>K59*VLOOKUP(H59,dagsoorttabel1,2,FALSE)</f>
        <v>48</v>
      </c>
      <c r="M59" s="65">
        <f>prodnorm4</f>
        <v>0</v>
      </c>
      <c r="N59" s="66">
        <f>dagwerk4</f>
        <v>0</v>
      </c>
      <c r="O59" s="62" t="s">
        <v>37</v>
      </c>
      <c r="P59" s="67">
        <f>uurtarief4</f>
        <v>0</v>
      </c>
      <c r="Q59" s="64" t="e">
        <f>IF(ISBLANK(M59),0,L59/M59)</f>
        <v>#DIV/0!</v>
      </c>
      <c r="R59" s="64" t="e">
        <f>IF(ISBLANK(M59),0,Q59*N59)</f>
        <v>#DIV/0!</v>
      </c>
      <c r="S59" s="67" t="e">
        <f>P59*Q59</f>
        <v>#DIV/0!</v>
      </c>
      <c r="T59" s="64" t="e">
        <f>Q59*dagenperjaar1</f>
        <v>#DIV/0!</v>
      </c>
      <c r="U59" s="68" t="e">
        <f>T59*P59</f>
        <v>#DIV/0!</v>
      </c>
    </row>
    <row r="60" spans="1:21" x14ac:dyDescent="0.2">
      <c r="A60" s="61" t="s">
        <v>120</v>
      </c>
      <c r="B60" s="62" t="s">
        <v>121</v>
      </c>
      <c r="C60" s="62" t="s">
        <v>122</v>
      </c>
      <c r="D60" s="62" t="s">
        <v>182</v>
      </c>
      <c r="E60" s="63" t="s">
        <v>147</v>
      </c>
      <c r="F60" s="62" t="s">
        <v>125</v>
      </c>
      <c r="G60" s="62" t="s">
        <v>105</v>
      </c>
      <c r="H60" s="62" t="s">
        <v>24</v>
      </c>
      <c r="I60" s="62" t="s">
        <v>87</v>
      </c>
      <c r="J60" s="62"/>
      <c r="K60" s="64">
        <v>48</v>
      </c>
      <c r="L60" s="64">
        <f>K60*VLOOKUP(H60,dagsoorttabel1,2,FALSE)</f>
        <v>0.24</v>
      </c>
      <c r="M60" s="65">
        <f>prodnorm10</f>
        <v>0</v>
      </c>
      <c r="N60" s="66">
        <f>dagwerk10</f>
        <v>0</v>
      </c>
      <c r="O60" s="62" t="s">
        <v>37</v>
      </c>
      <c r="P60" s="67">
        <f>uurtarief10</f>
        <v>0</v>
      </c>
      <c r="Q60" s="64" t="e">
        <f>IF(ISBLANK(M60),0,L60/M60)</f>
        <v>#DIV/0!</v>
      </c>
      <c r="R60" s="64" t="e">
        <f>IF(ISBLANK(M60),0,Q60*N60)</f>
        <v>#DIV/0!</v>
      </c>
      <c r="S60" s="67" t="e">
        <f>P60*Q60</f>
        <v>#DIV/0!</v>
      </c>
      <c r="T60" s="64" t="e">
        <f>Q60*dagenperjaar1</f>
        <v>#DIV/0!</v>
      </c>
      <c r="U60" s="68" t="e">
        <f>T60*P60</f>
        <v>#DIV/0!</v>
      </c>
    </row>
    <row r="61" spans="1:21" x14ac:dyDescent="0.2">
      <c r="A61" s="61" t="s">
        <v>120</v>
      </c>
      <c r="B61" s="62" t="s">
        <v>121</v>
      </c>
      <c r="C61" s="62" t="s">
        <v>122</v>
      </c>
      <c r="D61" s="62" t="s">
        <v>183</v>
      </c>
      <c r="E61" s="63" t="s">
        <v>147</v>
      </c>
      <c r="F61" s="62" t="s">
        <v>125</v>
      </c>
      <c r="G61" s="62" t="s">
        <v>93</v>
      </c>
      <c r="H61" s="62" t="s">
        <v>12</v>
      </c>
      <c r="I61" s="62" t="s">
        <v>87</v>
      </c>
      <c r="J61" s="62"/>
      <c r="K61" s="64">
        <v>50.6</v>
      </c>
      <c r="L61" s="64">
        <f>K61*VLOOKUP(H61,dagsoorttabel1,2,FALSE)</f>
        <v>50.6</v>
      </c>
      <c r="M61" s="65">
        <f>prodnorm4</f>
        <v>0</v>
      </c>
      <c r="N61" s="66">
        <f>dagwerk4</f>
        <v>0</v>
      </c>
      <c r="O61" s="62" t="s">
        <v>37</v>
      </c>
      <c r="P61" s="67">
        <f>uurtarief4</f>
        <v>0</v>
      </c>
      <c r="Q61" s="64" t="e">
        <f>IF(ISBLANK(M61),0,L61/M61)</f>
        <v>#DIV/0!</v>
      </c>
      <c r="R61" s="64" t="e">
        <f>IF(ISBLANK(M61),0,Q61*N61)</f>
        <v>#DIV/0!</v>
      </c>
      <c r="S61" s="67" t="e">
        <f>P61*Q61</f>
        <v>#DIV/0!</v>
      </c>
      <c r="T61" s="64" t="e">
        <f>Q61*dagenperjaar1</f>
        <v>#DIV/0!</v>
      </c>
      <c r="U61" s="68" t="e">
        <f>T61*P61</f>
        <v>#DIV/0!</v>
      </c>
    </row>
    <row r="62" spans="1:21" x14ac:dyDescent="0.2">
      <c r="A62" s="61" t="s">
        <v>120</v>
      </c>
      <c r="B62" s="62" t="s">
        <v>121</v>
      </c>
      <c r="C62" s="62" t="s">
        <v>122</v>
      </c>
      <c r="D62" s="62" t="s">
        <v>183</v>
      </c>
      <c r="E62" s="63" t="s">
        <v>147</v>
      </c>
      <c r="F62" s="62" t="s">
        <v>125</v>
      </c>
      <c r="G62" s="62" t="s">
        <v>105</v>
      </c>
      <c r="H62" s="62" t="s">
        <v>24</v>
      </c>
      <c r="I62" s="62" t="s">
        <v>87</v>
      </c>
      <c r="J62" s="62"/>
      <c r="K62" s="64">
        <v>50.6</v>
      </c>
      <c r="L62" s="64">
        <f>K62*VLOOKUP(H62,dagsoorttabel1,2,FALSE)</f>
        <v>0.253</v>
      </c>
      <c r="M62" s="65">
        <f>prodnorm10</f>
        <v>0</v>
      </c>
      <c r="N62" s="66">
        <f>dagwerk10</f>
        <v>0</v>
      </c>
      <c r="O62" s="62" t="s">
        <v>37</v>
      </c>
      <c r="P62" s="67">
        <f>uurtarief10</f>
        <v>0</v>
      </c>
      <c r="Q62" s="64" t="e">
        <f>IF(ISBLANK(M62),0,L62/M62)</f>
        <v>#DIV/0!</v>
      </c>
      <c r="R62" s="64" t="e">
        <f>IF(ISBLANK(M62),0,Q62*N62)</f>
        <v>#DIV/0!</v>
      </c>
      <c r="S62" s="67" t="e">
        <f>P62*Q62</f>
        <v>#DIV/0!</v>
      </c>
      <c r="T62" s="64" t="e">
        <f>Q62*dagenperjaar1</f>
        <v>#DIV/0!</v>
      </c>
      <c r="U62" s="68" t="e">
        <f>T62*P62</f>
        <v>#DIV/0!</v>
      </c>
    </row>
    <row r="63" spans="1:21" x14ac:dyDescent="0.2">
      <c r="A63" s="61" t="s">
        <v>120</v>
      </c>
      <c r="B63" s="62" t="s">
        <v>121</v>
      </c>
      <c r="C63" s="62" t="s">
        <v>122</v>
      </c>
      <c r="D63" s="62" t="s">
        <v>184</v>
      </c>
      <c r="E63" s="63" t="s">
        <v>147</v>
      </c>
      <c r="F63" s="62" t="s">
        <v>125</v>
      </c>
      <c r="G63" s="62" t="s">
        <v>93</v>
      </c>
      <c r="H63" s="62" t="s">
        <v>12</v>
      </c>
      <c r="I63" s="62" t="s">
        <v>87</v>
      </c>
      <c r="J63" s="62"/>
      <c r="K63" s="64">
        <v>50.7</v>
      </c>
      <c r="L63" s="64">
        <f>K63*VLOOKUP(H63,dagsoorttabel1,2,FALSE)</f>
        <v>50.7</v>
      </c>
      <c r="M63" s="65">
        <f>prodnorm4</f>
        <v>0</v>
      </c>
      <c r="N63" s="66">
        <f>dagwerk4</f>
        <v>0</v>
      </c>
      <c r="O63" s="62" t="s">
        <v>37</v>
      </c>
      <c r="P63" s="67">
        <f>uurtarief4</f>
        <v>0</v>
      </c>
      <c r="Q63" s="64" t="e">
        <f>IF(ISBLANK(M63),0,L63/M63)</f>
        <v>#DIV/0!</v>
      </c>
      <c r="R63" s="64" t="e">
        <f>IF(ISBLANK(M63),0,Q63*N63)</f>
        <v>#DIV/0!</v>
      </c>
      <c r="S63" s="67" t="e">
        <f>P63*Q63</f>
        <v>#DIV/0!</v>
      </c>
      <c r="T63" s="64" t="e">
        <f>Q63*dagenperjaar1</f>
        <v>#DIV/0!</v>
      </c>
      <c r="U63" s="68" t="e">
        <f>T63*P63</f>
        <v>#DIV/0!</v>
      </c>
    </row>
    <row r="64" spans="1:21" x14ac:dyDescent="0.2">
      <c r="A64" s="61" t="s">
        <v>120</v>
      </c>
      <c r="B64" s="62" t="s">
        <v>121</v>
      </c>
      <c r="C64" s="62" t="s">
        <v>122</v>
      </c>
      <c r="D64" s="62" t="s">
        <v>184</v>
      </c>
      <c r="E64" s="63" t="s">
        <v>147</v>
      </c>
      <c r="F64" s="62" t="s">
        <v>125</v>
      </c>
      <c r="G64" s="62" t="s">
        <v>105</v>
      </c>
      <c r="H64" s="62" t="s">
        <v>24</v>
      </c>
      <c r="I64" s="62" t="s">
        <v>87</v>
      </c>
      <c r="J64" s="62"/>
      <c r="K64" s="64">
        <v>50.7</v>
      </c>
      <c r="L64" s="64">
        <f>K64*VLOOKUP(H64,dagsoorttabel1,2,FALSE)</f>
        <v>0.2535</v>
      </c>
      <c r="M64" s="65">
        <f>prodnorm10</f>
        <v>0</v>
      </c>
      <c r="N64" s="66">
        <f>dagwerk10</f>
        <v>0</v>
      </c>
      <c r="O64" s="62" t="s">
        <v>37</v>
      </c>
      <c r="P64" s="67">
        <f>uurtarief10</f>
        <v>0</v>
      </c>
      <c r="Q64" s="64" t="e">
        <f>IF(ISBLANK(M64),0,L64/M64)</f>
        <v>#DIV/0!</v>
      </c>
      <c r="R64" s="64" t="e">
        <f>IF(ISBLANK(M64),0,Q64*N64)</f>
        <v>#DIV/0!</v>
      </c>
      <c r="S64" s="67" t="e">
        <f>P64*Q64</f>
        <v>#DIV/0!</v>
      </c>
      <c r="T64" s="64" t="e">
        <f>Q64*dagenperjaar1</f>
        <v>#DIV/0!</v>
      </c>
      <c r="U64" s="68" t="e">
        <f>T64*P64</f>
        <v>#DIV/0!</v>
      </c>
    </row>
    <row r="65" spans="1:21" x14ac:dyDescent="0.2">
      <c r="A65" s="61" t="s">
        <v>120</v>
      </c>
      <c r="B65" s="62" t="s">
        <v>121</v>
      </c>
      <c r="C65" s="62" t="s">
        <v>122</v>
      </c>
      <c r="D65" s="62" t="s">
        <v>185</v>
      </c>
      <c r="E65" s="63" t="s">
        <v>147</v>
      </c>
      <c r="F65" s="62" t="s">
        <v>125</v>
      </c>
      <c r="G65" s="62" t="s">
        <v>93</v>
      </c>
      <c r="H65" s="62" t="s">
        <v>12</v>
      </c>
      <c r="I65" s="62" t="s">
        <v>87</v>
      </c>
      <c r="J65" s="62"/>
      <c r="K65" s="64">
        <v>47.4</v>
      </c>
      <c r="L65" s="64">
        <f>K65*VLOOKUP(H65,dagsoorttabel1,2,FALSE)</f>
        <v>47.4</v>
      </c>
      <c r="M65" s="65">
        <f>prodnorm4</f>
        <v>0</v>
      </c>
      <c r="N65" s="66">
        <f>dagwerk4</f>
        <v>0</v>
      </c>
      <c r="O65" s="62" t="s">
        <v>37</v>
      </c>
      <c r="P65" s="67">
        <f>uurtarief4</f>
        <v>0</v>
      </c>
      <c r="Q65" s="64" t="e">
        <f>IF(ISBLANK(M65),0,L65/M65)</f>
        <v>#DIV/0!</v>
      </c>
      <c r="R65" s="64" t="e">
        <f>IF(ISBLANK(M65),0,Q65*N65)</f>
        <v>#DIV/0!</v>
      </c>
      <c r="S65" s="67" t="e">
        <f>P65*Q65</f>
        <v>#DIV/0!</v>
      </c>
      <c r="T65" s="64" t="e">
        <f>Q65*dagenperjaar1</f>
        <v>#DIV/0!</v>
      </c>
      <c r="U65" s="68" t="e">
        <f>T65*P65</f>
        <v>#DIV/0!</v>
      </c>
    </row>
    <row r="66" spans="1:21" x14ac:dyDescent="0.2">
      <c r="A66" s="61" t="s">
        <v>120</v>
      </c>
      <c r="B66" s="62" t="s">
        <v>121</v>
      </c>
      <c r="C66" s="62" t="s">
        <v>122</v>
      </c>
      <c r="D66" s="62" t="s">
        <v>185</v>
      </c>
      <c r="E66" s="63" t="s">
        <v>147</v>
      </c>
      <c r="F66" s="62" t="s">
        <v>125</v>
      </c>
      <c r="G66" s="62" t="s">
        <v>105</v>
      </c>
      <c r="H66" s="62" t="s">
        <v>24</v>
      </c>
      <c r="I66" s="62" t="s">
        <v>87</v>
      </c>
      <c r="J66" s="62"/>
      <c r="K66" s="64">
        <v>47.4</v>
      </c>
      <c r="L66" s="64">
        <f>K66*VLOOKUP(H66,dagsoorttabel1,2,FALSE)</f>
        <v>0.23699999999999999</v>
      </c>
      <c r="M66" s="65">
        <f>prodnorm10</f>
        <v>0</v>
      </c>
      <c r="N66" s="66">
        <f>dagwerk10</f>
        <v>0</v>
      </c>
      <c r="O66" s="62" t="s">
        <v>37</v>
      </c>
      <c r="P66" s="67">
        <f>uurtarief10</f>
        <v>0</v>
      </c>
      <c r="Q66" s="64" t="e">
        <f>IF(ISBLANK(M66),0,L66/M66)</f>
        <v>#DIV/0!</v>
      </c>
      <c r="R66" s="64" t="e">
        <f>IF(ISBLANK(M66),0,Q66*N66)</f>
        <v>#DIV/0!</v>
      </c>
      <c r="S66" s="67" t="e">
        <f>P66*Q66</f>
        <v>#DIV/0!</v>
      </c>
      <c r="T66" s="64" t="e">
        <f>Q66*dagenperjaar1</f>
        <v>#DIV/0!</v>
      </c>
      <c r="U66" s="68" t="e">
        <f>T66*P66</f>
        <v>#DIV/0!</v>
      </c>
    </row>
    <row r="67" spans="1:21" x14ac:dyDescent="0.2">
      <c r="A67" s="61" t="s">
        <v>120</v>
      </c>
      <c r="B67" s="62" t="s">
        <v>121</v>
      </c>
      <c r="C67" s="62" t="s">
        <v>122</v>
      </c>
      <c r="D67" s="62" t="s">
        <v>186</v>
      </c>
      <c r="E67" s="63" t="s">
        <v>187</v>
      </c>
      <c r="F67" s="62" t="s">
        <v>125</v>
      </c>
      <c r="G67" s="62" t="s">
        <v>103</v>
      </c>
      <c r="H67" s="62" t="s">
        <v>12</v>
      </c>
      <c r="I67" s="62" t="s">
        <v>87</v>
      </c>
      <c r="J67" s="62"/>
      <c r="K67" s="64">
        <v>10.9</v>
      </c>
      <c r="L67" s="64">
        <f>K67*VLOOKUP(H67,dagsoorttabel1,2,FALSE)</f>
        <v>10.9</v>
      </c>
      <c r="M67" s="65">
        <f>prodnorm9</f>
        <v>0</v>
      </c>
      <c r="N67" s="66">
        <f>dagwerk9</f>
        <v>0</v>
      </c>
      <c r="O67" s="62" t="s">
        <v>37</v>
      </c>
      <c r="P67" s="67">
        <f>uurtarief9</f>
        <v>0</v>
      </c>
      <c r="Q67" s="64" t="e">
        <f>IF(ISBLANK(M67),0,L67/M67)</f>
        <v>#DIV/0!</v>
      </c>
      <c r="R67" s="64" t="e">
        <f>IF(ISBLANK(M67),0,Q67*N67)</f>
        <v>#DIV/0!</v>
      </c>
      <c r="S67" s="67" t="e">
        <f>P67*Q67</f>
        <v>#DIV/0!</v>
      </c>
      <c r="T67" s="64" t="e">
        <f>Q67*dagenperjaar1</f>
        <v>#DIV/0!</v>
      </c>
      <c r="U67" s="68" t="e">
        <f>T67*P67</f>
        <v>#DIV/0!</v>
      </c>
    </row>
    <row r="68" spans="1:21" x14ac:dyDescent="0.2">
      <c r="A68" s="61" t="s">
        <v>120</v>
      </c>
      <c r="B68" s="62" t="s">
        <v>121</v>
      </c>
      <c r="C68" s="62" t="s">
        <v>122</v>
      </c>
      <c r="D68" s="62" t="s">
        <v>186</v>
      </c>
      <c r="E68" s="63" t="s">
        <v>187</v>
      </c>
      <c r="F68" s="62" t="s">
        <v>125</v>
      </c>
      <c r="G68" s="62" t="s">
        <v>105</v>
      </c>
      <c r="H68" s="62" t="s">
        <v>24</v>
      </c>
      <c r="I68" s="62" t="s">
        <v>87</v>
      </c>
      <c r="J68" s="62"/>
      <c r="K68" s="64">
        <v>10.9</v>
      </c>
      <c r="L68" s="64">
        <f>K68*VLOOKUP(H68,dagsoorttabel1,2,FALSE)</f>
        <v>5.45E-2</v>
      </c>
      <c r="M68" s="65">
        <f>prodnorm10</f>
        <v>0</v>
      </c>
      <c r="N68" s="66">
        <f>dagwerk10</f>
        <v>0</v>
      </c>
      <c r="O68" s="62" t="s">
        <v>37</v>
      </c>
      <c r="P68" s="67">
        <f>uurtarief10</f>
        <v>0</v>
      </c>
      <c r="Q68" s="64" t="e">
        <f>IF(ISBLANK(M68),0,L68/M68)</f>
        <v>#DIV/0!</v>
      </c>
      <c r="R68" s="64" t="e">
        <f>IF(ISBLANK(M68),0,Q68*N68)</f>
        <v>#DIV/0!</v>
      </c>
      <c r="S68" s="67" t="e">
        <f>P68*Q68</f>
        <v>#DIV/0!</v>
      </c>
      <c r="T68" s="64" t="e">
        <f>Q68*dagenperjaar1</f>
        <v>#DIV/0!</v>
      </c>
      <c r="U68" s="68" t="e">
        <f>T68*P68</f>
        <v>#DIV/0!</v>
      </c>
    </row>
    <row r="69" spans="1:21" x14ac:dyDescent="0.2">
      <c r="A69" s="61" t="s">
        <v>120</v>
      </c>
      <c r="B69" s="62" t="s">
        <v>121</v>
      </c>
      <c r="C69" s="62" t="s">
        <v>122</v>
      </c>
      <c r="D69" s="62" t="s">
        <v>188</v>
      </c>
      <c r="E69" s="63" t="s">
        <v>145</v>
      </c>
      <c r="F69" s="62" t="s">
        <v>125</v>
      </c>
      <c r="G69" s="62" t="s">
        <v>103</v>
      </c>
      <c r="H69" s="62" t="s">
        <v>12</v>
      </c>
      <c r="I69" s="62" t="s">
        <v>87</v>
      </c>
      <c r="J69" s="62"/>
      <c r="K69" s="64">
        <v>69</v>
      </c>
      <c r="L69" s="64">
        <f>K69*VLOOKUP(H69,dagsoorttabel1,2,FALSE)</f>
        <v>69</v>
      </c>
      <c r="M69" s="65">
        <f>prodnorm9</f>
        <v>0</v>
      </c>
      <c r="N69" s="66">
        <f>dagwerk9</f>
        <v>0</v>
      </c>
      <c r="O69" s="62" t="s">
        <v>37</v>
      </c>
      <c r="P69" s="67">
        <f>uurtarief9</f>
        <v>0</v>
      </c>
      <c r="Q69" s="64" t="e">
        <f>IF(ISBLANK(M69),0,L69/M69)</f>
        <v>#DIV/0!</v>
      </c>
      <c r="R69" s="64" t="e">
        <f>IF(ISBLANK(M69),0,Q69*N69)</f>
        <v>#DIV/0!</v>
      </c>
      <c r="S69" s="67" t="e">
        <f>P69*Q69</f>
        <v>#DIV/0!</v>
      </c>
      <c r="T69" s="64" t="e">
        <f>Q69*dagenperjaar1</f>
        <v>#DIV/0!</v>
      </c>
      <c r="U69" s="68" t="e">
        <f>T69*P69</f>
        <v>#DIV/0!</v>
      </c>
    </row>
    <row r="70" spans="1:21" x14ac:dyDescent="0.2">
      <c r="A70" s="61" t="s">
        <v>120</v>
      </c>
      <c r="B70" s="62" t="s">
        <v>121</v>
      </c>
      <c r="C70" s="62" t="s">
        <v>122</v>
      </c>
      <c r="D70" s="62" t="s">
        <v>188</v>
      </c>
      <c r="E70" s="63" t="s">
        <v>145</v>
      </c>
      <c r="F70" s="62" t="s">
        <v>125</v>
      </c>
      <c r="G70" s="62" t="s">
        <v>105</v>
      </c>
      <c r="H70" s="62" t="s">
        <v>24</v>
      </c>
      <c r="I70" s="62" t="s">
        <v>87</v>
      </c>
      <c r="J70" s="62"/>
      <c r="K70" s="64">
        <v>69</v>
      </c>
      <c r="L70" s="64">
        <f>K70*VLOOKUP(H70,dagsoorttabel1,2,FALSE)</f>
        <v>0.34500000000000003</v>
      </c>
      <c r="M70" s="65">
        <f>prodnorm10</f>
        <v>0</v>
      </c>
      <c r="N70" s="66">
        <f>dagwerk10</f>
        <v>0</v>
      </c>
      <c r="O70" s="62" t="s">
        <v>37</v>
      </c>
      <c r="P70" s="67">
        <f>uurtarief10</f>
        <v>0</v>
      </c>
      <c r="Q70" s="64" t="e">
        <f>IF(ISBLANK(M70),0,L70/M70)</f>
        <v>#DIV/0!</v>
      </c>
      <c r="R70" s="64" t="e">
        <f>IF(ISBLANK(M70),0,Q70*N70)</f>
        <v>#DIV/0!</v>
      </c>
      <c r="S70" s="67" t="e">
        <f>P70*Q70</f>
        <v>#DIV/0!</v>
      </c>
      <c r="T70" s="64" t="e">
        <f>Q70*dagenperjaar1</f>
        <v>#DIV/0!</v>
      </c>
      <c r="U70" s="68" t="e">
        <f>T70*P70</f>
        <v>#DIV/0!</v>
      </c>
    </row>
    <row r="71" spans="1:21" x14ac:dyDescent="0.2">
      <c r="A71" s="61" t="s">
        <v>120</v>
      </c>
      <c r="B71" s="62" t="s">
        <v>121</v>
      </c>
      <c r="C71" s="62" t="s">
        <v>122</v>
      </c>
      <c r="D71" s="62" t="s">
        <v>189</v>
      </c>
      <c r="E71" s="63" t="s">
        <v>138</v>
      </c>
      <c r="F71" s="62" t="s">
        <v>132</v>
      </c>
      <c r="G71" s="62" t="s">
        <v>99</v>
      </c>
      <c r="H71" s="62" t="s">
        <v>12</v>
      </c>
      <c r="I71" s="62" t="s">
        <v>87</v>
      </c>
      <c r="J71" s="62"/>
      <c r="K71" s="64">
        <v>6.8</v>
      </c>
      <c r="L71" s="64">
        <f>K71*VLOOKUP(H71,dagsoorttabel1,2,FALSE)</f>
        <v>6.8</v>
      </c>
      <c r="M71" s="65">
        <f>prodnorm7</f>
        <v>0</v>
      </c>
      <c r="N71" s="66">
        <f>dagwerk7</f>
        <v>0</v>
      </c>
      <c r="O71" s="62" t="s">
        <v>37</v>
      </c>
      <c r="P71" s="67">
        <f>uurtarief7</f>
        <v>0</v>
      </c>
      <c r="Q71" s="64" t="e">
        <f>IF(ISBLANK(M71),0,L71/M71)</f>
        <v>#DIV/0!</v>
      </c>
      <c r="R71" s="64" t="e">
        <f>IF(ISBLANK(M71),0,Q71*N71)</f>
        <v>#DIV/0!</v>
      </c>
      <c r="S71" s="67" t="e">
        <f>P71*Q71</f>
        <v>#DIV/0!</v>
      </c>
      <c r="T71" s="64" t="e">
        <f>Q71*dagenperjaar1</f>
        <v>#DIV/0!</v>
      </c>
      <c r="U71" s="68" t="e">
        <f>T71*P71</f>
        <v>#DIV/0!</v>
      </c>
    </row>
    <row r="72" spans="1:21" x14ac:dyDescent="0.2">
      <c r="A72" s="61" t="s">
        <v>120</v>
      </c>
      <c r="B72" s="62" t="s">
        <v>121</v>
      </c>
      <c r="C72" s="62" t="s">
        <v>122</v>
      </c>
      <c r="D72" s="62" t="s">
        <v>190</v>
      </c>
      <c r="E72" s="63" t="s">
        <v>138</v>
      </c>
      <c r="F72" s="62" t="s">
        <v>132</v>
      </c>
      <c r="G72" s="62" t="s">
        <v>99</v>
      </c>
      <c r="H72" s="62" t="s">
        <v>12</v>
      </c>
      <c r="I72" s="62" t="s">
        <v>87</v>
      </c>
      <c r="J72" s="62"/>
      <c r="K72" s="64">
        <v>4.8</v>
      </c>
      <c r="L72" s="64">
        <f>K72*VLOOKUP(H72,dagsoorttabel1,2,FALSE)</f>
        <v>4.8</v>
      </c>
      <c r="M72" s="65">
        <f>prodnorm7</f>
        <v>0</v>
      </c>
      <c r="N72" s="66">
        <f>dagwerk7</f>
        <v>0</v>
      </c>
      <c r="O72" s="62" t="s">
        <v>37</v>
      </c>
      <c r="P72" s="67">
        <f>uurtarief7</f>
        <v>0</v>
      </c>
      <c r="Q72" s="64" t="e">
        <f>IF(ISBLANK(M72),0,L72/M72)</f>
        <v>#DIV/0!</v>
      </c>
      <c r="R72" s="64" t="e">
        <f>IF(ISBLANK(M72),0,Q72*N72)</f>
        <v>#DIV/0!</v>
      </c>
      <c r="S72" s="67" t="e">
        <f>P72*Q72</f>
        <v>#DIV/0!</v>
      </c>
      <c r="T72" s="64" t="e">
        <f>Q72*dagenperjaar1</f>
        <v>#DIV/0!</v>
      </c>
      <c r="U72" s="68" t="e">
        <f>T72*P72</f>
        <v>#DIV/0!</v>
      </c>
    </row>
    <row r="73" spans="1:21" x14ac:dyDescent="0.2">
      <c r="A73" s="61" t="s">
        <v>120</v>
      </c>
      <c r="B73" s="62" t="s">
        <v>121</v>
      </c>
      <c r="C73" s="62" t="s">
        <v>122</v>
      </c>
      <c r="D73" s="62" t="s">
        <v>191</v>
      </c>
      <c r="E73" s="63" t="s">
        <v>138</v>
      </c>
      <c r="F73" s="62" t="s">
        <v>132</v>
      </c>
      <c r="G73" s="62" t="s">
        <v>99</v>
      </c>
      <c r="H73" s="62" t="s">
        <v>12</v>
      </c>
      <c r="I73" s="62" t="s">
        <v>87</v>
      </c>
      <c r="J73" s="62"/>
      <c r="K73" s="64">
        <v>6.8</v>
      </c>
      <c r="L73" s="64">
        <f>K73*VLOOKUP(H73,dagsoorttabel1,2,FALSE)</f>
        <v>6.8</v>
      </c>
      <c r="M73" s="65">
        <f>prodnorm7</f>
        <v>0</v>
      </c>
      <c r="N73" s="66">
        <f>dagwerk7</f>
        <v>0</v>
      </c>
      <c r="O73" s="62" t="s">
        <v>37</v>
      </c>
      <c r="P73" s="67">
        <f>uurtarief7</f>
        <v>0</v>
      </c>
      <c r="Q73" s="64" t="e">
        <f>IF(ISBLANK(M73),0,L73/M73)</f>
        <v>#DIV/0!</v>
      </c>
      <c r="R73" s="64" t="e">
        <f>IF(ISBLANK(M73),0,Q73*N73)</f>
        <v>#DIV/0!</v>
      </c>
      <c r="S73" s="67" t="e">
        <f>P73*Q73</f>
        <v>#DIV/0!</v>
      </c>
      <c r="T73" s="64" t="e">
        <f>Q73*dagenperjaar1</f>
        <v>#DIV/0!</v>
      </c>
      <c r="U73" s="68" t="e">
        <f>T73*P73</f>
        <v>#DIV/0!</v>
      </c>
    </row>
    <row r="74" spans="1:21" x14ac:dyDescent="0.2">
      <c r="A74" s="61" t="s">
        <v>120</v>
      </c>
      <c r="B74" s="62" t="s">
        <v>121</v>
      </c>
      <c r="C74" s="62" t="s">
        <v>122</v>
      </c>
      <c r="D74" s="62" t="s">
        <v>192</v>
      </c>
      <c r="E74" s="63" t="s">
        <v>193</v>
      </c>
      <c r="F74" s="62" t="s">
        <v>125</v>
      </c>
      <c r="G74" s="62" t="s">
        <v>99</v>
      </c>
      <c r="H74" s="62" t="s">
        <v>12</v>
      </c>
      <c r="I74" s="62" t="s">
        <v>87</v>
      </c>
      <c r="J74" s="62"/>
      <c r="K74" s="64">
        <v>26.8</v>
      </c>
      <c r="L74" s="64">
        <f>K74*VLOOKUP(H74,dagsoorttabel1,2,FALSE)</f>
        <v>26.8</v>
      </c>
      <c r="M74" s="65">
        <f>prodnorm7</f>
        <v>0</v>
      </c>
      <c r="N74" s="66">
        <f>dagwerk7</f>
        <v>0</v>
      </c>
      <c r="O74" s="62" t="s">
        <v>37</v>
      </c>
      <c r="P74" s="67">
        <f>uurtarief7</f>
        <v>0</v>
      </c>
      <c r="Q74" s="64" t="e">
        <f>IF(ISBLANK(M74),0,L74/M74)</f>
        <v>#DIV/0!</v>
      </c>
      <c r="R74" s="64" t="e">
        <f>IF(ISBLANK(M74),0,Q74*N74)</f>
        <v>#DIV/0!</v>
      </c>
      <c r="S74" s="67" t="e">
        <f>P74*Q74</f>
        <v>#DIV/0!</v>
      </c>
      <c r="T74" s="64" t="e">
        <f>Q74*dagenperjaar1</f>
        <v>#DIV/0!</v>
      </c>
      <c r="U74" s="68" t="e">
        <f>T74*P74</f>
        <v>#DIV/0!</v>
      </c>
    </row>
    <row r="75" spans="1:21" x14ac:dyDescent="0.2">
      <c r="A75" s="61" t="s">
        <v>120</v>
      </c>
      <c r="B75" s="62" t="s">
        <v>121</v>
      </c>
      <c r="C75" s="62" t="s">
        <v>122</v>
      </c>
      <c r="D75" s="62" t="s">
        <v>192</v>
      </c>
      <c r="E75" s="63" t="s">
        <v>193</v>
      </c>
      <c r="F75" s="62" t="s">
        <v>125</v>
      </c>
      <c r="G75" s="62" t="s">
        <v>105</v>
      </c>
      <c r="H75" s="62" t="s">
        <v>24</v>
      </c>
      <c r="I75" s="62" t="s">
        <v>87</v>
      </c>
      <c r="J75" s="62"/>
      <c r="K75" s="64">
        <v>26.8</v>
      </c>
      <c r="L75" s="64">
        <f>K75*VLOOKUP(H75,dagsoorttabel1,2,FALSE)</f>
        <v>0.13400000000000001</v>
      </c>
      <c r="M75" s="65">
        <f>prodnorm10</f>
        <v>0</v>
      </c>
      <c r="N75" s="66">
        <f>dagwerk10</f>
        <v>0</v>
      </c>
      <c r="O75" s="62" t="s">
        <v>37</v>
      </c>
      <c r="P75" s="67">
        <f>uurtarief10</f>
        <v>0</v>
      </c>
      <c r="Q75" s="64" t="e">
        <f>IF(ISBLANK(M75),0,L75/M75)</f>
        <v>#DIV/0!</v>
      </c>
      <c r="R75" s="64" t="e">
        <f>IF(ISBLANK(M75),0,Q75*N75)</f>
        <v>#DIV/0!</v>
      </c>
      <c r="S75" s="67" t="e">
        <f>P75*Q75</f>
        <v>#DIV/0!</v>
      </c>
      <c r="T75" s="64" t="e">
        <f>Q75*dagenperjaar1</f>
        <v>#DIV/0!</v>
      </c>
      <c r="U75" s="68" t="e">
        <f>T75*P75</f>
        <v>#DIV/0!</v>
      </c>
    </row>
    <row r="76" spans="1:21" x14ac:dyDescent="0.2">
      <c r="A76" s="61" t="s">
        <v>120</v>
      </c>
      <c r="B76" s="62" t="s">
        <v>121</v>
      </c>
      <c r="C76" s="62" t="s">
        <v>122</v>
      </c>
      <c r="D76" s="62" t="s">
        <v>194</v>
      </c>
      <c r="E76" s="63" t="s">
        <v>195</v>
      </c>
      <c r="F76" s="62" t="s">
        <v>196</v>
      </c>
      <c r="G76" s="62" t="s">
        <v>99</v>
      </c>
      <c r="H76" s="62" t="s">
        <v>12</v>
      </c>
      <c r="I76" s="62" t="s">
        <v>87</v>
      </c>
      <c r="J76" s="62"/>
      <c r="K76" s="64">
        <v>6.2</v>
      </c>
      <c r="L76" s="64">
        <f>K76*VLOOKUP(H76,dagsoorttabel1,2,FALSE)</f>
        <v>6.2</v>
      </c>
      <c r="M76" s="65">
        <f>prodnorm7</f>
        <v>0</v>
      </c>
      <c r="N76" s="66">
        <f>dagwerk7</f>
        <v>0</v>
      </c>
      <c r="O76" s="62" t="s">
        <v>37</v>
      </c>
      <c r="P76" s="67">
        <f>uurtarief7</f>
        <v>0</v>
      </c>
      <c r="Q76" s="64" t="e">
        <f>IF(ISBLANK(M76),0,L76/M76)</f>
        <v>#DIV/0!</v>
      </c>
      <c r="R76" s="64" t="e">
        <f>IF(ISBLANK(M76),0,Q76*N76)</f>
        <v>#DIV/0!</v>
      </c>
      <c r="S76" s="67" t="e">
        <f>P76*Q76</f>
        <v>#DIV/0!</v>
      </c>
      <c r="T76" s="64" t="e">
        <f>Q76*dagenperjaar1</f>
        <v>#DIV/0!</v>
      </c>
      <c r="U76" s="68" t="e">
        <f>T76*P76</f>
        <v>#DIV/0!</v>
      </c>
    </row>
    <row r="77" spans="1:21" x14ac:dyDescent="0.2">
      <c r="A77" s="61" t="s">
        <v>120</v>
      </c>
      <c r="B77" s="62" t="s">
        <v>121</v>
      </c>
      <c r="C77" s="62" t="s">
        <v>122</v>
      </c>
      <c r="D77" s="62" t="s">
        <v>197</v>
      </c>
      <c r="E77" s="63" t="s">
        <v>138</v>
      </c>
      <c r="F77" s="62" t="s">
        <v>196</v>
      </c>
      <c r="G77" s="62" t="s">
        <v>99</v>
      </c>
      <c r="H77" s="62" t="s">
        <v>12</v>
      </c>
      <c r="I77" s="62" t="s">
        <v>87</v>
      </c>
      <c r="J77" s="62"/>
      <c r="K77" s="64">
        <v>1.3</v>
      </c>
      <c r="L77" s="64">
        <f>K77*VLOOKUP(H77,dagsoorttabel1,2,FALSE)</f>
        <v>1.3</v>
      </c>
      <c r="M77" s="65">
        <f>prodnorm7</f>
        <v>0</v>
      </c>
      <c r="N77" s="66">
        <f>dagwerk7</f>
        <v>0</v>
      </c>
      <c r="O77" s="62" t="s">
        <v>37</v>
      </c>
      <c r="P77" s="67">
        <f>uurtarief7</f>
        <v>0</v>
      </c>
      <c r="Q77" s="64" t="e">
        <f>IF(ISBLANK(M77),0,L77/M77)</f>
        <v>#DIV/0!</v>
      </c>
      <c r="R77" s="64" t="e">
        <f>IF(ISBLANK(M77),0,Q77*N77)</f>
        <v>#DIV/0!</v>
      </c>
      <c r="S77" s="67" t="e">
        <f>P77*Q77</f>
        <v>#DIV/0!</v>
      </c>
      <c r="T77" s="64" t="e">
        <f>Q77*dagenperjaar1</f>
        <v>#DIV/0!</v>
      </c>
      <c r="U77" s="68" t="e">
        <f>T77*P77</f>
        <v>#DIV/0!</v>
      </c>
    </row>
    <row r="78" spans="1:21" x14ac:dyDescent="0.2">
      <c r="A78" s="61" t="s">
        <v>120</v>
      </c>
      <c r="B78" s="62" t="s">
        <v>121</v>
      </c>
      <c r="C78" s="62" t="s">
        <v>122</v>
      </c>
      <c r="D78" s="62" t="s">
        <v>198</v>
      </c>
      <c r="E78" s="63" t="s">
        <v>138</v>
      </c>
      <c r="F78" s="62" t="s">
        <v>196</v>
      </c>
      <c r="G78" s="62" t="s">
        <v>99</v>
      </c>
      <c r="H78" s="62" t="s">
        <v>12</v>
      </c>
      <c r="I78" s="62" t="s">
        <v>87</v>
      </c>
      <c r="J78" s="62"/>
      <c r="K78" s="64">
        <v>1.3</v>
      </c>
      <c r="L78" s="64">
        <f>K78*VLOOKUP(H78,dagsoorttabel1,2,FALSE)</f>
        <v>1.3</v>
      </c>
      <c r="M78" s="65">
        <f>prodnorm7</f>
        <v>0</v>
      </c>
      <c r="N78" s="66">
        <f>dagwerk7</f>
        <v>0</v>
      </c>
      <c r="O78" s="62" t="s">
        <v>37</v>
      </c>
      <c r="P78" s="67">
        <f>uurtarief7</f>
        <v>0</v>
      </c>
      <c r="Q78" s="64" t="e">
        <f>IF(ISBLANK(M78),0,L78/M78)</f>
        <v>#DIV/0!</v>
      </c>
      <c r="R78" s="64" t="e">
        <f>IF(ISBLANK(M78),0,Q78*N78)</f>
        <v>#DIV/0!</v>
      </c>
      <c r="S78" s="67" t="e">
        <f>P78*Q78</f>
        <v>#DIV/0!</v>
      </c>
      <c r="T78" s="64" t="e">
        <f>Q78*dagenperjaar1</f>
        <v>#DIV/0!</v>
      </c>
      <c r="U78" s="68" t="e">
        <f>T78*P78</f>
        <v>#DIV/0!</v>
      </c>
    </row>
    <row r="79" spans="1:21" x14ac:dyDescent="0.2">
      <c r="A79" s="61" t="s">
        <v>120</v>
      </c>
      <c r="B79" s="62" t="s">
        <v>121</v>
      </c>
      <c r="C79" s="62" t="s">
        <v>122</v>
      </c>
      <c r="D79" s="62" t="s">
        <v>199</v>
      </c>
      <c r="E79" s="63" t="s">
        <v>200</v>
      </c>
      <c r="F79" s="62" t="s">
        <v>201</v>
      </c>
      <c r="G79" s="62" t="s">
        <v>103</v>
      </c>
      <c r="H79" s="62" t="s">
        <v>12</v>
      </c>
      <c r="I79" s="62" t="s">
        <v>87</v>
      </c>
      <c r="J79" s="62"/>
      <c r="K79" s="64">
        <v>250</v>
      </c>
      <c r="L79" s="64">
        <f>K79*VLOOKUP(H79,dagsoorttabel1,2,FALSE)</f>
        <v>250</v>
      </c>
      <c r="M79" s="65">
        <f>prodnorm9</f>
        <v>0</v>
      </c>
      <c r="N79" s="66">
        <f>dagwerk9</f>
        <v>0</v>
      </c>
      <c r="O79" s="62" t="s">
        <v>37</v>
      </c>
      <c r="P79" s="67">
        <f>uurtarief9</f>
        <v>0</v>
      </c>
      <c r="Q79" s="64" t="e">
        <f>IF(ISBLANK(M79),0,L79/M79)</f>
        <v>#DIV/0!</v>
      </c>
      <c r="R79" s="64" t="e">
        <f>IF(ISBLANK(M79),0,Q79*N79)</f>
        <v>#DIV/0!</v>
      </c>
      <c r="S79" s="67" t="e">
        <f>P79*Q79</f>
        <v>#DIV/0!</v>
      </c>
      <c r="T79" s="64" t="e">
        <f>Q79*dagenperjaar1</f>
        <v>#DIV/0!</v>
      </c>
      <c r="U79" s="68" t="e">
        <f>T79*P79</f>
        <v>#DIV/0!</v>
      </c>
    </row>
    <row r="80" spans="1:21" x14ac:dyDescent="0.2">
      <c r="A80" s="61" t="s">
        <v>120</v>
      </c>
      <c r="B80" s="62" t="s">
        <v>121</v>
      </c>
      <c r="C80" s="62" t="s">
        <v>122</v>
      </c>
      <c r="D80" s="62" t="s">
        <v>202</v>
      </c>
      <c r="E80" s="63" t="s">
        <v>203</v>
      </c>
      <c r="F80" s="62" t="s">
        <v>125</v>
      </c>
      <c r="G80" s="62" t="s">
        <v>103</v>
      </c>
      <c r="H80" s="62" t="s">
        <v>12</v>
      </c>
      <c r="I80" s="62" t="s">
        <v>87</v>
      </c>
      <c r="J80" s="62"/>
      <c r="K80" s="64">
        <v>3.5</v>
      </c>
      <c r="L80" s="64">
        <f>K80*VLOOKUP(H80,dagsoorttabel1,2,FALSE)</f>
        <v>3.5</v>
      </c>
      <c r="M80" s="65">
        <f>prodnorm9</f>
        <v>0</v>
      </c>
      <c r="N80" s="66">
        <f>dagwerk9</f>
        <v>0</v>
      </c>
      <c r="O80" s="62" t="s">
        <v>37</v>
      </c>
      <c r="P80" s="67">
        <f>uurtarief9</f>
        <v>0</v>
      </c>
      <c r="Q80" s="64" t="e">
        <f>IF(ISBLANK(M80),0,L80/M80)</f>
        <v>#DIV/0!</v>
      </c>
      <c r="R80" s="64" t="e">
        <f>IF(ISBLANK(M80),0,Q80*N80)</f>
        <v>#DIV/0!</v>
      </c>
      <c r="S80" s="67" t="e">
        <f>P80*Q80</f>
        <v>#DIV/0!</v>
      </c>
      <c r="T80" s="64" t="e">
        <f>Q80*dagenperjaar1</f>
        <v>#DIV/0!</v>
      </c>
      <c r="U80" s="68" t="e">
        <f>T80*P80</f>
        <v>#DIV/0!</v>
      </c>
    </row>
    <row r="81" spans="1:21" x14ac:dyDescent="0.2">
      <c r="A81" s="61" t="s">
        <v>120</v>
      </c>
      <c r="B81" s="62" t="s">
        <v>121</v>
      </c>
      <c r="C81" s="62" t="s">
        <v>122</v>
      </c>
      <c r="D81" s="62" t="s">
        <v>202</v>
      </c>
      <c r="E81" s="63" t="s">
        <v>203</v>
      </c>
      <c r="F81" s="62" t="s">
        <v>125</v>
      </c>
      <c r="G81" s="62" t="s">
        <v>105</v>
      </c>
      <c r="H81" s="62" t="s">
        <v>24</v>
      </c>
      <c r="I81" s="62" t="s">
        <v>87</v>
      </c>
      <c r="J81" s="62"/>
      <c r="K81" s="64">
        <v>3.5</v>
      </c>
      <c r="L81" s="64">
        <f>K81*VLOOKUP(H81,dagsoorttabel1,2,FALSE)</f>
        <v>1.7500000000000002E-2</v>
      </c>
      <c r="M81" s="65">
        <f>prodnorm10</f>
        <v>0</v>
      </c>
      <c r="N81" s="66">
        <f>dagwerk10</f>
        <v>0</v>
      </c>
      <c r="O81" s="62" t="s">
        <v>37</v>
      </c>
      <c r="P81" s="67">
        <f>uurtarief10</f>
        <v>0</v>
      </c>
      <c r="Q81" s="64" t="e">
        <f>IF(ISBLANK(M81),0,L81/M81)</f>
        <v>#DIV/0!</v>
      </c>
      <c r="R81" s="64" t="e">
        <f>IF(ISBLANK(M81),0,Q81*N81)</f>
        <v>#DIV/0!</v>
      </c>
      <c r="S81" s="67" t="e">
        <f>P81*Q81</f>
        <v>#DIV/0!</v>
      </c>
      <c r="T81" s="64" t="e">
        <f>Q81*dagenperjaar1</f>
        <v>#DIV/0!</v>
      </c>
      <c r="U81" s="68" t="e">
        <f>T81*P81</f>
        <v>#DIV/0!</v>
      </c>
    </row>
    <row r="82" spans="1:21" x14ac:dyDescent="0.2">
      <c r="A82" s="61" t="s">
        <v>120</v>
      </c>
      <c r="B82" s="62" t="s">
        <v>121</v>
      </c>
      <c r="C82" s="62" t="s">
        <v>122</v>
      </c>
      <c r="D82" s="62" t="s">
        <v>204</v>
      </c>
      <c r="E82" s="63" t="s">
        <v>179</v>
      </c>
      <c r="F82" s="62" t="s">
        <v>125</v>
      </c>
      <c r="G82" s="62" t="s">
        <v>89</v>
      </c>
      <c r="H82" s="62" t="s">
        <v>10</v>
      </c>
      <c r="I82" s="62" t="s">
        <v>87</v>
      </c>
      <c r="J82" s="62"/>
      <c r="K82" s="64">
        <v>16</v>
      </c>
      <c r="L82" s="64">
        <f>K82*VLOOKUP(H82,dagsoorttabel1,2,FALSE)</f>
        <v>16.399999999999999</v>
      </c>
      <c r="M82" s="65">
        <f>prodnorm2</f>
        <v>0</v>
      </c>
      <c r="N82" s="66">
        <f>dagwerk2</f>
        <v>0</v>
      </c>
      <c r="O82" s="62" t="s">
        <v>37</v>
      </c>
      <c r="P82" s="67">
        <f>uurtarief2</f>
        <v>0</v>
      </c>
      <c r="Q82" s="64" t="e">
        <f>IF(ISBLANK(M82),0,L82/M82)</f>
        <v>#DIV/0!</v>
      </c>
      <c r="R82" s="64" t="e">
        <f>IF(ISBLANK(M82),0,Q82*N82)</f>
        <v>#DIV/0!</v>
      </c>
      <c r="S82" s="67" t="e">
        <f>P82*Q82</f>
        <v>#DIV/0!</v>
      </c>
      <c r="T82" s="64" t="e">
        <f>Q82*dagenperjaar1</f>
        <v>#DIV/0!</v>
      </c>
      <c r="U82" s="68" t="e">
        <f>T82*P82</f>
        <v>#DIV/0!</v>
      </c>
    </row>
    <row r="83" spans="1:21" x14ac:dyDescent="0.2">
      <c r="A83" s="61" t="s">
        <v>120</v>
      </c>
      <c r="B83" s="62" t="s">
        <v>121</v>
      </c>
      <c r="C83" s="62" t="s">
        <v>122</v>
      </c>
      <c r="D83" s="62" t="s">
        <v>204</v>
      </c>
      <c r="E83" s="63" t="s">
        <v>179</v>
      </c>
      <c r="F83" s="62" t="s">
        <v>125</v>
      </c>
      <c r="G83" s="62" t="s">
        <v>105</v>
      </c>
      <c r="H83" s="62" t="s">
        <v>24</v>
      </c>
      <c r="I83" s="62" t="s">
        <v>87</v>
      </c>
      <c r="J83" s="62"/>
      <c r="K83" s="64">
        <v>16</v>
      </c>
      <c r="L83" s="64">
        <f>K83*VLOOKUP(H83,dagsoorttabel1,2,FALSE)</f>
        <v>0.08</v>
      </c>
      <c r="M83" s="65">
        <f>prodnorm10</f>
        <v>0</v>
      </c>
      <c r="N83" s="66">
        <f>dagwerk10</f>
        <v>0</v>
      </c>
      <c r="O83" s="62" t="s">
        <v>37</v>
      </c>
      <c r="P83" s="67">
        <f>uurtarief10</f>
        <v>0</v>
      </c>
      <c r="Q83" s="64" t="e">
        <f>IF(ISBLANK(M83),0,L83/M83)</f>
        <v>#DIV/0!</v>
      </c>
      <c r="R83" s="64" t="e">
        <f>IF(ISBLANK(M83),0,Q83*N83)</f>
        <v>#DIV/0!</v>
      </c>
      <c r="S83" s="67" t="e">
        <f>P83*Q83</f>
        <v>#DIV/0!</v>
      </c>
      <c r="T83" s="64" t="e">
        <f>Q83*dagenperjaar1</f>
        <v>#DIV/0!</v>
      </c>
      <c r="U83" s="68" t="e">
        <f>T83*P83</f>
        <v>#DIV/0!</v>
      </c>
    </row>
    <row r="84" spans="1:21" x14ac:dyDescent="0.2">
      <c r="A84" s="61" t="s">
        <v>120</v>
      </c>
      <c r="B84" s="62" t="s">
        <v>121</v>
      </c>
      <c r="C84" s="62" t="s">
        <v>205</v>
      </c>
      <c r="D84" s="62" t="s">
        <v>206</v>
      </c>
      <c r="E84" s="63" t="s">
        <v>207</v>
      </c>
      <c r="F84" s="62" t="s">
        <v>125</v>
      </c>
      <c r="G84" s="62" t="s">
        <v>97</v>
      </c>
      <c r="H84" s="62" t="s">
        <v>12</v>
      </c>
      <c r="I84" s="62" t="s">
        <v>87</v>
      </c>
      <c r="J84" s="62"/>
      <c r="K84" s="64">
        <v>102</v>
      </c>
      <c r="L84" s="64">
        <f>K84*VLOOKUP(H84,dagsoorttabel1,2,FALSE)</f>
        <v>102</v>
      </c>
      <c r="M84" s="65">
        <f>prodnorm6</f>
        <v>0</v>
      </c>
      <c r="N84" s="66">
        <f>dagwerk6</f>
        <v>0</v>
      </c>
      <c r="O84" s="62" t="s">
        <v>37</v>
      </c>
      <c r="P84" s="67">
        <f>uurtarief6</f>
        <v>0</v>
      </c>
      <c r="Q84" s="64" t="e">
        <f>IF(ISBLANK(M84),0,L84/M84)</f>
        <v>#DIV/0!</v>
      </c>
      <c r="R84" s="64" t="e">
        <f>IF(ISBLANK(M84),0,Q84*N84)</f>
        <v>#DIV/0!</v>
      </c>
      <c r="S84" s="67" t="e">
        <f>P84*Q84</f>
        <v>#DIV/0!</v>
      </c>
      <c r="T84" s="64" t="e">
        <f>Q84*dagenperjaar1</f>
        <v>#DIV/0!</v>
      </c>
      <c r="U84" s="68" t="e">
        <f>T84*P84</f>
        <v>#DIV/0!</v>
      </c>
    </row>
    <row r="85" spans="1:21" x14ac:dyDescent="0.2">
      <c r="A85" s="61" t="s">
        <v>120</v>
      </c>
      <c r="B85" s="62" t="s">
        <v>121</v>
      </c>
      <c r="C85" s="62" t="s">
        <v>205</v>
      </c>
      <c r="D85" s="62" t="s">
        <v>206</v>
      </c>
      <c r="E85" s="63" t="s">
        <v>207</v>
      </c>
      <c r="F85" s="62" t="s">
        <v>125</v>
      </c>
      <c r="G85" s="62" t="s">
        <v>105</v>
      </c>
      <c r="H85" s="62" t="s">
        <v>24</v>
      </c>
      <c r="I85" s="62" t="s">
        <v>87</v>
      </c>
      <c r="J85" s="62"/>
      <c r="K85" s="64">
        <v>102</v>
      </c>
      <c r="L85" s="64">
        <f>K85*VLOOKUP(H85,dagsoorttabel1,2,FALSE)</f>
        <v>0.51</v>
      </c>
      <c r="M85" s="65">
        <f>prodnorm10</f>
        <v>0</v>
      </c>
      <c r="N85" s="66">
        <f>dagwerk10</f>
        <v>0</v>
      </c>
      <c r="O85" s="62" t="s">
        <v>37</v>
      </c>
      <c r="P85" s="67">
        <f>uurtarief10</f>
        <v>0</v>
      </c>
      <c r="Q85" s="64" t="e">
        <f>IF(ISBLANK(M85),0,L85/M85)</f>
        <v>#DIV/0!</v>
      </c>
      <c r="R85" s="64" t="e">
        <f>IF(ISBLANK(M85),0,Q85*N85)</f>
        <v>#DIV/0!</v>
      </c>
      <c r="S85" s="67" t="e">
        <f>P85*Q85</f>
        <v>#DIV/0!</v>
      </c>
      <c r="T85" s="64" t="e">
        <f>Q85*dagenperjaar1</f>
        <v>#DIV/0!</v>
      </c>
      <c r="U85" s="68" t="e">
        <f>T85*P85</f>
        <v>#DIV/0!</v>
      </c>
    </row>
    <row r="86" spans="1:21" x14ac:dyDescent="0.2">
      <c r="A86" s="61" t="s">
        <v>120</v>
      </c>
      <c r="B86" s="62" t="s">
        <v>121</v>
      </c>
      <c r="C86" s="62" t="s">
        <v>205</v>
      </c>
      <c r="D86" s="62" t="s">
        <v>208</v>
      </c>
      <c r="E86" s="63" t="s">
        <v>151</v>
      </c>
      <c r="F86" s="62" t="s">
        <v>132</v>
      </c>
      <c r="G86" s="62" t="s">
        <v>99</v>
      </c>
      <c r="H86" s="62" t="s">
        <v>12</v>
      </c>
      <c r="I86" s="62" t="s">
        <v>87</v>
      </c>
      <c r="J86" s="62"/>
      <c r="K86" s="64">
        <v>15.3</v>
      </c>
      <c r="L86" s="64">
        <f>K86*VLOOKUP(H86,dagsoorttabel1,2,FALSE)</f>
        <v>15.3</v>
      </c>
      <c r="M86" s="65">
        <f>prodnorm7</f>
        <v>0</v>
      </c>
      <c r="N86" s="66">
        <f>dagwerk7</f>
        <v>0</v>
      </c>
      <c r="O86" s="62" t="s">
        <v>37</v>
      </c>
      <c r="P86" s="67">
        <f>uurtarief7</f>
        <v>0</v>
      </c>
      <c r="Q86" s="64" t="e">
        <f>IF(ISBLANK(M86),0,L86/M86)</f>
        <v>#DIV/0!</v>
      </c>
      <c r="R86" s="64" t="e">
        <f>IF(ISBLANK(M86),0,Q86*N86)</f>
        <v>#DIV/0!</v>
      </c>
      <c r="S86" s="67" t="e">
        <f>P86*Q86</f>
        <v>#DIV/0!</v>
      </c>
      <c r="T86" s="64" t="e">
        <f>Q86*dagenperjaar1</f>
        <v>#DIV/0!</v>
      </c>
      <c r="U86" s="68" t="e">
        <f>T86*P86</f>
        <v>#DIV/0!</v>
      </c>
    </row>
    <row r="87" spans="1:21" x14ac:dyDescent="0.2">
      <c r="A87" s="61" t="s">
        <v>120</v>
      </c>
      <c r="B87" s="62" t="s">
        <v>121</v>
      </c>
      <c r="C87" s="62" t="s">
        <v>205</v>
      </c>
      <c r="D87" s="62" t="s">
        <v>209</v>
      </c>
      <c r="E87" s="63" t="s">
        <v>153</v>
      </c>
      <c r="F87" s="62" t="s">
        <v>132</v>
      </c>
      <c r="G87" s="62" t="s">
        <v>99</v>
      </c>
      <c r="H87" s="62" t="s">
        <v>12</v>
      </c>
      <c r="I87" s="62" t="s">
        <v>87</v>
      </c>
      <c r="J87" s="62"/>
      <c r="K87" s="64">
        <v>15.3</v>
      </c>
      <c r="L87" s="64">
        <f>K87*VLOOKUP(H87,dagsoorttabel1,2,FALSE)</f>
        <v>15.3</v>
      </c>
      <c r="M87" s="65">
        <f>prodnorm7</f>
        <v>0</v>
      </c>
      <c r="N87" s="66">
        <f>dagwerk7</f>
        <v>0</v>
      </c>
      <c r="O87" s="62" t="s">
        <v>37</v>
      </c>
      <c r="P87" s="67">
        <f>uurtarief7</f>
        <v>0</v>
      </c>
      <c r="Q87" s="64" t="e">
        <f>IF(ISBLANK(M87),0,L87/M87)</f>
        <v>#DIV/0!</v>
      </c>
      <c r="R87" s="64" t="e">
        <f>IF(ISBLANK(M87),0,Q87*N87)</f>
        <v>#DIV/0!</v>
      </c>
      <c r="S87" s="67" t="e">
        <f>P87*Q87</f>
        <v>#DIV/0!</v>
      </c>
      <c r="T87" s="64" t="e">
        <f>Q87*dagenperjaar1</f>
        <v>#DIV/0!</v>
      </c>
      <c r="U87" s="68" t="e">
        <f>T87*P87</f>
        <v>#DIV/0!</v>
      </c>
    </row>
    <row r="88" spans="1:21" x14ac:dyDescent="0.2">
      <c r="A88" s="61" t="s">
        <v>120</v>
      </c>
      <c r="B88" s="62" t="s">
        <v>121</v>
      </c>
      <c r="C88" s="62" t="s">
        <v>205</v>
      </c>
      <c r="D88" s="62" t="s">
        <v>210</v>
      </c>
      <c r="E88" s="63" t="s">
        <v>147</v>
      </c>
      <c r="F88" s="62" t="s">
        <v>125</v>
      </c>
      <c r="G88" s="62" t="s">
        <v>93</v>
      </c>
      <c r="H88" s="62" t="s">
        <v>12</v>
      </c>
      <c r="I88" s="62" t="s">
        <v>87</v>
      </c>
      <c r="J88" s="62"/>
      <c r="K88" s="64">
        <v>49.5</v>
      </c>
      <c r="L88" s="64">
        <f>K88*VLOOKUP(H88,dagsoorttabel1,2,FALSE)</f>
        <v>49.5</v>
      </c>
      <c r="M88" s="65">
        <f>prodnorm4</f>
        <v>0</v>
      </c>
      <c r="N88" s="66">
        <f>dagwerk4</f>
        <v>0</v>
      </c>
      <c r="O88" s="62" t="s">
        <v>37</v>
      </c>
      <c r="P88" s="67">
        <f>uurtarief4</f>
        <v>0</v>
      </c>
      <c r="Q88" s="64" t="e">
        <f>IF(ISBLANK(M88),0,L88/M88)</f>
        <v>#DIV/0!</v>
      </c>
      <c r="R88" s="64" t="e">
        <f>IF(ISBLANK(M88),0,Q88*N88)</f>
        <v>#DIV/0!</v>
      </c>
      <c r="S88" s="67" t="e">
        <f>P88*Q88</f>
        <v>#DIV/0!</v>
      </c>
      <c r="T88" s="64" t="e">
        <f>Q88*dagenperjaar1</f>
        <v>#DIV/0!</v>
      </c>
      <c r="U88" s="68" t="e">
        <f>T88*P88</f>
        <v>#DIV/0!</v>
      </c>
    </row>
    <row r="89" spans="1:21" x14ac:dyDescent="0.2">
      <c r="A89" s="61" t="s">
        <v>120</v>
      </c>
      <c r="B89" s="62" t="s">
        <v>121</v>
      </c>
      <c r="C89" s="62" t="s">
        <v>205</v>
      </c>
      <c r="D89" s="62" t="s">
        <v>210</v>
      </c>
      <c r="E89" s="63" t="s">
        <v>147</v>
      </c>
      <c r="F89" s="62" t="s">
        <v>125</v>
      </c>
      <c r="G89" s="62" t="s">
        <v>105</v>
      </c>
      <c r="H89" s="62" t="s">
        <v>24</v>
      </c>
      <c r="I89" s="62" t="s">
        <v>87</v>
      </c>
      <c r="J89" s="62"/>
      <c r="K89" s="64">
        <v>49.5</v>
      </c>
      <c r="L89" s="64">
        <f>K89*VLOOKUP(H89,dagsoorttabel1,2,FALSE)</f>
        <v>0.2475</v>
      </c>
      <c r="M89" s="65">
        <f>prodnorm10</f>
        <v>0</v>
      </c>
      <c r="N89" s="66">
        <f>dagwerk10</f>
        <v>0</v>
      </c>
      <c r="O89" s="62" t="s">
        <v>37</v>
      </c>
      <c r="P89" s="67">
        <f>uurtarief10</f>
        <v>0</v>
      </c>
      <c r="Q89" s="64" t="e">
        <f>IF(ISBLANK(M89),0,L89/M89)</f>
        <v>#DIV/0!</v>
      </c>
      <c r="R89" s="64" t="e">
        <f>IF(ISBLANK(M89),0,Q89*N89)</f>
        <v>#DIV/0!</v>
      </c>
      <c r="S89" s="67" t="e">
        <f>P89*Q89</f>
        <v>#DIV/0!</v>
      </c>
      <c r="T89" s="64" t="e">
        <f>Q89*dagenperjaar1</f>
        <v>#DIV/0!</v>
      </c>
      <c r="U89" s="68" t="e">
        <f>T89*P89</f>
        <v>#DIV/0!</v>
      </c>
    </row>
    <row r="90" spans="1:21" x14ac:dyDescent="0.2">
      <c r="A90" s="61" t="s">
        <v>120</v>
      </c>
      <c r="B90" s="62" t="s">
        <v>121</v>
      </c>
      <c r="C90" s="62" t="s">
        <v>205</v>
      </c>
      <c r="D90" s="62" t="s">
        <v>211</v>
      </c>
      <c r="E90" s="63" t="s">
        <v>147</v>
      </c>
      <c r="F90" s="62" t="s">
        <v>125</v>
      </c>
      <c r="G90" s="62" t="s">
        <v>93</v>
      </c>
      <c r="H90" s="62" t="s">
        <v>12</v>
      </c>
      <c r="I90" s="62" t="s">
        <v>87</v>
      </c>
      <c r="J90" s="62"/>
      <c r="K90" s="64">
        <v>49.9</v>
      </c>
      <c r="L90" s="64">
        <f>K90*VLOOKUP(H90,dagsoorttabel1,2,FALSE)</f>
        <v>49.9</v>
      </c>
      <c r="M90" s="65">
        <f>prodnorm4</f>
        <v>0</v>
      </c>
      <c r="N90" s="66">
        <f>dagwerk4</f>
        <v>0</v>
      </c>
      <c r="O90" s="62" t="s">
        <v>37</v>
      </c>
      <c r="P90" s="67">
        <f>uurtarief4</f>
        <v>0</v>
      </c>
      <c r="Q90" s="64" t="e">
        <f>IF(ISBLANK(M90),0,L90/M90)</f>
        <v>#DIV/0!</v>
      </c>
      <c r="R90" s="64" t="e">
        <f>IF(ISBLANK(M90),0,Q90*N90)</f>
        <v>#DIV/0!</v>
      </c>
      <c r="S90" s="67" t="e">
        <f>P90*Q90</f>
        <v>#DIV/0!</v>
      </c>
      <c r="T90" s="64" t="e">
        <f>Q90*dagenperjaar1</f>
        <v>#DIV/0!</v>
      </c>
      <c r="U90" s="68" t="e">
        <f>T90*P90</f>
        <v>#DIV/0!</v>
      </c>
    </row>
    <row r="91" spans="1:21" x14ac:dyDescent="0.2">
      <c r="A91" s="61" t="s">
        <v>120</v>
      </c>
      <c r="B91" s="62" t="s">
        <v>121</v>
      </c>
      <c r="C91" s="62" t="s">
        <v>205</v>
      </c>
      <c r="D91" s="62" t="s">
        <v>211</v>
      </c>
      <c r="E91" s="63" t="s">
        <v>147</v>
      </c>
      <c r="F91" s="62" t="s">
        <v>125</v>
      </c>
      <c r="G91" s="62" t="s">
        <v>105</v>
      </c>
      <c r="H91" s="62" t="s">
        <v>24</v>
      </c>
      <c r="I91" s="62" t="s">
        <v>87</v>
      </c>
      <c r="J91" s="62"/>
      <c r="K91" s="64">
        <v>49.9</v>
      </c>
      <c r="L91" s="64">
        <f>K91*VLOOKUP(H91,dagsoorttabel1,2,FALSE)</f>
        <v>0.2495</v>
      </c>
      <c r="M91" s="65">
        <f>prodnorm10</f>
        <v>0</v>
      </c>
      <c r="N91" s="66">
        <f>dagwerk10</f>
        <v>0</v>
      </c>
      <c r="O91" s="62" t="s">
        <v>37</v>
      </c>
      <c r="P91" s="67">
        <f>uurtarief10</f>
        <v>0</v>
      </c>
      <c r="Q91" s="64" t="e">
        <f>IF(ISBLANK(M91),0,L91/M91)</f>
        <v>#DIV/0!</v>
      </c>
      <c r="R91" s="64" t="e">
        <f>IF(ISBLANK(M91),0,Q91*N91)</f>
        <v>#DIV/0!</v>
      </c>
      <c r="S91" s="67" t="e">
        <f>P91*Q91</f>
        <v>#DIV/0!</v>
      </c>
      <c r="T91" s="64" t="e">
        <f>Q91*dagenperjaar1</f>
        <v>#DIV/0!</v>
      </c>
      <c r="U91" s="68" t="e">
        <f>T91*P91</f>
        <v>#DIV/0!</v>
      </c>
    </row>
    <row r="92" spans="1:21" x14ac:dyDescent="0.2">
      <c r="A92" s="61" t="s">
        <v>120</v>
      </c>
      <c r="B92" s="62" t="s">
        <v>121</v>
      </c>
      <c r="C92" s="62" t="s">
        <v>205</v>
      </c>
      <c r="D92" s="62" t="s">
        <v>212</v>
      </c>
      <c r="E92" s="63" t="s">
        <v>147</v>
      </c>
      <c r="F92" s="62" t="s">
        <v>125</v>
      </c>
      <c r="G92" s="62" t="s">
        <v>93</v>
      </c>
      <c r="H92" s="62" t="s">
        <v>12</v>
      </c>
      <c r="I92" s="62" t="s">
        <v>87</v>
      </c>
      <c r="J92" s="62"/>
      <c r="K92" s="64">
        <v>48</v>
      </c>
      <c r="L92" s="64">
        <f>K92*VLOOKUP(H92,dagsoorttabel1,2,FALSE)</f>
        <v>48</v>
      </c>
      <c r="M92" s="65">
        <f>prodnorm4</f>
        <v>0</v>
      </c>
      <c r="N92" s="66">
        <f>dagwerk4</f>
        <v>0</v>
      </c>
      <c r="O92" s="62" t="s">
        <v>37</v>
      </c>
      <c r="P92" s="67">
        <f>uurtarief4</f>
        <v>0</v>
      </c>
      <c r="Q92" s="64" t="e">
        <f>IF(ISBLANK(M92),0,L92/M92)</f>
        <v>#DIV/0!</v>
      </c>
      <c r="R92" s="64" t="e">
        <f>IF(ISBLANK(M92),0,Q92*N92)</f>
        <v>#DIV/0!</v>
      </c>
      <c r="S92" s="67" t="e">
        <f>P92*Q92</f>
        <v>#DIV/0!</v>
      </c>
      <c r="T92" s="64" t="e">
        <f>Q92*dagenperjaar1</f>
        <v>#DIV/0!</v>
      </c>
      <c r="U92" s="68" t="e">
        <f>T92*P92</f>
        <v>#DIV/0!</v>
      </c>
    </row>
    <row r="93" spans="1:21" x14ac:dyDescent="0.2">
      <c r="A93" s="61" t="s">
        <v>120</v>
      </c>
      <c r="B93" s="62" t="s">
        <v>121</v>
      </c>
      <c r="C93" s="62" t="s">
        <v>205</v>
      </c>
      <c r="D93" s="62" t="s">
        <v>212</v>
      </c>
      <c r="E93" s="63" t="s">
        <v>147</v>
      </c>
      <c r="F93" s="62" t="s">
        <v>125</v>
      </c>
      <c r="G93" s="62" t="s">
        <v>105</v>
      </c>
      <c r="H93" s="62" t="s">
        <v>24</v>
      </c>
      <c r="I93" s="62" t="s">
        <v>87</v>
      </c>
      <c r="J93" s="62"/>
      <c r="K93" s="64">
        <v>48</v>
      </c>
      <c r="L93" s="64">
        <f>K93*VLOOKUP(H93,dagsoorttabel1,2,FALSE)</f>
        <v>0.24</v>
      </c>
      <c r="M93" s="65">
        <f>prodnorm10</f>
        <v>0</v>
      </c>
      <c r="N93" s="66">
        <f>dagwerk10</f>
        <v>0</v>
      </c>
      <c r="O93" s="62" t="s">
        <v>37</v>
      </c>
      <c r="P93" s="67">
        <f>uurtarief10</f>
        <v>0</v>
      </c>
      <c r="Q93" s="64" t="e">
        <f>IF(ISBLANK(M93),0,L93/M93)</f>
        <v>#DIV/0!</v>
      </c>
      <c r="R93" s="64" t="e">
        <f>IF(ISBLANK(M93),0,Q93*N93)</f>
        <v>#DIV/0!</v>
      </c>
      <c r="S93" s="67" t="e">
        <f>P93*Q93</f>
        <v>#DIV/0!</v>
      </c>
      <c r="T93" s="64" t="e">
        <f>Q93*dagenperjaar1</f>
        <v>#DIV/0!</v>
      </c>
      <c r="U93" s="68" t="e">
        <f>T93*P93</f>
        <v>#DIV/0!</v>
      </c>
    </row>
    <row r="94" spans="1:21" x14ac:dyDescent="0.2">
      <c r="A94" s="61" t="s">
        <v>120</v>
      </c>
      <c r="B94" s="62" t="s">
        <v>121</v>
      </c>
      <c r="C94" s="62" t="s">
        <v>205</v>
      </c>
      <c r="D94" s="62" t="s">
        <v>213</v>
      </c>
      <c r="E94" s="63" t="s">
        <v>147</v>
      </c>
      <c r="F94" s="62" t="s">
        <v>125</v>
      </c>
      <c r="G94" s="62" t="s">
        <v>93</v>
      </c>
      <c r="H94" s="62" t="s">
        <v>12</v>
      </c>
      <c r="I94" s="62" t="s">
        <v>87</v>
      </c>
      <c r="J94" s="62"/>
      <c r="K94" s="64">
        <v>49.9</v>
      </c>
      <c r="L94" s="64">
        <f>K94*VLOOKUP(H94,dagsoorttabel1,2,FALSE)</f>
        <v>49.9</v>
      </c>
      <c r="M94" s="65">
        <f>prodnorm4</f>
        <v>0</v>
      </c>
      <c r="N94" s="66">
        <f>dagwerk4</f>
        <v>0</v>
      </c>
      <c r="O94" s="62" t="s">
        <v>37</v>
      </c>
      <c r="P94" s="67">
        <f>uurtarief4</f>
        <v>0</v>
      </c>
      <c r="Q94" s="64" t="e">
        <f>IF(ISBLANK(M94),0,L94/M94)</f>
        <v>#DIV/0!</v>
      </c>
      <c r="R94" s="64" t="e">
        <f>IF(ISBLANK(M94),0,Q94*N94)</f>
        <v>#DIV/0!</v>
      </c>
      <c r="S94" s="67" t="e">
        <f>P94*Q94</f>
        <v>#DIV/0!</v>
      </c>
      <c r="T94" s="64" t="e">
        <f>Q94*dagenperjaar1</f>
        <v>#DIV/0!</v>
      </c>
      <c r="U94" s="68" t="e">
        <f>T94*P94</f>
        <v>#DIV/0!</v>
      </c>
    </row>
    <row r="95" spans="1:21" x14ac:dyDescent="0.2">
      <c r="A95" s="61" t="s">
        <v>120</v>
      </c>
      <c r="B95" s="62" t="s">
        <v>121</v>
      </c>
      <c r="C95" s="62" t="s">
        <v>205</v>
      </c>
      <c r="D95" s="62" t="s">
        <v>213</v>
      </c>
      <c r="E95" s="63" t="s">
        <v>147</v>
      </c>
      <c r="F95" s="62" t="s">
        <v>125</v>
      </c>
      <c r="G95" s="62" t="s">
        <v>105</v>
      </c>
      <c r="H95" s="62" t="s">
        <v>24</v>
      </c>
      <c r="I95" s="62" t="s">
        <v>87</v>
      </c>
      <c r="J95" s="62"/>
      <c r="K95" s="64">
        <v>49.9</v>
      </c>
      <c r="L95" s="64">
        <f>K95*VLOOKUP(H95,dagsoorttabel1,2,FALSE)</f>
        <v>0.2495</v>
      </c>
      <c r="M95" s="65">
        <f>prodnorm10</f>
        <v>0</v>
      </c>
      <c r="N95" s="66">
        <f>dagwerk10</f>
        <v>0</v>
      </c>
      <c r="O95" s="62" t="s">
        <v>37</v>
      </c>
      <c r="P95" s="67">
        <f>uurtarief10</f>
        <v>0</v>
      </c>
      <c r="Q95" s="64" t="e">
        <f>IF(ISBLANK(M95),0,L95/M95)</f>
        <v>#DIV/0!</v>
      </c>
      <c r="R95" s="64" t="e">
        <f>IF(ISBLANK(M95),0,Q95*N95)</f>
        <v>#DIV/0!</v>
      </c>
      <c r="S95" s="67" t="e">
        <f>P95*Q95</f>
        <v>#DIV/0!</v>
      </c>
      <c r="T95" s="64" t="e">
        <f>Q95*dagenperjaar1</f>
        <v>#DIV/0!</v>
      </c>
      <c r="U95" s="68" t="e">
        <f>T95*P95</f>
        <v>#DIV/0!</v>
      </c>
    </row>
    <row r="96" spans="1:21" x14ac:dyDescent="0.2">
      <c r="A96" s="61" t="s">
        <v>120</v>
      </c>
      <c r="B96" s="62" t="s">
        <v>121</v>
      </c>
      <c r="C96" s="62" t="s">
        <v>205</v>
      </c>
      <c r="D96" s="62" t="s">
        <v>214</v>
      </c>
      <c r="E96" s="63" t="s">
        <v>215</v>
      </c>
      <c r="F96" s="62" t="s">
        <v>125</v>
      </c>
      <c r="G96" s="62" t="s">
        <v>89</v>
      </c>
      <c r="H96" s="62" t="s">
        <v>10</v>
      </c>
      <c r="I96" s="62" t="s">
        <v>87</v>
      </c>
      <c r="J96" s="62"/>
      <c r="K96" s="64">
        <v>15.4</v>
      </c>
      <c r="L96" s="64">
        <f>K96*VLOOKUP(H96,dagsoorttabel1,2,FALSE)</f>
        <v>15.784999999999998</v>
      </c>
      <c r="M96" s="65">
        <f>prodnorm2</f>
        <v>0</v>
      </c>
      <c r="N96" s="66">
        <f>dagwerk2</f>
        <v>0</v>
      </c>
      <c r="O96" s="62" t="s">
        <v>37</v>
      </c>
      <c r="P96" s="67">
        <f>uurtarief2</f>
        <v>0</v>
      </c>
      <c r="Q96" s="64" t="e">
        <f>IF(ISBLANK(M96),0,L96/M96)</f>
        <v>#DIV/0!</v>
      </c>
      <c r="R96" s="64" t="e">
        <f>IF(ISBLANK(M96),0,Q96*N96)</f>
        <v>#DIV/0!</v>
      </c>
      <c r="S96" s="67" t="e">
        <f>P96*Q96</f>
        <v>#DIV/0!</v>
      </c>
      <c r="T96" s="64" t="e">
        <f>Q96*dagenperjaar1</f>
        <v>#DIV/0!</v>
      </c>
      <c r="U96" s="68" t="e">
        <f>T96*P96</f>
        <v>#DIV/0!</v>
      </c>
    </row>
    <row r="97" spans="1:21" x14ac:dyDescent="0.2">
      <c r="A97" s="61" t="s">
        <v>120</v>
      </c>
      <c r="B97" s="62" t="s">
        <v>121</v>
      </c>
      <c r="C97" s="62" t="s">
        <v>205</v>
      </c>
      <c r="D97" s="62" t="s">
        <v>214</v>
      </c>
      <c r="E97" s="63" t="s">
        <v>215</v>
      </c>
      <c r="F97" s="62" t="s">
        <v>125</v>
      </c>
      <c r="G97" s="62" t="s">
        <v>105</v>
      </c>
      <c r="H97" s="62" t="s">
        <v>24</v>
      </c>
      <c r="I97" s="62" t="s">
        <v>87</v>
      </c>
      <c r="J97" s="62"/>
      <c r="K97" s="64">
        <v>15.4</v>
      </c>
      <c r="L97" s="64">
        <f>K97*VLOOKUP(H97,dagsoorttabel1,2,FALSE)</f>
        <v>7.6999999999999999E-2</v>
      </c>
      <c r="M97" s="65">
        <f>prodnorm10</f>
        <v>0</v>
      </c>
      <c r="N97" s="66">
        <f>dagwerk10</f>
        <v>0</v>
      </c>
      <c r="O97" s="62" t="s">
        <v>37</v>
      </c>
      <c r="P97" s="67">
        <f>uurtarief10</f>
        <v>0</v>
      </c>
      <c r="Q97" s="64" t="e">
        <f>IF(ISBLANK(M97),0,L97/M97)</f>
        <v>#DIV/0!</v>
      </c>
      <c r="R97" s="64" t="e">
        <f>IF(ISBLANK(M97),0,Q97*N97)</f>
        <v>#DIV/0!</v>
      </c>
      <c r="S97" s="67" t="e">
        <f>P97*Q97</f>
        <v>#DIV/0!</v>
      </c>
      <c r="T97" s="64" t="e">
        <f>Q97*dagenperjaar1</f>
        <v>#DIV/0!</v>
      </c>
      <c r="U97" s="68" t="e">
        <f>T97*P97</f>
        <v>#DIV/0!</v>
      </c>
    </row>
    <row r="98" spans="1:21" x14ac:dyDescent="0.2">
      <c r="A98" s="61" t="s">
        <v>120</v>
      </c>
      <c r="B98" s="62" t="s">
        <v>121</v>
      </c>
      <c r="C98" s="62" t="s">
        <v>205</v>
      </c>
      <c r="D98" s="62" t="s">
        <v>216</v>
      </c>
      <c r="E98" s="63" t="s">
        <v>217</v>
      </c>
      <c r="F98" s="62" t="s">
        <v>125</v>
      </c>
      <c r="G98" s="62" t="s">
        <v>89</v>
      </c>
      <c r="H98" s="62" t="s">
        <v>10</v>
      </c>
      <c r="I98" s="62" t="s">
        <v>87</v>
      </c>
      <c r="J98" s="62"/>
      <c r="K98" s="64">
        <v>15.7</v>
      </c>
      <c r="L98" s="64">
        <f>K98*VLOOKUP(H98,dagsoorttabel1,2,FALSE)</f>
        <v>16.092499999999998</v>
      </c>
      <c r="M98" s="65">
        <f>prodnorm2</f>
        <v>0</v>
      </c>
      <c r="N98" s="66">
        <f>dagwerk2</f>
        <v>0</v>
      </c>
      <c r="O98" s="62" t="s">
        <v>37</v>
      </c>
      <c r="P98" s="67">
        <f>uurtarief2</f>
        <v>0</v>
      </c>
      <c r="Q98" s="64" t="e">
        <f>IF(ISBLANK(M98),0,L98/M98)</f>
        <v>#DIV/0!</v>
      </c>
      <c r="R98" s="64" t="e">
        <f>IF(ISBLANK(M98),0,Q98*N98)</f>
        <v>#DIV/0!</v>
      </c>
      <c r="S98" s="67" t="e">
        <f>P98*Q98</f>
        <v>#DIV/0!</v>
      </c>
      <c r="T98" s="64" t="e">
        <f>Q98*dagenperjaar1</f>
        <v>#DIV/0!</v>
      </c>
      <c r="U98" s="68" t="e">
        <f>T98*P98</f>
        <v>#DIV/0!</v>
      </c>
    </row>
    <row r="99" spans="1:21" x14ac:dyDescent="0.2">
      <c r="A99" s="61" t="s">
        <v>120</v>
      </c>
      <c r="B99" s="62" t="s">
        <v>121</v>
      </c>
      <c r="C99" s="62" t="s">
        <v>205</v>
      </c>
      <c r="D99" s="62" t="s">
        <v>216</v>
      </c>
      <c r="E99" s="63" t="s">
        <v>217</v>
      </c>
      <c r="F99" s="62" t="s">
        <v>125</v>
      </c>
      <c r="G99" s="62" t="s">
        <v>105</v>
      </c>
      <c r="H99" s="62" t="s">
        <v>24</v>
      </c>
      <c r="I99" s="62" t="s">
        <v>87</v>
      </c>
      <c r="J99" s="62"/>
      <c r="K99" s="64">
        <v>15.7</v>
      </c>
      <c r="L99" s="64">
        <f>K99*VLOOKUP(H99,dagsoorttabel1,2,FALSE)</f>
        <v>7.85E-2</v>
      </c>
      <c r="M99" s="65">
        <f>prodnorm10</f>
        <v>0</v>
      </c>
      <c r="N99" s="66">
        <f>dagwerk10</f>
        <v>0</v>
      </c>
      <c r="O99" s="62" t="s">
        <v>37</v>
      </c>
      <c r="P99" s="67">
        <f>uurtarief10</f>
        <v>0</v>
      </c>
      <c r="Q99" s="64" t="e">
        <f>IF(ISBLANK(M99),0,L99/M99)</f>
        <v>#DIV/0!</v>
      </c>
      <c r="R99" s="64" t="e">
        <f>IF(ISBLANK(M99),0,Q99*N99)</f>
        <v>#DIV/0!</v>
      </c>
      <c r="S99" s="67" t="e">
        <f>P99*Q99</f>
        <v>#DIV/0!</v>
      </c>
      <c r="T99" s="64" t="e">
        <f>Q99*dagenperjaar1</f>
        <v>#DIV/0!</v>
      </c>
      <c r="U99" s="68" t="e">
        <f>T99*P99</f>
        <v>#DIV/0!</v>
      </c>
    </row>
    <row r="100" spans="1:21" x14ac:dyDescent="0.2">
      <c r="A100" s="61" t="s">
        <v>120</v>
      </c>
      <c r="B100" s="62" t="s">
        <v>121</v>
      </c>
      <c r="C100" s="62" t="s">
        <v>205</v>
      </c>
      <c r="D100" s="62" t="s">
        <v>218</v>
      </c>
      <c r="E100" s="63" t="s">
        <v>219</v>
      </c>
      <c r="F100" s="62" t="s">
        <v>125</v>
      </c>
      <c r="G100" s="62" t="s">
        <v>89</v>
      </c>
      <c r="H100" s="62" t="s">
        <v>10</v>
      </c>
      <c r="I100" s="62" t="s">
        <v>87</v>
      </c>
      <c r="J100" s="62"/>
      <c r="K100" s="64">
        <v>11.8</v>
      </c>
      <c r="L100" s="64">
        <f>K100*VLOOKUP(H100,dagsoorttabel1,2,FALSE)</f>
        <v>12.094999999999999</v>
      </c>
      <c r="M100" s="65">
        <f>prodnorm2</f>
        <v>0</v>
      </c>
      <c r="N100" s="66">
        <f>dagwerk2</f>
        <v>0</v>
      </c>
      <c r="O100" s="62" t="s">
        <v>37</v>
      </c>
      <c r="P100" s="67">
        <f>uurtarief2</f>
        <v>0</v>
      </c>
      <c r="Q100" s="64" t="e">
        <f>IF(ISBLANK(M100),0,L100/M100)</f>
        <v>#DIV/0!</v>
      </c>
      <c r="R100" s="64" t="e">
        <f>IF(ISBLANK(M100),0,Q100*N100)</f>
        <v>#DIV/0!</v>
      </c>
      <c r="S100" s="67" t="e">
        <f>P100*Q100</f>
        <v>#DIV/0!</v>
      </c>
      <c r="T100" s="64" t="e">
        <f>Q100*dagenperjaar1</f>
        <v>#DIV/0!</v>
      </c>
      <c r="U100" s="68" t="e">
        <f>T100*P100</f>
        <v>#DIV/0!</v>
      </c>
    </row>
    <row r="101" spans="1:21" x14ac:dyDescent="0.2">
      <c r="A101" s="61" t="s">
        <v>120</v>
      </c>
      <c r="B101" s="62" t="s">
        <v>121</v>
      </c>
      <c r="C101" s="62" t="s">
        <v>205</v>
      </c>
      <c r="D101" s="62" t="s">
        <v>218</v>
      </c>
      <c r="E101" s="63" t="s">
        <v>219</v>
      </c>
      <c r="F101" s="62" t="s">
        <v>125</v>
      </c>
      <c r="G101" s="62" t="s">
        <v>105</v>
      </c>
      <c r="H101" s="62" t="s">
        <v>24</v>
      </c>
      <c r="I101" s="62" t="s">
        <v>87</v>
      </c>
      <c r="J101" s="62"/>
      <c r="K101" s="64">
        <v>11.8</v>
      </c>
      <c r="L101" s="64">
        <f>K101*VLOOKUP(H101,dagsoorttabel1,2,FALSE)</f>
        <v>5.9000000000000004E-2</v>
      </c>
      <c r="M101" s="65">
        <f>prodnorm10</f>
        <v>0</v>
      </c>
      <c r="N101" s="66">
        <f>dagwerk10</f>
        <v>0</v>
      </c>
      <c r="O101" s="62" t="s">
        <v>37</v>
      </c>
      <c r="P101" s="67">
        <f>uurtarief10</f>
        <v>0</v>
      </c>
      <c r="Q101" s="64" t="e">
        <f>IF(ISBLANK(M101),0,L101/M101)</f>
        <v>#DIV/0!</v>
      </c>
      <c r="R101" s="64" t="e">
        <f>IF(ISBLANK(M101),0,Q101*N101)</f>
        <v>#DIV/0!</v>
      </c>
      <c r="S101" s="67" t="e">
        <f>P101*Q101</f>
        <v>#DIV/0!</v>
      </c>
      <c r="T101" s="64" t="e">
        <f>Q101*dagenperjaar1</f>
        <v>#DIV/0!</v>
      </c>
      <c r="U101" s="68" t="e">
        <f>T101*P101</f>
        <v>#DIV/0!</v>
      </c>
    </row>
    <row r="102" spans="1:21" x14ac:dyDescent="0.2">
      <c r="A102" s="61" t="s">
        <v>120</v>
      </c>
      <c r="B102" s="62" t="s">
        <v>121</v>
      </c>
      <c r="C102" s="62" t="s">
        <v>205</v>
      </c>
      <c r="D102" s="62" t="s">
        <v>220</v>
      </c>
      <c r="E102" s="63" t="s">
        <v>145</v>
      </c>
      <c r="F102" s="62" t="s">
        <v>125</v>
      </c>
      <c r="G102" s="62" t="s">
        <v>103</v>
      </c>
      <c r="H102" s="62" t="s">
        <v>12</v>
      </c>
      <c r="I102" s="62" t="s">
        <v>87</v>
      </c>
      <c r="J102" s="62"/>
      <c r="K102" s="64">
        <v>35</v>
      </c>
      <c r="L102" s="64">
        <f>K102*VLOOKUP(H102,dagsoorttabel1,2,FALSE)</f>
        <v>35</v>
      </c>
      <c r="M102" s="65">
        <f>prodnorm9</f>
        <v>0</v>
      </c>
      <c r="N102" s="66">
        <f>dagwerk9</f>
        <v>0</v>
      </c>
      <c r="O102" s="62" t="s">
        <v>37</v>
      </c>
      <c r="P102" s="67">
        <f>uurtarief9</f>
        <v>0</v>
      </c>
      <c r="Q102" s="64" t="e">
        <f>IF(ISBLANK(M102),0,L102/M102)</f>
        <v>#DIV/0!</v>
      </c>
      <c r="R102" s="64" t="e">
        <f>IF(ISBLANK(M102),0,Q102*N102)</f>
        <v>#DIV/0!</v>
      </c>
      <c r="S102" s="67" t="e">
        <f>P102*Q102</f>
        <v>#DIV/0!</v>
      </c>
      <c r="T102" s="64" t="e">
        <f>Q102*dagenperjaar1</f>
        <v>#DIV/0!</v>
      </c>
      <c r="U102" s="68" t="e">
        <f>T102*P102</f>
        <v>#DIV/0!</v>
      </c>
    </row>
    <row r="103" spans="1:21" x14ac:dyDescent="0.2">
      <c r="A103" s="61" t="s">
        <v>120</v>
      </c>
      <c r="B103" s="62" t="s">
        <v>121</v>
      </c>
      <c r="C103" s="62" t="s">
        <v>205</v>
      </c>
      <c r="D103" s="62" t="s">
        <v>220</v>
      </c>
      <c r="E103" s="63" t="s">
        <v>145</v>
      </c>
      <c r="F103" s="62" t="s">
        <v>125</v>
      </c>
      <c r="G103" s="62" t="s">
        <v>105</v>
      </c>
      <c r="H103" s="62" t="s">
        <v>24</v>
      </c>
      <c r="I103" s="62" t="s">
        <v>87</v>
      </c>
      <c r="J103" s="62"/>
      <c r="K103" s="64">
        <v>35</v>
      </c>
      <c r="L103" s="64">
        <f>K103*VLOOKUP(H103,dagsoorttabel1,2,FALSE)</f>
        <v>0.17500000000000002</v>
      </c>
      <c r="M103" s="65">
        <f>prodnorm10</f>
        <v>0</v>
      </c>
      <c r="N103" s="66">
        <f>dagwerk10</f>
        <v>0</v>
      </c>
      <c r="O103" s="62" t="s">
        <v>37</v>
      </c>
      <c r="P103" s="67">
        <f>uurtarief10</f>
        <v>0</v>
      </c>
      <c r="Q103" s="64" t="e">
        <f>IF(ISBLANK(M103),0,L103/M103)</f>
        <v>#DIV/0!</v>
      </c>
      <c r="R103" s="64" t="e">
        <f>IF(ISBLANK(M103),0,Q103*N103)</f>
        <v>#DIV/0!</v>
      </c>
      <c r="S103" s="67" t="e">
        <f>P103*Q103</f>
        <v>#DIV/0!</v>
      </c>
      <c r="T103" s="64" t="e">
        <f>Q103*dagenperjaar1</f>
        <v>#DIV/0!</v>
      </c>
      <c r="U103" s="68" t="e">
        <f>T103*P103</f>
        <v>#DIV/0!</v>
      </c>
    </row>
    <row r="104" spans="1:21" x14ac:dyDescent="0.2">
      <c r="A104" s="61" t="s">
        <v>120</v>
      </c>
      <c r="B104" s="62" t="s">
        <v>121</v>
      </c>
      <c r="C104" s="62" t="s">
        <v>205</v>
      </c>
      <c r="D104" s="62" t="s">
        <v>221</v>
      </c>
      <c r="E104" s="63" t="s">
        <v>145</v>
      </c>
      <c r="F104" s="62" t="s">
        <v>125</v>
      </c>
      <c r="G104" s="62" t="s">
        <v>103</v>
      </c>
      <c r="H104" s="62" t="s">
        <v>12</v>
      </c>
      <c r="I104" s="62" t="s">
        <v>87</v>
      </c>
      <c r="J104" s="62"/>
      <c r="K104" s="64">
        <v>150</v>
      </c>
      <c r="L104" s="64">
        <f>K104*VLOOKUP(H104,dagsoorttabel1,2,FALSE)</f>
        <v>150</v>
      </c>
      <c r="M104" s="65">
        <f>prodnorm9</f>
        <v>0</v>
      </c>
      <c r="N104" s="66">
        <f>dagwerk9</f>
        <v>0</v>
      </c>
      <c r="O104" s="62" t="s">
        <v>37</v>
      </c>
      <c r="P104" s="67">
        <f>uurtarief9</f>
        <v>0</v>
      </c>
      <c r="Q104" s="64" t="e">
        <f>IF(ISBLANK(M104),0,L104/M104)</f>
        <v>#DIV/0!</v>
      </c>
      <c r="R104" s="64" t="e">
        <f>IF(ISBLANK(M104),0,Q104*N104)</f>
        <v>#DIV/0!</v>
      </c>
      <c r="S104" s="67" t="e">
        <f>P104*Q104</f>
        <v>#DIV/0!</v>
      </c>
      <c r="T104" s="64" t="e">
        <f>Q104*dagenperjaar1</f>
        <v>#DIV/0!</v>
      </c>
      <c r="U104" s="68" t="e">
        <f>T104*P104</f>
        <v>#DIV/0!</v>
      </c>
    </row>
    <row r="105" spans="1:21" x14ac:dyDescent="0.2">
      <c r="A105" s="61" t="s">
        <v>120</v>
      </c>
      <c r="B105" s="62" t="s">
        <v>121</v>
      </c>
      <c r="C105" s="62" t="s">
        <v>205</v>
      </c>
      <c r="D105" s="62" t="s">
        <v>221</v>
      </c>
      <c r="E105" s="63" t="s">
        <v>145</v>
      </c>
      <c r="F105" s="62" t="s">
        <v>125</v>
      </c>
      <c r="G105" s="62" t="s">
        <v>105</v>
      </c>
      <c r="H105" s="62" t="s">
        <v>24</v>
      </c>
      <c r="I105" s="62" t="s">
        <v>87</v>
      </c>
      <c r="J105" s="62"/>
      <c r="K105" s="64">
        <v>150</v>
      </c>
      <c r="L105" s="64">
        <f>K105*VLOOKUP(H105,dagsoorttabel1,2,FALSE)</f>
        <v>0.75</v>
      </c>
      <c r="M105" s="65">
        <f>prodnorm10</f>
        <v>0</v>
      </c>
      <c r="N105" s="66">
        <f>dagwerk10</f>
        <v>0</v>
      </c>
      <c r="O105" s="62" t="s">
        <v>37</v>
      </c>
      <c r="P105" s="67">
        <f>uurtarief10</f>
        <v>0</v>
      </c>
      <c r="Q105" s="64" t="e">
        <f>IF(ISBLANK(M105),0,L105/M105)</f>
        <v>#DIV/0!</v>
      </c>
      <c r="R105" s="64" t="e">
        <f>IF(ISBLANK(M105),0,Q105*N105)</f>
        <v>#DIV/0!</v>
      </c>
      <c r="S105" s="67" t="e">
        <f>P105*Q105</f>
        <v>#DIV/0!</v>
      </c>
      <c r="T105" s="64" t="e">
        <f>Q105*dagenperjaar1</f>
        <v>#DIV/0!</v>
      </c>
      <c r="U105" s="68" t="e">
        <f>T105*P105</f>
        <v>#DIV/0!</v>
      </c>
    </row>
    <row r="106" spans="1:21" x14ac:dyDescent="0.2">
      <c r="A106" s="61" t="s">
        <v>120</v>
      </c>
      <c r="B106" s="62" t="s">
        <v>121</v>
      </c>
      <c r="C106" s="62" t="s">
        <v>205</v>
      </c>
      <c r="D106" s="62" t="s">
        <v>222</v>
      </c>
      <c r="E106" s="63" t="s">
        <v>147</v>
      </c>
      <c r="F106" s="62" t="s">
        <v>125</v>
      </c>
      <c r="G106" s="62" t="s">
        <v>93</v>
      </c>
      <c r="H106" s="62" t="s">
        <v>12</v>
      </c>
      <c r="I106" s="62" t="s">
        <v>87</v>
      </c>
      <c r="J106" s="62"/>
      <c r="K106" s="64">
        <v>51.8</v>
      </c>
      <c r="L106" s="64">
        <f>K106*VLOOKUP(H106,dagsoorttabel1,2,FALSE)</f>
        <v>51.8</v>
      </c>
      <c r="M106" s="65">
        <f>prodnorm4</f>
        <v>0</v>
      </c>
      <c r="N106" s="66">
        <f>dagwerk4</f>
        <v>0</v>
      </c>
      <c r="O106" s="62" t="s">
        <v>37</v>
      </c>
      <c r="P106" s="67">
        <f>uurtarief4</f>
        <v>0</v>
      </c>
      <c r="Q106" s="64" t="e">
        <f>IF(ISBLANK(M106),0,L106/M106)</f>
        <v>#DIV/0!</v>
      </c>
      <c r="R106" s="64" t="e">
        <f>IF(ISBLANK(M106),0,Q106*N106)</f>
        <v>#DIV/0!</v>
      </c>
      <c r="S106" s="67" t="e">
        <f>P106*Q106</f>
        <v>#DIV/0!</v>
      </c>
      <c r="T106" s="64" t="e">
        <f>Q106*dagenperjaar1</f>
        <v>#DIV/0!</v>
      </c>
      <c r="U106" s="68" t="e">
        <f>T106*P106</f>
        <v>#DIV/0!</v>
      </c>
    </row>
    <row r="107" spans="1:21" x14ac:dyDescent="0.2">
      <c r="A107" s="61" t="s">
        <v>120</v>
      </c>
      <c r="B107" s="62" t="s">
        <v>121</v>
      </c>
      <c r="C107" s="62" t="s">
        <v>205</v>
      </c>
      <c r="D107" s="62" t="s">
        <v>222</v>
      </c>
      <c r="E107" s="63" t="s">
        <v>147</v>
      </c>
      <c r="F107" s="62" t="s">
        <v>125</v>
      </c>
      <c r="G107" s="62" t="s">
        <v>105</v>
      </c>
      <c r="H107" s="62" t="s">
        <v>24</v>
      </c>
      <c r="I107" s="62" t="s">
        <v>87</v>
      </c>
      <c r="J107" s="62"/>
      <c r="K107" s="64">
        <v>51.8</v>
      </c>
      <c r="L107" s="64">
        <f>K107*VLOOKUP(H107,dagsoorttabel1,2,FALSE)</f>
        <v>0.25900000000000001</v>
      </c>
      <c r="M107" s="65">
        <f>prodnorm10</f>
        <v>0</v>
      </c>
      <c r="N107" s="66">
        <f>dagwerk10</f>
        <v>0</v>
      </c>
      <c r="O107" s="62" t="s">
        <v>37</v>
      </c>
      <c r="P107" s="67">
        <f>uurtarief10</f>
        <v>0</v>
      </c>
      <c r="Q107" s="64" t="e">
        <f>IF(ISBLANK(M107),0,L107/M107)</f>
        <v>#DIV/0!</v>
      </c>
      <c r="R107" s="64" t="e">
        <f>IF(ISBLANK(M107),0,Q107*N107)</f>
        <v>#DIV/0!</v>
      </c>
      <c r="S107" s="67" t="e">
        <f>P107*Q107</f>
        <v>#DIV/0!</v>
      </c>
      <c r="T107" s="64" t="e">
        <f>Q107*dagenperjaar1</f>
        <v>#DIV/0!</v>
      </c>
      <c r="U107" s="68" t="e">
        <f>T107*P107</f>
        <v>#DIV/0!</v>
      </c>
    </row>
    <row r="108" spans="1:21" x14ac:dyDescent="0.2">
      <c r="A108" s="61" t="s">
        <v>120</v>
      </c>
      <c r="B108" s="62" t="s">
        <v>121</v>
      </c>
      <c r="C108" s="62" t="s">
        <v>205</v>
      </c>
      <c r="D108" s="62" t="s">
        <v>223</v>
      </c>
      <c r="E108" s="63" t="s">
        <v>147</v>
      </c>
      <c r="F108" s="62" t="s">
        <v>125</v>
      </c>
      <c r="G108" s="62" t="s">
        <v>93</v>
      </c>
      <c r="H108" s="62" t="s">
        <v>12</v>
      </c>
      <c r="I108" s="62" t="s">
        <v>87</v>
      </c>
      <c r="J108" s="62"/>
      <c r="K108" s="64">
        <v>66.599999999999994</v>
      </c>
      <c r="L108" s="64">
        <f>K108*VLOOKUP(H108,dagsoorttabel1,2,FALSE)</f>
        <v>66.599999999999994</v>
      </c>
      <c r="M108" s="65">
        <f>prodnorm4</f>
        <v>0</v>
      </c>
      <c r="N108" s="66">
        <f>dagwerk4</f>
        <v>0</v>
      </c>
      <c r="O108" s="62" t="s">
        <v>37</v>
      </c>
      <c r="P108" s="67">
        <f>uurtarief4</f>
        <v>0</v>
      </c>
      <c r="Q108" s="64" t="e">
        <f>IF(ISBLANK(M108),0,L108/M108)</f>
        <v>#DIV/0!</v>
      </c>
      <c r="R108" s="64" t="e">
        <f>IF(ISBLANK(M108),0,Q108*N108)</f>
        <v>#DIV/0!</v>
      </c>
      <c r="S108" s="67" t="e">
        <f>P108*Q108</f>
        <v>#DIV/0!</v>
      </c>
      <c r="T108" s="64" t="e">
        <f>Q108*dagenperjaar1</f>
        <v>#DIV/0!</v>
      </c>
      <c r="U108" s="68" t="e">
        <f>T108*P108</f>
        <v>#DIV/0!</v>
      </c>
    </row>
    <row r="109" spans="1:21" x14ac:dyDescent="0.2">
      <c r="A109" s="61" t="s">
        <v>120</v>
      </c>
      <c r="B109" s="62" t="s">
        <v>121</v>
      </c>
      <c r="C109" s="62" t="s">
        <v>205</v>
      </c>
      <c r="D109" s="62" t="s">
        <v>223</v>
      </c>
      <c r="E109" s="63" t="s">
        <v>147</v>
      </c>
      <c r="F109" s="62" t="s">
        <v>125</v>
      </c>
      <c r="G109" s="62" t="s">
        <v>105</v>
      </c>
      <c r="H109" s="62" t="s">
        <v>24</v>
      </c>
      <c r="I109" s="62" t="s">
        <v>87</v>
      </c>
      <c r="J109" s="62"/>
      <c r="K109" s="64">
        <v>66.599999999999994</v>
      </c>
      <c r="L109" s="64">
        <f>K109*VLOOKUP(H109,dagsoorttabel1,2,FALSE)</f>
        <v>0.33299999999999996</v>
      </c>
      <c r="M109" s="65">
        <f>prodnorm10</f>
        <v>0</v>
      </c>
      <c r="N109" s="66">
        <f>dagwerk10</f>
        <v>0</v>
      </c>
      <c r="O109" s="62" t="s">
        <v>37</v>
      </c>
      <c r="P109" s="67">
        <f>uurtarief10</f>
        <v>0</v>
      </c>
      <c r="Q109" s="64" t="e">
        <f>IF(ISBLANK(M109),0,L109/M109)</f>
        <v>#DIV/0!</v>
      </c>
      <c r="R109" s="64" t="e">
        <f>IF(ISBLANK(M109),0,Q109*N109)</f>
        <v>#DIV/0!</v>
      </c>
      <c r="S109" s="67" t="e">
        <f>P109*Q109</f>
        <v>#DIV/0!</v>
      </c>
      <c r="T109" s="64" t="e">
        <f>Q109*dagenperjaar1</f>
        <v>#DIV/0!</v>
      </c>
      <c r="U109" s="68" t="e">
        <f>T109*P109</f>
        <v>#DIV/0!</v>
      </c>
    </row>
    <row r="110" spans="1:21" x14ac:dyDescent="0.2">
      <c r="A110" s="61" t="s">
        <v>120</v>
      </c>
      <c r="B110" s="62" t="s">
        <v>121</v>
      </c>
      <c r="C110" s="62" t="s">
        <v>205</v>
      </c>
      <c r="D110" s="62" t="s">
        <v>224</v>
      </c>
      <c r="E110" s="63" t="s">
        <v>147</v>
      </c>
      <c r="F110" s="62" t="s">
        <v>125</v>
      </c>
      <c r="G110" s="62" t="s">
        <v>93</v>
      </c>
      <c r="H110" s="62" t="s">
        <v>12</v>
      </c>
      <c r="I110" s="62" t="s">
        <v>87</v>
      </c>
      <c r="J110" s="62"/>
      <c r="K110" s="64">
        <v>51.6</v>
      </c>
      <c r="L110" s="64">
        <f>K110*VLOOKUP(H110,dagsoorttabel1,2,FALSE)</f>
        <v>51.6</v>
      </c>
      <c r="M110" s="65">
        <f>prodnorm4</f>
        <v>0</v>
      </c>
      <c r="N110" s="66">
        <f>dagwerk4</f>
        <v>0</v>
      </c>
      <c r="O110" s="62" t="s">
        <v>37</v>
      </c>
      <c r="P110" s="67">
        <f>uurtarief4</f>
        <v>0</v>
      </c>
      <c r="Q110" s="64" t="e">
        <f>IF(ISBLANK(M110),0,L110/M110)</f>
        <v>#DIV/0!</v>
      </c>
      <c r="R110" s="64" t="e">
        <f>IF(ISBLANK(M110),0,Q110*N110)</f>
        <v>#DIV/0!</v>
      </c>
      <c r="S110" s="67" t="e">
        <f>P110*Q110</f>
        <v>#DIV/0!</v>
      </c>
      <c r="T110" s="64" t="e">
        <f>Q110*dagenperjaar1</f>
        <v>#DIV/0!</v>
      </c>
      <c r="U110" s="68" t="e">
        <f>T110*P110</f>
        <v>#DIV/0!</v>
      </c>
    </row>
    <row r="111" spans="1:21" x14ac:dyDescent="0.2">
      <c r="A111" s="61" t="s">
        <v>120</v>
      </c>
      <c r="B111" s="62" t="s">
        <v>121</v>
      </c>
      <c r="C111" s="62" t="s">
        <v>205</v>
      </c>
      <c r="D111" s="62" t="s">
        <v>224</v>
      </c>
      <c r="E111" s="63" t="s">
        <v>147</v>
      </c>
      <c r="F111" s="62" t="s">
        <v>125</v>
      </c>
      <c r="G111" s="62" t="s">
        <v>105</v>
      </c>
      <c r="H111" s="62" t="s">
        <v>24</v>
      </c>
      <c r="I111" s="62" t="s">
        <v>87</v>
      </c>
      <c r="J111" s="62"/>
      <c r="K111" s="64">
        <v>51.6</v>
      </c>
      <c r="L111" s="64">
        <f>K111*VLOOKUP(H111,dagsoorttabel1,2,FALSE)</f>
        <v>0.25800000000000001</v>
      </c>
      <c r="M111" s="65">
        <f>prodnorm10</f>
        <v>0</v>
      </c>
      <c r="N111" s="66">
        <f>dagwerk10</f>
        <v>0</v>
      </c>
      <c r="O111" s="62" t="s">
        <v>37</v>
      </c>
      <c r="P111" s="67">
        <f>uurtarief10</f>
        <v>0</v>
      </c>
      <c r="Q111" s="64" t="e">
        <f>IF(ISBLANK(M111),0,L111/M111)</f>
        <v>#DIV/0!</v>
      </c>
      <c r="R111" s="64" t="e">
        <f>IF(ISBLANK(M111),0,Q111*N111)</f>
        <v>#DIV/0!</v>
      </c>
      <c r="S111" s="67" t="e">
        <f>P111*Q111</f>
        <v>#DIV/0!</v>
      </c>
      <c r="T111" s="64" t="e">
        <f>Q111*dagenperjaar1</f>
        <v>#DIV/0!</v>
      </c>
      <c r="U111" s="68" t="e">
        <f>T111*P111</f>
        <v>#DIV/0!</v>
      </c>
    </row>
    <row r="112" spans="1:21" x14ac:dyDescent="0.2">
      <c r="A112" s="61" t="s">
        <v>120</v>
      </c>
      <c r="B112" s="62" t="s">
        <v>121</v>
      </c>
      <c r="C112" s="62" t="s">
        <v>205</v>
      </c>
      <c r="D112" s="62" t="s">
        <v>225</v>
      </c>
      <c r="E112" s="63" t="s">
        <v>147</v>
      </c>
      <c r="F112" s="62" t="s">
        <v>125</v>
      </c>
      <c r="G112" s="62" t="s">
        <v>93</v>
      </c>
      <c r="H112" s="62" t="s">
        <v>12</v>
      </c>
      <c r="I112" s="62" t="s">
        <v>87</v>
      </c>
      <c r="J112" s="62"/>
      <c r="K112" s="64">
        <v>50.3</v>
      </c>
      <c r="L112" s="64">
        <f>K112*VLOOKUP(H112,dagsoorttabel1,2,FALSE)</f>
        <v>50.3</v>
      </c>
      <c r="M112" s="65">
        <f>prodnorm4</f>
        <v>0</v>
      </c>
      <c r="N112" s="66">
        <f>dagwerk4</f>
        <v>0</v>
      </c>
      <c r="O112" s="62" t="s">
        <v>37</v>
      </c>
      <c r="P112" s="67">
        <f>uurtarief4</f>
        <v>0</v>
      </c>
      <c r="Q112" s="64" t="e">
        <f>IF(ISBLANK(M112),0,L112/M112)</f>
        <v>#DIV/0!</v>
      </c>
      <c r="R112" s="64" t="e">
        <f>IF(ISBLANK(M112),0,Q112*N112)</f>
        <v>#DIV/0!</v>
      </c>
      <c r="S112" s="67" t="e">
        <f>P112*Q112</f>
        <v>#DIV/0!</v>
      </c>
      <c r="T112" s="64" t="e">
        <f>Q112*dagenperjaar1</f>
        <v>#DIV/0!</v>
      </c>
      <c r="U112" s="68" t="e">
        <f>T112*P112</f>
        <v>#DIV/0!</v>
      </c>
    </row>
    <row r="113" spans="1:21" x14ac:dyDescent="0.2">
      <c r="A113" s="61" t="s">
        <v>120</v>
      </c>
      <c r="B113" s="62" t="s">
        <v>121</v>
      </c>
      <c r="C113" s="62" t="s">
        <v>205</v>
      </c>
      <c r="D113" s="62" t="s">
        <v>225</v>
      </c>
      <c r="E113" s="63" t="s">
        <v>147</v>
      </c>
      <c r="F113" s="62" t="s">
        <v>125</v>
      </c>
      <c r="G113" s="62" t="s">
        <v>105</v>
      </c>
      <c r="H113" s="62" t="s">
        <v>24</v>
      </c>
      <c r="I113" s="62" t="s">
        <v>87</v>
      </c>
      <c r="J113" s="62"/>
      <c r="K113" s="64">
        <v>50.3</v>
      </c>
      <c r="L113" s="64">
        <f>K113*VLOOKUP(H113,dagsoorttabel1,2,FALSE)</f>
        <v>0.2515</v>
      </c>
      <c r="M113" s="65">
        <f>prodnorm10</f>
        <v>0</v>
      </c>
      <c r="N113" s="66">
        <f>dagwerk10</f>
        <v>0</v>
      </c>
      <c r="O113" s="62" t="s">
        <v>37</v>
      </c>
      <c r="P113" s="67">
        <f>uurtarief10</f>
        <v>0</v>
      </c>
      <c r="Q113" s="64" t="e">
        <f>IF(ISBLANK(M113),0,L113/M113)</f>
        <v>#DIV/0!</v>
      </c>
      <c r="R113" s="64" t="e">
        <f>IF(ISBLANK(M113),0,Q113*N113)</f>
        <v>#DIV/0!</v>
      </c>
      <c r="S113" s="67" t="e">
        <f>P113*Q113</f>
        <v>#DIV/0!</v>
      </c>
      <c r="T113" s="64" t="e">
        <f>Q113*dagenperjaar1</f>
        <v>#DIV/0!</v>
      </c>
      <c r="U113" s="68" t="e">
        <f>T113*P113</f>
        <v>#DIV/0!</v>
      </c>
    </row>
    <row r="114" spans="1:21" x14ac:dyDescent="0.2">
      <c r="A114" s="61" t="s">
        <v>120</v>
      </c>
      <c r="B114" s="62" t="s">
        <v>121</v>
      </c>
      <c r="C114" s="62" t="s">
        <v>205</v>
      </c>
      <c r="D114" s="62" t="s">
        <v>226</v>
      </c>
      <c r="E114" s="63" t="s">
        <v>147</v>
      </c>
      <c r="F114" s="62" t="s">
        <v>125</v>
      </c>
      <c r="G114" s="62" t="s">
        <v>93</v>
      </c>
      <c r="H114" s="62" t="s">
        <v>12</v>
      </c>
      <c r="I114" s="62" t="s">
        <v>87</v>
      </c>
      <c r="J114" s="62"/>
      <c r="K114" s="64">
        <v>49.3</v>
      </c>
      <c r="L114" s="64">
        <f>K114*VLOOKUP(H114,dagsoorttabel1,2,FALSE)</f>
        <v>49.3</v>
      </c>
      <c r="M114" s="65">
        <f>prodnorm4</f>
        <v>0</v>
      </c>
      <c r="N114" s="66">
        <f>dagwerk4</f>
        <v>0</v>
      </c>
      <c r="O114" s="62" t="s">
        <v>37</v>
      </c>
      <c r="P114" s="67">
        <f>uurtarief4</f>
        <v>0</v>
      </c>
      <c r="Q114" s="64" t="e">
        <f>IF(ISBLANK(M114),0,L114/M114)</f>
        <v>#DIV/0!</v>
      </c>
      <c r="R114" s="64" t="e">
        <f>IF(ISBLANK(M114),0,Q114*N114)</f>
        <v>#DIV/0!</v>
      </c>
      <c r="S114" s="67" t="e">
        <f>P114*Q114</f>
        <v>#DIV/0!</v>
      </c>
      <c r="T114" s="64" t="e">
        <f>Q114*dagenperjaar1</f>
        <v>#DIV/0!</v>
      </c>
      <c r="U114" s="68" t="e">
        <f>T114*P114</f>
        <v>#DIV/0!</v>
      </c>
    </row>
    <row r="115" spans="1:21" x14ac:dyDescent="0.2">
      <c r="A115" s="61" t="s">
        <v>120</v>
      </c>
      <c r="B115" s="62" t="s">
        <v>121</v>
      </c>
      <c r="C115" s="62" t="s">
        <v>205</v>
      </c>
      <c r="D115" s="62" t="s">
        <v>226</v>
      </c>
      <c r="E115" s="63" t="s">
        <v>147</v>
      </c>
      <c r="F115" s="62" t="s">
        <v>125</v>
      </c>
      <c r="G115" s="62" t="s">
        <v>105</v>
      </c>
      <c r="H115" s="62" t="s">
        <v>24</v>
      </c>
      <c r="I115" s="62" t="s">
        <v>87</v>
      </c>
      <c r="J115" s="62"/>
      <c r="K115" s="64">
        <v>49.3</v>
      </c>
      <c r="L115" s="64">
        <f>K115*VLOOKUP(H115,dagsoorttabel1,2,FALSE)</f>
        <v>0.2465</v>
      </c>
      <c r="M115" s="65">
        <f>prodnorm10</f>
        <v>0</v>
      </c>
      <c r="N115" s="66">
        <f>dagwerk10</f>
        <v>0</v>
      </c>
      <c r="O115" s="62" t="s">
        <v>37</v>
      </c>
      <c r="P115" s="67">
        <f>uurtarief10</f>
        <v>0</v>
      </c>
      <c r="Q115" s="64" t="e">
        <f>IF(ISBLANK(M115),0,L115/M115)</f>
        <v>#DIV/0!</v>
      </c>
      <c r="R115" s="64" t="e">
        <f>IF(ISBLANK(M115),0,Q115*N115)</f>
        <v>#DIV/0!</v>
      </c>
      <c r="S115" s="67" t="e">
        <f>P115*Q115</f>
        <v>#DIV/0!</v>
      </c>
      <c r="T115" s="64" t="e">
        <f>Q115*dagenperjaar1</f>
        <v>#DIV/0!</v>
      </c>
      <c r="U115" s="68" t="e">
        <f>T115*P115</f>
        <v>#DIV/0!</v>
      </c>
    </row>
    <row r="116" spans="1:21" x14ac:dyDescent="0.2">
      <c r="A116" s="61" t="s">
        <v>120</v>
      </c>
      <c r="B116" s="62" t="s">
        <v>121</v>
      </c>
      <c r="C116" s="62" t="s">
        <v>205</v>
      </c>
      <c r="D116" s="62" t="s">
        <v>227</v>
      </c>
      <c r="E116" s="63" t="s">
        <v>179</v>
      </c>
      <c r="F116" s="62" t="s">
        <v>125</v>
      </c>
      <c r="G116" s="62" t="s">
        <v>89</v>
      </c>
      <c r="H116" s="62" t="s">
        <v>10</v>
      </c>
      <c r="I116" s="62" t="s">
        <v>87</v>
      </c>
      <c r="J116" s="62"/>
      <c r="K116" s="64">
        <v>22</v>
      </c>
      <c r="L116" s="64">
        <f>K116*VLOOKUP(H116,dagsoorttabel1,2,FALSE)</f>
        <v>22.549999999999997</v>
      </c>
      <c r="M116" s="65">
        <f>prodnorm2</f>
        <v>0</v>
      </c>
      <c r="N116" s="66">
        <f>dagwerk2</f>
        <v>0</v>
      </c>
      <c r="O116" s="62" t="s">
        <v>37</v>
      </c>
      <c r="P116" s="67">
        <f>uurtarief2</f>
        <v>0</v>
      </c>
      <c r="Q116" s="64" t="e">
        <f>IF(ISBLANK(M116),0,L116/M116)</f>
        <v>#DIV/0!</v>
      </c>
      <c r="R116" s="64" t="e">
        <f>IF(ISBLANK(M116),0,Q116*N116)</f>
        <v>#DIV/0!</v>
      </c>
      <c r="S116" s="67" t="e">
        <f>P116*Q116</f>
        <v>#DIV/0!</v>
      </c>
      <c r="T116" s="64" t="e">
        <f>Q116*dagenperjaar1</f>
        <v>#DIV/0!</v>
      </c>
      <c r="U116" s="68" t="e">
        <f>T116*P116</f>
        <v>#DIV/0!</v>
      </c>
    </row>
    <row r="117" spans="1:21" x14ac:dyDescent="0.2">
      <c r="A117" s="61" t="s">
        <v>120</v>
      </c>
      <c r="B117" s="62" t="s">
        <v>121</v>
      </c>
      <c r="C117" s="62" t="s">
        <v>205</v>
      </c>
      <c r="D117" s="62" t="s">
        <v>227</v>
      </c>
      <c r="E117" s="63" t="s">
        <v>179</v>
      </c>
      <c r="F117" s="62" t="s">
        <v>125</v>
      </c>
      <c r="G117" s="62" t="s">
        <v>105</v>
      </c>
      <c r="H117" s="62" t="s">
        <v>24</v>
      </c>
      <c r="I117" s="62" t="s">
        <v>87</v>
      </c>
      <c r="J117" s="62"/>
      <c r="K117" s="64">
        <v>22</v>
      </c>
      <c r="L117" s="64">
        <f>K117*VLOOKUP(H117,dagsoorttabel1,2,FALSE)</f>
        <v>0.11</v>
      </c>
      <c r="M117" s="65">
        <f>prodnorm10</f>
        <v>0</v>
      </c>
      <c r="N117" s="66">
        <f>dagwerk10</f>
        <v>0</v>
      </c>
      <c r="O117" s="62" t="s">
        <v>37</v>
      </c>
      <c r="P117" s="67">
        <f>uurtarief10</f>
        <v>0</v>
      </c>
      <c r="Q117" s="64" t="e">
        <f>IF(ISBLANK(M117),0,L117/M117)</f>
        <v>#DIV/0!</v>
      </c>
      <c r="R117" s="64" t="e">
        <f>IF(ISBLANK(M117),0,Q117*N117)</f>
        <v>#DIV/0!</v>
      </c>
      <c r="S117" s="67" t="e">
        <f>P117*Q117</f>
        <v>#DIV/0!</v>
      </c>
      <c r="T117" s="64" t="e">
        <f>Q117*dagenperjaar1</f>
        <v>#DIV/0!</v>
      </c>
      <c r="U117" s="68" t="e">
        <f>T117*P117</f>
        <v>#DIV/0!</v>
      </c>
    </row>
    <row r="118" spans="1:21" x14ac:dyDescent="0.2">
      <c r="A118" s="61" t="s">
        <v>120</v>
      </c>
      <c r="B118" s="62" t="s">
        <v>121</v>
      </c>
      <c r="C118" s="62" t="s">
        <v>205</v>
      </c>
      <c r="D118" s="62" t="s">
        <v>228</v>
      </c>
      <c r="E118" s="63" t="s">
        <v>179</v>
      </c>
      <c r="F118" s="62" t="s">
        <v>148</v>
      </c>
      <c r="G118" s="62" t="s">
        <v>89</v>
      </c>
      <c r="H118" s="62" t="s">
        <v>10</v>
      </c>
      <c r="I118" s="62" t="s">
        <v>87</v>
      </c>
      <c r="J118" s="62"/>
      <c r="K118" s="64">
        <v>28</v>
      </c>
      <c r="L118" s="64">
        <f>K118*VLOOKUP(H118,dagsoorttabel1,2,FALSE)</f>
        <v>28.699999999999996</v>
      </c>
      <c r="M118" s="65">
        <f>prodnorm2</f>
        <v>0</v>
      </c>
      <c r="N118" s="66">
        <f>dagwerk2</f>
        <v>0</v>
      </c>
      <c r="O118" s="62" t="s">
        <v>37</v>
      </c>
      <c r="P118" s="67">
        <f>uurtarief2</f>
        <v>0</v>
      </c>
      <c r="Q118" s="64" t="e">
        <f>IF(ISBLANK(M118),0,L118/M118)</f>
        <v>#DIV/0!</v>
      </c>
      <c r="R118" s="64" t="e">
        <f>IF(ISBLANK(M118),0,Q118*N118)</f>
        <v>#DIV/0!</v>
      </c>
      <c r="S118" s="67" t="e">
        <f>P118*Q118</f>
        <v>#DIV/0!</v>
      </c>
      <c r="T118" s="64" t="e">
        <f>Q118*dagenperjaar1</f>
        <v>#DIV/0!</v>
      </c>
      <c r="U118" s="68" t="e">
        <f>T118*P118</f>
        <v>#DIV/0!</v>
      </c>
    </row>
    <row r="119" spans="1:21" x14ac:dyDescent="0.2">
      <c r="A119" s="61" t="s">
        <v>120</v>
      </c>
      <c r="B119" s="62" t="s">
        <v>121</v>
      </c>
      <c r="C119" s="62" t="s">
        <v>205</v>
      </c>
      <c r="D119" s="62" t="s">
        <v>229</v>
      </c>
      <c r="E119" s="63" t="s">
        <v>179</v>
      </c>
      <c r="F119" s="62" t="s">
        <v>125</v>
      </c>
      <c r="G119" s="62" t="s">
        <v>89</v>
      </c>
      <c r="H119" s="62" t="s">
        <v>10</v>
      </c>
      <c r="I119" s="62" t="s">
        <v>87</v>
      </c>
      <c r="J119" s="62"/>
      <c r="K119" s="64">
        <v>22.2</v>
      </c>
      <c r="L119" s="64">
        <f>K119*VLOOKUP(H119,dagsoorttabel1,2,FALSE)</f>
        <v>22.754999999999999</v>
      </c>
      <c r="M119" s="65">
        <f>prodnorm2</f>
        <v>0</v>
      </c>
      <c r="N119" s="66">
        <f>dagwerk2</f>
        <v>0</v>
      </c>
      <c r="O119" s="62" t="s">
        <v>37</v>
      </c>
      <c r="P119" s="67">
        <f>uurtarief2</f>
        <v>0</v>
      </c>
      <c r="Q119" s="64" t="e">
        <f>IF(ISBLANK(M119),0,L119/M119)</f>
        <v>#DIV/0!</v>
      </c>
      <c r="R119" s="64" t="e">
        <f>IF(ISBLANK(M119),0,Q119*N119)</f>
        <v>#DIV/0!</v>
      </c>
      <c r="S119" s="67" t="e">
        <f>P119*Q119</f>
        <v>#DIV/0!</v>
      </c>
      <c r="T119" s="64" t="e">
        <f>Q119*dagenperjaar1</f>
        <v>#DIV/0!</v>
      </c>
      <c r="U119" s="68" t="e">
        <f>T119*P119</f>
        <v>#DIV/0!</v>
      </c>
    </row>
    <row r="120" spans="1:21" x14ac:dyDescent="0.2">
      <c r="A120" s="61" t="s">
        <v>120</v>
      </c>
      <c r="B120" s="62" t="s">
        <v>121</v>
      </c>
      <c r="C120" s="62" t="s">
        <v>205</v>
      </c>
      <c r="D120" s="62" t="s">
        <v>229</v>
      </c>
      <c r="E120" s="63" t="s">
        <v>179</v>
      </c>
      <c r="F120" s="62" t="s">
        <v>125</v>
      </c>
      <c r="G120" s="62" t="s">
        <v>105</v>
      </c>
      <c r="H120" s="62" t="s">
        <v>24</v>
      </c>
      <c r="I120" s="62" t="s">
        <v>87</v>
      </c>
      <c r="J120" s="62"/>
      <c r="K120" s="64">
        <v>22.2</v>
      </c>
      <c r="L120" s="64">
        <f>K120*VLOOKUP(H120,dagsoorttabel1,2,FALSE)</f>
        <v>0.111</v>
      </c>
      <c r="M120" s="65">
        <f>prodnorm10</f>
        <v>0</v>
      </c>
      <c r="N120" s="66">
        <f>dagwerk10</f>
        <v>0</v>
      </c>
      <c r="O120" s="62" t="s">
        <v>37</v>
      </c>
      <c r="P120" s="67">
        <f>uurtarief10</f>
        <v>0</v>
      </c>
      <c r="Q120" s="64" t="e">
        <f>IF(ISBLANK(M120),0,L120/M120)</f>
        <v>#DIV/0!</v>
      </c>
      <c r="R120" s="64" t="e">
        <f>IF(ISBLANK(M120),0,Q120*N120)</f>
        <v>#DIV/0!</v>
      </c>
      <c r="S120" s="67" t="e">
        <f>P120*Q120</f>
        <v>#DIV/0!</v>
      </c>
      <c r="T120" s="64" t="e">
        <f>Q120*dagenperjaar1</f>
        <v>#DIV/0!</v>
      </c>
      <c r="U120" s="68" t="e">
        <f>T120*P120</f>
        <v>#DIV/0!</v>
      </c>
    </row>
    <row r="121" spans="1:21" x14ac:dyDescent="0.2">
      <c r="A121" s="61" t="s">
        <v>120</v>
      </c>
      <c r="B121" s="62" t="s">
        <v>121</v>
      </c>
      <c r="C121" s="62" t="s">
        <v>205</v>
      </c>
      <c r="D121" s="62" t="s">
        <v>230</v>
      </c>
      <c r="E121" s="63" t="s">
        <v>145</v>
      </c>
      <c r="F121" s="62" t="s">
        <v>125</v>
      </c>
      <c r="G121" s="62" t="s">
        <v>103</v>
      </c>
      <c r="H121" s="62" t="s">
        <v>12</v>
      </c>
      <c r="I121" s="62" t="s">
        <v>87</v>
      </c>
      <c r="J121" s="62"/>
      <c r="K121" s="64">
        <v>44</v>
      </c>
      <c r="L121" s="64">
        <f>K121*VLOOKUP(H121,dagsoorttabel1,2,FALSE)</f>
        <v>44</v>
      </c>
      <c r="M121" s="65">
        <f>prodnorm9</f>
        <v>0</v>
      </c>
      <c r="N121" s="66">
        <f>dagwerk9</f>
        <v>0</v>
      </c>
      <c r="O121" s="62" t="s">
        <v>37</v>
      </c>
      <c r="P121" s="67">
        <f>uurtarief9</f>
        <v>0</v>
      </c>
      <c r="Q121" s="64" t="e">
        <f>IF(ISBLANK(M121),0,L121/M121)</f>
        <v>#DIV/0!</v>
      </c>
      <c r="R121" s="64" t="e">
        <f>IF(ISBLANK(M121),0,Q121*N121)</f>
        <v>#DIV/0!</v>
      </c>
      <c r="S121" s="67" t="e">
        <f>P121*Q121</f>
        <v>#DIV/0!</v>
      </c>
      <c r="T121" s="64" t="e">
        <f>Q121*dagenperjaar1</f>
        <v>#DIV/0!</v>
      </c>
      <c r="U121" s="68" t="e">
        <f>T121*P121</f>
        <v>#DIV/0!</v>
      </c>
    </row>
    <row r="122" spans="1:21" x14ac:dyDescent="0.2">
      <c r="A122" s="61" t="s">
        <v>120</v>
      </c>
      <c r="B122" s="62" t="s">
        <v>121</v>
      </c>
      <c r="C122" s="62" t="s">
        <v>205</v>
      </c>
      <c r="D122" s="62" t="s">
        <v>230</v>
      </c>
      <c r="E122" s="63" t="s">
        <v>145</v>
      </c>
      <c r="F122" s="62" t="s">
        <v>125</v>
      </c>
      <c r="G122" s="62" t="s">
        <v>105</v>
      </c>
      <c r="H122" s="62" t="s">
        <v>24</v>
      </c>
      <c r="I122" s="62" t="s">
        <v>87</v>
      </c>
      <c r="J122" s="62"/>
      <c r="K122" s="64">
        <v>44</v>
      </c>
      <c r="L122" s="64">
        <f>K122*VLOOKUP(H122,dagsoorttabel1,2,FALSE)</f>
        <v>0.22</v>
      </c>
      <c r="M122" s="65">
        <f>prodnorm10</f>
        <v>0</v>
      </c>
      <c r="N122" s="66">
        <f>dagwerk10</f>
        <v>0</v>
      </c>
      <c r="O122" s="62" t="s">
        <v>37</v>
      </c>
      <c r="P122" s="67">
        <f>uurtarief10</f>
        <v>0</v>
      </c>
      <c r="Q122" s="64" t="e">
        <f>IF(ISBLANK(M122),0,L122/M122)</f>
        <v>#DIV/0!</v>
      </c>
      <c r="R122" s="64" t="e">
        <f>IF(ISBLANK(M122),0,Q122*N122)</f>
        <v>#DIV/0!</v>
      </c>
      <c r="S122" s="67" t="e">
        <f>P122*Q122</f>
        <v>#DIV/0!</v>
      </c>
      <c r="T122" s="64" t="e">
        <f>Q122*dagenperjaar1</f>
        <v>#DIV/0!</v>
      </c>
      <c r="U122" s="68" t="e">
        <f>T122*P122</f>
        <v>#DIV/0!</v>
      </c>
    </row>
    <row r="123" spans="1:21" x14ac:dyDescent="0.2">
      <c r="A123" s="61" t="s">
        <v>120</v>
      </c>
      <c r="B123" s="62" t="s">
        <v>121</v>
      </c>
      <c r="C123" s="62" t="s">
        <v>205</v>
      </c>
      <c r="D123" s="62" t="s">
        <v>231</v>
      </c>
      <c r="E123" s="63" t="s">
        <v>232</v>
      </c>
      <c r="F123" s="62" t="s">
        <v>125</v>
      </c>
      <c r="G123" s="62" t="s">
        <v>89</v>
      </c>
      <c r="H123" s="62" t="s">
        <v>10</v>
      </c>
      <c r="I123" s="62" t="s">
        <v>87</v>
      </c>
      <c r="J123" s="62"/>
      <c r="K123" s="64">
        <v>119</v>
      </c>
      <c r="L123" s="64">
        <f>K123*VLOOKUP(H123,dagsoorttabel1,2,FALSE)</f>
        <v>121.97499999999999</v>
      </c>
      <c r="M123" s="65">
        <f>prodnorm2</f>
        <v>0</v>
      </c>
      <c r="N123" s="66">
        <f>dagwerk2</f>
        <v>0</v>
      </c>
      <c r="O123" s="62" t="s">
        <v>37</v>
      </c>
      <c r="P123" s="67">
        <f>uurtarief2</f>
        <v>0</v>
      </c>
      <c r="Q123" s="64" t="e">
        <f>IF(ISBLANK(M123),0,L123/M123)</f>
        <v>#DIV/0!</v>
      </c>
      <c r="R123" s="64" t="e">
        <f>IF(ISBLANK(M123),0,Q123*N123)</f>
        <v>#DIV/0!</v>
      </c>
      <c r="S123" s="67" t="e">
        <f>P123*Q123</f>
        <v>#DIV/0!</v>
      </c>
      <c r="T123" s="64" t="e">
        <f>Q123*dagenperjaar1</f>
        <v>#DIV/0!</v>
      </c>
      <c r="U123" s="68" t="e">
        <f>T123*P123</f>
        <v>#DIV/0!</v>
      </c>
    </row>
    <row r="124" spans="1:21" x14ac:dyDescent="0.2">
      <c r="A124" s="61" t="s">
        <v>120</v>
      </c>
      <c r="B124" s="62" t="s">
        <v>121</v>
      </c>
      <c r="C124" s="62" t="s">
        <v>205</v>
      </c>
      <c r="D124" s="62" t="s">
        <v>231</v>
      </c>
      <c r="E124" s="63" t="s">
        <v>232</v>
      </c>
      <c r="F124" s="62" t="s">
        <v>125</v>
      </c>
      <c r="G124" s="62" t="s">
        <v>105</v>
      </c>
      <c r="H124" s="62" t="s">
        <v>24</v>
      </c>
      <c r="I124" s="62" t="s">
        <v>87</v>
      </c>
      <c r="J124" s="62"/>
      <c r="K124" s="64">
        <v>119</v>
      </c>
      <c r="L124" s="64">
        <f>K124*VLOOKUP(H124,dagsoorttabel1,2,FALSE)</f>
        <v>0.59499999999999997</v>
      </c>
      <c r="M124" s="65">
        <f>prodnorm10</f>
        <v>0</v>
      </c>
      <c r="N124" s="66">
        <f>dagwerk10</f>
        <v>0</v>
      </c>
      <c r="O124" s="62" t="s">
        <v>37</v>
      </c>
      <c r="P124" s="67">
        <f>uurtarief10</f>
        <v>0</v>
      </c>
      <c r="Q124" s="64" t="e">
        <f>IF(ISBLANK(M124),0,L124/M124)</f>
        <v>#DIV/0!</v>
      </c>
      <c r="R124" s="64" t="e">
        <f>IF(ISBLANK(M124),0,Q124*N124)</f>
        <v>#DIV/0!</v>
      </c>
      <c r="S124" s="67" t="e">
        <f>P124*Q124</f>
        <v>#DIV/0!</v>
      </c>
      <c r="T124" s="64" t="e">
        <f>Q124*dagenperjaar1</f>
        <v>#DIV/0!</v>
      </c>
      <c r="U124" s="68" t="e">
        <f>T124*P124</f>
        <v>#DIV/0!</v>
      </c>
    </row>
    <row r="125" spans="1:21" x14ac:dyDescent="0.2">
      <c r="A125" s="61" t="s">
        <v>120</v>
      </c>
      <c r="B125" s="62" t="s">
        <v>121</v>
      </c>
      <c r="C125" s="62" t="s">
        <v>205</v>
      </c>
      <c r="D125" s="62" t="s">
        <v>233</v>
      </c>
      <c r="E125" s="63" t="s">
        <v>234</v>
      </c>
      <c r="F125" s="62" t="s">
        <v>125</v>
      </c>
      <c r="G125" s="62" t="s">
        <v>89</v>
      </c>
      <c r="H125" s="62" t="s">
        <v>10</v>
      </c>
      <c r="I125" s="62" t="s">
        <v>87</v>
      </c>
      <c r="J125" s="62"/>
      <c r="K125" s="64">
        <v>23.9</v>
      </c>
      <c r="L125" s="64">
        <f>K125*VLOOKUP(H125,dagsoorttabel1,2,FALSE)</f>
        <v>24.497499999999995</v>
      </c>
      <c r="M125" s="65">
        <f>prodnorm2</f>
        <v>0</v>
      </c>
      <c r="N125" s="66">
        <f>dagwerk2</f>
        <v>0</v>
      </c>
      <c r="O125" s="62" t="s">
        <v>37</v>
      </c>
      <c r="P125" s="67">
        <f>uurtarief2</f>
        <v>0</v>
      </c>
      <c r="Q125" s="64" t="e">
        <f>IF(ISBLANK(M125),0,L125/M125)</f>
        <v>#DIV/0!</v>
      </c>
      <c r="R125" s="64" t="e">
        <f>IF(ISBLANK(M125),0,Q125*N125)</f>
        <v>#DIV/0!</v>
      </c>
      <c r="S125" s="67" t="e">
        <f>P125*Q125</f>
        <v>#DIV/0!</v>
      </c>
      <c r="T125" s="64" t="e">
        <f>Q125*dagenperjaar1</f>
        <v>#DIV/0!</v>
      </c>
      <c r="U125" s="68" t="e">
        <f>T125*P125</f>
        <v>#DIV/0!</v>
      </c>
    </row>
    <row r="126" spans="1:21" x14ac:dyDescent="0.2">
      <c r="A126" s="61" t="s">
        <v>120</v>
      </c>
      <c r="B126" s="62" t="s">
        <v>121</v>
      </c>
      <c r="C126" s="62" t="s">
        <v>205</v>
      </c>
      <c r="D126" s="62" t="s">
        <v>233</v>
      </c>
      <c r="E126" s="63" t="s">
        <v>234</v>
      </c>
      <c r="F126" s="62" t="s">
        <v>125</v>
      </c>
      <c r="G126" s="62" t="s">
        <v>105</v>
      </c>
      <c r="H126" s="62" t="s">
        <v>24</v>
      </c>
      <c r="I126" s="62" t="s">
        <v>87</v>
      </c>
      <c r="J126" s="62"/>
      <c r="K126" s="64">
        <v>23.9</v>
      </c>
      <c r="L126" s="64">
        <f>K126*VLOOKUP(H126,dagsoorttabel1,2,FALSE)</f>
        <v>0.1195</v>
      </c>
      <c r="M126" s="65">
        <f>prodnorm10</f>
        <v>0</v>
      </c>
      <c r="N126" s="66">
        <f>dagwerk10</f>
        <v>0</v>
      </c>
      <c r="O126" s="62" t="s">
        <v>37</v>
      </c>
      <c r="P126" s="67">
        <f>uurtarief10</f>
        <v>0</v>
      </c>
      <c r="Q126" s="64" t="e">
        <f>IF(ISBLANK(M126),0,L126/M126)</f>
        <v>#DIV/0!</v>
      </c>
      <c r="R126" s="64" t="e">
        <f>IF(ISBLANK(M126),0,Q126*N126)</f>
        <v>#DIV/0!</v>
      </c>
      <c r="S126" s="67" t="e">
        <f>P126*Q126</f>
        <v>#DIV/0!</v>
      </c>
      <c r="T126" s="64" t="e">
        <f>Q126*dagenperjaar1</f>
        <v>#DIV/0!</v>
      </c>
      <c r="U126" s="68" t="e">
        <f>T126*P126</f>
        <v>#DIV/0!</v>
      </c>
    </row>
    <row r="127" spans="1:21" x14ac:dyDescent="0.2">
      <c r="A127" s="61" t="s">
        <v>120</v>
      </c>
      <c r="B127" s="62" t="s">
        <v>121</v>
      </c>
      <c r="C127" s="62" t="s">
        <v>205</v>
      </c>
      <c r="D127" s="62" t="s">
        <v>235</v>
      </c>
      <c r="E127" s="63" t="s">
        <v>147</v>
      </c>
      <c r="F127" s="62" t="s">
        <v>125</v>
      </c>
      <c r="G127" s="62" t="s">
        <v>93</v>
      </c>
      <c r="H127" s="62" t="s">
        <v>12</v>
      </c>
      <c r="I127" s="62" t="s">
        <v>87</v>
      </c>
      <c r="J127" s="62"/>
      <c r="K127" s="64">
        <v>53.1</v>
      </c>
      <c r="L127" s="64">
        <f>K127*VLOOKUP(H127,dagsoorttabel1,2,FALSE)</f>
        <v>53.1</v>
      </c>
      <c r="M127" s="65">
        <f>prodnorm4</f>
        <v>0</v>
      </c>
      <c r="N127" s="66">
        <f>dagwerk4</f>
        <v>0</v>
      </c>
      <c r="O127" s="62" t="s">
        <v>37</v>
      </c>
      <c r="P127" s="67">
        <f>uurtarief4</f>
        <v>0</v>
      </c>
      <c r="Q127" s="64" t="e">
        <f>IF(ISBLANK(M127),0,L127/M127)</f>
        <v>#DIV/0!</v>
      </c>
      <c r="R127" s="64" t="e">
        <f>IF(ISBLANK(M127),0,Q127*N127)</f>
        <v>#DIV/0!</v>
      </c>
      <c r="S127" s="67" t="e">
        <f>P127*Q127</f>
        <v>#DIV/0!</v>
      </c>
      <c r="T127" s="64" t="e">
        <f>Q127*dagenperjaar1</f>
        <v>#DIV/0!</v>
      </c>
      <c r="U127" s="68" t="e">
        <f>T127*P127</f>
        <v>#DIV/0!</v>
      </c>
    </row>
    <row r="128" spans="1:21" x14ac:dyDescent="0.2">
      <c r="A128" s="61" t="s">
        <v>120</v>
      </c>
      <c r="B128" s="62" t="s">
        <v>121</v>
      </c>
      <c r="C128" s="62" t="s">
        <v>205</v>
      </c>
      <c r="D128" s="62" t="s">
        <v>235</v>
      </c>
      <c r="E128" s="63" t="s">
        <v>147</v>
      </c>
      <c r="F128" s="62" t="s">
        <v>125</v>
      </c>
      <c r="G128" s="62" t="s">
        <v>105</v>
      </c>
      <c r="H128" s="62" t="s">
        <v>24</v>
      </c>
      <c r="I128" s="62" t="s">
        <v>87</v>
      </c>
      <c r="J128" s="62"/>
      <c r="K128" s="64">
        <v>53.1</v>
      </c>
      <c r="L128" s="64">
        <f>K128*VLOOKUP(H128,dagsoorttabel1,2,FALSE)</f>
        <v>0.26550000000000001</v>
      </c>
      <c r="M128" s="65">
        <f>prodnorm10</f>
        <v>0</v>
      </c>
      <c r="N128" s="66">
        <f>dagwerk10</f>
        <v>0</v>
      </c>
      <c r="O128" s="62" t="s">
        <v>37</v>
      </c>
      <c r="P128" s="67">
        <f>uurtarief10</f>
        <v>0</v>
      </c>
      <c r="Q128" s="64" t="e">
        <f>IF(ISBLANK(M128),0,L128/M128)</f>
        <v>#DIV/0!</v>
      </c>
      <c r="R128" s="64" t="e">
        <f>IF(ISBLANK(M128),0,Q128*N128)</f>
        <v>#DIV/0!</v>
      </c>
      <c r="S128" s="67" t="e">
        <f>P128*Q128</f>
        <v>#DIV/0!</v>
      </c>
      <c r="T128" s="64" t="e">
        <f>Q128*dagenperjaar1</f>
        <v>#DIV/0!</v>
      </c>
      <c r="U128" s="68" t="e">
        <f>T128*P128</f>
        <v>#DIV/0!</v>
      </c>
    </row>
    <row r="129" spans="1:21" x14ac:dyDescent="0.2">
      <c r="A129" s="61" t="s">
        <v>120</v>
      </c>
      <c r="B129" s="62" t="s">
        <v>121</v>
      </c>
      <c r="C129" s="62" t="s">
        <v>205</v>
      </c>
      <c r="D129" s="62" t="s">
        <v>236</v>
      </c>
      <c r="E129" s="63" t="s">
        <v>147</v>
      </c>
      <c r="F129" s="62" t="s">
        <v>125</v>
      </c>
      <c r="G129" s="62" t="s">
        <v>93</v>
      </c>
      <c r="H129" s="62" t="s">
        <v>12</v>
      </c>
      <c r="I129" s="62" t="s">
        <v>87</v>
      </c>
      <c r="J129" s="62"/>
      <c r="K129" s="64">
        <v>56.4</v>
      </c>
      <c r="L129" s="64">
        <f>K129*VLOOKUP(H129,dagsoorttabel1,2,FALSE)</f>
        <v>56.4</v>
      </c>
      <c r="M129" s="65">
        <f>prodnorm4</f>
        <v>0</v>
      </c>
      <c r="N129" s="66">
        <f>dagwerk4</f>
        <v>0</v>
      </c>
      <c r="O129" s="62" t="s">
        <v>37</v>
      </c>
      <c r="P129" s="67">
        <f>uurtarief4</f>
        <v>0</v>
      </c>
      <c r="Q129" s="64" t="e">
        <f>IF(ISBLANK(M129),0,L129/M129)</f>
        <v>#DIV/0!</v>
      </c>
      <c r="R129" s="64" t="e">
        <f>IF(ISBLANK(M129),0,Q129*N129)</f>
        <v>#DIV/0!</v>
      </c>
      <c r="S129" s="67" t="e">
        <f>P129*Q129</f>
        <v>#DIV/0!</v>
      </c>
      <c r="T129" s="64" t="e">
        <f>Q129*dagenperjaar1</f>
        <v>#DIV/0!</v>
      </c>
      <c r="U129" s="68" t="e">
        <f>T129*P129</f>
        <v>#DIV/0!</v>
      </c>
    </row>
    <row r="130" spans="1:21" x14ac:dyDescent="0.2">
      <c r="A130" s="61" t="s">
        <v>120</v>
      </c>
      <c r="B130" s="62" t="s">
        <v>121</v>
      </c>
      <c r="C130" s="62" t="s">
        <v>205</v>
      </c>
      <c r="D130" s="62" t="s">
        <v>236</v>
      </c>
      <c r="E130" s="63" t="s">
        <v>147</v>
      </c>
      <c r="F130" s="62" t="s">
        <v>125</v>
      </c>
      <c r="G130" s="62" t="s">
        <v>105</v>
      </c>
      <c r="H130" s="62" t="s">
        <v>24</v>
      </c>
      <c r="I130" s="62" t="s">
        <v>87</v>
      </c>
      <c r="J130" s="62"/>
      <c r="K130" s="64">
        <v>56.4</v>
      </c>
      <c r="L130" s="64">
        <f>K130*VLOOKUP(H130,dagsoorttabel1,2,FALSE)</f>
        <v>0.28199999999999997</v>
      </c>
      <c r="M130" s="65">
        <f>prodnorm10</f>
        <v>0</v>
      </c>
      <c r="N130" s="66">
        <f>dagwerk10</f>
        <v>0</v>
      </c>
      <c r="O130" s="62" t="s">
        <v>37</v>
      </c>
      <c r="P130" s="67">
        <f>uurtarief10</f>
        <v>0</v>
      </c>
      <c r="Q130" s="64" t="e">
        <f>IF(ISBLANK(M130),0,L130/M130)</f>
        <v>#DIV/0!</v>
      </c>
      <c r="R130" s="64" t="e">
        <f>IF(ISBLANK(M130),0,Q130*N130)</f>
        <v>#DIV/0!</v>
      </c>
      <c r="S130" s="67" t="e">
        <f>P130*Q130</f>
        <v>#DIV/0!</v>
      </c>
      <c r="T130" s="64" t="e">
        <f>Q130*dagenperjaar1</f>
        <v>#DIV/0!</v>
      </c>
      <c r="U130" s="68" t="e">
        <f>T130*P130</f>
        <v>#DIV/0!</v>
      </c>
    </row>
    <row r="131" spans="1:21" x14ac:dyDescent="0.2">
      <c r="A131" s="61" t="s">
        <v>120</v>
      </c>
      <c r="B131" s="62" t="s">
        <v>121</v>
      </c>
      <c r="C131" s="62" t="s">
        <v>205</v>
      </c>
      <c r="D131" s="62" t="s">
        <v>237</v>
      </c>
      <c r="E131" s="63" t="s">
        <v>147</v>
      </c>
      <c r="F131" s="62" t="s">
        <v>125</v>
      </c>
      <c r="G131" s="62" t="s">
        <v>93</v>
      </c>
      <c r="H131" s="62" t="s">
        <v>12</v>
      </c>
      <c r="I131" s="62" t="s">
        <v>87</v>
      </c>
      <c r="J131" s="62"/>
      <c r="K131" s="64">
        <v>63.11</v>
      </c>
      <c r="L131" s="64">
        <f>K131*VLOOKUP(H131,dagsoorttabel1,2,FALSE)</f>
        <v>63.11</v>
      </c>
      <c r="M131" s="65">
        <f>prodnorm4</f>
        <v>0</v>
      </c>
      <c r="N131" s="66">
        <f>dagwerk4</f>
        <v>0</v>
      </c>
      <c r="O131" s="62" t="s">
        <v>37</v>
      </c>
      <c r="P131" s="67">
        <f>uurtarief4</f>
        <v>0</v>
      </c>
      <c r="Q131" s="64" t="e">
        <f>IF(ISBLANK(M131),0,L131/M131)</f>
        <v>#DIV/0!</v>
      </c>
      <c r="R131" s="64" t="e">
        <f>IF(ISBLANK(M131),0,Q131*N131)</f>
        <v>#DIV/0!</v>
      </c>
      <c r="S131" s="67" t="e">
        <f>P131*Q131</f>
        <v>#DIV/0!</v>
      </c>
      <c r="T131" s="64" t="e">
        <f>Q131*dagenperjaar1</f>
        <v>#DIV/0!</v>
      </c>
      <c r="U131" s="68" t="e">
        <f>T131*P131</f>
        <v>#DIV/0!</v>
      </c>
    </row>
    <row r="132" spans="1:21" x14ac:dyDescent="0.2">
      <c r="A132" s="61" t="s">
        <v>120</v>
      </c>
      <c r="B132" s="62" t="s">
        <v>121</v>
      </c>
      <c r="C132" s="62" t="s">
        <v>205</v>
      </c>
      <c r="D132" s="62" t="s">
        <v>237</v>
      </c>
      <c r="E132" s="63" t="s">
        <v>147</v>
      </c>
      <c r="F132" s="62" t="s">
        <v>125</v>
      </c>
      <c r="G132" s="62" t="s">
        <v>105</v>
      </c>
      <c r="H132" s="62" t="s">
        <v>24</v>
      </c>
      <c r="I132" s="62" t="s">
        <v>87</v>
      </c>
      <c r="J132" s="62"/>
      <c r="K132" s="64">
        <v>63.11</v>
      </c>
      <c r="L132" s="64">
        <f>K132*VLOOKUP(H132,dagsoorttabel1,2,FALSE)</f>
        <v>0.31555</v>
      </c>
      <c r="M132" s="65">
        <f>prodnorm10</f>
        <v>0</v>
      </c>
      <c r="N132" s="66">
        <f>dagwerk10</f>
        <v>0</v>
      </c>
      <c r="O132" s="62" t="s">
        <v>37</v>
      </c>
      <c r="P132" s="67">
        <f>uurtarief10</f>
        <v>0</v>
      </c>
      <c r="Q132" s="64" t="e">
        <f>IF(ISBLANK(M132),0,L132/M132)</f>
        <v>#DIV/0!</v>
      </c>
      <c r="R132" s="64" t="e">
        <f>IF(ISBLANK(M132),0,Q132*N132)</f>
        <v>#DIV/0!</v>
      </c>
      <c r="S132" s="67" t="e">
        <f>P132*Q132</f>
        <v>#DIV/0!</v>
      </c>
      <c r="T132" s="64" t="e">
        <f>Q132*dagenperjaar1</f>
        <v>#DIV/0!</v>
      </c>
      <c r="U132" s="68" t="e">
        <f>T132*P132</f>
        <v>#DIV/0!</v>
      </c>
    </row>
    <row r="133" spans="1:21" x14ac:dyDescent="0.2">
      <c r="A133" s="61" t="s">
        <v>120</v>
      </c>
      <c r="B133" s="62" t="s">
        <v>121</v>
      </c>
      <c r="C133" s="62" t="s">
        <v>205</v>
      </c>
      <c r="D133" s="62" t="s">
        <v>238</v>
      </c>
      <c r="E133" s="63" t="s">
        <v>239</v>
      </c>
      <c r="F133" s="62" t="s">
        <v>125</v>
      </c>
      <c r="G133" s="62" t="s">
        <v>89</v>
      </c>
      <c r="H133" s="62" t="s">
        <v>10</v>
      </c>
      <c r="I133" s="62" t="s">
        <v>87</v>
      </c>
      <c r="J133" s="62"/>
      <c r="K133" s="64">
        <v>6.8</v>
      </c>
      <c r="L133" s="64">
        <f>K133*VLOOKUP(H133,dagsoorttabel1,2,FALSE)</f>
        <v>6.9699999999999989</v>
      </c>
      <c r="M133" s="65">
        <f>prodnorm2</f>
        <v>0</v>
      </c>
      <c r="N133" s="66">
        <f>dagwerk2</f>
        <v>0</v>
      </c>
      <c r="O133" s="62" t="s">
        <v>37</v>
      </c>
      <c r="P133" s="67">
        <f>uurtarief2</f>
        <v>0</v>
      </c>
      <c r="Q133" s="64" t="e">
        <f>IF(ISBLANK(M133),0,L133/M133)</f>
        <v>#DIV/0!</v>
      </c>
      <c r="R133" s="64" t="e">
        <f>IF(ISBLANK(M133),0,Q133*N133)</f>
        <v>#DIV/0!</v>
      </c>
      <c r="S133" s="67" t="e">
        <f>P133*Q133</f>
        <v>#DIV/0!</v>
      </c>
      <c r="T133" s="64" t="e">
        <f>Q133*dagenperjaar1</f>
        <v>#DIV/0!</v>
      </c>
      <c r="U133" s="68" t="e">
        <f>T133*P133</f>
        <v>#DIV/0!</v>
      </c>
    </row>
    <row r="134" spans="1:21" x14ac:dyDescent="0.2">
      <c r="A134" s="61" t="s">
        <v>120</v>
      </c>
      <c r="B134" s="62" t="s">
        <v>121</v>
      </c>
      <c r="C134" s="62" t="s">
        <v>205</v>
      </c>
      <c r="D134" s="62" t="s">
        <v>238</v>
      </c>
      <c r="E134" s="63" t="s">
        <v>239</v>
      </c>
      <c r="F134" s="62" t="s">
        <v>125</v>
      </c>
      <c r="G134" s="62" t="s">
        <v>105</v>
      </c>
      <c r="H134" s="62" t="s">
        <v>24</v>
      </c>
      <c r="I134" s="62" t="s">
        <v>87</v>
      </c>
      <c r="J134" s="62"/>
      <c r="K134" s="64">
        <v>6.8</v>
      </c>
      <c r="L134" s="64">
        <f>K134*VLOOKUP(H134,dagsoorttabel1,2,FALSE)</f>
        <v>3.4000000000000002E-2</v>
      </c>
      <c r="M134" s="65">
        <f>prodnorm10</f>
        <v>0</v>
      </c>
      <c r="N134" s="66">
        <f>dagwerk10</f>
        <v>0</v>
      </c>
      <c r="O134" s="62" t="s">
        <v>37</v>
      </c>
      <c r="P134" s="67">
        <f>uurtarief10</f>
        <v>0</v>
      </c>
      <c r="Q134" s="64" t="e">
        <f>IF(ISBLANK(M134),0,L134/M134)</f>
        <v>#DIV/0!</v>
      </c>
      <c r="R134" s="64" t="e">
        <f>IF(ISBLANK(M134),0,Q134*N134)</f>
        <v>#DIV/0!</v>
      </c>
      <c r="S134" s="67" t="e">
        <f>P134*Q134</f>
        <v>#DIV/0!</v>
      </c>
      <c r="T134" s="64" t="e">
        <f>Q134*dagenperjaar1</f>
        <v>#DIV/0!</v>
      </c>
      <c r="U134" s="68" t="e">
        <f>T134*P134</f>
        <v>#DIV/0!</v>
      </c>
    </row>
    <row r="135" spans="1:21" x14ac:dyDescent="0.2">
      <c r="A135" s="61" t="s">
        <v>120</v>
      </c>
      <c r="B135" s="62" t="s">
        <v>121</v>
      </c>
      <c r="C135" s="62" t="s">
        <v>205</v>
      </c>
      <c r="D135" s="62" t="s">
        <v>240</v>
      </c>
      <c r="E135" s="63" t="s">
        <v>241</v>
      </c>
      <c r="F135" s="62" t="s">
        <v>125</v>
      </c>
      <c r="G135" s="62" t="s">
        <v>89</v>
      </c>
      <c r="H135" s="62" t="s">
        <v>10</v>
      </c>
      <c r="I135" s="62" t="s">
        <v>87</v>
      </c>
      <c r="J135" s="62"/>
      <c r="K135" s="64">
        <v>6.8</v>
      </c>
      <c r="L135" s="64">
        <f>K135*VLOOKUP(H135,dagsoorttabel1,2,FALSE)</f>
        <v>6.9699999999999989</v>
      </c>
      <c r="M135" s="65">
        <f>prodnorm2</f>
        <v>0</v>
      </c>
      <c r="N135" s="66">
        <f>dagwerk2</f>
        <v>0</v>
      </c>
      <c r="O135" s="62" t="s">
        <v>37</v>
      </c>
      <c r="P135" s="67">
        <f>uurtarief2</f>
        <v>0</v>
      </c>
      <c r="Q135" s="64" t="e">
        <f>IF(ISBLANK(M135),0,L135/M135)</f>
        <v>#DIV/0!</v>
      </c>
      <c r="R135" s="64" t="e">
        <f>IF(ISBLANK(M135),0,Q135*N135)</f>
        <v>#DIV/0!</v>
      </c>
      <c r="S135" s="67" t="e">
        <f>P135*Q135</f>
        <v>#DIV/0!</v>
      </c>
      <c r="T135" s="64" t="e">
        <f>Q135*dagenperjaar1</f>
        <v>#DIV/0!</v>
      </c>
      <c r="U135" s="68" t="e">
        <f>T135*P135</f>
        <v>#DIV/0!</v>
      </c>
    </row>
    <row r="136" spans="1:21" x14ac:dyDescent="0.2">
      <c r="A136" s="61" t="s">
        <v>120</v>
      </c>
      <c r="B136" s="62" t="s">
        <v>121</v>
      </c>
      <c r="C136" s="62" t="s">
        <v>205</v>
      </c>
      <c r="D136" s="62" t="s">
        <v>240</v>
      </c>
      <c r="E136" s="63" t="s">
        <v>241</v>
      </c>
      <c r="F136" s="62" t="s">
        <v>125</v>
      </c>
      <c r="G136" s="62" t="s">
        <v>105</v>
      </c>
      <c r="H136" s="62" t="s">
        <v>24</v>
      </c>
      <c r="I136" s="62" t="s">
        <v>87</v>
      </c>
      <c r="J136" s="62"/>
      <c r="K136" s="64">
        <v>6.8</v>
      </c>
      <c r="L136" s="64">
        <f>K136*VLOOKUP(H136,dagsoorttabel1,2,FALSE)</f>
        <v>3.4000000000000002E-2</v>
      </c>
      <c r="M136" s="65">
        <f>prodnorm10</f>
        <v>0</v>
      </c>
      <c r="N136" s="66">
        <f>dagwerk10</f>
        <v>0</v>
      </c>
      <c r="O136" s="62" t="s">
        <v>37</v>
      </c>
      <c r="P136" s="67">
        <f>uurtarief10</f>
        <v>0</v>
      </c>
      <c r="Q136" s="64" t="e">
        <f>IF(ISBLANK(M136),0,L136/M136)</f>
        <v>#DIV/0!</v>
      </c>
      <c r="R136" s="64" t="e">
        <f>IF(ISBLANK(M136),0,Q136*N136)</f>
        <v>#DIV/0!</v>
      </c>
      <c r="S136" s="67" t="e">
        <f>P136*Q136</f>
        <v>#DIV/0!</v>
      </c>
      <c r="T136" s="64" t="e">
        <f>Q136*dagenperjaar1</f>
        <v>#DIV/0!</v>
      </c>
      <c r="U136" s="68" t="e">
        <f>T136*P136</f>
        <v>#DIV/0!</v>
      </c>
    </row>
    <row r="137" spans="1:21" x14ac:dyDescent="0.2">
      <c r="A137" s="61" t="s">
        <v>120</v>
      </c>
      <c r="B137" s="62" t="s">
        <v>121</v>
      </c>
      <c r="C137" s="62" t="s">
        <v>205</v>
      </c>
      <c r="D137" s="62" t="s">
        <v>242</v>
      </c>
      <c r="E137" s="63" t="s">
        <v>187</v>
      </c>
      <c r="F137" s="62" t="s">
        <v>196</v>
      </c>
      <c r="G137" s="62" t="s">
        <v>103</v>
      </c>
      <c r="H137" s="62" t="s">
        <v>12</v>
      </c>
      <c r="I137" s="62" t="s">
        <v>87</v>
      </c>
      <c r="J137" s="62"/>
      <c r="K137" s="64">
        <v>2.1</v>
      </c>
      <c r="L137" s="64">
        <f>K137*VLOOKUP(H137,dagsoorttabel1,2,FALSE)</f>
        <v>2.1</v>
      </c>
      <c r="M137" s="65">
        <f>prodnorm9</f>
        <v>0</v>
      </c>
      <c r="N137" s="66">
        <f>dagwerk9</f>
        <v>0</v>
      </c>
      <c r="O137" s="62" t="s">
        <v>37</v>
      </c>
      <c r="P137" s="67">
        <f>uurtarief9</f>
        <v>0</v>
      </c>
      <c r="Q137" s="64" t="e">
        <f>IF(ISBLANK(M137),0,L137/M137)</f>
        <v>#DIV/0!</v>
      </c>
      <c r="R137" s="64" t="e">
        <f>IF(ISBLANK(M137),0,Q137*N137)</f>
        <v>#DIV/0!</v>
      </c>
      <c r="S137" s="67" t="e">
        <f>P137*Q137</f>
        <v>#DIV/0!</v>
      </c>
      <c r="T137" s="64" t="e">
        <f>Q137*dagenperjaar1</f>
        <v>#DIV/0!</v>
      </c>
      <c r="U137" s="68" t="e">
        <f>T137*P137</f>
        <v>#DIV/0!</v>
      </c>
    </row>
    <row r="138" spans="1:21" x14ac:dyDescent="0.2">
      <c r="A138" s="61" t="s">
        <v>120</v>
      </c>
      <c r="B138" s="62" t="s">
        <v>121</v>
      </c>
      <c r="C138" s="62" t="s">
        <v>205</v>
      </c>
      <c r="D138" s="62" t="s">
        <v>243</v>
      </c>
      <c r="E138" s="63" t="s">
        <v>145</v>
      </c>
      <c r="F138" s="62" t="s">
        <v>244</v>
      </c>
      <c r="G138" s="62" t="s">
        <v>103</v>
      </c>
      <c r="H138" s="62" t="s">
        <v>12</v>
      </c>
      <c r="I138" s="62" t="s">
        <v>87</v>
      </c>
      <c r="J138" s="62"/>
      <c r="K138" s="64">
        <v>12</v>
      </c>
      <c r="L138" s="64">
        <f>K138*VLOOKUP(H138,dagsoorttabel1,2,FALSE)</f>
        <v>12</v>
      </c>
      <c r="M138" s="65">
        <f>prodnorm9</f>
        <v>0</v>
      </c>
      <c r="N138" s="66">
        <f>dagwerk9</f>
        <v>0</v>
      </c>
      <c r="O138" s="62" t="s">
        <v>37</v>
      </c>
      <c r="P138" s="67">
        <f>uurtarief9</f>
        <v>0</v>
      </c>
      <c r="Q138" s="64" t="e">
        <f>IF(ISBLANK(M138),0,L138/M138)</f>
        <v>#DIV/0!</v>
      </c>
      <c r="R138" s="64" t="e">
        <f>IF(ISBLANK(M138),0,Q138*N138)</f>
        <v>#DIV/0!</v>
      </c>
      <c r="S138" s="67" t="e">
        <f>P138*Q138</f>
        <v>#DIV/0!</v>
      </c>
      <c r="T138" s="64" t="e">
        <f>Q138*dagenperjaar1</f>
        <v>#DIV/0!</v>
      </c>
      <c r="U138" s="68" t="e">
        <f>T138*P138</f>
        <v>#DIV/0!</v>
      </c>
    </row>
    <row r="139" spans="1:21" x14ac:dyDescent="0.2">
      <c r="A139" s="61" t="s">
        <v>120</v>
      </c>
      <c r="B139" s="62" t="s">
        <v>121</v>
      </c>
      <c r="C139" s="62" t="s">
        <v>205</v>
      </c>
      <c r="D139" s="62" t="s">
        <v>245</v>
      </c>
      <c r="E139" s="63" t="s">
        <v>181</v>
      </c>
      <c r="F139" s="62" t="s">
        <v>125</v>
      </c>
      <c r="G139" s="62" t="s">
        <v>101</v>
      </c>
      <c r="H139" s="62" t="s">
        <v>12</v>
      </c>
      <c r="I139" s="62" t="s">
        <v>87</v>
      </c>
      <c r="J139" s="62"/>
      <c r="K139" s="64">
        <v>18</v>
      </c>
      <c r="L139" s="64">
        <f>K139*VLOOKUP(H139,dagsoorttabel1,2,FALSE)</f>
        <v>18</v>
      </c>
      <c r="M139" s="65">
        <f>prodnorm8</f>
        <v>0</v>
      </c>
      <c r="N139" s="66">
        <f>dagwerk8</f>
        <v>0</v>
      </c>
      <c r="O139" s="62" t="s">
        <v>37</v>
      </c>
      <c r="P139" s="67">
        <f>uurtarief8</f>
        <v>0</v>
      </c>
      <c r="Q139" s="64" t="e">
        <f>IF(ISBLANK(M139),0,L139/M139)</f>
        <v>#DIV/0!</v>
      </c>
      <c r="R139" s="64" t="e">
        <f>IF(ISBLANK(M139),0,Q139*N139)</f>
        <v>#DIV/0!</v>
      </c>
      <c r="S139" s="67" t="e">
        <f>P139*Q139</f>
        <v>#DIV/0!</v>
      </c>
      <c r="T139" s="64" t="e">
        <f>Q139*dagenperjaar1</f>
        <v>#DIV/0!</v>
      </c>
      <c r="U139" s="68" t="e">
        <f>T139*P139</f>
        <v>#DIV/0!</v>
      </c>
    </row>
    <row r="140" spans="1:21" x14ac:dyDescent="0.2">
      <c r="A140" s="61" t="s">
        <v>120</v>
      </c>
      <c r="B140" s="62" t="s">
        <v>121</v>
      </c>
      <c r="C140" s="62" t="s">
        <v>205</v>
      </c>
      <c r="D140" s="62" t="s">
        <v>245</v>
      </c>
      <c r="E140" s="63" t="s">
        <v>181</v>
      </c>
      <c r="F140" s="62" t="s">
        <v>125</v>
      </c>
      <c r="G140" s="62" t="s">
        <v>105</v>
      </c>
      <c r="H140" s="62" t="s">
        <v>24</v>
      </c>
      <c r="I140" s="62" t="s">
        <v>87</v>
      </c>
      <c r="J140" s="62"/>
      <c r="K140" s="64">
        <v>18</v>
      </c>
      <c r="L140" s="64">
        <f>K140*VLOOKUP(H140,dagsoorttabel1,2,FALSE)</f>
        <v>0.09</v>
      </c>
      <c r="M140" s="65">
        <f>prodnorm10</f>
        <v>0</v>
      </c>
      <c r="N140" s="66">
        <f>dagwerk10</f>
        <v>0</v>
      </c>
      <c r="O140" s="62" t="s">
        <v>37</v>
      </c>
      <c r="P140" s="67">
        <f>uurtarief10</f>
        <v>0</v>
      </c>
      <c r="Q140" s="64" t="e">
        <f>IF(ISBLANK(M140),0,L140/M140)</f>
        <v>#DIV/0!</v>
      </c>
      <c r="R140" s="64" t="e">
        <f>IF(ISBLANK(M140),0,Q140*N140)</f>
        <v>#DIV/0!</v>
      </c>
      <c r="S140" s="67" t="e">
        <f>P140*Q140</f>
        <v>#DIV/0!</v>
      </c>
      <c r="T140" s="64" t="e">
        <f>Q140*dagenperjaar1</f>
        <v>#DIV/0!</v>
      </c>
      <c r="U140" s="68" t="e">
        <f>T140*P140</f>
        <v>#DIV/0!</v>
      </c>
    </row>
    <row r="141" spans="1:21" x14ac:dyDescent="0.2">
      <c r="A141" s="61" t="s">
        <v>120</v>
      </c>
      <c r="B141" s="62" t="s">
        <v>121</v>
      </c>
      <c r="C141" s="62" t="s">
        <v>205</v>
      </c>
      <c r="D141" s="62" t="s">
        <v>246</v>
      </c>
      <c r="E141" s="63" t="s">
        <v>147</v>
      </c>
      <c r="F141" s="62" t="s">
        <v>125</v>
      </c>
      <c r="G141" s="62" t="s">
        <v>93</v>
      </c>
      <c r="H141" s="62" t="s">
        <v>12</v>
      </c>
      <c r="I141" s="62" t="s">
        <v>87</v>
      </c>
      <c r="J141" s="62"/>
      <c r="K141" s="64">
        <v>56.4</v>
      </c>
      <c r="L141" s="64">
        <f>K141*VLOOKUP(H141,dagsoorttabel1,2,FALSE)</f>
        <v>56.4</v>
      </c>
      <c r="M141" s="65">
        <f>prodnorm4</f>
        <v>0</v>
      </c>
      <c r="N141" s="66">
        <f>dagwerk4</f>
        <v>0</v>
      </c>
      <c r="O141" s="62" t="s">
        <v>37</v>
      </c>
      <c r="P141" s="67">
        <f>uurtarief4</f>
        <v>0</v>
      </c>
      <c r="Q141" s="64" t="e">
        <f>IF(ISBLANK(M141),0,L141/M141)</f>
        <v>#DIV/0!</v>
      </c>
      <c r="R141" s="64" t="e">
        <f>IF(ISBLANK(M141),0,Q141*N141)</f>
        <v>#DIV/0!</v>
      </c>
      <c r="S141" s="67" t="e">
        <f>P141*Q141</f>
        <v>#DIV/0!</v>
      </c>
      <c r="T141" s="64" t="e">
        <f>Q141*dagenperjaar1</f>
        <v>#DIV/0!</v>
      </c>
      <c r="U141" s="68" t="e">
        <f>T141*P141</f>
        <v>#DIV/0!</v>
      </c>
    </row>
    <row r="142" spans="1:21" x14ac:dyDescent="0.2">
      <c r="A142" s="61" t="s">
        <v>120</v>
      </c>
      <c r="B142" s="62" t="s">
        <v>121</v>
      </c>
      <c r="C142" s="62" t="s">
        <v>205</v>
      </c>
      <c r="D142" s="62" t="s">
        <v>246</v>
      </c>
      <c r="E142" s="63" t="s">
        <v>147</v>
      </c>
      <c r="F142" s="62" t="s">
        <v>125</v>
      </c>
      <c r="G142" s="62" t="s">
        <v>105</v>
      </c>
      <c r="H142" s="62" t="s">
        <v>24</v>
      </c>
      <c r="I142" s="62" t="s">
        <v>87</v>
      </c>
      <c r="J142" s="62"/>
      <c r="K142" s="64">
        <v>56.4</v>
      </c>
      <c r="L142" s="64">
        <f>K142*VLOOKUP(H142,dagsoorttabel1,2,FALSE)</f>
        <v>0.28199999999999997</v>
      </c>
      <c r="M142" s="65">
        <f>prodnorm10</f>
        <v>0</v>
      </c>
      <c r="N142" s="66">
        <f>dagwerk10</f>
        <v>0</v>
      </c>
      <c r="O142" s="62" t="s">
        <v>37</v>
      </c>
      <c r="P142" s="67">
        <f>uurtarief10</f>
        <v>0</v>
      </c>
      <c r="Q142" s="64" t="e">
        <f>IF(ISBLANK(M142),0,L142/M142)</f>
        <v>#DIV/0!</v>
      </c>
      <c r="R142" s="64" t="e">
        <f>IF(ISBLANK(M142),0,Q142*N142)</f>
        <v>#DIV/0!</v>
      </c>
      <c r="S142" s="67" t="e">
        <f>P142*Q142</f>
        <v>#DIV/0!</v>
      </c>
      <c r="T142" s="64" t="e">
        <f>Q142*dagenperjaar1</f>
        <v>#DIV/0!</v>
      </c>
      <c r="U142" s="68" t="e">
        <f>T142*P142</f>
        <v>#DIV/0!</v>
      </c>
    </row>
    <row r="143" spans="1:21" x14ac:dyDescent="0.2">
      <c r="A143" s="61" t="s">
        <v>120</v>
      </c>
      <c r="B143" s="62" t="s">
        <v>121</v>
      </c>
      <c r="C143" s="62" t="s">
        <v>205</v>
      </c>
      <c r="D143" s="62" t="s">
        <v>247</v>
      </c>
      <c r="E143" s="63" t="s">
        <v>147</v>
      </c>
      <c r="F143" s="62" t="s">
        <v>125</v>
      </c>
      <c r="G143" s="62" t="s">
        <v>93</v>
      </c>
      <c r="H143" s="62" t="s">
        <v>12</v>
      </c>
      <c r="I143" s="62" t="s">
        <v>87</v>
      </c>
      <c r="J143" s="62"/>
      <c r="K143" s="64">
        <v>59.7</v>
      </c>
      <c r="L143" s="64">
        <f>K143*VLOOKUP(H143,dagsoorttabel1,2,FALSE)</f>
        <v>59.7</v>
      </c>
      <c r="M143" s="65">
        <f>prodnorm4</f>
        <v>0</v>
      </c>
      <c r="N143" s="66">
        <f>dagwerk4</f>
        <v>0</v>
      </c>
      <c r="O143" s="62" t="s">
        <v>37</v>
      </c>
      <c r="P143" s="67">
        <f>uurtarief4</f>
        <v>0</v>
      </c>
      <c r="Q143" s="64" t="e">
        <f>IF(ISBLANK(M143),0,L143/M143)</f>
        <v>#DIV/0!</v>
      </c>
      <c r="R143" s="64" t="e">
        <f>IF(ISBLANK(M143),0,Q143*N143)</f>
        <v>#DIV/0!</v>
      </c>
      <c r="S143" s="67" t="e">
        <f>P143*Q143</f>
        <v>#DIV/0!</v>
      </c>
      <c r="T143" s="64" t="e">
        <f>Q143*dagenperjaar1</f>
        <v>#DIV/0!</v>
      </c>
      <c r="U143" s="68" t="e">
        <f>T143*P143</f>
        <v>#DIV/0!</v>
      </c>
    </row>
    <row r="144" spans="1:21" x14ac:dyDescent="0.2">
      <c r="A144" s="61" t="s">
        <v>120</v>
      </c>
      <c r="B144" s="62" t="s">
        <v>121</v>
      </c>
      <c r="C144" s="62" t="s">
        <v>205</v>
      </c>
      <c r="D144" s="62" t="s">
        <v>247</v>
      </c>
      <c r="E144" s="63" t="s">
        <v>147</v>
      </c>
      <c r="F144" s="62" t="s">
        <v>125</v>
      </c>
      <c r="G144" s="62" t="s">
        <v>105</v>
      </c>
      <c r="H144" s="62" t="s">
        <v>24</v>
      </c>
      <c r="I144" s="62" t="s">
        <v>87</v>
      </c>
      <c r="J144" s="62"/>
      <c r="K144" s="64">
        <v>59.7</v>
      </c>
      <c r="L144" s="64">
        <f>K144*VLOOKUP(H144,dagsoorttabel1,2,FALSE)</f>
        <v>0.29850000000000004</v>
      </c>
      <c r="M144" s="65">
        <f>prodnorm10</f>
        <v>0</v>
      </c>
      <c r="N144" s="66">
        <f>dagwerk10</f>
        <v>0</v>
      </c>
      <c r="O144" s="62" t="s">
        <v>37</v>
      </c>
      <c r="P144" s="67">
        <f>uurtarief10</f>
        <v>0</v>
      </c>
      <c r="Q144" s="64" t="e">
        <f>IF(ISBLANK(M144),0,L144/M144)</f>
        <v>#DIV/0!</v>
      </c>
      <c r="R144" s="64" t="e">
        <f>IF(ISBLANK(M144),0,Q144*N144)</f>
        <v>#DIV/0!</v>
      </c>
      <c r="S144" s="67" t="e">
        <f>P144*Q144</f>
        <v>#DIV/0!</v>
      </c>
      <c r="T144" s="64" t="e">
        <f>Q144*dagenperjaar1</f>
        <v>#DIV/0!</v>
      </c>
      <c r="U144" s="68" t="e">
        <f>T144*P144</f>
        <v>#DIV/0!</v>
      </c>
    </row>
    <row r="145" spans="1:21" x14ac:dyDescent="0.2">
      <c r="A145" s="61" t="s">
        <v>120</v>
      </c>
      <c r="B145" s="62" t="s">
        <v>121</v>
      </c>
      <c r="C145" s="62" t="s">
        <v>205</v>
      </c>
      <c r="D145" s="62" t="s">
        <v>248</v>
      </c>
      <c r="E145" s="63" t="s">
        <v>147</v>
      </c>
      <c r="F145" s="62" t="s">
        <v>125</v>
      </c>
      <c r="G145" s="62" t="s">
        <v>93</v>
      </c>
      <c r="H145" s="62" t="s">
        <v>12</v>
      </c>
      <c r="I145" s="62" t="s">
        <v>87</v>
      </c>
      <c r="J145" s="62"/>
      <c r="K145" s="64">
        <v>57.4</v>
      </c>
      <c r="L145" s="64">
        <f>K145*VLOOKUP(H145,dagsoorttabel1,2,FALSE)</f>
        <v>57.4</v>
      </c>
      <c r="M145" s="65">
        <f>prodnorm4</f>
        <v>0</v>
      </c>
      <c r="N145" s="66">
        <f>dagwerk4</f>
        <v>0</v>
      </c>
      <c r="O145" s="62" t="s">
        <v>37</v>
      </c>
      <c r="P145" s="67">
        <f>uurtarief4</f>
        <v>0</v>
      </c>
      <c r="Q145" s="64" t="e">
        <f>IF(ISBLANK(M145),0,L145/M145)</f>
        <v>#DIV/0!</v>
      </c>
      <c r="R145" s="64" t="e">
        <f>IF(ISBLANK(M145),0,Q145*N145)</f>
        <v>#DIV/0!</v>
      </c>
      <c r="S145" s="67" t="e">
        <f>P145*Q145</f>
        <v>#DIV/0!</v>
      </c>
      <c r="T145" s="64" t="e">
        <f>Q145*dagenperjaar1</f>
        <v>#DIV/0!</v>
      </c>
      <c r="U145" s="68" t="e">
        <f>T145*P145</f>
        <v>#DIV/0!</v>
      </c>
    </row>
    <row r="146" spans="1:21" x14ac:dyDescent="0.2">
      <c r="A146" s="69" t="s">
        <v>120</v>
      </c>
      <c r="B146" s="70" t="s">
        <v>121</v>
      </c>
      <c r="C146" s="70" t="s">
        <v>205</v>
      </c>
      <c r="D146" s="70" t="s">
        <v>248</v>
      </c>
      <c r="E146" s="71" t="s">
        <v>147</v>
      </c>
      <c r="F146" s="70" t="s">
        <v>125</v>
      </c>
      <c r="G146" s="70" t="s">
        <v>105</v>
      </c>
      <c r="H146" s="70" t="s">
        <v>24</v>
      </c>
      <c r="I146" s="70" t="s">
        <v>87</v>
      </c>
      <c r="J146" s="70"/>
      <c r="K146" s="72">
        <v>57.4</v>
      </c>
      <c r="L146" s="72">
        <f>K146*VLOOKUP(H146,dagsoorttabel1,2,FALSE)</f>
        <v>0.28699999999999998</v>
      </c>
      <c r="M146" s="73">
        <f>prodnorm10</f>
        <v>0</v>
      </c>
      <c r="N146" s="74">
        <f>dagwerk10</f>
        <v>0</v>
      </c>
      <c r="O146" s="70" t="s">
        <v>37</v>
      </c>
      <c r="P146" s="75">
        <f>uurtarief10</f>
        <v>0</v>
      </c>
      <c r="Q146" s="72" t="e">
        <f>IF(ISBLANK(M146),0,L146/M146)</f>
        <v>#DIV/0!</v>
      </c>
      <c r="R146" s="72" t="e">
        <f>IF(ISBLANK(M146),0,Q146*N146)</f>
        <v>#DIV/0!</v>
      </c>
      <c r="S146" s="75" t="e">
        <f>P146*Q146</f>
        <v>#DIV/0!</v>
      </c>
      <c r="T146" s="72" t="e">
        <f>Q146*dagenperjaar1</f>
        <v>#DIV/0!</v>
      </c>
      <c r="U146" s="76" t="e">
        <f>T146*P146</f>
        <v>#DIV/0!</v>
      </c>
    </row>
    <row r="147" spans="1:21" x14ac:dyDescent="0.2">
      <c r="A147" s="43" t="s">
        <v>249</v>
      </c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6" t="e">
        <f>IF(_xlfn.SINGLE(object1_urenjaar1)&gt;0,_xlfn.SINGLE(object1_prijsjaar1)/_xlfn.SINGLE(object1_urenjaar1),0)</f>
        <v>#DIV/0!</v>
      </c>
      <c r="Q147" s="45" t="e">
        <f>SUM(Q5:Q146)</f>
        <v>#DIV/0!</v>
      </c>
      <c r="R147" s="45" t="e">
        <f>SUM(R5:R146)</f>
        <v>#DIV/0!</v>
      </c>
      <c r="S147" s="46" t="e">
        <f>SUM(S5:S146)</f>
        <v>#DIV/0!</v>
      </c>
      <c r="T147" s="45" t="e">
        <f>SUM(T5:T146)</f>
        <v>#DIV/0!</v>
      </c>
      <c r="U147" s="46" t="e">
        <f>SUM(U5:U146)</f>
        <v>#DIV/0!</v>
      </c>
    </row>
  </sheetData>
  <pageMargins left="0.7" right="0.7" top="0.75" bottom="0.75" header="0.3" footer="0.3"/>
  <pageSetup paperSize="9" scale="61" orientation="landscape" r:id="rId1"/>
  <headerFooter>
    <oddFooter>&amp;LMeridiaan College                                           &amp;ROpmaakdatum: 06-11-2020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031F-CE69-4C46-B059-F805EB610491}">
  <dimension ref="A1:J15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10" width="12.625" customWidth="1"/>
  </cols>
  <sheetData>
    <row r="1" spans="1:10" x14ac:dyDescent="0.2">
      <c r="A1" s="1" t="s">
        <v>250</v>
      </c>
    </row>
    <row r="3" spans="1:10" x14ac:dyDescent="0.2">
      <c r="A3" s="77" t="s">
        <v>78</v>
      </c>
      <c r="B3" s="77" t="s">
        <v>7</v>
      </c>
      <c r="C3" s="77" t="s">
        <v>251</v>
      </c>
      <c r="D3" s="77" t="s">
        <v>252</v>
      </c>
      <c r="E3" s="77" t="s">
        <v>253</v>
      </c>
      <c r="F3" s="77" t="s">
        <v>254</v>
      </c>
      <c r="G3" s="77" t="s">
        <v>255</v>
      </c>
      <c r="H3" s="77" t="s">
        <v>30</v>
      </c>
      <c r="I3" s="77" t="s">
        <v>256</v>
      </c>
      <c r="J3" s="77" t="s">
        <v>257</v>
      </c>
    </row>
    <row r="4" spans="1:10" x14ac:dyDescent="0.2">
      <c r="A4" s="78"/>
      <c r="B4" s="78"/>
      <c r="C4" s="78"/>
      <c r="D4" s="78"/>
      <c r="E4" s="78"/>
      <c r="F4" s="78"/>
      <c r="G4" s="78"/>
      <c r="H4" s="78"/>
      <c r="I4" s="78"/>
      <c r="J4" s="79" t="s">
        <v>80</v>
      </c>
    </row>
    <row r="5" spans="1:10" x14ac:dyDescent="0.2">
      <c r="A5" s="15" t="s">
        <v>86</v>
      </c>
      <c r="B5" s="15" t="s">
        <v>12</v>
      </c>
      <c r="C5" s="15" t="s">
        <v>258</v>
      </c>
      <c r="D5" s="15" t="s">
        <v>87</v>
      </c>
      <c r="E5" s="30">
        <f>VLOOKUP(B5,dagsoorttabel1,2,FALSE)</f>
        <v>1</v>
      </c>
      <c r="F5" s="30">
        <v>1</v>
      </c>
      <c r="G5" s="30">
        <f>IF(prodnorm1&gt;0,1/prodnorm1,0)</f>
        <v>0</v>
      </c>
      <c r="H5" s="32">
        <f>dagwerk1</f>
        <v>0</v>
      </c>
      <c r="I5" s="33">
        <f>uurtarief1</f>
        <v>0</v>
      </c>
      <c r="J5" s="30">
        <v>311</v>
      </c>
    </row>
    <row r="6" spans="1:10" x14ac:dyDescent="0.2">
      <c r="A6" s="20" t="s">
        <v>89</v>
      </c>
      <c r="B6" s="20" t="s">
        <v>10</v>
      </c>
      <c r="C6" s="20" t="s">
        <v>258</v>
      </c>
      <c r="D6" s="20" t="s">
        <v>87</v>
      </c>
      <c r="E6" s="34">
        <f>VLOOKUP(B6,dagsoorttabel1,2,FALSE)</f>
        <v>1.0249999999999999</v>
      </c>
      <c r="F6" s="34">
        <v>1</v>
      </c>
      <c r="G6" s="34">
        <f>IF(prodnorm2&gt;0,1/prodnorm2,0)</f>
        <v>0</v>
      </c>
      <c r="H6" s="36">
        <f>dagwerk2</f>
        <v>0</v>
      </c>
      <c r="I6" s="37">
        <f>uurtarief2</f>
        <v>0</v>
      </c>
      <c r="J6" s="34">
        <v>608.6</v>
      </c>
    </row>
    <row r="7" spans="1:10" x14ac:dyDescent="0.2">
      <c r="A7" s="20" t="s">
        <v>91</v>
      </c>
      <c r="B7" s="20" t="s">
        <v>12</v>
      </c>
      <c r="C7" s="20" t="s">
        <v>258</v>
      </c>
      <c r="D7" s="20" t="s">
        <v>87</v>
      </c>
      <c r="E7" s="34">
        <f>VLOOKUP(B7,dagsoorttabel1,2,FALSE)</f>
        <v>1</v>
      </c>
      <c r="F7" s="34">
        <v>1</v>
      </c>
      <c r="G7" s="34">
        <f>IF(prodnorm3&gt;0,1/prodnorm3,0)</f>
        <v>0</v>
      </c>
      <c r="H7" s="36">
        <f>dagwerk3</f>
        <v>0</v>
      </c>
      <c r="I7" s="37">
        <f>uurtarief3</f>
        <v>0</v>
      </c>
      <c r="J7" s="34">
        <v>238</v>
      </c>
    </row>
    <row r="8" spans="1:10" x14ac:dyDescent="0.2">
      <c r="A8" s="20" t="s">
        <v>93</v>
      </c>
      <c r="B8" s="20" t="s">
        <v>12</v>
      </c>
      <c r="C8" s="20" t="s">
        <v>258</v>
      </c>
      <c r="D8" s="20" t="s">
        <v>87</v>
      </c>
      <c r="E8" s="34">
        <f>VLOOKUP(B8,dagsoorttabel1,2,FALSE)</f>
        <v>1</v>
      </c>
      <c r="F8" s="34">
        <v>1</v>
      </c>
      <c r="G8" s="34">
        <f>IF(prodnorm4&gt;0,1/prodnorm4,0)</f>
        <v>0</v>
      </c>
      <c r="H8" s="36">
        <f>dagwerk4</f>
        <v>0</v>
      </c>
      <c r="I8" s="37">
        <f>uurtarief4</f>
        <v>0</v>
      </c>
      <c r="J8" s="34">
        <v>1655.7200000000003</v>
      </c>
    </row>
    <row r="9" spans="1:10" x14ac:dyDescent="0.2">
      <c r="A9" s="20" t="s">
        <v>95</v>
      </c>
      <c r="B9" s="20" t="s">
        <v>12</v>
      </c>
      <c r="C9" s="20" t="s">
        <v>258</v>
      </c>
      <c r="D9" s="20" t="s">
        <v>87</v>
      </c>
      <c r="E9" s="34">
        <f>VLOOKUP(B9,dagsoorttabel1,2,FALSE)</f>
        <v>1</v>
      </c>
      <c r="F9" s="34">
        <v>1</v>
      </c>
      <c r="G9" s="34">
        <f>IF(prodnorm5&gt;0,1/prodnorm5,0)</f>
        <v>0</v>
      </c>
      <c r="H9" s="36">
        <f>dagwerk5</f>
        <v>0</v>
      </c>
      <c r="I9" s="37">
        <f>uurtarief5</f>
        <v>0</v>
      </c>
      <c r="J9" s="34">
        <v>77</v>
      </c>
    </row>
    <row r="10" spans="1:10" x14ac:dyDescent="0.2">
      <c r="A10" s="20" t="s">
        <v>97</v>
      </c>
      <c r="B10" s="20" t="s">
        <v>12</v>
      </c>
      <c r="C10" s="20" t="s">
        <v>258</v>
      </c>
      <c r="D10" s="20" t="s">
        <v>87</v>
      </c>
      <c r="E10" s="34">
        <f>VLOOKUP(B10,dagsoorttabel1,2,FALSE)</f>
        <v>1</v>
      </c>
      <c r="F10" s="34">
        <v>1</v>
      </c>
      <c r="G10" s="34">
        <f>IF(prodnorm6&gt;0,1/prodnorm6,0)</f>
        <v>0</v>
      </c>
      <c r="H10" s="36">
        <f>dagwerk6</f>
        <v>0</v>
      </c>
      <c r="I10" s="37">
        <f>uurtarief6</f>
        <v>0</v>
      </c>
      <c r="J10" s="34">
        <v>279</v>
      </c>
    </row>
    <row r="11" spans="1:10" x14ac:dyDescent="0.2">
      <c r="A11" s="20" t="s">
        <v>99</v>
      </c>
      <c r="B11" s="20" t="s">
        <v>12</v>
      </c>
      <c r="C11" s="20" t="s">
        <v>258</v>
      </c>
      <c r="D11" s="20" t="s">
        <v>87</v>
      </c>
      <c r="E11" s="34">
        <f>VLOOKUP(B11,dagsoorttabel1,2,FALSE)</f>
        <v>1</v>
      </c>
      <c r="F11" s="34">
        <v>1</v>
      </c>
      <c r="G11" s="34">
        <f>IF(prodnorm7&gt;0,1/prodnorm7,0)</f>
        <v>0</v>
      </c>
      <c r="H11" s="36">
        <f>dagwerk7</f>
        <v>0</v>
      </c>
      <c r="I11" s="37">
        <f>uurtarief7</f>
        <v>0</v>
      </c>
      <c r="J11" s="34">
        <v>140.6</v>
      </c>
    </row>
    <row r="12" spans="1:10" x14ac:dyDescent="0.2">
      <c r="A12" s="20" t="s">
        <v>101</v>
      </c>
      <c r="B12" s="20" t="s">
        <v>12</v>
      </c>
      <c r="C12" s="20" t="s">
        <v>258</v>
      </c>
      <c r="D12" s="20" t="s">
        <v>87</v>
      </c>
      <c r="E12" s="34">
        <f>VLOOKUP(B12,dagsoorttabel1,2,FALSE)</f>
        <v>1</v>
      </c>
      <c r="F12" s="34">
        <v>1</v>
      </c>
      <c r="G12" s="34">
        <f>IF(prodnorm8&gt;0,1/prodnorm8,0)</f>
        <v>0</v>
      </c>
      <c r="H12" s="36">
        <f>dagwerk8</f>
        <v>0</v>
      </c>
      <c r="I12" s="37">
        <f>uurtarief8</f>
        <v>0</v>
      </c>
      <c r="J12" s="34">
        <v>51</v>
      </c>
    </row>
    <row r="13" spans="1:10" x14ac:dyDescent="0.2">
      <c r="A13" s="20" t="s">
        <v>103</v>
      </c>
      <c r="B13" s="20" t="s">
        <v>12</v>
      </c>
      <c r="C13" s="20" t="s">
        <v>258</v>
      </c>
      <c r="D13" s="20" t="s">
        <v>87</v>
      </c>
      <c r="E13" s="34">
        <f>VLOOKUP(B13,dagsoorttabel1,2,FALSE)</f>
        <v>1</v>
      </c>
      <c r="F13" s="34">
        <v>1</v>
      </c>
      <c r="G13" s="34">
        <f>IF(prodnorm9&gt;0,1/prodnorm9,0)</f>
        <v>0</v>
      </c>
      <c r="H13" s="36">
        <f>dagwerk9</f>
        <v>0</v>
      </c>
      <c r="I13" s="37">
        <f>uurtarief9</f>
        <v>0</v>
      </c>
      <c r="J13" s="34">
        <v>815.80000000000007</v>
      </c>
    </row>
    <row r="14" spans="1:10" x14ac:dyDescent="0.2">
      <c r="A14" s="25" t="s">
        <v>105</v>
      </c>
      <c r="B14" s="25" t="s">
        <v>24</v>
      </c>
      <c r="C14" s="25" t="s">
        <v>258</v>
      </c>
      <c r="D14" s="25" t="s">
        <v>87</v>
      </c>
      <c r="E14" s="38">
        <f>VLOOKUP(B14,dagsoorttabel1,2,FALSE)</f>
        <v>5.0000000000000001E-3</v>
      </c>
      <c r="F14" s="38">
        <v>1</v>
      </c>
      <c r="G14" s="38">
        <f>IF(prodnorm10&gt;0,1/prodnorm10,0)</f>
        <v>0</v>
      </c>
      <c r="H14" s="40">
        <f>dagwerk10</f>
        <v>0</v>
      </c>
      <c r="I14" s="41">
        <f>uurtarief10</f>
        <v>0</v>
      </c>
      <c r="J14" s="38">
        <v>3291.82</v>
      </c>
    </row>
    <row r="15" spans="1:10" x14ac:dyDescent="0.2">
      <c r="A15" s="43" t="s">
        <v>107</v>
      </c>
      <c r="B15" s="44"/>
      <c r="C15" s="44"/>
      <c r="D15" s="44"/>
      <c r="E15" s="44"/>
      <c r="F15" s="44"/>
      <c r="G15" s="44"/>
      <c r="H15" s="44"/>
      <c r="I15" s="44"/>
      <c r="J15" s="80"/>
    </row>
  </sheetData>
  <pageMargins left="0.7" right="0.7" top="0.75" bottom="0.75" header="0.3" footer="0.3"/>
  <pageSetup paperSize="9" scale="70" orientation="landscape" r:id="rId1"/>
  <headerFooter>
    <oddFooter>&amp;LMeridiaan College                                           &amp;ROpmaakdatum: 06-11-2020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5819-7715-4AAE-9EC5-46F23A1A627B}">
  <dimension ref="A1:R12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14" width="12.125" customWidth="1"/>
    <col min="15" max="16" width="12.625" customWidth="1"/>
    <col min="17" max="18" width="13.625" customWidth="1"/>
  </cols>
  <sheetData>
    <row r="1" spans="1:18" x14ac:dyDescent="0.2">
      <c r="A1" s="1" t="str">
        <f>CONCATENATE("Bijlage I4.4: ",tabeltype," objecten")</f>
        <v>Bijlage I4.4: Invultabel objecten</v>
      </c>
    </row>
    <row r="3" spans="1:18" ht="51" x14ac:dyDescent="0.2">
      <c r="A3" s="8" t="s">
        <v>110</v>
      </c>
      <c r="B3" s="8" t="s">
        <v>259</v>
      </c>
      <c r="C3" s="8" t="s">
        <v>260</v>
      </c>
      <c r="D3" s="8" t="s">
        <v>261</v>
      </c>
      <c r="E3" s="8" t="s">
        <v>7</v>
      </c>
      <c r="F3" s="8" t="s">
        <v>262</v>
      </c>
      <c r="G3" s="8" t="s">
        <v>263</v>
      </c>
      <c r="H3" s="8" t="s">
        <v>264</v>
      </c>
      <c r="I3" s="8" t="s">
        <v>265</v>
      </c>
      <c r="J3" s="8" t="s">
        <v>266</v>
      </c>
      <c r="K3" s="8" t="s">
        <v>267</v>
      </c>
      <c r="L3" s="8" t="s">
        <v>268</v>
      </c>
      <c r="M3" s="8" t="s">
        <v>269</v>
      </c>
      <c r="N3" s="8" t="s">
        <v>270</v>
      </c>
      <c r="O3" s="8" t="s">
        <v>271</v>
      </c>
      <c r="P3" s="8" t="s">
        <v>84</v>
      </c>
      <c r="Q3" s="8" t="s">
        <v>272</v>
      </c>
      <c r="R3" s="8" t="s">
        <v>273</v>
      </c>
    </row>
    <row r="4" spans="1:18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8" x14ac:dyDescent="0.2">
      <c r="A5" s="12" t="s">
        <v>33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1:18" x14ac:dyDescent="0.2">
      <c r="A6" s="81" t="s">
        <v>120</v>
      </c>
      <c r="B6" s="81" t="s">
        <v>274</v>
      </c>
      <c r="C6" s="81" t="s">
        <v>275</v>
      </c>
      <c r="D6" s="81" t="s">
        <v>276</v>
      </c>
      <c r="E6" s="82" t="s">
        <v>10</v>
      </c>
      <c r="F6" s="83">
        <f>gemuurtarief1</f>
        <v>0</v>
      </c>
      <c r="G6" s="84">
        <f>SUMPRODUCT(taakfreqtabel1,uurfactortabel1,kengetaltabel1,object1_opptabel1)*(1/VLOOKUP(E6,dagsoorttabel1,2,FALSE))</f>
        <v>0</v>
      </c>
      <c r="H6" s="84">
        <f>SUMPRODUCT(dagwerktabel1,taakfreqtabel1,uurfactortabel1,kengetaltabel1,object1_opptabel1)*(1/VLOOKUP(E6,dagsoorttabel1,2,FALSE))</f>
        <v>0</v>
      </c>
      <c r="I6" s="85"/>
      <c r="J6" s="84">
        <f>H6+I6</f>
        <v>0</v>
      </c>
      <c r="K6" s="84">
        <f>G6+I6</f>
        <v>0</v>
      </c>
      <c r="L6" s="86">
        <f>SUMPRODUCT(taakfreqtabel1,kengetaltabel1,tarieftabel1,object1_opptabel1)*(1/VLOOKUP(E6,dagsoorttabel1,2,FALSE))</f>
        <v>0</v>
      </c>
      <c r="M6" s="86">
        <f>F6*I6</f>
        <v>0</v>
      </c>
      <c r="N6" s="86">
        <f>SUM(L6:M6)</f>
        <v>0</v>
      </c>
      <c r="O6" s="84">
        <f>J6*dagenperjaar1*VLOOKUP(E6,dagsoorttabel1,2,FALSE)</f>
        <v>0</v>
      </c>
      <c r="P6" s="84">
        <f>K6*dagenperjaar1*VLOOKUP(E6,dagsoorttabel1,2,FALSE)</f>
        <v>0</v>
      </c>
      <c r="Q6" s="86">
        <f>N6*dagenperjaar1*VLOOKUP(E6,dagsoorttabel1,2,FALSE)</f>
        <v>0</v>
      </c>
      <c r="R6" s="86">
        <f>Q6/12</f>
        <v>0</v>
      </c>
    </row>
    <row r="7" spans="1:18" x14ac:dyDescent="0.2">
      <c r="A7" s="43" t="s">
        <v>107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>
        <f>SUM(O6:O6)</f>
        <v>0</v>
      </c>
      <c r="P7" s="45">
        <f>SUM(P6:P6)</f>
        <v>0</v>
      </c>
      <c r="Q7" s="46">
        <f>SUM(Q6:Q6)</f>
        <v>0</v>
      </c>
      <c r="R7" s="47">
        <f>SUM(R6:R6)</f>
        <v>0</v>
      </c>
    </row>
    <row r="8" spans="1:18" x14ac:dyDescent="0.2">
      <c r="A8" s="48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9"/>
    </row>
    <row r="10" spans="1:18" x14ac:dyDescent="0.2">
      <c r="A10" s="43" t="s">
        <v>277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>
        <f>urenjaartotaalhf1</f>
        <v>0</v>
      </c>
      <c r="P10" s="45">
        <f>urenjaartotaal1</f>
        <v>0</v>
      </c>
      <c r="Q10" s="46">
        <f>prijsjaartotaal1</f>
        <v>0</v>
      </c>
      <c r="R10" s="46">
        <f>prijsmaandtotaal1</f>
        <v>0</v>
      </c>
    </row>
    <row r="12" spans="1:18" x14ac:dyDescent="0.2">
      <c r="A12" s="43" t="s">
        <v>278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6">
        <f>Q10*1.21</f>
        <v>0</v>
      </c>
      <c r="R12" s="46">
        <f>R10*1.21</f>
        <v>0</v>
      </c>
    </row>
  </sheetData>
  <pageMargins left="0.7" right="0.7" top="0.75" bottom="0.75" header="0.3" footer="0.3"/>
  <pageSetup paperSize="9" scale="65" orientation="landscape" r:id="rId1"/>
  <headerFooter>
    <oddFooter>&amp;LMeridiaan College                                           &amp;ROpmaakdatum: 06-11-2020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E6D6-2B91-4CBA-9C0C-674D3F1DACAA}">
  <dimension ref="A1:K19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40.625" customWidth="1"/>
    <col min="5" max="5" width="11.625" customWidth="1"/>
    <col min="6" max="7" width="14.625" customWidth="1"/>
    <col min="8" max="8" width="12.625" customWidth="1"/>
    <col min="9" max="10" width="14.625" customWidth="1"/>
    <col min="11" max="11" width="13.625" customWidth="1"/>
  </cols>
  <sheetData>
    <row r="1" spans="1:11" x14ac:dyDescent="0.2">
      <c r="A1" s="1" t="str">
        <f>CONCATENATE("Bijlage I4.5: ",tabeltype," niet-meewerkende objectleiding")</f>
        <v>Bijlage I4.5: Invultabel niet-meewerkende objectleiding</v>
      </c>
    </row>
    <row r="3" spans="1:11" ht="38.25" x14ac:dyDescent="0.2">
      <c r="A3" s="8" t="s">
        <v>279</v>
      </c>
      <c r="B3" s="8" t="s">
        <v>7</v>
      </c>
      <c r="C3" s="8" t="s">
        <v>280</v>
      </c>
      <c r="D3" s="8" t="s">
        <v>281</v>
      </c>
      <c r="E3" s="8" t="s">
        <v>282</v>
      </c>
      <c r="F3" s="8" t="s">
        <v>283</v>
      </c>
      <c r="G3" s="8" t="s">
        <v>284</v>
      </c>
      <c r="H3" s="8" t="s">
        <v>84</v>
      </c>
      <c r="I3" s="8" t="s">
        <v>285</v>
      </c>
      <c r="J3" s="8" t="s">
        <v>286</v>
      </c>
      <c r="K3" s="8" t="s">
        <v>287</v>
      </c>
    </row>
    <row r="4" spans="1:11" x14ac:dyDescent="0.2">
      <c r="A4" s="87"/>
      <c r="B4" s="88"/>
      <c r="C4" s="88"/>
      <c r="D4" s="88"/>
      <c r="E4" s="88"/>
      <c r="F4" s="88"/>
      <c r="G4" s="88"/>
      <c r="H4" s="88"/>
      <c r="I4" s="88"/>
      <c r="J4" s="88"/>
      <c r="K4" s="89"/>
    </row>
    <row r="5" spans="1:11" x14ac:dyDescent="0.2">
      <c r="A5" s="12" t="s">
        <v>33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2">
      <c r="A7" s="90" t="s">
        <v>119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2">
      <c r="A8" s="15"/>
      <c r="B8" s="15"/>
      <c r="C8" s="91">
        <f>dagenperjaar1</f>
        <v>200</v>
      </c>
      <c r="D8" s="92" t="s">
        <v>288</v>
      </c>
      <c r="E8" s="19"/>
      <c r="F8" s="18"/>
      <c r="G8" s="93"/>
      <c r="H8" s="30">
        <f>IF(ISBLANK(G8),0,G8*C8)+IF(ISBLANK(F8),0,F8*objecturen1_1)</f>
        <v>0</v>
      </c>
      <c r="I8" s="30">
        <f>IF(C8=0,0,H8/C8)</f>
        <v>0</v>
      </c>
      <c r="J8" s="33">
        <f>IF(ISBLANK(E8),0,E8*H8)</f>
        <v>0</v>
      </c>
      <c r="K8" s="33">
        <f>J8/12</f>
        <v>0</v>
      </c>
    </row>
    <row r="9" spans="1:11" x14ac:dyDescent="0.2">
      <c r="A9" s="20"/>
      <c r="B9" s="20"/>
      <c r="C9" s="94">
        <f>dagenperjaar1</f>
        <v>200</v>
      </c>
      <c r="D9" s="95" t="s">
        <v>288</v>
      </c>
      <c r="E9" s="24"/>
      <c r="F9" s="23"/>
      <c r="G9" s="96"/>
      <c r="H9" s="34">
        <f>IF(ISBLANK(G9),0,G9*C9)+IF(ISBLANK(F9),0,F9*objecturen1_1)</f>
        <v>0</v>
      </c>
      <c r="I9" s="34">
        <f>IF(C9=0,0,H9/C9)</f>
        <v>0</v>
      </c>
      <c r="J9" s="37">
        <f>IF(ISBLANK(E9),0,E9*H9)</f>
        <v>0</v>
      </c>
      <c r="K9" s="37">
        <f>J9/12</f>
        <v>0</v>
      </c>
    </row>
    <row r="10" spans="1:11" x14ac:dyDescent="0.2">
      <c r="A10" s="20"/>
      <c r="B10" s="20"/>
      <c r="C10" s="94">
        <f>dagenperjaar1</f>
        <v>200</v>
      </c>
      <c r="D10" s="95" t="s">
        <v>289</v>
      </c>
      <c r="E10" s="24"/>
      <c r="F10" s="97"/>
      <c r="G10" s="22"/>
      <c r="H10" s="34">
        <f>IF(ISBLANK(G10),0,G10*C10)+IF(ISBLANK(F10),0,F10*objecturen1_1)</f>
        <v>0</v>
      </c>
      <c r="I10" s="34">
        <f>IF(C10=0,0,H10/C10)</f>
        <v>0</v>
      </c>
      <c r="J10" s="37">
        <f>IF(ISBLANK(E10),0,E10*H10)</f>
        <v>0</v>
      </c>
      <c r="K10" s="37">
        <f>J10/12</f>
        <v>0</v>
      </c>
    </row>
    <row r="11" spans="1:11" x14ac:dyDescent="0.2">
      <c r="A11" s="25"/>
      <c r="B11" s="25"/>
      <c r="C11" s="98">
        <f>dagenperjaar1</f>
        <v>200</v>
      </c>
      <c r="D11" s="99" t="s">
        <v>289</v>
      </c>
      <c r="E11" s="29"/>
      <c r="F11" s="100"/>
      <c r="G11" s="27"/>
      <c r="H11" s="38">
        <f>IF(ISBLANK(G11),0,G11*C11)+IF(ISBLANK(F11),0,F11*objecturen1_1)</f>
        <v>0</v>
      </c>
      <c r="I11" s="38">
        <f>IF(C11=0,0,H11/C11)</f>
        <v>0</v>
      </c>
      <c r="J11" s="41">
        <f>IF(ISBLANK(E11),0,E11*H11)</f>
        <v>0</v>
      </c>
      <c r="K11" s="41">
        <f>J11/12</f>
        <v>0</v>
      </c>
    </row>
    <row r="12" spans="1:11" x14ac:dyDescent="0.2">
      <c r="A12" s="101" t="s">
        <v>290</v>
      </c>
      <c r="B12" s="44"/>
      <c r="C12" s="44"/>
      <c r="D12" s="44"/>
      <c r="E12" s="44"/>
      <c r="F12" s="44"/>
      <c r="G12" s="44"/>
      <c r="H12" s="45">
        <f>SUM(H8:H11)</f>
        <v>0</v>
      </c>
      <c r="I12" s="44"/>
      <c r="J12" s="46">
        <f>SUM(J8:J11)</f>
        <v>0</v>
      </c>
      <c r="K12" s="47">
        <f>SUM(K8:K11)</f>
        <v>0</v>
      </c>
    </row>
    <row r="13" spans="1:11" x14ac:dyDescent="0.2">
      <c r="A13" s="48"/>
      <c r="B13" s="44"/>
      <c r="C13" s="44"/>
      <c r="D13" s="44"/>
      <c r="E13" s="44"/>
      <c r="F13" s="44"/>
      <c r="G13" s="44"/>
      <c r="H13" s="44"/>
      <c r="I13" s="44"/>
      <c r="J13" s="44"/>
      <c r="K13" s="49"/>
    </row>
    <row r="14" spans="1:11" x14ac:dyDescent="0.2">
      <c r="A14" s="43" t="s">
        <v>107</v>
      </c>
      <c r="B14" s="44"/>
      <c r="C14" s="44"/>
      <c r="D14" s="44"/>
      <c r="E14" s="44"/>
      <c r="F14" s="44"/>
      <c r="G14" s="44"/>
      <c r="H14" s="45">
        <f>tzujt1_1</f>
        <v>0</v>
      </c>
      <c r="I14" s="44"/>
      <c r="J14" s="46">
        <f>tzpjt1_1</f>
        <v>0</v>
      </c>
      <c r="K14" s="47">
        <f>tzpmt1_1</f>
        <v>0</v>
      </c>
    </row>
    <row r="15" spans="1:11" x14ac:dyDescent="0.2">
      <c r="A15" s="48"/>
      <c r="B15" s="44"/>
      <c r="C15" s="44"/>
      <c r="D15" s="44"/>
      <c r="E15" s="44"/>
      <c r="F15" s="44"/>
      <c r="G15" s="44"/>
      <c r="H15" s="44"/>
      <c r="I15" s="44"/>
      <c r="J15" s="44"/>
      <c r="K15" s="49"/>
    </row>
    <row r="17" spans="1:11" x14ac:dyDescent="0.2">
      <c r="A17" s="43" t="s">
        <v>291</v>
      </c>
      <c r="B17" s="44"/>
      <c r="C17" s="44"/>
      <c r="D17" s="44"/>
      <c r="E17" s="44"/>
      <c r="F17" s="44"/>
      <c r="G17" s="44"/>
      <c r="H17" s="45">
        <f>tzujt1</f>
        <v>0</v>
      </c>
      <c r="I17" s="44"/>
      <c r="J17" s="46">
        <f>tzpjt1</f>
        <v>0</v>
      </c>
      <c r="K17" s="46">
        <f>tzpmt1</f>
        <v>0</v>
      </c>
    </row>
    <row r="19" spans="1:11" x14ac:dyDescent="0.2">
      <c r="A19" s="43" t="s">
        <v>292</v>
      </c>
      <c r="B19" s="44"/>
      <c r="C19" s="44"/>
      <c r="D19" s="44"/>
      <c r="E19" s="44"/>
      <c r="F19" s="44"/>
      <c r="G19" s="44"/>
      <c r="H19" s="44"/>
      <c r="I19" s="44"/>
      <c r="J19" s="46">
        <f>J17*1.21</f>
        <v>0</v>
      </c>
      <c r="K19" s="46">
        <f>K17*1.21</f>
        <v>0</v>
      </c>
    </row>
  </sheetData>
  <pageMargins left="0.7" right="0.7" top="0.75" bottom="0.75" header="0.3" footer="0.3"/>
  <pageSetup paperSize="9" scale="65" orientation="landscape" r:id="rId1"/>
  <headerFooter>
    <oddFooter>&amp;LMeridiaan College                                           &amp;ROpmaakdatum: 06-11-2020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2034-FA9F-43AD-BE16-18B50E15899F}">
  <dimension ref="A1:L6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6" width="12.625" customWidth="1"/>
    <col min="7" max="12" width="13.625" customWidth="1"/>
  </cols>
  <sheetData>
    <row r="1" spans="1:12" x14ac:dyDescent="0.2">
      <c r="A1" s="1" t="str">
        <f>CONCATENATE("Bijlage I4.6: ",tabeltype," totaalblad objecten")</f>
        <v>Bijlage I4.6: Invultabel totaalblad objecten</v>
      </c>
    </row>
    <row r="3" spans="1:12" ht="38.25" x14ac:dyDescent="0.2">
      <c r="A3" s="8" t="s">
        <v>110</v>
      </c>
      <c r="B3" s="8" t="s">
        <v>259</v>
      </c>
      <c r="C3" s="8" t="s">
        <v>260</v>
      </c>
      <c r="D3" s="8" t="s">
        <v>261</v>
      </c>
      <c r="E3" s="8" t="s">
        <v>271</v>
      </c>
      <c r="F3" s="8" t="s">
        <v>84</v>
      </c>
      <c r="G3" s="8" t="s">
        <v>293</v>
      </c>
      <c r="H3" s="8" t="s">
        <v>294</v>
      </c>
      <c r="I3" s="8" t="s">
        <v>295</v>
      </c>
      <c r="J3" s="8" t="s">
        <v>296</v>
      </c>
      <c r="K3" s="8" t="s">
        <v>297</v>
      </c>
      <c r="L3" s="8" t="s">
        <v>298</v>
      </c>
    </row>
    <row r="4" spans="1:12" x14ac:dyDescent="0.2">
      <c r="A4" s="81" t="s">
        <v>120</v>
      </c>
      <c r="B4" s="81" t="s">
        <v>274</v>
      </c>
      <c r="C4" s="81" t="s">
        <v>275</v>
      </c>
      <c r="D4" s="81" t="s">
        <v>276</v>
      </c>
      <c r="E4" s="84">
        <f>objecturenhf1_1</f>
        <v>0</v>
      </c>
      <c r="F4" s="84">
        <f>objecturen1_1</f>
        <v>0</v>
      </c>
      <c r="G4" s="86">
        <f>objectprijs1_1</f>
        <v>0</v>
      </c>
      <c r="H4" s="84">
        <f>tzujt1_1</f>
        <v>0</v>
      </c>
      <c r="I4" s="86">
        <f>tzpjt1_1</f>
        <v>0</v>
      </c>
      <c r="J4" s="86">
        <f>G4+I4</f>
        <v>0</v>
      </c>
      <c r="K4" s="86">
        <f>J4/12</f>
        <v>0</v>
      </c>
      <c r="L4" s="86">
        <f>K4*1.21</f>
        <v>0</v>
      </c>
    </row>
    <row r="6" spans="1:12" x14ac:dyDescent="0.2">
      <c r="A6" s="43" t="s">
        <v>299</v>
      </c>
      <c r="B6" s="44"/>
      <c r="C6" s="44"/>
      <c r="D6" s="44"/>
      <c r="E6" s="45">
        <f>SUM(E4:E4)</f>
        <v>0</v>
      </c>
      <c r="F6" s="45">
        <f>SUM(F4:F4)</f>
        <v>0</v>
      </c>
      <c r="G6" s="46">
        <f>SUM(G4:G4)</f>
        <v>0</v>
      </c>
      <c r="H6" s="45">
        <f>SUM(H4:H4)</f>
        <v>0</v>
      </c>
      <c r="I6" s="46">
        <f>SUM(I4:I4)</f>
        <v>0</v>
      </c>
      <c r="J6" s="46">
        <f>SUM(J4:J4)</f>
        <v>0</v>
      </c>
      <c r="K6" s="46">
        <f>SUM(K4:K4)</f>
        <v>0</v>
      </c>
      <c r="L6" s="46">
        <f>SUM(L4:L4)</f>
        <v>0</v>
      </c>
    </row>
  </sheetData>
  <pageMargins left="0.7" right="0.7" top="0.75" bottom="0.75" header="0.3" footer="0.3"/>
  <pageSetup paperSize="9" scale="65" orientation="landscape" r:id="rId1"/>
  <headerFooter>
    <oddFooter>&amp;LMeridiaan College                                           &amp;ROpmaakdatum: 06-11-2020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099E6-9044-4A1B-B4A9-25A957051A61}">
  <dimension ref="A1:L14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I4.7: ",tabeltype," afroep")</f>
        <v>Bijlage I4.7: Invultabel afroep</v>
      </c>
    </row>
    <row r="3" spans="1:12" ht="38.25" x14ac:dyDescent="0.2">
      <c r="A3" s="8" t="s">
        <v>300</v>
      </c>
      <c r="B3" s="8" t="s">
        <v>7</v>
      </c>
      <c r="C3" s="8" t="s">
        <v>301</v>
      </c>
      <c r="D3" s="8" t="s">
        <v>28</v>
      </c>
      <c r="E3" s="8" t="s">
        <v>31</v>
      </c>
      <c r="F3" s="8" t="s">
        <v>302</v>
      </c>
      <c r="G3" s="8" t="s">
        <v>303</v>
      </c>
      <c r="H3" s="8" t="s">
        <v>304</v>
      </c>
      <c r="I3" s="8" t="s">
        <v>305</v>
      </c>
      <c r="J3" s="8" t="s">
        <v>306</v>
      </c>
      <c r="K3" s="8" t="s">
        <v>85</v>
      </c>
      <c r="L3" s="8" t="s">
        <v>273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307</v>
      </c>
      <c r="B6" s="15" t="s">
        <v>19</v>
      </c>
      <c r="C6" s="16">
        <f>IF(ISBLANK(B6),0,IF(ISERROR(VALUE(B6)),VLOOKUP(B6,dagsoorttabel1,2,FALSE)*dagenperjaar1,VALUE(B6)))</f>
        <v>10</v>
      </c>
      <c r="D6" s="15" t="s">
        <v>308</v>
      </c>
      <c r="E6" s="15" t="s">
        <v>309</v>
      </c>
      <c r="F6" s="102">
        <v>10</v>
      </c>
      <c r="G6" s="19"/>
      <c r="H6" s="103"/>
      <c r="I6" s="19"/>
      <c r="J6" s="33">
        <f>IF(ISBLANK(F6),0,F6)*I6</f>
        <v>0</v>
      </c>
      <c r="K6" s="33">
        <f>C6*J6</f>
        <v>0</v>
      </c>
      <c r="L6" s="33">
        <f>K6/12</f>
        <v>0</v>
      </c>
    </row>
    <row r="7" spans="1:12" x14ac:dyDescent="0.2">
      <c r="A7" s="20" t="s">
        <v>310</v>
      </c>
      <c r="B7" s="20" t="s">
        <v>19</v>
      </c>
      <c r="C7" s="21">
        <f>IF(ISBLANK(B7),0,IF(ISERROR(VALUE(B7)),VLOOKUP(B7,dagsoorttabel1,2,FALSE)*dagenperjaar1,VALUE(B7)))</f>
        <v>10</v>
      </c>
      <c r="D7" s="20" t="s">
        <v>311</v>
      </c>
      <c r="E7" s="20" t="s">
        <v>309</v>
      </c>
      <c r="F7" s="104"/>
      <c r="G7" s="24"/>
      <c r="H7" s="105"/>
      <c r="I7" s="24"/>
      <c r="J7" s="37">
        <f>IF(ISBLANK(F7),0,F7)*I7</f>
        <v>0</v>
      </c>
      <c r="K7" s="37">
        <f>C7*J7</f>
        <v>0</v>
      </c>
      <c r="L7" s="37">
        <f>K7/12</f>
        <v>0</v>
      </c>
    </row>
    <row r="8" spans="1:12" x14ac:dyDescent="0.2">
      <c r="A8" s="20" t="s">
        <v>312</v>
      </c>
      <c r="B8" s="20" t="s">
        <v>19</v>
      </c>
      <c r="C8" s="21">
        <f>IF(ISBLANK(B8),0,IF(ISERROR(VALUE(B8)),VLOOKUP(B8,dagsoorttabel1,2,FALSE)*dagenperjaar1,VALUE(B8)))</f>
        <v>10</v>
      </c>
      <c r="D8" s="20" t="s">
        <v>313</v>
      </c>
      <c r="E8" s="20" t="s">
        <v>309</v>
      </c>
      <c r="F8" s="106">
        <v>4</v>
      </c>
      <c r="G8" s="24"/>
      <c r="H8" s="105"/>
      <c r="I8" s="24"/>
      <c r="J8" s="37">
        <f>IF(ISBLANK(F8),0,F8)*I8</f>
        <v>0</v>
      </c>
      <c r="K8" s="37">
        <f>C8*J8</f>
        <v>0</v>
      </c>
      <c r="L8" s="37">
        <f>K8/12</f>
        <v>0</v>
      </c>
    </row>
    <row r="9" spans="1:12" x14ac:dyDescent="0.2">
      <c r="A9" s="20" t="s">
        <v>314</v>
      </c>
      <c r="B9" s="20" t="s">
        <v>19</v>
      </c>
      <c r="C9" s="21">
        <f>IF(ISBLANK(B9),0,IF(ISERROR(VALUE(B9)),VLOOKUP(B9,dagsoorttabel1,2,FALSE)*dagenperjaar1,VALUE(B9)))</f>
        <v>10</v>
      </c>
      <c r="D9" s="20" t="s">
        <v>315</v>
      </c>
      <c r="E9" s="20" t="s">
        <v>309</v>
      </c>
      <c r="F9" s="106">
        <v>10</v>
      </c>
      <c r="G9" s="24"/>
      <c r="H9" s="105"/>
      <c r="I9" s="24"/>
      <c r="J9" s="37">
        <f>IF(ISBLANK(F9),0,F9)*I9</f>
        <v>0</v>
      </c>
      <c r="K9" s="37">
        <f>C9*J9</f>
        <v>0</v>
      </c>
      <c r="L9" s="37">
        <f>K9/12</f>
        <v>0</v>
      </c>
    </row>
    <row r="10" spans="1:12" x14ac:dyDescent="0.2">
      <c r="A10" s="20" t="s">
        <v>316</v>
      </c>
      <c r="B10" s="20" t="s">
        <v>19</v>
      </c>
      <c r="C10" s="21">
        <f>IF(ISBLANK(B10),0,IF(ISERROR(VALUE(B10)),VLOOKUP(B10,dagsoorttabel1,2,FALSE)*dagenperjaar1,VALUE(B10)))</f>
        <v>10</v>
      </c>
      <c r="D10" s="20" t="s">
        <v>317</v>
      </c>
      <c r="E10" s="20" t="s">
        <v>309</v>
      </c>
      <c r="F10" s="106">
        <v>4</v>
      </c>
      <c r="G10" s="24"/>
      <c r="H10" s="105"/>
      <c r="I10" s="24"/>
      <c r="J10" s="37">
        <f>IF(ISBLANK(F10),0,F10)*I10</f>
        <v>0</v>
      </c>
      <c r="K10" s="37">
        <f>C10*J10</f>
        <v>0</v>
      </c>
      <c r="L10" s="37">
        <f>K10/12</f>
        <v>0</v>
      </c>
    </row>
    <row r="11" spans="1:12" x14ac:dyDescent="0.2">
      <c r="A11" s="25" t="s">
        <v>318</v>
      </c>
      <c r="B11" s="25" t="s">
        <v>24</v>
      </c>
      <c r="C11" s="26">
        <f>IF(ISBLANK(B11),0,IF(ISERROR(VALUE(B11)),VLOOKUP(B11,dagsoorttabel1,2,FALSE)*dagenperjaar1,VALUE(B11)))</f>
        <v>1</v>
      </c>
      <c r="D11" s="25" t="s">
        <v>319</v>
      </c>
      <c r="E11" s="25" t="s">
        <v>320</v>
      </c>
      <c r="F11" s="107">
        <v>2</v>
      </c>
      <c r="G11" s="29"/>
      <c r="H11" s="108"/>
      <c r="I11" s="29"/>
      <c r="J11" s="41">
        <f>IF(ISBLANK(F11),1,F11)*I11</f>
        <v>0</v>
      </c>
      <c r="K11" s="41">
        <f>C11*J11</f>
        <v>0</v>
      </c>
      <c r="L11" s="41">
        <f>K11/12</f>
        <v>0</v>
      </c>
    </row>
    <row r="12" spans="1:12" x14ac:dyDescent="0.2">
      <c r="A12" s="43" t="s">
        <v>107</v>
      </c>
      <c r="B12" s="44"/>
      <c r="C12" s="44"/>
      <c r="D12" s="44"/>
      <c r="E12" s="44"/>
      <c r="F12" s="44"/>
      <c r="G12" s="44"/>
      <c r="H12" s="44"/>
      <c r="I12" s="44"/>
      <c r="J12" s="44"/>
      <c r="K12" s="46">
        <f>SUM(K6:K11)</f>
        <v>0</v>
      </c>
      <c r="L12" s="109">
        <f>K12/12</f>
        <v>0</v>
      </c>
    </row>
    <row r="14" spans="1:12" x14ac:dyDescent="0.2">
      <c r="A14" s="43" t="s">
        <v>321</v>
      </c>
      <c r="B14" s="44"/>
      <c r="C14" s="44"/>
      <c r="D14" s="44"/>
      <c r="E14" s="44"/>
      <c r="F14" s="44"/>
      <c r="G14" s="44"/>
      <c r="H14" s="44"/>
      <c r="I14" s="44"/>
      <c r="J14" s="44"/>
      <c r="K14" s="46">
        <f>prijsjaarafroep1</f>
        <v>0</v>
      </c>
      <c r="L14" s="109">
        <f>K14/12</f>
        <v>0</v>
      </c>
    </row>
  </sheetData>
  <pageMargins left="0.7" right="0.7" top="0.75" bottom="0.75" header="0.3" footer="0.3"/>
  <pageSetup paperSize="9" scale="65" orientation="landscape" r:id="rId1"/>
  <headerFooter>
    <oddFooter>&amp;LMeridiaan College                                           &amp;ROpmaakdatum: 06-11-2020
Intexso - De Start 5 -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162</vt:i4>
      </vt:variant>
    </vt:vector>
  </HeadingPairs>
  <TitlesOfParts>
    <vt:vector size="173" baseType="lpstr">
      <vt:lpstr>Omreken</vt:lpstr>
      <vt:lpstr>Categorienormen</vt:lpstr>
      <vt:lpstr>Regulier werk</vt:lpstr>
      <vt:lpstr>Ruimten werkdag</vt:lpstr>
      <vt:lpstr>Objectinformatie</vt:lpstr>
      <vt:lpstr>Objecten</vt:lpstr>
      <vt:lpstr>Niet-meewerkende objectleiding</vt:lpstr>
      <vt:lpstr>Totaalblad Objecten</vt:lpstr>
      <vt:lpstr>Afroep</vt:lpstr>
      <vt:lpstr>Afroep incidenteel</vt:lpstr>
      <vt:lpstr>Totaal</vt:lpstr>
      <vt:lpstr>Afroep!Afdruktitels</vt:lpstr>
      <vt:lpstr>'Afroep incidenteel'!Afdruktitels</vt:lpstr>
      <vt:lpstr>Categorienormen!Afdruktitels</vt:lpstr>
      <vt:lpstr>'Niet-meewerkende objectleiding'!Afdruktitels</vt:lpstr>
      <vt:lpstr>Objecten!Afdruktitels</vt:lpstr>
      <vt:lpstr>Objectinformatie!Afdruktitels</vt:lpstr>
      <vt:lpstr>'Regulier werk'!Afdruktitels</vt:lpstr>
      <vt:lpstr>'Ruimten werkdag'!Afdruktitels</vt:lpstr>
      <vt:lpstr>Totaal!Afdruktitels</vt:lpstr>
      <vt:lpstr>'Totaalblad Objecten'!Afdruktitels</vt:lpstr>
      <vt:lpstr>catdw_1_AHB_1</vt:lpstr>
      <vt:lpstr>catdw_1_AHV_40</vt:lpstr>
      <vt:lpstr>catdw_1_BHB_1</vt:lpstr>
      <vt:lpstr>catdw_1_BHV_42</vt:lpstr>
      <vt:lpstr>catdw_1_EHB_1</vt:lpstr>
      <vt:lpstr>catdw_1_EHV_40</vt:lpstr>
      <vt:lpstr>catdw_1_LHB_1</vt:lpstr>
      <vt:lpstr>catdw_1_LHV_40</vt:lpstr>
      <vt:lpstr>catdw_1_PHB_1</vt:lpstr>
      <vt:lpstr>catdw_1_PHV_40</vt:lpstr>
      <vt:lpstr>catdw_1_PUHB_1</vt:lpstr>
      <vt:lpstr>catdw_1_PUHV_40</vt:lpstr>
      <vt:lpstr>catdw_1_SHB_1</vt:lpstr>
      <vt:lpstr>catdw_1_SHV_40</vt:lpstr>
      <vt:lpstr>catdw_1_THB_1</vt:lpstr>
      <vt:lpstr>catdw_1_THV_40</vt:lpstr>
      <vt:lpstr>catdw_1_VHB_1</vt:lpstr>
      <vt:lpstr>catdw_1_VHV_40</vt:lpstr>
      <vt:lpstr>catdw_1_XBB_1</vt:lpstr>
      <vt:lpstr>catfd_1_AHB_1</vt:lpstr>
      <vt:lpstr>catfd_1_AHV_40</vt:lpstr>
      <vt:lpstr>catfd_1_BHB_1</vt:lpstr>
      <vt:lpstr>catfd_1_BHV_42</vt:lpstr>
      <vt:lpstr>catfd_1_EHB_1</vt:lpstr>
      <vt:lpstr>catfd_1_EHV_40</vt:lpstr>
      <vt:lpstr>catfd_1_LHB_1</vt:lpstr>
      <vt:lpstr>catfd_1_LHV_40</vt:lpstr>
      <vt:lpstr>catfd_1_PHB_1</vt:lpstr>
      <vt:lpstr>catfd_1_PHV_40</vt:lpstr>
      <vt:lpstr>catfd_1_PUHB_1</vt:lpstr>
      <vt:lpstr>catfd_1_PUHV_40</vt:lpstr>
      <vt:lpstr>catfd_1_SHB_1</vt:lpstr>
      <vt:lpstr>catfd_1_SHV_40</vt:lpstr>
      <vt:lpstr>catfd_1_THB_1</vt:lpstr>
      <vt:lpstr>catfd_1_THV_40</vt:lpstr>
      <vt:lpstr>catfd_1_VHB_1</vt:lpstr>
      <vt:lpstr>catfd_1_VHV_40</vt:lpstr>
      <vt:lpstr>catfd_1_XBB_1</vt:lpstr>
      <vt:lpstr>catpn_1_AHB_1</vt:lpstr>
      <vt:lpstr>catpn_1_AHV_40</vt:lpstr>
      <vt:lpstr>catpn_1_BHB_1</vt:lpstr>
      <vt:lpstr>catpn_1_BHV_42</vt:lpstr>
      <vt:lpstr>catpn_1_EHB_1</vt:lpstr>
      <vt:lpstr>catpn_1_EHV_40</vt:lpstr>
      <vt:lpstr>catpn_1_LHB_1</vt:lpstr>
      <vt:lpstr>catpn_1_LHV_40</vt:lpstr>
      <vt:lpstr>catpn_1_PHB_1</vt:lpstr>
      <vt:lpstr>catpn_1_PHV_40</vt:lpstr>
      <vt:lpstr>catpn_1_PUHB_1</vt:lpstr>
      <vt:lpstr>catpn_1_PUHV_40</vt:lpstr>
      <vt:lpstr>catpn_1_SHB_1</vt:lpstr>
      <vt:lpstr>catpn_1_SHV_40</vt:lpstr>
      <vt:lpstr>catpn_1_THB_1</vt:lpstr>
      <vt:lpstr>catpn_1_THV_40</vt:lpstr>
      <vt:lpstr>catpn_1_VHB_1</vt:lpstr>
      <vt:lpstr>catpn_1_VHV_40</vt:lpstr>
      <vt:lpstr>catpn_1_XBB_1</vt:lpstr>
      <vt:lpstr>cattf_1_AHB_1</vt:lpstr>
      <vt:lpstr>cattf_1_AHV_40</vt:lpstr>
      <vt:lpstr>cattf_1_BHB_1</vt:lpstr>
      <vt:lpstr>cattf_1_BHV_42</vt:lpstr>
      <vt:lpstr>cattf_1_EHB_1</vt:lpstr>
      <vt:lpstr>cattf_1_EHV_40</vt:lpstr>
      <vt:lpstr>cattf_1_LHB_1</vt:lpstr>
      <vt:lpstr>cattf_1_LHV_40</vt:lpstr>
      <vt:lpstr>cattf_1_PHB_1</vt:lpstr>
      <vt:lpstr>cattf_1_PHV_40</vt:lpstr>
      <vt:lpstr>cattf_1_PUHB_1</vt:lpstr>
      <vt:lpstr>cattf_1_PUHV_40</vt:lpstr>
      <vt:lpstr>cattf_1_SHB_1</vt:lpstr>
      <vt:lpstr>cattf_1_SHV_40</vt:lpstr>
      <vt:lpstr>cattf_1_THB_1</vt:lpstr>
      <vt:lpstr>cattf_1_THV_40</vt:lpstr>
      <vt:lpstr>cattf_1_VHB_1</vt:lpstr>
      <vt:lpstr>cattf_1_VHV_40</vt:lpstr>
      <vt:lpstr>cattf_1_XBB_1</vt:lpstr>
      <vt:lpstr>dagenperjaar1</vt:lpstr>
      <vt:lpstr>dagenperweek1</vt:lpstr>
      <vt:lpstr>dagsoorttabel1</vt:lpstr>
      <vt:lpstr>dagwerk1</vt:lpstr>
      <vt:lpstr>dagwerk10</vt:lpstr>
      <vt:lpstr>dagwerk2</vt:lpstr>
      <vt:lpstr>dagwerk3</vt:lpstr>
      <vt:lpstr>dagwerk4</vt:lpstr>
      <vt:lpstr>dagwerk5</vt:lpstr>
      <vt:lpstr>dagwerk6</vt:lpstr>
      <vt:lpstr>dagwerk7</vt:lpstr>
      <vt:lpstr>dagwerk8</vt:lpstr>
      <vt:lpstr>dagwerk9</vt:lpstr>
      <vt:lpstr>dagwerktabel1</vt:lpstr>
      <vt:lpstr>gemuurtarief1</vt:lpstr>
      <vt:lpstr>kengetaltabel1</vt:lpstr>
      <vt:lpstr>object1_gemuurtarief1</vt:lpstr>
      <vt:lpstr>object1_opptabel1</vt:lpstr>
      <vt:lpstr>object1_prijsdag1</vt:lpstr>
      <vt:lpstr>object1_prijsjaar1</vt:lpstr>
      <vt:lpstr>object1_urendag1</vt:lpstr>
      <vt:lpstr>object1_urendaghf1</vt:lpstr>
      <vt:lpstr>object1_urenjaar1</vt:lpstr>
      <vt:lpstr>objectprijs1_1</vt:lpstr>
      <vt:lpstr>objecturen1_1</vt:lpstr>
      <vt:lpstr>objecturenhf1_1</vt:lpstr>
      <vt:lpstr>prijsdag1</vt:lpstr>
      <vt:lpstr>prijsjaar</vt:lpstr>
      <vt:lpstr>prijsjaar1</vt:lpstr>
      <vt:lpstr>prijsjaarafroep</vt:lpstr>
      <vt:lpstr>prijsjaarafroep1</vt:lpstr>
      <vt:lpstr>prijsjaarnietmeewerkend</vt:lpstr>
      <vt:lpstr>prijsjaartotaal</vt:lpstr>
      <vt:lpstr>prijsjaartotaal1</vt:lpstr>
      <vt:lpstr>prijsjaartotaaloverzicht</vt:lpstr>
      <vt:lpstr>prijsmaandtotaal1</vt:lpstr>
      <vt:lpstr>prodnorm1</vt:lpstr>
      <vt:lpstr>prodnorm10</vt:lpstr>
      <vt:lpstr>prodnorm2</vt:lpstr>
      <vt:lpstr>prodnorm3</vt:lpstr>
      <vt:lpstr>prodnorm4</vt:lpstr>
      <vt:lpstr>prodnorm5</vt:lpstr>
      <vt:lpstr>prodnorm6</vt:lpstr>
      <vt:lpstr>prodnorm7</vt:lpstr>
      <vt:lpstr>prodnorm8</vt:lpstr>
      <vt:lpstr>prodnorm9</vt:lpstr>
      <vt:lpstr>taakfreqtabel1</vt:lpstr>
      <vt:lpstr>tabeltype</vt:lpstr>
      <vt:lpstr>tarieftabel1</vt:lpstr>
      <vt:lpstr>tzpjt1</vt:lpstr>
      <vt:lpstr>tzpjt1_1</vt:lpstr>
      <vt:lpstr>tzpmt1</vt:lpstr>
      <vt:lpstr>tzpmt1_1</vt:lpstr>
      <vt:lpstr>tzujt1</vt:lpstr>
      <vt:lpstr>tzujt1_1</vt:lpstr>
      <vt:lpstr>urendag1</vt:lpstr>
      <vt:lpstr>urenjaar</vt:lpstr>
      <vt:lpstr>urenjaar1</vt:lpstr>
      <vt:lpstr>urenjaarnietmeewerkend</vt:lpstr>
      <vt:lpstr>urenjaartotaal</vt:lpstr>
      <vt:lpstr>urenjaartotaal1</vt:lpstr>
      <vt:lpstr>urenjaartotaalhf</vt:lpstr>
      <vt:lpstr>urenjaartotaalhf1</vt:lpstr>
      <vt:lpstr>urenjaartotaaloverzicht</vt:lpstr>
      <vt:lpstr>urenjaartotaaloverzichthf</vt:lpstr>
      <vt:lpstr>uurfactortabel1</vt:lpstr>
      <vt:lpstr>uurtarief1</vt:lpstr>
      <vt:lpstr>uurtarief10</vt:lpstr>
      <vt:lpstr>uurtarief2</vt:lpstr>
      <vt:lpstr>uurtarief3</vt:lpstr>
      <vt:lpstr>uurtarief4</vt:lpstr>
      <vt:lpstr>uurtarief5</vt:lpstr>
      <vt:lpstr>uurtarief6</vt:lpstr>
      <vt:lpstr>uurtarief7</vt:lpstr>
      <vt:lpstr>uurtarief8</vt:lpstr>
      <vt:lpstr>uurtarief9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2020-11-06T07:28:05Z</dcterms:created>
  <dcterms:modified xsi:type="dcterms:W3CDTF">2020-11-06T07:29:26Z</dcterms:modified>
</cp:coreProperties>
</file>