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Tenderdesk\2020\Begeleiding\Cedris\Publicatie\"/>
    </mc:Choice>
  </mc:AlternateContent>
  <bookViews>
    <workbookView xWindow="0" yWindow="0" windowWidth="14370" windowHeight="11610" firstSheet="4" activeTab="13"/>
  </bookViews>
  <sheets>
    <sheet name="Totaaloverzicht" sheetId="25" r:id="rId1"/>
    <sheet name="Baanbrekers" sheetId="1" r:id="rId2"/>
    <sheet name="Biga Groep" sheetId="2" r:id="rId3"/>
    <sheet name="De Zuidhoek" sheetId="3" r:id="rId4"/>
    <sheet name="Drechtwerk" sheetId="4" r:id="rId5"/>
    <sheet name="DSW Rijswijk" sheetId="5" r:id="rId6"/>
    <sheet name="Ferm Werk" sheetId="6" r:id="rId7"/>
    <sheet name="Fris Facilitair" sheetId="7" r:id="rId8"/>
    <sheet name="IJmond werkt" sheetId="8" r:id="rId9"/>
    <sheet name="Impact" sheetId="9" r:id="rId10"/>
    <sheet name="Inclusief Groep" sheetId="10" r:id="rId11"/>
    <sheet name="Kempen Plus" sheetId="11" r:id="rId12"/>
    <sheet name="Laborijn" sheetId="12" r:id="rId13"/>
    <sheet name="Lucrato" sheetId="21" r:id="rId14"/>
    <sheet name="MidZuid" sheetId="13" r:id="rId15"/>
    <sheet name="Pantar" sheetId="14" r:id="rId16"/>
    <sheet name="Promen" sheetId="16" r:id="rId17"/>
    <sheet name="Senzer" sheetId="17" r:id="rId18"/>
    <sheet name="Stroomopwaarts" sheetId="18" r:id="rId19"/>
    <sheet name="UW Werkmaatschappij" sheetId="19" r:id="rId20"/>
    <sheet name="Werkom" sheetId="20" r:id="rId21"/>
    <sheet name="Werksaam" sheetId="22" r:id="rId22"/>
    <sheet name="WNK" sheetId="23" r:id="rId23"/>
    <sheet name="WSD Groep" sheetId="24"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9" i="24" l="1"/>
  <c r="E60" i="24"/>
  <c r="C28" i="25" l="1"/>
  <c r="D28" i="25"/>
  <c r="E28" i="25"/>
  <c r="F28" i="25"/>
  <c r="G28" i="25"/>
  <c r="H28" i="25"/>
  <c r="I28" i="25"/>
  <c r="J28" i="25"/>
  <c r="K28" i="25"/>
  <c r="L28" i="25"/>
  <c r="B28" i="25"/>
  <c r="M26" i="25"/>
  <c r="M25" i="25"/>
  <c r="M24" i="25"/>
  <c r="M23" i="25"/>
  <c r="M22" i="25"/>
  <c r="M21" i="25"/>
  <c r="M20" i="25"/>
  <c r="M19" i="25"/>
  <c r="M18" i="25"/>
  <c r="M17" i="25"/>
  <c r="M16" i="25"/>
  <c r="M15" i="25"/>
  <c r="M14" i="25"/>
  <c r="M13" i="25"/>
  <c r="M12" i="25"/>
  <c r="M11" i="25"/>
  <c r="M10" i="25"/>
  <c r="M9" i="25"/>
  <c r="M8" i="25"/>
  <c r="M7" i="25"/>
  <c r="M6" i="25"/>
  <c r="M5" i="25"/>
  <c r="M4" i="25"/>
  <c r="M28" i="25" l="1"/>
  <c r="B33" i="19"/>
  <c r="F32" i="19"/>
  <c r="D32" i="19"/>
  <c r="F31" i="19"/>
  <c r="D31" i="19"/>
  <c r="F30" i="19"/>
  <c r="D30" i="19"/>
  <c r="D29" i="19"/>
  <c r="D28" i="19"/>
  <c r="D33" i="19" s="1"/>
  <c r="D24" i="19"/>
  <c r="B24" i="19"/>
  <c r="F18" i="19"/>
  <c r="F17" i="19"/>
  <c r="F16" i="19"/>
  <c r="F15" i="19"/>
  <c r="F14" i="19"/>
  <c r="F11" i="19"/>
  <c r="F10" i="19"/>
  <c r="F9" i="19"/>
  <c r="F8" i="19"/>
  <c r="F29" i="19" s="1"/>
  <c r="F7" i="19"/>
  <c r="F4" i="19"/>
  <c r="F24" i="19" s="1"/>
  <c r="F28" i="19" l="1"/>
  <c r="F33" i="19" s="1"/>
  <c r="D59" i="24"/>
  <c r="D58" i="24"/>
  <c r="D57" i="24"/>
  <c r="D56" i="24"/>
  <c r="D52" i="24"/>
  <c r="E50" i="24"/>
  <c r="E49" i="24"/>
  <c r="E48" i="24"/>
  <c r="E47" i="24"/>
  <c r="E46" i="24"/>
  <c r="E45" i="24"/>
  <c r="E44" i="24"/>
  <c r="E43" i="24"/>
  <c r="E42" i="24"/>
  <c r="E41" i="24"/>
  <c r="E40" i="24"/>
  <c r="E39" i="24"/>
  <c r="E38" i="24"/>
  <c r="E37" i="24"/>
  <c r="E36" i="24"/>
  <c r="E34" i="24"/>
  <c r="E33" i="24"/>
  <c r="E32" i="24"/>
  <c r="E31" i="24"/>
  <c r="E30" i="24"/>
  <c r="E58" i="24" s="1"/>
  <c r="E24" i="24"/>
  <c r="E23" i="24"/>
  <c r="E22" i="24"/>
  <c r="E21" i="24"/>
  <c r="E20" i="24"/>
  <c r="E19" i="24"/>
  <c r="E17" i="24"/>
  <c r="E16" i="24"/>
  <c r="E15" i="24"/>
  <c r="E14" i="24"/>
  <c r="E13" i="24"/>
  <c r="E12" i="24"/>
  <c r="E11" i="24"/>
  <c r="E10" i="24"/>
  <c r="E9" i="24"/>
  <c r="E8" i="24"/>
  <c r="E7" i="24"/>
  <c r="E6" i="24"/>
  <c r="D61" i="24" l="1"/>
  <c r="E57" i="24"/>
  <c r="E56" i="24"/>
  <c r="E61" i="24"/>
  <c r="E52" i="24"/>
  <c r="F26" i="23" l="1"/>
  <c r="F25" i="23"/>
  <c r="D25" i="23"/>
  <c r="B25" i="23"/>
  <c r="B27" i="23" s="1"/>
  <c r="F24" i="23"/>
  <c r="D24" i="23"/>
  <c r="D23" i="23"/>
  <c r="F22" i="23"/>
  <c r="F27" i="23" s="1"/>
  <c r="D22" i="23"/>
  <c r="B18" i="23"/>
  <c r="F16" i="23"/>
  <c r="F15" i="23"/>
  <c r="D14" i="23"/>
  <c r="D18" i="23" s="1"/>
  <c r="F9" i="23"/>
  <c r="F8" i="23"/>
  <c r="F7" i="23"/>
  <c r="F6" i="23"/>
  <c r="F5" i="23"/>
  <c r="F23" i="23" s="1"/>
  <c r="F4" i="23"/>
  <c r="F18" i="23" s="1"/>
  <c r="D26" i="23" l="1"/>
  <c r="D27" i="23" s="1"/>
  <c r="F20" i="22" l="1"/>
  <c r="F19" i="22"/>
  <c r="A19" i="22"/>
  <c r="D18" i="22"/>
  <c r="D21" i="22" s="1"/>
  <c r="B18" i="22"/>
  <c r="B21" i="22" s="1"/>
  <c r="D14" i="22"/>
  <c r="B14" i="22"/>
  <c r="F5" i="22"/>
  <c r="F4" i="22"/>
  <c r="F18" i="22" s="1"/>
  <c r="F21" i="22" s="1"/>
  <c r="F14" i="22" l="1"/>
  <c r="E42" i="20" l="1"/>
  <c r="E41" i="20"/>
  <c r="C41" i="20"/>
  <c r="C40" i="20"/>
  <c r="C39" i="20"/>
  <c r="C38" i="20"/>
  <c r="C37" i="20"/>
  <c r="C31" i="20"/>
  <c r="E31" i="20" s="1"/>
  <c r="E43" i="20" s="1"/>
  <c r="E30" i="20"/>
  <c r="C29" i="20"/>
  <c r="C42" i="20" s="1"/>
  <c r="E24" i="20"/>
  <c r="E23" i="20"/>
  <c r="E40" i="20" s="1"/>
  <c r="E22" i="20"/>
  <c r="E21" i="20"/>
  <c r="E20" i="20"/>
  <c r="E19" i="20"/>
  <c r="E18" i="20"/>
  <c r="E17" i="20"/>
  <c r="E16" i="20"/>
  <c r="E15" i="20"/>
  <c r="E14" i="20"/>
  <c r="E37" i="20" s="1"/>
  <c r="E13" i="20"/>
  <c r="E12" i="20"/>
  <c r="E11" i="20"/>
  <c r="E39" i="20" s="1"/>
  <c r="E10" i="20"/>
  <c r="E9" i="20"/>
  <c r="E8" i="20"/>
  <c r="E7" i="20"/>
  <c r="E6" i="20"/>
  <c r="E5" i="20"/>
  <c r="E4" i="20"/>
  <c r="E38" i="20" s="1"/>
  <c r="E44" i="20" l="1"/>
  <c r="C33" i="20"/>
  <c r="C43" i="20"/>
  <c r="C44" i="20" s="1"/>
  <c r="E33" i="20"/>
  <c r="B29" i="21" l="1"/>
  <c r="C27" i="21"/>
  <c r="B27" i="21"/>
  <c r="C26" i="21"/>
  <c r="B26" i="21"/>
  <c r="B25" i="21"/>
  <c r="B24" i="21"/>
  <c r="B23" i="21"/>
  <c r="B19" i="21"/>
  <c r="C13" i="21"/>
  <c r="C12" i="21"/>
  <c r="C11" i="21"/>
  <c r="C10" i="21"/>
  <c r="C25" i="21" s="1"/>
  <c r="C9" i="21"/>
  <c r="C8" i="21"/>
  <c r="C7" i="21"/>
  <c r="C6" i="21"/>
  <c r="C24" i="21" s="1"/>
  <c r="C5" i="21"/>
  <c r="C3" i="21"/>
  <c r="C23" i="21" s="1"/>
  <c r="C29" i="21" l="1"/>
  <c r="C19" i="21"/>
  <c r="B28" i="18" l="1"/>
  <c r="D27" i="18"/>
  <c r="B27" i="18"/>
  <c r="D26" i="18"/>
  <c r="B26" i="18"/>
  <c r="D25" i="18"/>
  <c r="B25" i="18"/>
  <c r="D24" i="18"/>
  <c r="B24" i="18"/>
  <c r="B29" i="18" s="1"/>
  <c r="B20" i="18"/>
  <c r="D16" i="18"/>
  <c r="D28" i="18" s="1"/>
  <c r="F15" i="18"/>
  <c r="F27" i="18" s="1"/>
  <c r="D15" i="18"/>
  <c r="F14" i="18"/>
  <c r="F13" i="18"/>
  <c r="F12" i="18"/>
  <c r="F10" i="18"/>
  <c r="F9" i="18"/>
  <c r="F8" i="18"/>
  <c r="F7" i="18"/>
  <c r="F6" i="18"/>
  <c r="F26" i="18" s="1"/>
  <c r="F5" i="18"/>
  <c r="F24" i="18" s="1"/>
  <c r="F4" i="18"/>
  <c r="F25" i="18" s="1"/>
  <c r="D29" i="18" l="1"/>
  <c r="D20" i="18"/>
  <c r="F28" i="18"/>
  <c r="F29" i="18" s="1"/>
  <c r="F20" i="18" l="1"/>
  <c r="B32" i="17" l="1"/>
  <c r="B31" i="17"/>
  <c r="B30" i="17"/>
  <c r="D29" i="17"/>
  <c r="B29" i="17"/>
  <c r="D28" i="17"/>
  <c r="B28" i="17"/>
  <c r="B24" i="17"/>
  <c r="F22" i="17"/>
  <c r="F21" i="17"/>
  <c r="F20" i="17"/>
  <c r="F19" i="17"/>
  <c r="F18" i="17"/>
  <c r="F17" i="17"/>
  <c r="D16" i="17"/>
  <c r="F32" i="17" s="1"/>
  <c r="D15" i="17"/>
  <c r="D31" i="17" s="1"/>
  <c r="D14" i="17"/>
  <c r="D30" i="17" s="1"/>
  <c r="F12" i="17"/>
  <c r="F11" i="17"/>
  <c r="F10" i="17"/>
  <c r="F9" i="17"/>
  <c r="F8" i="17"/>
  <c r="D7" i="17"/>
  <c r="D33" i="17" s="1"/>
  <c r="F6" i="17"/>
  <c r="F5" i="17"/>
  <c r="F4" i="17"/>
  <c r="F28" i="17" l="1"/>
  <c r="F15" i="17"/>
  <c r="F31" i="17" s="1"/>
  <c r="B34" i="17"/>
  <c r="F7" i="17"/>
  <c r="F33" i="17" s="1"/>
  <c r="D34" i="17"/>
  <c r="F29" i="17"/>
  <c r="F14" i="17"/>
  <c r="F30" i="17" s="1"/>
  <c r="F34" i="17" s="1"/>
  <c r="D24" i="17"/>
  <c r="D32" i="17"/>
  <c r="F24" i="17" l="1"/>
  <c r="D26" i="16" l="1"/>
  <c r="F25" i="16"/>
  <c r="D25" i="16"/>
  <c r="H24" i="16"/>
  <c r="D24" i="16"/>
  <c r="D23" i="16"/>
  <c r="D22" i="16"/>
  <c r="D21" i="16"/>
  <c r="D27" i="16" s="1"/>
  <c r="D28" i="16" s="1"/>
  <c r="D17" i="16"/>
  <c r="F15" i="16"/>
  <c r="F24" i="16" s="1"/>
  <c r="F14" i="16"/>
  <c r="H25" i="16" s="1"/>
  <c r="F13" i="16"/>
  <c r="F12" i="16"/>
  <c r="H12" i="16" s="1"/>
  <c r="F11" i="16"/>
  <c r="H11" i="16" s="1"/>
  <c r="F10" i="16"/>
  <c r="H10" i="16" s="1"/>
  <c r="F9" i="16"/>
  <c r="H9" i="16" s="1"/>
  <c r="F8" i="16"/>
  <c r="H8" i="16" s="1"/>
  <c r="H21" i="16" s="1"/>
  <c r="F7" i="16"/>
  <c r="H7" i="16" s="1"/>
  <c r="H26" i="16" s="1"/>
  <c r="F6" i="16"/>
  <c r="H6" i="16" s="1"/>
  <c r="H22" i="16" s="1"/>
  <c r="F5" i="16"/>
  <c r="H5" i="16" s="1"/>
  <c r="H4" i="16"/>
  <c r="F4" i="16"/>
  <c r="F17" i="16" s="1"/>
  <c r="H23" i="16" l="1"/>
  <c r="H27" i="16"/>
  <c r="H17" i="16"/>
  <c r="F22" i="16"/>
  <c r="F21" i="16"/>
  <c r="F26" i="16"/>
  <c r="F23" i="16"/>
  <c r="F27" i="16" l="1"/>
  <c r="F28" i="16" s="1"/>
  <c r="H29" i="14" l="1"/>
  <c r="H28" i="14"/>
  <c r="F28" i="14"/>
  <c r="D28" i="14"/>
  <c r="H27" i="14"/>
  <c r="F27" i="14"/>
  <c r="D27" i="14"/>
  <c r="H26" i="14"/>
  <c r="D26" i="14"/>
  <c r="D25" i="14"/>
  <c r="F24" i="14"/>
  <c r="D24" i="14"/>
  <c r="D30" i="14" s="1"/>
  <c r="D31" i="14" s="1"/>
  <c r="D21" i="14"/>
  <c r="F18" i="14"/>
  <c r="F17" i="14"/>
  <c r="F26" i="14" s="1"/>
  <c r="H16" i="14"/>
  <c r="F15" i="14"/>
  <c r="H15" i="14" s="1"/>
  <c r="F14" i="14"/>
  <c r="H14" i="14" s="1"/>
  <c r="F13" i="14"/>
  <c r="H13" i="14" s="1"/>
  <c r="H12" i="14"/>
  <c r="F12" i="14"/>
  <c r="F25" i="14" s="1"/>
  <c r="H11" i="14"/>
  <c r="F11" i="14"/>
  <c r="H9" i="14"/>
  <c r="H21" i="14" s="1"/>
  <c r="F9" i="14"/>
  <c r="H8" i="14"/>
  <c r="H7" i="14"/>
  <c r="H6" i="14"/>
  <c r="H4" i="14"/>
  <c r="H24" i="14" s="1"/>
  <c r="D4" i="14"/>
  <c r="F30" i="14" l="1"/>
  <c r="H25" i="14"/>
  <c r="H30" i="14" s="1"/>
  <c r="F21" i="14"/>
  <c r="F31" i="14" l="1"/>
  <c r="B35" i="13" l="1"/>
  <c r="C34" i="13"/>
  <c r="B34" i="13"/>
  <c r="C33" i="13"/>
  <c r="B33" i="13"/>
  <c r="B32" i="13"/>
  <c r="B36" i="13" s="1"/>
  <c r="C28" i="13"/>
  <c r="B28" i="13"/>
  <c r="C11" i="13"/>
  <c r="C35" i="13"/>
  <c r="C9" i="13"/>
  <c r="C8" i="13"/>
  <c r="C7" i="13"/>
  <c r="C6" i="13"/>
  <c r="C5" i="13"/>
  <c r="C4" i="13"/>
  <c r="C3" i="13"/>
  <c r="C32" i="13" s="1"/>
  <c r="C36" i="13" l="1"/>
  <c r="B23" i="12" l="1"/>
  <c r="B22" i="12"/>
  <c r="C21" i="12"/>
  <c r="B21" i="12"/>
  <c r="C20" i="12"/>
  <c r="B20" i="12"/>
  <c r="B19" i="12"/>
  <c r="B24" i="12" s="1"/>
  <c r="B15" i="12"/>
  <c r="C12" i="12"/>
  <c r="C11" i="12"/>
  <c r="C23" i="12" s="1"/>
  <c r="C22" i="12"/>
  <c r="C7" i="12"/>
  <c r="C6" i="12"/>
  <c r="C4" i="12"/>
  <c r="C3" i="12"/>
  <c r="C15" i="12" s="1"/>
  <c r="C19" i="12" l="1"/>
  <c r="C24" i="12" s="1"/>
  <c r="F29" i="11" l="1"/>
  <c r="D28" i="11"/>
  <c r="D27" i="11"/>
  <c r="F26" i="11"/>
  <c r="D26" i="11"/>
  <c r="F25" i="11"/>
  <c r="D25" i="11"/>
  <c r="D30" i="11" s="1"/>
  <c r="D31" i="11" s="1"/>
  <c r="F20" i="11"/>
  <c r="F28" i="11" s="1"/>
  <c r="F19" i="11"/>
  <c r="H19" i="11" s="1"/>
  <c r="H16" i="11"/>
  <c r="H13" i="11"/>
  <c r="H12" i="11"/>
  <c r="H9" i="11"/>
  <c r="F8" i="11"/>
  <c r="H8" i="11" s="1"/>
  <c r="H7" i="11"/>
  <c r="H29" i="11" s="1"/>
  <c r="H6" i="11"/>
  <c r="H5" i="11"/>
  <c r="H26" i="11" s="1"/>
  <c r="H4" i="11"/>
  <c r="H25" i="11" l="1"/>
  <c r="H27" i="11"/>
  <c r="F27" i="11"/>
  <c r="F30" i="11" s="1"/>
  <c r="F31" i="11" s="1"/>
  <c r="H28" i="11"/>
  <c r="H22" i="11" l="1"/>
  <c r="H30" i="11"/>
  <c r="B33" i="10" l="1"/>
  <c r="B32" i="10"/>
  <c r="B31" i="10"/>
  <c r="B30" i="10"/>
  <c r="B29" i="10"/>
  <c r="B28" i="10"/>
  <c r="B35" i="10" s="1"/>
  <c r="B24" i="10"/>
  <c r="C21" i="10"/>
  <c r="C20" i="10"/>
  <c r="C19" i="10"/>
  <c r="C18" i="10"/>
  <c r="C17" i="10"/>
  <c r="C16" i="10"/>
  <c r="C31" i="10" s="1"/>
  <c r="C15" i="10"/>
  <c r="C14" i="10"/>
  <c r="C33" i="10" s="1"/>
  <c r="C32" i="10"/>
  <c r="C12" i="10"/>
  <c r="C11" i="10"/>
  <c r="C10" i="10"/>
  <c r="C9" i="10"/>
  <c r="C8" i="10"/>
  <c r="C7" i="10"/>
  <c r="C30" i="10" s="1"/>
  <c r="C6" i="10"/>
  <c r="C5" i="10"/>
  <c r="C4" i="10"/>
  <c r="C3" i="10"/>
  <c r="C28" i="10" l="1"/>
  <c r="C29" i="10"/>
  <c r="C24" i="10"/>
  <c r="C35" i="10" l="1"/>
  <c r="B20" i="9"/>
  <c r="B18" i="9"/>
  <c r="B17" i="9"/>
  <c r="B16" i="9"/>
  <c r="B23" i="9" s="1"/>
  <c r="B12" i="9"/>
  <c r="C20" i="9"/>
  <c r="C8" i="9"/>
  <c r="C18" i="9" s="1"/>
  <c r="C7" i="9"/>
  <c r="C6" i="9"/>
  <c r="C17" i="9" s="1"/>
  <c r="C5" i="9"/>
  <c r="C4" i="9"/>
  <c r="C3" i="9"/>
  <c r="C16" i="9" s="1"/>
  <c r="C23" i="9" l="1"/>
  <c r="C12" i="9"/>
  <c r="B30" i="8" l="1"/>
  <c r="B29" i="8"/>
  <c r="B27" i="8"/>
  <c r="B26" i="8"/>
  <c r="B25" i="8"/>
  <c r="B24" i="8"/>
  <c r="B31" i="8" s="1"/>
  <c r="B20" i="8"/>
  <c r="C17" i="8"/>
  <c r="C30" i="8" s="1"/>
  <c r="C16" i="8"/>
  <c r="C29" i="8" s="1"/>
  <c r="C14" i="8"/>
  <c r="C13" i="8"/>
  <c r="C12" i="8"/>
  <c r="C26" i="8" s="1"/>
  <c r="C11" i="8"/>
  <c r="C10" i="8"/>
  <c r="C25" i="8" s="1"/>
  <c r="C9" i="8"/>
  <c r="C8" i="8"/>
  <c r="C7" i="8"/>
  <c r="C6" i="8"/>
  <c r="C5" i="8"/>
  <c r="C4" i="8"/>
  <c r="C3" i="8"/>
  <c r="C24" i="8" s="1"/>
  <c r="C31" i="8" l="1"/>
  <c r="C20" i="8"/>
  <c r="F22" i="7" l="1"/>
  <c r="F21" i="7"/>
  <c r="D21" i="7"/>
  <c r="B21" i="7"/>
  <c r="F20" i="7"/>
  <c r="D20" i="7"/>
  <c r="B20" i="7"/>
  <c r="D19" i="7"/>
  <c r="D23" i="7" s="1"/>
  <c r="B19" i="7"/>
  <c r="B23" i="7" s="1"/>
  <c r="D15" i="7"/>
  <c r="B15" i="7"/>
  <c r="F7" i="7"/>
  <c r="F6" i="7"/>
  <c r="F5" i="7"/>
  <c r="F4" i="7"/>
  <c r="F15" i="7" s="1"/>
  <c r="F19" i="7" l="1"/>
  <c r="F23" i="7" s="1"/>
  <c r="B28" i="6" l="1"/>
  <c r="C27" i="6"/>
  <c r="B27" i="6"/>
  <c r="B26" i="6"/>
  <c r="C25" i="6"/>
  <c r="B25" i="6"/>
  <c r="C24" i="6"/>
  <c r="B24" i="6"/>
  <c r="B29" i="6" s="1"/>
  <c r="C19" i="6"/>
  <c r="B19" i="6"/>
  <c r="C11" i="6"/>
  <c r="C10" i="6"/>
  <c r="C9" i="6"/>
  <c r="C8" i="6"/>
  <c r="C7" i="6"/>
  <c r="C6" i="6"/>
  <c r="C5" i="6"/>
  <c r="C4" i="6"/>
  <c r="C3" i="6"/>
  <c r="C26" i="6" s="1"/>
  <c r="C29" i="6" s="1"/>
  <c r="C28" i="5" l="1"/>
  <c r="B26" i="5"/>
  <c r="C25" i="5"/>
  <c r="B25" i="5"/>
  <c r="C24" i="5"/>
  <c r="B24" i="5"/>
  <c r="C23" i="5"/>
  <c r="B23" i="5"/>
  <c r="C22" i="5"/>
  <c r="B22" i="5"/>
  <c r="B28" i="5" s="1"/>
  <c r="C18" i="5"/>
  <c r="B18" i="5"/>
  <c r="C3" i="5"/>
  <c r="F43" i="4" l="1"/>
  <c r="B43" i="4"/>
  <c r="F42" i="4"/>
  <c r="D42" i="4"/>
  <c r="B42" i="4"/>
  <c r="B41" i="4"/>
  <c r="D40" i="4"/>
  <c r="B40" i="4"/>
  <c r="B44" i="4" s="1"/>
  <c r="B45" i="4" s="1"/>
  <c r="D39" i="4"/>
  <c r="B39" i="4"/>
  <c r="B36" i="4"/>
  <c r="F34" i="4"/>
  <c r="D34" i="4"/>
  <c r="F33" i="4"/>
  <c r="D32" i="4"/>
  <c r="F32" i="4" s="1"/>
  <c r="D31" i="4"/>
  <c r="F31" i="4" s="1"/>
  <c r="F30" i="4"/>
  <c r="D30" i="4"/>
  <c r="D27" i="4"/>
  <c r="D43" i="4" s="1"/>
  <c r="D24" i="4"/>
  <c r="F24" i="4" s="1"/>
  <c r="F23" i="4"/>
  <c r="D23" i="4"/>
  <c r="F22" i="4"/>
  <c r="D22" i="4"/>
  <c r="D21" i="4"/>
  <c r="F21" i="4" s="1"/>
  <c r="D20" i="4"/>
  <c r="F20" i="4" s="1"/>
  <c r="D19" i="4"/>
  <c r="F19" i="4" s="1"/>
  <c r="F18" i="4"/>
  <c r="F40" i="4" s="1"/>
  <c r="D17" i="4"/>
  <c r="D36" i="4" s="1"/>
  <c r="F16" i="4"/>
  <c r="F15" i="4"/>
  <c r="F14" i="4"/>
  <c r="D13" i="4"/>
  <c r="F13" i="4" s="1"/>
  <c r="D12" i="4"/>
  <c r="D41" i="4" s="1"/>
  <c r="F11" i="4"/>
  <c r="F10" i="4"/>
  <c r="F9" i="4"/>
  <c r="F39" i="4" s="1"/>
  <c r="F8" i="4"/>
  <c r="F7" i="4"/>
  <c r="F6" i="4"/>
  <c r="F5" i="4"/>
  <c r="F4" i="4"/>
  <c r="D44" i="4" l="1"/>
  <c r="D45" i="4" s="1"/>
  <c r="F17" i="4"/>
  <c r="F12" i="4"/>
  <c r="F36" i="4" s="1"/>
  <c r="F41" i="4" l="1"/>
  <c r="F44" i="4" s="1"/>
  <c r="B25" i="3" l="1"/>
  <c r="C24" i="3"/>
  <c r="B24" i="3"/>
  <c r="C23" i="3"/>
  <c r="B23" i="3"/>
  <c r="C22" i="3"/>
  <c r="B22" i="3"/>
  <c r="B21" i="3"/>
  <c r="C20" i="3"/>
  <c r="B20" i="3"/>
  <c r="B16" i="3"/>
  <c r="C12" i="3"/>
  <c r="C21" i="3" s="1"/>
  <c r="C25" i="3" s="1"/>
  <c r="C11" i="3"/>
  <c r="C5" i="3"/>
  <c r="C4" i="3"/>
  <c r="C3" i="3"/>
  <c r="C16" i="3" l="1"/>
  <c r="C30" i="2" l="1"/>
  <c r="B30" i="2"/>
  <c r="C28" i="2"/>
  <c r="B28" i="2"/>
  <c r="B26" i="2"/>
  <c r="B25" i="2"/>
  <c r="B32" i="2" s="1"/>
  <c r="B21" i="2"/>
  <c r="C19" i="2"/>
  <c r="C18" i="2"/>
  <c r="C12" i="2"/>
  <c r="C11" i="2"/>
  <c r="C10" i="2"/>
  <c r="C9" i="2"/>
  <c r="C8" i="2"/>
  <c r="C7" i="2"/>
  <c r="C6" i="2"/>
  <c r="C5" i="2"/>
  <c r="C4" i="2"/>
  <c r="C3" i="2"/>
  <c r="C25" i="2" s="1"/>
  <c r="C26" i="2" l="1"/>
  <c r="C32" i="2" s="1"/>
  <c r="C21" i="2"/>
  <c r="B18" i="1" l="1"/>
  <c r="D17" i="1"/>
  <c r="B17" i="1"/>
  <c r="D13" i="1"/>
  <c r="B13" i="1"/>
  <c r="F9" i="1"/>
  <c r="F19" i="1" s="1"/>
  <c r="F6" i="1"/>
  <c r="D5" i="1"/>
  <c r="F5" i="1" s="1"/>
  <c r="F18" i="1" s="1"/>
  <c r="F4" i="1"/>
  <c r="F17" i="1" s="1"/>
  <c r="F20" i="1" s="1"/>
  <c r="F13" i="1" l="1"/>
  <c r="D18" i="1"/>
  <c r="D20" i="1" s="1"/>
</calcChain>
</file>

<file path=xl/comments1.xml><?xml version="1.0" encoding="utf-8"?>
<comments xmlns="http://schemas.openxmlformats.org/spreadsheetml/2006/main">
  <authors>
    <author>Petra Cornelisse</author>
  </authors>
  <commentList>
    <comment ref="H6" authorId="0" shapeId="0">
      <text>
        <r>
          <rPr>
            <sz val="9"/>
            <color indexed="81"/>
            <rFont val="Tahoma"/>
            <family val="2"/>
          </rPr>
          <t>conform mail Wilbert 180220</t>
        </r>
      </text>
    </comment>
  </commentList>
</comments>
</file>

<file path=xl/sharedStrings.xml><?xml version="1.0" encoding="utf-8"?>
<sst xmlns="http://schemas.openxmlformats.org/spreadsheetml/2006/main" count="2084" uniqueCount="540">
  <si>
    <t>Risico-adressen</t>
  </si>
  <si>
    <t>Verzekerde som</t>
  </si>
  <si>
    <t>indexcijfer</t>
  </si>
  <si>
    <t>Soort verzekering</t>
  </si>
  <si>
    <t>Taxateur</t>
  </si>
  <si>
    <t>Taxatie</t>
  </si>
  <si>
    <t>Getaxeerd</t>
  </si>
  <si>
    <t>Bijzonderheden</t>
  </si>
  <si>
    <t>2019</t>
  </si>
  <si>
    <t>Nummer</t>
  </si>
  <si>
    <t>Datum</t>
  </si>
  <si>
    <t>Geldig tot</t>
  </si>
  <si>
    <t>Zanddonkweg 14, 5144 NX Waalwijk</t>
  </si>
  <si>
    <t>Gebouwen</t>
  </si>
  <si>
    <t>Van Gerven Taxaties</t>
  </si>
  <si>
    <t>inclusief gebouw gelegen aan Ecliptica 28, Loon op Zand</t>
  </si>
  <si>
    <t>Bedrijfsuitrusting</t>
  </si>
  <si>
    <t>20190133I</t>
  </si>
  <si>
    <t>inclusief zaken aanwezig op terreinen, bijgebouwen en werf en Bachlaan 10, 5144 HJ Waalwijk</t>
  </si>
  <si>
    <t>buiten vaste taxatie</t>
  </si>
  <si>
    <t>Gesubsidieerde personeelslasten</t>
  </si>
  <si>
    <t xml:space="preserve"> </t>
  </si>
  <si>
    <t>Niet gesubsidieerde personeelslasten</t>
  </si>
  <si>
    <t>Bruto-winst eigen locaties</t>
  </si>
  <si>
    <t>Jaarbelang, uitk. Termijn 52 weken</t>
  </si>
  <si>
    <t>Bruto winst locaties van derden</t>
  </si>
  <si>
    <t>Bijz Extra Kosten in aanvulling op art 4.9</t>
  </si>
  <si>
    <t>Totaal verzekerde sommen</t>
  </si>
  <si>
    <t>Recapitulatie</t>
  </si>
  <si>
    <t>Bedrijfsschade</t>
  </si>
  <si>
    <t>Aanvullende risico-informatie</t>
  </si>
  <si>
    <t>Geldige taxatierapporten</t>
  </si>
  <si>
    <t xml:space="preserve">Beschikbaar. </t>
  </si>
  <si>
    <t>Inspectierapporten</t>
  </si>
  <si>
    <t>n.v.t.</t>
  </si>
  <si>
    <t>Opvolging inspectierapporten</t>
  </si>
  <si>
    <t>Preventiemaatregelen</t>
  </si>
  <si>
    <t>Eigen inbraakalarminstallatie en ontruimingssysteem met extra detectie in risicoruimtes</t>
  </si>
  <si>
    <t>Zonnepanelen</t>
  </si>
  <si>
    <t>Bouwaard</t>
  </si>
  <si>
    <t>Steen</t>
  </si>
  <si>
    <t>Leegstand</t>
  </si>
  <si>
    <t>Geen leegstand aanwezig</t>
  </si>
  <si>
    <t>BDB Index</t>
  </si>
  <si>
    <t>Jaar</t>
  </si>
  <si>
    <t>Thorbeckelaan 3, Zeist</t>
  </si>
  <si>
    <t xml:space="preserve">Gebouwen </t>
  </si>
  <si>
    <t xml:space="preserve">Kakeswaal </t>
  </si>
  <si>
    <t>1820KTA011554</t>
  </si>
  <si>
    <t>Ja</t>
  </si>
  <si>
    <t>Inclusief zonnepanelen</t>
  </si>
  <si>
    <t xml:space="preserve">Bestrating en tuinaanleg </t>
  </si>
  <si>
    <t xml:space="preserve">Terreinafscheidingen </t>
  </si>
  <si>
    <t>1720KTA011089-1</t>
  </si>
  <si>
    <t>Nee</t>
  </si>
  <si>
    <t xml:space="preserve">Stalen perscontainer, eigendom van derden </t>
  </si>
  <si>
    <t>Alle locaties in gebruik verzekeringnemer</t>
  </si>
  <si>
    <t>1720KTA011089-2</t>
  </si>
  <si>
    <t>Ambulant materieel regio Zeist</t>
  </si>
  <si>
    <t>Jagersingel 9, Zeist</t>
  </si>
  <si>
    <t xml:space="preserve">Kwikstraat laan 15, Zeist </t>
  </si>
  <si>
    <t>Delen van het gebouw zijn verhuurd aan:</t>
  </si>
  <si>
    <t>St. Vluchtelingenwerk</t>
  </si>
  <si>
    <t>NVA Talencursus</t>
  </si>
  <si>
    <t>ARBO dienst Triple One</t>
  </si>
  <si>
    <t>Metaalweg Cegatex</t>
  </si>
  <si>
    <t>Rescues, from waste to wonderful (interieur en design)</t>
  </si>
  <si>
    <t>St. Timon (opslag huisraad)</t>
  </si>
  <si>
    <t>Extra kosten</t>
  </si>
  <si>
    <t>Steen/hard</t>
  </si>
  <si>
    <t>Brandmeldcentrale, alarmcentrale. Vanaf 2014 met jaarlijks onderhoudscontract</t>
  </si>
  <si>
    <t>Niet beschikbaar</t>
  </si>
  <si>
    <t xml:space="preserve">170 zonnepanelen aanwezig op Thorbeckelaan 3. Beleid panelen voorzien van optimizers, waardoor minder risico op blikseminslag en kortsluiting. In overleg met brandweer voor deze oplossing gekozen. Jaarlijkse controle van het systeem bij inspectie elektrische installaties. </t>
  </si>
  <si>
    <t xml:space="preserve">Niet beschikbaar. </t>
  </si>
  <si>
    <t>Beschikbaar</t>
  </si>
  <si>
    <t>Deltastraat 8/Roompotstraat 3, Zierikzee</t>
  </si>
  <si>
    <t>Sennema Taxaties</t>
  </si>
  <si>
    <t>5887-01</t>
  </si>
  <si>
    <t>5887-02</t>
  </si>
  <si>
    <t>Waarvan € 628,750,00 ongetaxeerd</t>
  </si>
  <si>
    <t xml:space="preserve">Goederen </t>
  </si>
  <si>
    <t>Inclusief goederen van derden, voor zover niet of voldoende elders verzekerd</t>
  </si>
  <si>
    <t>Niet verrekenbare BTW</t>
  </si>
  <si>
    <t xml:space="preserve">6,4% voor de onder deze polis verzekerde zaken </t>
  </si>
  <si>
    <t>Inventaris van de wasserij</t>
  </si>
  <si>
    <t>Goederen</t>
  </si>
  <si>
    <t>Steen of staal / hard</t>
  </si>
  <si>
    <t>Alle panden zijn voorzien van een automatisch brandmeldsysteem met volledige dekking (conform NEN 2535 ). Alarm is doorgemeld naar een alarmcentrale. Alle panden zijn voorzien van slanghaspels en blussers. Jaarlijkse controle vindt plaats door Ansul. De panden zijn voorzien van een uitgebreid inbraak detectie systeem waarvan het alarm doorgemeld is naar een particuliere alarmcentrale. Alarmopvolging gebeurt door een beveiligingsbedrijf.</t>
  </si>
  <si>
    <t xml:space="preserve">Er liggen sinds 2017 zonnepanelen op het dak. Installatiebedrijf Deurloo krijgt bij storingen een automatisch bericht. In september 2019 heeft Deurloo zijn alle dakvlakken geinspecteerd. </t>
  </si>
  <si>
    <t>Geldigheid</t>
  </si>
  <si>
    <t>nummer</t>
  </si>
  <si>
    <t>datum</t>
  </si>
  <si>
    <t xml:space="preserve"> taxatie</t>
  </si>
  <si>
    <t>Kamerlingh Onnesweg 1, Dordrecht</t>
  </si>
  <si>
    <t>KakesWaal bv</t>
  </si>
  <si>
    <t>162OKTA010235</t>
  </si>
  <si>
    <t>ja</t>
  </si>
  <si>
    <t>bestrating en tuinaanleg</t>
  </si>
  <si>
    <t>terreinafscheidingen</t>
  </si>
  <si>
    <t>182OKTA011442</t>
  </si>
  <si>
    <t>inclusief computerapparatuur</t>
  </si>
  <si>
    <t>nee</t>
  </si>
  <si>
    <t>Sportlaan 9, 3364 AT Sliedrecht</t>
  </si>
  <si>
    <t>152OKT008839-02</t>
  </si>
  <si>
    <t>182OKTA011494-2</t>
  </si>
  <si>
    <t>Groot Karreveld 6, Zwijndrecht (Oude Stationsweg 7)</t>
  </si>
  <si>
    <t>152OKT008839-04</t>
  </si>
  <si>
    <t>182OKTA011494-3</t>
  </si>
  <si>
    <t>Huurdersbelang</t>
  </si>
  <si>
    <t>Baanhoekweg 63a, Dordrecht</t>
  </si>
  <si>
    <t>182OKTA011494-4</t>
  </si>
  <si>
    <t>Admiraal de Ruyterweg 1a, Papendrecht</t>
  </si>
  <si>
    <t>kinderboerderij Papendrecht</t>
  </si>
  <si>
    <t>Franklinweg 6, Gorinchem</t>
  </si>
  <si>
    <t>182OKTA011494-5</t>
  </si>
  <si>
    <t>ambulant materieel binnen Nederland, eigen DW Groen B.V.</t>
  </si>
  <si>
    <t>Pieter Zeemanweg 20, 3316 GZ Dordrecht</t>
  </si>
  <si>
    <t>182OKTA011494-1</t>
  </si>
  <si>
    <t xml:space="preserve">Inspectierapporten worden na ontvangst geanalyseerd en aanbevelingen worden in principe overgenomen en uitgevoerd. </t>
  </si>
  <si>
    <t>Beide centrales hebben een doormelding naar een PAC waarbij overdag de terugkoppeling loopt via de portiers en buiten werktijd wordt de melding doorgezet naar een beveiligingsbedrijf welke verdere acties oppakt.</t>
  </si>
  <si>
    <t xml:space="preserve">Staal / steen </t>
  </si>
  <si>
    <t>Niet aanwezig</t>
  </si>
  <si>
    <t>Edelgasstraat 240 t/m 250, Kryptonstraat 15, Zoetermeer</t>
  </si>
  <si>
    <t>1520KTAO09294</t>
  </si>
  <si>
    <t>Exclusief computerapparatuur / separaat verzekerd</t>
  </si>
  <si>
    <t>Geld en geldwaardig papier</t>
  </si>
  <si>
    <t>Locatie in gebruik bij verzekerde</t>
  </si>
  <si>
    <t>Inclusief goederen van derden</t>
  </si>
  <si>
    <t>Populierendreef 988, Voorburg</t>
  </si>
  <si>
    <t>1520KTAO09294-3</t>
  </si>
  <si>
    <t xml:space="preserve">Exploitatiekosten </t>
  </si>
  <si>
    <t xml:space="preserve">Beschikbaar van Edelgasstraat en Kryptonstraat </t>
  </si>
  <si>
    <t>NB</t>
  </si>
  <si>
    <t>Carrosserieweg 1, Woerden</t>
  </si>
  <si>
    <t>Kakeswaal</t>
  </si>
  <si>
    <t>1920KTA012806-1</t>
  </si>
  <si>
    <t>Inclusief computerapparatuur</t>
  </si>
  <si>
    <t>Wagenmakersweg 2a, Woerden</t>
  </si>
  <si>
    <t>1920KTA012806-3</t>
  </si>
  <si>
    <t>Vrijstaand pand met kantoor/hal waar kleine reparaties w.o. fietsen plaats vindt (verhuur)</t>
  </si>
  <si>
    <t xml:space="preserve">Regio Woerden </t>
  </si>
  <si>
    <t>1920KTA012806-2</t>
  </si>
  <si>
    <t>Ambulant materieel, m.u.v. objecten Fendt 2755 ad € 75.000,00 en Claas Axos 310 ad € 50.000,00. Genoemde objecten zijn casco verzekerd</t>
  </si>
  <si>
    <t xml:space="preserve">Carrosserieweg 1, Woerden/Wagenmakersweg 2a, Woerden </t>
  </si>
  <si>
    <t>14-tal gehuurde printers (BNP Paribas Leasing Solutions N.V.)</t>
  </si>
  <si>
    <t>Bijz Extra Kosten</t>
  </si>
  <si>
    <t>Pascalstraat 70, 3316 GR Dordrecht</t>
  </si>
  <si>
    <t>computerapparatuur</t>
  </si>
  <si>
    <t>diverse adressen in Nederland</t>
  </si>
  <si>
    <t>ambulant schoonmaakmaterieel</t>
  </si>
  <si>
    <t>Bijzondere extra ksoten</t>
  </si>
  <si>
    <t>Niet beschikbaar (geen eigen panden)</t>
  </si>
  <si>
    <t>De Trompet 1116 en 1300, Heemskerk</t>
  </si>
  <si>
    <t>Stationsplein 48a, Beverwijk</t>
  </si>
  <si>
    <t>Inclusief huurdersbelang</t>
  </si>
  <si>
    <t xml:space="preserve">Rijksweg 243a, Velserweg </t>
  </si>
  <si>
    <t xml:space="preserve">Dudokplein 16, IJmuiden </t>
  </si>
  <si>
    <t xml:space="preserve">Gehuurde kantoor/vergaderruimtes in het pand St. Bibliotheek Velsen </t>
  </si>
  <si>
    <t>Kuikenweg 84, Alkmaarseweg 458, Beverwijk</t>
  </si>
  <si>
    <t>11 prefab units</t>
  </si>
  <si>
    <t>Onverschillig waar in Nederland</t>
  </si>
  <si>
    <t>Computersapparatuur, tuingereedschappen en materiaal t.b.v. groenvoorziening</t>
  </si>
  <si>
    <t>Goederen van derden ter bewerking/ompakken</t>
  </si>
  <si>
    <t>Westerwerf 40, Uitgeest</t>
  </si>
  <si>
    <t>Communicatieweg 1, Heemskerk</t>
  </si>
  <si>
    <t>Diverse adressen in gebruik verzekeringnemer</t>
  </si>
  <si>
    <t xml:space="preserve">Jaarbelang, uitk.termijn 52 weken </t>
  </si>
  <si>
    <t xml:space="preserve">Extra kosten </t>
  </si>
  <si>
    <t>Premier risque, uitk.termijn 52 weken</t>
  </si>
  <si>
    <t xml:space="preserve">Reconstructie kosten </t>
  </si>
  <si>
    <t xml:space="preserve">Opruimingskosten </t>
  </si>
  <si>
    <t>Aansluiting op alarmcentrale, abonnement voor alarmopvolging, doormelding IP + GPRS AL1 via Emizon Netwerk</t>
  </si>
  <si>
    <t xml:space="preserve">De Boorn 15, 8253 DA Dronten </t>
  </si>
  <si>
    <t>9795-02A</t>
  </si>
  <si>
    <t>Gildestraat 1, 8263 AH Kampen</t>
  </si>
  <si>
    <t>9795-01A</t>
  </si>
  <si>
    <t>9795-01B</t>
  </si>
  <si>
    <t>Waarvan € 376.000,00 ongetaxeerd</t>
  </si>
  <si>
    <t>9795-02B</t>
  </si>
  <si>
    <t>Waarvan € 85.870,00 ongetaxeerd</t>
  </si>
  <si>
    <t>4-tal koffiemachines/apparaten</t>
  </si>
  <si>
    <t>Jaarbelang, uitk.termijn 52 weken (incl. 5% van het totaal expl. Bedrag ter dekking extra kosten en reconstructie</t>
  </si>
  <si>
    <t>Cameratoezicht, inbraakbeveiliging Securitas en BHV</t>
  </si>
  <si>
    <t>Aanwezig. Zit bij de vereniging dakeigenaren</t>
  </si>
  <si>
    <t>Beton / metaal</t>
  </si>
  <si>
    <t>Elzenweg 3, Oldebroek</t>
  </si>
  <si>
    <t>1820KTA011717-1</t>
  </si>
  <si>
    <t>1820KTA011685-1</t>
  </si>
  <si>
    <t>Waarvan € 15.000,00 ongetaxeerd</t>
  </si>
  <si>
    <t>Industrieweg 46, Nunspeet</t>
  </si>
  <si>
    <t>1820KTA011717-2</t>
  </si>
  <si>
    <t>1820KTA011685-2</t>
  </si>
  <si>
    <t>Waarvan € 250.000,00 ongetaxeerd</t>
  </si>
  <si>
    <t>Nijverheidsstraat 7, Nijkerk</t>
  </si>
  <si>
    <t>1820KTA011717-3</t>
  </si>
  <si>
    <t>Kringloopwinkel</t>
  </si>
  <si>
    <t>1820KTA011685-3</t>
  </si>
  <si>
    <t>Waarvan € 4.000,00 ongetaxeerd</t>
  </si>
  <si>
    <t>Paul Krugerweg 39, Ermelo</t>
  </si>
  <si>
    <t>1820KTA011685-4</t>
  </si>
  <si>
    <t>Waarvan € 20.000,00 ongetaxeerd</t>
  </si>
  <si>
    <t>Voltweg 13, Nunspeet</t>
  </si>
  <si>
    <t>1820KTA011717-4</t>
  </si>
  <si>
    <t>1820KTA011685-5</t>
  </si>
  <si>
    <t>Waarvan € 10.000,00 ongetaxeerd</t>
  </si>
  <si>
    <t xml:space="preserve">Premier risque, uitk.termijn 52 weken </t>
  </si>
  <si>
    <t>1820KTA011685-9</t>
  </si>
  <si>
    <t>Ambulant materieel incl. inventaris, waarvan € 75.000,00 ontgetaxeerd</t>
  </si>
  <si>
    <t xml:space="preserve">Gelreweg 4b, Harderwijk </t>
  </si>
  <si>
    <t>1820KTA011685-6</t>
  </si>
  <si>
    <t>Waarvan € 30.000,00 ongetaxeerd</t>
  </si>
  <si>
    <t>Goederen van derden</t>
  </si>
  <si>
    <t>Putterweg 140 en Paul Krugerweg 43, Ermelo</t>
  </si>
  <si>
    <t>1820KTA011685-7/8</t>
  </si>
  <si>
    <t xml:space="preserve">Voorraden </t>
  </si>
  <si>
    <t xml:space="preserve">Onderhanden werk </t>
  </si>
  <si>
    <t xml:space="preserve">Alle panden: Type BC 216-2. BM1. Branddetectiebedrijf Chubb Fire &amp; Security Apeldoorn. </t>
  </si>
  <si>
    <t>Steen / staal of hard</t>
  </si>
  <si>
    <t>Postcode</t>
  </si>
  <si>
    <t>Plaats</t>
  </si>
  <si>
    <t xml:space="preserve">Geldigheid </t>
  </si>
  <si>
    <t>taxatie</t>
  </si>
  <si>
    <t>Raambrug 8</t>
  </si>
  <si>
    <t>5531 AG</t>
  </si>
  <si>
    <t>Bladel</t>
  </si>
  <si>
    <t>Safe Taxatie, Expertise en Advies b.v.</t>
  </si>
  <si>
    <t>Exedent opruimingskosten</t>
  </si>
  <si>
    <t>max. € 1.000.000,- in de vw</t>
  </si>
  <si>
    <t>Hallenstraat 10</t>
  </si>
  <si>
    <t>5531 AB</t>
  </si>
  <si>
    <t>Leemskuilen 27</t>
  </si>
  <si>
    <t>5531 NK</t>
  </si>
  <si>
    <t>bedrijfswoning met loods</t>
  </si>
  <si>
    <t>Elskensakker 5</t>
  </si>
  <si>
    <t>5571 SK</t>
  </si>
  <si>
    <t>Bergeijk</t>
  </si>
  <si>
    <t>Hertstraat 33</t>
  </si>
  <si>
    <t>5521 RK</t>
  </si>
  <si>
    <t xml:space="preserve">Eersel </t>
  </si>
  <si>
    <t>in recapitulatie staat ander bedrag dan verderop in het rapport</t>
  </si>
  <si>
    <t>Alle locaties in gebruik verzekeringsnemer</t>
  </si>
  <si>
    <t>Alle panden: Brandhaspels, poederblussers, inbraakdetectie, slow whoop</t>
  </si>
  <si>
    <t xml:space="preserve">Voor 1-8-2020 worden er 2000 panelen geplaatst op de diverse locaties. </t>
  </si>
  <si>
    <t>Steen / hard</t>
  </si>
  <si>
    <t>MUTATIES 2020</t>
  </si>
  <si>
    <t>Galgenvelden 3</t>
  </si>
  <si>
    <t>5529 AH</t>
  </si>
  <si>
    <t>Casteren</t>
  </si>
  <si>
    <t>zie mail 6 en 9-4-2020</t>
  </si>
  <si>
    <t xml:space="preserve">Terborgseweg 106, Doetinchem </t>
  </si>
  <si>
    <t>Bestrating en tuinaanleg</t>
  </si>
  <si>
    <t xml:space="preserve">Eerste Broekdijk 69, Aalten </t>
  </si>
  <si>
    <t xml:space="preserve">goederen van derden </t>
  </si>
  <si>
    <t>De Hogenkamp 15, Ulft</t>
  </si>
  <si>
    <t xml:space="preserve">Extra Kosten </t>
  </si>
  <si>
    <t xml:space="preserve">premier risque, uit.termijn 52 weken </t>
  </si>
  <si>
    <t>Ja, brand-/ontruimingsinstallatie, inbraakdetectie (alarm) inclusief surveillance (Globesecurity en G4S), toegangsbeveiliging</t>
  </si>
  <si>
    <t>Steen / staal</t>
  </si>
  <si>
    <t>Wilhelminalaan Noord 3, Esdoornlaan 45, 45a en 45b en Vuurdoornlaan 4</t>
  </si>
  <si>
    <t>1620KTA011090</t>
  </si>
  <si>
    <t>Terreinafscheidingen en overige zaken op het terrrein</t>
  </si>
  <si>
    <t>1620KTA011164</t>
  </si>
  <si>
    <t xml:space="preserve">Ambulant materieel </t>
  </si>
  <si>
    <t>Alle panden: BMI aanwezig welke voldoet volgens het geldende bouwbesluit met doormelding naar een PAC, alarminstallatie aanwezig met doormelding naar een PAC.</t>
  </si>
  <si>
    <t xml:space="preserve">Niet aanwezig. MidZuid is wel voornemens zonnepanelen te installeren. </t>
  </si>
  <si>
    <t>Steen / hard / metaal</t>
  </si>
  <si>
    <t>Kriekenoord 3, 5 en 7</t>
  </si>
  <si>
    <t>1111 PT</t>
  </si>
  <si>
    <t>Diemen</t>
  </si>
  <si>
    <t>Van Ameyde Waarderingen</t>
  </si>
  <si>
    <t>IW160223572</t>
  </si>
  <si>
    <t>6 jaar</t>
  </si>
  <si>
    <t>inclusief fundering</t>
  </si>
  <si>
    <t>Opruimingskosten</t>
  </si>
  <si>
    <t>meerdere boven het bepaalde in de voorwaarden</t>
  </si>
  <si>
    <t>Strekkerweg 51</t>
  </si>
  <si>
    <t>1033 DA</t>
  </si>
  <si>
    <t>Amsterdam</t>
  </si>
  <si>
    <t>exclusief fundering</t>
  </si>
  <si>
    <t>Zuiderzeeweg 26b</t>
  </si>
  <si>
    <t>1095 KJ</t>
  </si>
  <si>
    <t>romneyloods</t>
  </si>
  <si>
    <t>De passage 11</t>
  </si>
  <si>
    <t>1114 BH</t>
  </si>
  <si>
    <t>Amsterdam-Duivendrecht</t>
  </si>
  <si>
    <t>Maria Austriasstraat 548</t>
  </si>
  <si>
    <t>1087 GL</t>
  </si>
  <si>
    <t>inclusief huurdersbelang</t>
  </si>
  <si>
    <t>Schepenbergweg 17</t>
  </si>
  <si>
    <t>1105 AS</t>
  </si>
  <si>
    <t>Noordbrabantstraat 152</t>
  </si>
  <si>
    <t>1083 BG</t>
  </si>
  <si>
    <t>Kriekenoord en Strekkerweg</t>
  </si>
  <si>
    <t>3-tal oplaadstations</t>
  </si>
  <si>
    <t>inclusief goederen van derden, eveNees aanwezig in portacabins en romneyloodsen</t>
  </si>
  <si>
    <t>Exploitatiekosten</t>
  </si>
  <si>
    <t>jaarbelang, uitk.termijn 52 weken. Loss Limit € 20.000.000.- per gebeurtenis</t>
  </si>
  <si>
    <t>Excedent opruimingskosten</t>
  </si>
  <si>
    <t>Beton/metselwerk. Steen/staal</t>
  </si>
  <si>
    <t>Geldigheid taxatie</t>
  </si>
  <si>
    <t>BDB</t>
  </si>
  <si>
    <t>Index</t>
  </si>
  <si>
    <t>Hoofdweg 20</t>
  </si>
  <si>
    <t>2908 LC</t>
  </si>
  <si>
    <t>Capelle a/d IJssel</t>
  </si>
  <si>
    <t>Sennema</t>
  </si>
  <si>
    <t>5234-2</t>
  </si>
  <si>
    <t>3 jaar</t>
  </si>
  <si>
    <t>neen</t>
  </si>
  <si>
    <t>meedere boven het bepaalde in de voorwaarden</t>
  </si>
  <si>
    <t>Zuider Ijsseldijk 46</t>
  </si>
  <si>
    <t>2808 PB</t>
  </si>
  <si>
    <t>Gouda</t>
  </si>
  <si>
    <t>5234-01a</t>
  </si>
  <si>
    <t>zonnepanelen aanwezig op het pand Zuider Ijsseldijk</t>
  </si>
  <si>
    <t>5234-01b</t>
  </si>
  <si>
    <t>ambulant materieel t.b.v. de groenvoorziening</t>
  </si>
  <si>
    <t>Gemeente Gouda en omstreken</t>
  </si>
  <si>
    <t>jaarbelang, uitk. termijn 52 weken</t>
  </si>
  <si>
    <t>inclusief goederen van derden</t>
  </si>
  <si>
    <t xml:space="preserve">Beide locaties zijn voorzien van inbraak- en branddetectie. Locatie Gouda en Capelle hebben beide inbraakdetectie door middel van bewegingssensoren en deurmagneten. Na werktijd gaat de doormeldingen via een meldkamer naar een beveiligingsbedrijf die de alarmopvolging verzorgd. Promen heeft zelf een Wachtdienst die ingeschakeld kan worden indien nodig. Deze functionarissen zijn 24 uur per dag bereikbaar. 
Branddetectie in Gouda zijn alle ruimte voorzien van Hand- en automatische melders. Op locatie Capelle kan er gemeld worden via handmelders en zijn de automatische deuren voorzien van rookmelders en aangesloten op de BMC. Tijdens werktijden is de ontruiming geregeld via een BHV organisatie. Na werktijd wordt gaan de meldingen naar dezelfde meldkamer en beveiligingsbedrijf door gemeld. Tevens is hier dezelfde Wachtdienstregeling van toepassing. 
Technisch onderhoud is 1 x per jaar. 1x per maand wordt de werking gecontroleerd en zijn er 4 en 8 maandelijkse inspectie rondes. Het onderhoud en de inspecties zijn uitbesteed. </t>
  </si>
  <si>
    <t>Ja, op de Zuider Ijsseldijk 46 in Gouda</t>
  </si>
  <si>
    <t>Montgomeryplein 6 en 8, 5705 AX Helmond
Zandstraat 94 en 96, 5705 AZ Helmond</t>
  </si>
  <si>
    <t>Inclusief woonhuis portier, groenloods, fietsenstalling e.d. :(Exclusief fundering)</t>
  </si>
  <si>
    <t>- Inclusief Churchillaan 107 en 109, 5705 BK Helmond</t>
  </si>
  <si>
    <t>Bedrijfsuitrusting (incl. huurdersbelang)</t>
  </si>
  <si>
    <t>20190611 I</t>
  </si>
  <si>
    <t>Inclucief computerapparatur</t>
  </si>
  <si>
    <t>Excedent opruimingskosten gebouwen en inventaris</t>
  </si>
  <si>
    <t>Advies - meerdere boven dekking conform polisvoorw. € 500.000,00</t>
  </si>
  <si>
    <t>Heibloemweg 9, 5704 BS Helmond</t>
  </si>
  <si>
    <t xml:space="preserve">Van Gerven Taxaties </t>
  </si>
  <si>
    <t>MaxiCosi locatie</t>
  </si>
  <si>
    <t>Vlinkert 3a, 5761 RN Bakel</t>
  </si>
  <si>
    <t>Groenvoorziening terrein Jan de Witkliniek</t>
  </si>
  <si>
    <t>Stepekolk-Oost 2b, 5706 LA Helmond</t>
  </si>
  <si>
    <t>Groenvoorziening</t>
  </si>
  <si>
    <t>Wesselmanlaan 25, 5707 HA Helmond</t>
  </si>
  <si>
    <t>Containerunit Wesselmanlaan en Helmondseweg</t>
  </si>
  <si>
    <t>Alle locaties verzekeringsnemer</t>
  </si>
  <si>
    <t>Gehuurde, geleasde bedrijfsmiddelen die geen eigendom zijn</t>
  </si>
  <si>
    <t>Jaarbelang, 52 weken</t>
  </si>
  <si>
    <t>Lindestraat 28, 5721 XP Asten</t>
  </si>
  <si>
    <t>Van Gervan Taxaties</t>
  </si>
  <si>
    <t>Dagbesteding en begeleiding i.c.m. St. ORO</t>
  </si>
  <si>
    <t>Venbergweg 6, 5721 SV Asten</t>
  </si>
  <si>
    <t>Loods t.b.v. groenvoorziening (excl. fundering)</t>
  </si>
  <si>
    <t>De Stater 4, 5737 RV Lieshout</t>
  </si>
  <si>
    <t>Diverse adressen omgeving Helmond</t>
  </si>
  <si>
    <t>Buiten vaste taxatie om</t>
  </si>
  <si>
    <t>Mutaties 2020</t>
  </si>
  <si>
    <t>Wolfswater 19, Gemert</t>
  </si>
  <si>
    <t>per 01-11-20 verzekeren, taxatie volgt in 2020</t>
  </si>
  <si>
    <t xml:space="preserve">Alle panden: BMI, brandblusmiddelen, ontruimingsplannen. </t>
  </si>
  <si>
    <t>Gebouwenen</t>
  </si>
  <si>
    <t>George Stephensonweg 41, 3133 KJ Vlaardingen</t>
  </si>
  <si>
    <t>George Stephensonweg 43, 3133 KJ Vlaardingen</t>
  </si>
  <si>
    <t>partiele 3e graags sprinkler inclusief gevelsprinkler hoofdgebouw en gehuurde loods</t>
  </si>
  <si>
    <t>George Stephensonweg 41-43, 3133 KJ Vlaardingen</t>
  </si>
  <si>
    <t>Emaus 8/Energieweg 9-10, 3133 EB Vlaardingen</t>
  </si>
  <si>
    <t>Energieweg 4, 3133 EB Vlaardingen</t>
  </si>
  <si>
    <t>Bovengenoemde risico adressen</t>
  </si>
  <si>
    <t>Jaarbelang, uitk. termijn 52 weken</t>
  </si>
  <si>
    <t>Industriewg 106, 3144 CH Maassluis</t>
  </si>
  <si>
    <t>Troostwijk Taxaties</t>
  </si>
  <si>
    <t>extra opruimingskosten boven het bepaalde in de voorwaarden</t>
  </si>
  <si>
    <t>verzekerde mallen en matrijzen kunnen tevens aanwezig zijn op Energiewweg 5, Naaldwijk</t>
  </si>
  <si>
    <t xml:space="preserve">Van Berckenrodestraat 6, 3113 AM Schiedam </t>
  </si>
  <si>
    <t>BMI, rookmelders, slow up inbraak met sensor en camera</t>
  </si>
  <si>
    <t>Niels Bohrweg 121, Utrecht</t>
  </si>
  <si>
    <t>circa 250 stemcabines in eigendom van derden met verzekeringsplichting</t>
  </si>
  <si>
    <t>Overige locaties in gebruik verzekeringnemer</t>
  </si>
  <si>
    <t>Ongetaxeerd aanwezig bovengenoemde locaties</t>
  </si>
  <si>
    <t>exclusief woonhuis en kassencomplex</t>
  </si>
  <si>
    <t>Nieuwe Houtenseweg 23 25, Utrecht</t>
  </si>
  <si>
    <t>eigendom personeelsverenging</t>
  </si>
  <si>
    <t>Nieuwe Houtenseweg 27, Utrecht</t>
  </si>
  <si>
    <t>eigendom gemeente Utrecht, verzekeringsplichting bij UW Holding</t>
  </si>
  <si>
    <t>Onverschilling waar in de regio</t>
  </si>
  <si>
    <t>ambulant materieel</t>
  </si>
  <si>
    <t>Alle adressen in gebruik verzekeringnemer</t>
  </si>
  <si>
    <t>Beschikbaar, zie kolom L</t>
  </si>
  <si>
    <t xml:space="preserve">Aanwezig op Niels Bohrweg 121. Jaarlijkse inspectie van de panelen en verdeelinrichtingen. Periodieke reiniging van de panelen. </t>
  </si>
  <si>
    <t>Egerlaan 15 "gebouw Oost", Apeldoorn</t>
  </si>
  <si>
    <t>4497-03A</t>
  </si>
  <si>
    <t>Exlusief BTW</t>
  </si>
  <si>
    <t>4497-03B</t>
  </si>
  <si>
    <t>Exlusief BTW  | Inclusief niet op vaste taxatie</t>
  </si>
  <si>
    <t>Egerlaan 11A en 15, Apeldoorn</t>
  </si>
  <si>
    <t>4497-1</t>
  </si>
  <si>
    <t>Inclusief fundamenten</t>
  </si>
  <si>
    <t>Kanaaldijk 81, Wapenveld</t>
  </si>
  <si>
    <t>4497-10</t>
  </si>
  <si>
    <t>Inclusief fundamenten, opslag van groenvoorziening</t>
  </si>
  <si>
    <t xml:space="preserve">Veesser Enkweg 39, Veessen </t>
  </si>
  <si>
    <t>Wilhelminaweg 59, Heerde</t>
  </si>
  <si>
    <t>4497-14</t>
  </si>
  <si>
    <t>Uiterweert 2, Westervoort</t>
  </si>
  <si>
    <t>Kantoorinventaris (handgereedschap)</t>
  </si>
  <si>
    <t>De Vincent van Gighstraat 4, Zevenaar</t>
  </si>
  <si>
    <t>Lokaal van een school in Zevenaar</t>
  </si>
  <si>
    <t>Locaties - Sociale Werkplaatsen</t>
  </si>
  <si>
    <t>Beschikbaar.</t>
  </si>
  <si>
    <t>Beschikbaar. Inspectierapport NEN-3140 voor Egerlaan 15 door Hollander Techniek d.d. 20-1-2012. Inspectierapport NEN-3140 voor Kanaaldijk 81 door Hollander Techniek d.d. 8-6-2012. Inspectierapport door RSA voor Egerlaan 11A, 15 d.d. 14-3-2018.</t>
  </si>
  <si>
    <t xml:space="preserve">Aanbevelingen opgevolgd. </t>
  </si>
  <si>
    <t xml:space="preserve">Alle panden: na kantoortijden alarmering doorgeschakeld naar brandweer en/of beveiligingsbedrijf. Tijdens kantoortijd eigen calamiteitendienst (BHV) aanwezig. </t>
  </si>
  <si>
    <t xml:space="preserve">Geen leegstand aanwezig. </t>
  </si>
  <si>
    <t>Einsteinstraat 101-103, 1446 VE Purmerend</t>
  </si>
  <si>
    <t>huurdersbelang</t>
  </si>
  <si>
    <t>Troostwijk</t>
  </si>
  <si>
    <t>00241887001</t>
  </si>
  <si>
    <t>beheer/exploitatie 5 schootmobielen van de gemeente Purmerend (eigenaar)</t>
  </si>
  <si>
    <t>Roode Wildmanweg 49, 1521 PZ Wormerveer</t>
  </si>
  <si>
    <t>o.a. technische dienst, zoals bruggen e.d.</t>
  </si>
  <si>
    <t>Slachthuisstraat 63, 1508 EC Zaandam</t>
  </si>
  <si>
    <t>postbedrijf</t>
  </si>
  <si>
    <t>Kwadijkerkoogweg 1c, 1442 LA Purmerend</t>
  </si>
  <si>
    <t>Twiskeweg 12a, 1511 BZ Oostzaan</t>
  </si>
  <si>
    <t>kantoorunit</t>
  </si>
  <si>
    <t>inventaris kantoorunit</t>
  </si>
  <si>
    <t>5 containers</t>
  </si>
  <si>
    <t>inhoud aanwezig in 5 containers</t>
  </si>
  <si>
    <t>Twiskeweg 10, 1511 BZ Oostzaan</t>
  </si>
  <si>
    <t>Plantsoenstraat 32, 1441 CX Purmerend</t>
  </si>
  <si>
    <t>Beatrixplein 100, 1441 JR Purmerend</t>
  </si>
  <si>
    <t>Vinkenstraat 46, 1506 CN Zaandam</t>
  </si>
  <si>
    <t>Volume 103, 1446 WH Purmerend</t>
  </si>
  <si>
    <t>premier risque boven het bedrag in de voorwaarden</t>
  </si>
  <si>
    <t>reconstructiekosten</t>
  </si>
  <si>
    <t>extra kosten</t>
  </si>
  <si>
    <t>Beschikbaar van Einsteinstraat. De andere locaties zijn satelliet locaties en de inventaris is daar op basis van inschatting.</t>
  </si>
  <si>
    <t>n.v.t. geen eigendom panden</t>
  </si>
  <si>
    <t>Waar vereist in panden: Brand: optische/thermische rookmelders, indicatoren, handbrandmelders. Inbraak: bewegingsmelders en contactmelders.</t>
  </si>
  <si>
    <t>Steen / metaal</t>
  </si>
  <si>
    <t>Er is geen sprake van leegstand.</t>
  </si>
  <si>
    <t>Dampten 24 en 26, 1624 NR Hoorn</t>
  </si>
  <si>
    <t>Bedrijfsinventaris inclusief computerapparatuur</t>
  </si>
  <si>
    <t>De Star 27, 1601 MH Enkhuizen</t>
  </si>
  <si>
    <t>Bedrijfsinventaris</t>
  </si>
  <si>
    <t xml:space="preserve">Centrale brandmeldinstallatie met vertraging en inbraakalarm. </t>
  </si>
  <si>
    <t>Geen leegstand aanwezig.</t>
  </si>
  <si>
    <t>Hertog Aalbrechtweg 32, 1823 DL Alkmaar</t>
  </si>
  <si>
    <t>CED</t>
  </si>
  <si>
    <t>19.358703.4</t>
  </si>
  <si>
    <t>Bergerweg 1, 1815 AC Alkmaar</t>
  </si>
  <si>
    <t>Bedrijfsuitrusting/gebouwen</t>
  </si>
  <si>
    <t>Printers in eigendom Konica, contractuele verzekeringsverplichting</t>
  </si>
  <si>
    <t>Rookmelders gekoppeld aan een brandmeldinstallatie. Qua inbraakdetectie hebben wij bewegingsmelders op ramen en deuren. De meldkamer wordt afgenomen van Securitas.</t>
  </si>
  <si>
    <t>Geen objecten in eigendom.</t>
  </si>
  <si>
    <t xml:space="preserve">Beschikbaar van Hertog Aalbrechtweg 32. </t>
  </si>
  <si>
    <t xml:space="preserve">WSD </t>
  </si>
  <si>
    <t>Schouwrooij 20, Boxtel</t>
  </si>
  <si>
    <t>Taxatierapport Sennema, rapportnummer 3650-01A d.d. 3-4-2018</t>
  </si>
  <si>
    <t>6 Jaar</t>
  </si>
  <si>
    <t>Taxatierapport Sennema, rapportnummer 3650-01B d.d. 3-4-2018</t>
  </si>
  <si>
    <t>3 Jaar</t>
  </si>
  <si>
    <t>Schouwrooij 22 en 22A, Boxtel</t>
  </si>
  <si>
    <t>Taxatierapport Sennema, rapportnummer 3650-05A d.d. 3-4-2018</t>
  </si>
  <si>
    <t>Taxatierapport Sennema, rapportnummer 3650-05B d.d. 3-4-2018</t>
  </si>
  <si>
    <t>Ambachtstraat 19, Schijndel</t>
  </si>
  <si>
    <t>groenvoorziening en postsortering, tevens verhuur  aan Goed (textielsortering en kringloop) en Elde College (praktijkonderwijs)</t>
  </si>
  <si>
    <t>Taxatierapport Sennema, rapportnummer 3650-02A d.d. 3-4-2018</t>
  </si>
  <si>
    <t>Taxatierapport Sennema, rapportnummer 3650-02B d.d. 3-4-2018</t>
  </si>
  <si>
    <t>Bestevaer 30, Vught</t>
  </si>
  <si>
    <t>Taxatierapport Sennema, rapportnummer 3650-03A d.d. 13-4-2018</t>
  </si>
  <si>
    <t>Taxatierapport Sennema, rapportnummer 3650-03B d.d. 13-4-2018</t>
  </si>
  <si>
    <t>Sportlaan 10, Oisterwijk</t>
  </si>
  <si>
    <t>kantoor-/schaft-unit, opslag machines, handgereedschap en materiaal t.b.v. groenvoorziening</t>
  </si>
  <si>
    <t xml:space="preserve">Jac van Wassenaerstraat 70, Best </t>
  </si>
  <si>
    <t>Kettingweg 5, Vught</t>
  </si>
  <si>
    <t>Taxatierapport Sennema, rapportnummer 3650-04A d.d. 13-4-2018</t>
  </si>
  <si>
    <t>Taxatierapport Sennema, rapportnummer 3650-04B d.d. 13-4-2018</t>
  </si>
  <si>
    <t>Goederen en gereed product</t>
  </si>
  <si>
    <t>grondstoffen, halffabrikaten, hulpmaterialen en in bewerking zijnde Goederen van derden</t>
  </si>
  <si>
    <t>Alle adressen in gebruik verzekeringsnemer</t>
  </si>
  <si>
    <t>Maximale uitkeringstermijn 52 weken</t>
  </si>
  <si>
    <t>voorraad van derden aanwezig op Schouwrooij 6, 20, 22 en 24, Ambachtsstraat 19 Boxtel, Veldweg 4 Oisterwijk, Rooiseweg 8 Schijndel</t>
  </si>
  <si>
    <t>Eikenlaan 5, St. Michielsgestel</t>
  </si>
  <si>
    <t>(horeca) inventaris sporthal Teereheide, exclusief eigendommen sportverenigingen en andere huurders</t>
  </si>
  <si>
    <t>Jacobslaan 25, Den Dungen</t>
  </si>
  <si>
    <t>Eikenlaan 5a, St. Michielsgestel</t>
  </si>
  <si>
    <t>brand/storm condities</t>
  </si>
  <si>
    <t>Runweg 11, Berlicum</t>
  </si>
  <si>
    <t>Colenhoef 4, Boxtel</t>
  </si>
  <si>
    <t>inventaris verzekeringsnemer Holland Recycling</t>
  </si>
  <si>
    <t>Runweg 25-27, Berlicum</t>
  </si>
  <si>
    <t>Ambachtstraat 7, Best</t>
  </si>
  <si>
    <t>Plantanenlaan ongenummerd, Boxtel</t>
  </si>
  <si>
    <t>Hobbendonkseweg 82, Boxtel</t>
  </si>
  <si>
    <t>Stationsplein ongenummerd, Boxtel</t>
  </si>
  <si>
    <t>Weidsestraat 29, Den Dungen</t>
  </si>
  <si>
    <t>Stationsweg 2, Helvoirt</t>
  </si>
  <si>
    <t>Hogenbergseweg 30, Liempde</t>
  </si>
  <si>
    <t>Pastoormast ongenummerd, Nuenen</t>
  </si>
  <si>
    <t>houten loods met zadeldak</t>
  </si>
  <si>
    <t>Herder Pasmansdreef 11, Oirschot</t>
  </si>
  <si>
    <t>Veldweg 4, Oisterwijk</t>
  </si>
  <si>
    <t>Grote Doelenlaan 14, St. Oedenrode</t>
  </si>
  <si>
    <t>De Kikvorsch 5, Vught</t>
  </si>
  <si>
    <t>Sub</t>
  </si>
  <si>
    <t>A01</t>
  </si>
  <si>
    <t>B01</t>
  </si>
  <si>
    <t>C01</t>
  </si>
  <si>
    <t>D01</t>
  </si>
  <si>
    <t>Maarssenbroeksedijk 7, Utrecht</t>
  </si>
  <si>
    <r>
      <t xml:space="preserve">Op locatie </t>
    </r>
    <r>
      <rPr>
        <b/>
        <sz val="10"/>
        <color theme="1"/>
        <rFont val="Arial"/>
        <family val="2"/>
      </rPr>
      <t>Kamerlingh Onnesweg 1 te Dordrecht (hoofdlocatie)</t>
    </r>
    <r>
      <rPr>
        <sz val="10"/>
        <color theme="1"/>
        <rFont val="Arial"/>
        <family val="2"/>
      </rPr>
      <t xml:space="preserve"> liggen 488 panelen. Deze zijn geplaatst in augustus 2019. Beleid is nog niet voorhanden. Onderhoud dient uitgevoerd te worden door de installateur.</t>
    </r>
  </si>
  <si>
    <t>Naam SW bedrijf</t>
  </si>
  <si>
    <t>Baanbrekers</t>
  </si>
  <si>
    <t xml:space="preserve">Biga Groep </t>
  </si>
  <si>
    <t>De Zuidhoek</t>
  </si>
  <si>
    <t>Drechtwerk</t>
  </si>
  <si>
    <t>DSW Rijswijk</t>
  </si>
  <si>
    <t>Ferm Werk</t>
  </si>
  <si>
    <t>Fris Facilitair</t>
  </si>
  <si>
    <t>IJmond werkt</t>
  </si>
  <si>
    <t>Impact</t>
  </si>
  <si>
    <t>Inclusief Groep</t>
  </si>
  <si>
    <t>Kempen Plus</t>
  </si>
  <si>
    <t>Laborijn</t>
  </si>
  <si>
    <t>Lucrato</t>
  </si>
  <si>
    <t>MidZuid</t>
  </si>
  <si>
    <t>Pantar</t>
  </si>
  <si>
    <t>Promen</t>
  </si>
  <si>
    <t>Senzer</t>
  </si>
  <si>
    <t>Stroomopwaarts</t>
  </si>
  <si>
    <t>UW Werkmaatschappij</t>
  </si>
  <si>
    <t xml:space="preserve">Werkom </t>
  </si>
  <si>
    <t>WerkSaam</t>
  </si>
  <si>
    <t>WNK</t>
  </si>
  <si>
    <t>WSD Groep</t>
  </si>
  <si>
    <t>Overzicht verzekerde sommen</t>
  </si>
  <si>
    <t>Bijzondere extra kosten</t>
  </si>
  <si>
    <t>Opruimingskosten *</t>
  </si>
  <si>
    <t xml:space="preserve">* Let op: in de voorwaarden is standaard € 1.000.000,- verzekerd. Dit betreft het surplus. </t>
  </si>
  <si>
    <t>Reconstructiekosten</t>
  </si>
  <si>
    <t>Totaal verzekerde sommen per SW-bedrijf</t>
  </si>
  <si>
    <t>Totalen per soort verzekering</t>
  </si>
  <si>
    <t>per 1-1-2021 verkocht</t>
  </si>
  <si>
    <t>per 1-1-2021 vermoedelijk verkocht</t>
  </si>
  <si>
    <t>Lucrato is voornemens om zonnepanelen te plaatsen.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</si>
</sst>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quot;€&quot;\ * #,##0.00_ ;_ &quot;€&quot;\ * \-#,##0.00_ ;_ &quot;€&quot;\ * &quot;-&quot;??_ ;_ @_ "/>
    <numFmt numFmtId="43" formatCode="_ * #,##0.00_ ;_ * \-#,##0.00_ ;_ * &quot;-&quot;??_ ;_ @_ "/>
    <numFmt numFmtId="164" formatCode="&quot;€&quot;\ #,##0.00"/>
    <numFmt numFmtId="165" formatCode="#,##0.0_ ;\-#,##0.0\ "/>
    <numFmt numFmtId="166" formatCode="dd/mm/yy;@"/>
    <numFmt numFmtId="167" formatCode="0.0"/>
    <numFmt numFmtId="168" formatCode="_ * #,##0_ ;_ * \-#,##0_ ;_ * &quot;-&quot;??_ ;_ @_ "/>
    <numFmt numFmtId="169" formatCode="_ [$€-2]\ * #,##0.00_ ;_ [$€-2]\ * \-#,##0.00_ ;_ [$€-2]\ * &quot;-&quot;??_ ;_ @_ "/>
  </numFmts>
  <fonts count="11" x14ac:knownFonts="1">
    <font>
      <sz val="11"/>
      <color theme="1"/>
      <name val="Calibri"/>
      <family val="2"/>
      <scheme val="minor"/>
    </font>
    <font>
      <sz val="11"/>
      <color theme="1"/>
      <name val="Calibri"/>
      <family val="2"/>
      <scheme val="minor"/>
    </font>
    <font>
      <sz val="9"/>
      <color indexed="81"/>
      <name val="Tahoma"/>
      <family val="2"/>
    </font>
    <font>
      <b/>
      <sz val="10"/>
      <color theme="1"/>
      <name val="Arial"/>
      <family val="2"/>
    </font>
    <font>
      <sz val="10"/>
      <color theme="1"/>
      <name val="Arial"/>
      <family val="2"/>
    </font>
    <font>
      <sz val="10"/>
      <name val="Arial"/>
      <family val="2"/>
    </font>
    <font>
      <b/>
      <sz val="10"/>
      <name val="Arial"/>
      <family val="2"/>
    </font>
    <font>
      <i/>
      <sz val="10"/>
      <color theme="1"/>
      <name val="Arial"/>
      <family val="2"/>
    </font>
    <font>
      <b/>
      <sz val="10"/>
      <color rgb="FFFF0000"/>
      <name val="Arial"/>
      <family val="2"/>
    </font>
    <font>
      <sz val="10"/>
      <color rgb="FFFF0000"/>
      <name val="Arial"/>
      <family val="2"/>
    </font>
    <font>
      <sz val="10"/>
      <color rgb="FF000000"/>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17">
    <border>
      <left/>
      <right/>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style="thin">
        <color theme="3" tint="0.79998168889431442"/>
      </left>
      <right/>
      <top style="thin">
        <color theme="3" tint="0.79998168889431442"/>
      </top>
      <bottom style="thin">
        <color theme="3" tint="0.79998168889431442"/>
      </bottom>
      <diagonal/>
    </border>
    <border>
      <left/>
      <right/>
      <top style="thin">
        <color theme="3" tint="0.79998168889431442"/>
      </top>
      <bottom style="thin">
        <color theme="3" tint="0.79998168889431442"/>
      </bottom>
      <diagonal/>
    </border>
    <border>
      <left/>
      <right style="thin">
        <color theme="3" tint="0.79998168889431442"/>
      </right>
      <top style="thin">
        <color theme="3" tint="0.79998168889431442"/>
      </top>
      <bottom style="thin">
        <color theme="3" tint="0.79998168889431442"/>
      </bottom>
      <diagonal/>
    </border>
    <border>
      <left style="thin">
        <color theme="3" tint="0.79998168889431442"/>
      </left>
      <right style="thin">
        <color theme="3" tint="0.79998168889431442"/>
      </right>
      <top style="thin">
        <color theme="3" tint="0.79998168889431442"/>
      </top>
      <bottom/>
      <diagonal/>
    </border>
    <border>
      <left style="medium">
        <color indexed="64"/>
      </left>
      <right style="medium">
        <color indexed="64"/>
      </right>
      <top style="medium">
        <color indexed="64"/>
      </top>
      <bottom style="medium">
        <color indexed="64"/>
      </bottom>
      <diagonal/>
    </border>
    <border>
      <left style="thin">
        <color theme="3" tint="0.79998168889431442"/>
      </left>
      <right style="thin">
        <color theme="3" tint="0.79998168889431442"/>
      </right>
      <top/>
      <bottom style="thin">
        <color theme="3" tint="0.79998168889431442"/>
      </bottom>
      <diagonal/>
    </border>
    <border>
      <left style="thin">
        <color theme="3" tint="0.79998168889431442"/>
      </left>
      <right style="thin">
        <color theme="3" tint="0.79998168889431442"/>
      </right>
      <top style="thin">
        <color indexed="64"/>
      </top>
      <bottom style="thin">
        <color theme="3" tint="0.79998168889431442"/>
      </bottom>
      <diagonal/>
    </border>
    <border>
      <left style="thin">
        <color theme="3" tint="0.79998168889431442"/>
      </left>
      <right style="thin">
        <color theme="3" tint="0.79998168889431442"/>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style="thin">
        <color theme="3" tint="0.79998168889431442"/>
      </left>
      <right style="thin">
        <color theme="3" tint="0.79998168889431442"/>
      </right>
      <top/>
      <bottom/>
      <diagonal/>
    </border>
    <border>
      <left style="thin">
        <color theme="3" tint="0.79998168889431442"/>
      </left>
      <right/>
      <top style="thin">
        <color indexed="64"/>
      </top>
      <bottom style="thin">
        <color theme="3" tint="0.79998168889431442"/>
      </bottom>
      <diagonal/>
    </border>
    <border>
      <left/>
      <right style="thin">
        <color theme="3" tint="0.79998168889431442"/>
      </right>
      <top style="thin">
        <color indexed="64"/>
      </top>
      <bottom style="thin">
        <color theme="3" tint="0.79998168889431442"/>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52">
    <xf numFmtId="0" fontId="0" fillId="0" borderId="0" xfId="0"/>
    <xf numFmtId="0" fontId="3" fillId="2" borderId="1" xfId="0" applyFont="1" applyFill="1" applyBorder="1"/>
    <xf numFmtId="164" fontId="4"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0" borderId="1" xfId="0" applyFont="1" applyBorder="1"/>
    <xf numFmtId="164" fontId="3" fillId="0" borderId="1" xfId="0" applyNumberFormat="1" applyFont="1" applyBorder="1"/>
    <xf numFmtId="0" fontId="4" fillId="2" borderId="1" xfId="0" applyNumberFormat="1" applyFont="1" applyFill="1" applyBorder="1" applyAlignment="1">
      <alignment horizontal="center"/>
    </xf>
    <xf numFmtId="14" fontId="4" fillId="2" borderId="1" xfId="0" applyNumberFormat="1" applyFont="1" applyFill="1" applyBorder="1" applyAlignment="1">
      <alignment horizontal="center"/>
    </xf>
    <xf numFmtId="164" fontId="3" fillId="2" borderId="1" xfId="0" quotePrefix="1" applyNumberFormat="1" applyFont="1" applyFill="1" applyBorder="1" applyAlignment="1">
      <alignment horizontal="center"/>
    </xf>
    <xf numFmtId="14" fontId="3" fillId="2" borderId="1" xfId="0" quotePrefix="1" applyNumberFormat="1" applyFont="1" applyFill="1" applyBorder="1" applyAlignment="1">
      <alignment horizontal="center"/>
    </xf>
    <xf numFmtId="1" fontId="3" fillId="2" borderId="1" xfId="0" quotePrefix="1" applyNumberFormat="1" applyFont="1" applyFill="1" applyBorder="1" applyAlignment="1">
      <alignment horizontal="center"/>
    </xf>
    <xf numFmtId="0" fontId="3" fillId="2" borderId="1" xfId="0" applyFont="1" applyFill="1" applyBorder="1" applyAlignment="1">
      <alignment horizontal="left"/>
    </xf>
    <xf numFmtId="0" fontId="3" fillId="2" borderId="1" xfId="0" applyFont="1" applyFill="1" applyBorder="1" applyAlignment="1">
      <alignment horizontal="center"/>
    </xf>
    <xf numFmtId="0" fontId="5" fillId="0" borderId="1" xfId="0" applyFont="1" applyBorder="1"/>
    <xf numFmtId="44" fontId="5" fillId="0" borderId="1" xfId="2" applyFont="1" applyBorder="1"/>
    <xf numFmtId="165" fontId="5" fillId="0" borderId="1" xfId="2" applyNumberFormat="1" applyFont="1" applyBorder="1"/>
    <xf numFmtId="0" fontId="4" fillId="0" borderId="1" xfId="0" applyFont="1" applyBorder="1"/>
    <xf numFmtId="0" fontId="4" fillId="0" borderId="1" xfId="0" applyFont="1" applyBorder="1" applyAlignment="1">
      <alignment horizontal="center"/>
    </xf>
    <xf numFmtId="14" fontId="4" fillId="0" borderId="1" xfId="0" applyNumberFormat="1" applyFont="1" applyBorder="1" applyAlignment="1">
      <alignment horizontal="center"/>
    </xf>
    <xf numFmtId="164" fontId="4" fillId="0" borderId="1" xfId="0" applyNumberFormat="1" applyFont="1" applyBorder="1"/>
    <xf numFmtId="0" fontId="5" fillId="0" borderId="1" xfId="0" applyFont="1" applyBorder="1" applyAlignment="1">
      <alignment vertical="top"/>
    </xf>
    <xf numFmtId="44" fontId="5" fillId="0" borderId="5" xfId="2" applyFont="1" applyBorder="1" applyAlignment="1">
      <alignment vertical="top"/>
    </xf>
    <xf numFmtId="165" fontId="5" fillId="0" borderId="5" xfId="2" applyNumberFormat="1" applyFont="1" applyBorder="1" applyAlignment="1">
      <alignment vertical="top"/>
    </xf>
    <xf numFmtId="0" fontId="5"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center" vertical="top"/>
    </xf>
    <xf numFmtId="14" fontId="4" fillId="0" borderId="1" xfId="0" applyNumberFormat="1" applyFont="1" applyBorder="1" applyAlignment="1">
      <alignment horizontal="center" vertical="top"/>
    </xf>
    <xf numFmtId="164" fontId="4" fillId="0" borderId="1" xfId="0" applyNumberFormat="1" applyFont="1" applyBorder="1" applyAlignment="1">
      <alignment vertical="top"/>
    </xf>
    <xf numFmtId="44" fontId="5" fillId="0" borderId="5" xfId="2" applyFont="1" applyBorder="1"/>
    <xf numFmtId="44" fontId="4" fillId="0" borderId="6" xfId="2" applyFont="1" applyBorder="1"/>
    <xf numFmtId="44" fontId="3" fillId="3" borderId="6" xfId="2" applyFont="1" applyFill="1" applyBorder="1"/>
    <xf numFmtId="44" fontId="3" fillId="0" borderId="0" xfId="2" applyFont="1" applyFill="1" applyBorder="1"/>
    <xf numFmtId="0" fontId="6" fillId="0" borderId="1" xfId="0" applyFont="1" applyBorder="1"/>
    <xf numFmtId="0" fontId="3" fillId="0" borderId="1" xfId="0" applyFont="1" applyBorder="1" applyAlignment="1">
      <alignment horizontal="center"/>
    </xf>
    <xf numFmtId="44" fontId="4" fillId="0" borderId="7" xfId="2" applyFont="1" applyBorder="1"/>
    <xf numFmtId="44" fontId="4" fillId="0" borderId="1" xfId="2" applyFont="1" applyBorder="1"/>
    <xf numFmtId="0" fontId="3" fillId="3" borderId="1" xfId="0" applyFont="1" applyFill="1" applyBorder="1"/>
    <xf numFmtId="44" fontId="4" fillId="0" borderId="8" xfId="2" applyFont="1" applyBorder="1"/>
    <xf numFmtId="44" fontId="3" fillId="0" borderId="8" xfId="2" applyFont="1" applyBorder="1"/>
    <xf numFmtId="44" fontId="3" fillId="0" borderId="7" xfId="2" applyFont="1" applyBorder="1"/>
    <xf numFmtId="0" fontId="5" fillId="0" borderId="1" xfId="0" quotePrefix="1" applyFont="1" applyBorder="1"/>
    <xf numFmtId="44" fontId="3" fillId="3" borderId="0" xfId="2" applyFont="1" applyFill="1" applyBorder="1"/>
    <xf numFmtId="167" fontId="4" fillId="0" borderId="1" xfId="0" applyNumberFormat="1" applyFont="1" applyBorder="1"/>
    <xf numFmtId="165" fontId="4" fillId="0" borderId="1" xfId="2" applyNumberFormat="1" applyFont="1" applyBorder="1"/>
    <xf numFmtId="49" fontId="4" fillId="0" borderId="1" xfId="0" applyNumberFormat="1" applyFont="1" applyBorder="1" applyAlignment="1">
      <alignment horizontal="center"/>
    </xf>
    <xf numFmtId="0" fontId="5" fillId="0" borderId="5" xfId="0" applyFont="1" applyBorder="1"/>
    <xf numFmtId="0" fontId="3" fillId="0" borderId="0" xfId="0" applyFont="1" applyBorder="1"/>
    <xf numFmtId="164" fontId="3" fillId="3" borderId="6" xfId="2" applyNumberFormat="1" applyFont="1" applyFill="1" applyBorder="1"/>
    <xf numFmtId="164" fontId="3" fillId="0" borderId="0" xfId="2" applyNumberFormat="1" applyFont="1" applyFill="1" applyBorder="1"/>
    <xf numFmtId="0" fontId="4" fillId="0" borderId="7" xfId="0" applyFont="1" applyBorder="1"/>
    <xf numFmtId="0" fontId="7" fillId="0" borderId="1" xfId="0" applyFont="1" applyBorder="1"/>
    <xf numFmtId="0" fontId="3" fillId="4" borderId="1" xfId="0" applyFont="1" applyFill="1" applyBorder="1"/>
    <xf numFmtId="164" fontId="4" fillId="4" borderId="1" xfId="0" applyNumberFormat="1" applyFont="1" applyFill="1" applyBorder="1"/>
    <xf numFmtId="164" fontId="3" fillId="4" borderId="1" xfId="0" applyNumberFormat="1" applyFont="1" applyFill="1" applyBorder="1"/>
    <xf numFmtId="0" fontId="4" fillId="4" borderId="1" xfId="0" applyNumberFormat="1" applyFont="1" applyFill="1" applyBorder="1" applyAlignment="1">
      <alignment horizontal="center"/>
    </xf>
    <xf numFmtId="0" fontId="3" fillId="4" borderId="1" xfId="0" applyNumberFormat="1" applyFont="1" applyFill="1" applyBorder="1" applyAlignment="1">
      <alignment horizontal="center"/>
    </xf>
    <xf numFmtId="44" fontId="4" fillId="0" borderId="5" xfId="2" applyFont="1" applyBorder="1"/>
    <xf numFmtId="0" fontId="3" fillId="0" borderId="2" xfId="0" applyFont="1" applyBorder="1"/>
    <xf numFmtId="164" fontId="4" fillId="0" borderId="7" xfId="0" applyNumberFormat="1" applyFont="1" applyBorder="1"/>
    <xf numFmtId="0" fontId="3" fillId="3" borderId="1" xfId="0" applyFont="1" applyFill="1" applyBorder="1" applyAlignment="1">
      <alignment horizontal="center"/>
    </xf>
    <xf numFmtId="0" fontId="4" fillId="0" borderId="5" xfId="0" applyFont="1" applyFill="1" applyBorder="1" applyAlignment="1">
      <alignment vertical="top"/>
    </xf>
    <xf numFmtId="44" fontId="4" fillId="0" borderId="1" xfId="0" applyNumberFormat="1" applyFont="1" applyFill="1" applyBorder="1"/>
    <xf numFmtId="44" fontId="4" fillId="0" borderId="1" xfId="2" applyFont="1" applyFill="1" applyBorder="1"/>
    <xf numFmtId="0" fontId="4" fillId="0" borderId="1" xfId="0" applyFont="1" applyFill="1" applyBorder="1"/>
    <xf numFmtId="0" fontId="4" fillId="0" borderId="1" xfId="0" applyFont="1" applyFill="1" applyBorder="1" applyAlignment="1">
      <alignment horizontal="center"/>
    </xf>
    <xf numFmtId="166" fontId="4" fillId="0" borderId="1" xfId="0" applyNumberFormat="1" applyFont="1" applyFill="1" applyBorder="1" applyAlignment="1">
      <alignment horizontal="center"/>
    </xf>
    <xf numFmtId="14" fontId="4" fillId="0" borderId="1" xfId="0" applyNumberFormat="1" applyFont="1" applyFill="1" applyBorder="1" applyAlignment="1">
      <alignment horizontal="center"/>
    </xf>
    <xf numFmtId="164" fontId="4" fillId="0" borderId="1" xfId="0" applyNumberFormat="1" applyFont="1" applyFill="1" applyBorder="1"/>
    <xf numFmtId="0" fontId="4" fillId="0" borderId="7" xfId="0" applyFont="1" applyFill="1" applyBorder="1" applyAlignment="1">
      <alignment vertical="top"/>
    </xf>
    <xf numFmtId="0" fontId="4" fillId="0" borderId="5" xfId="0" applyFont="1" applyBorder="1" applyAlignment="1">
      <alignment vertical="top"/>
    </xf>
    <xf numFmtId="166" fontId="4" fillId="0" borderId="1" xfId="0" applyNumberFormat="1" applyFont="1" applyBorder="1" applyAlignment="1">
      <alignment horizontal="center"/>
    </xf>
    <xf numFmtId="0" fontId="5" fillId="0" borderId="1" xfId="0" applyFont="1" applyFill="1" applyBorder="1"/>
    <xf numFmtId="164" fontId="3" fillId="0" borderId="9" xfId="2" applyNumberFormat="1" applyFont="1" applyBorder="1"/>
    <xf numFmtId="44" fontId="4" fillId="0" borderId="1" xfId="0" applyNumberFormat="1" applyFont="1" applyBorder="1"/>
    <xf numFmtId="0" fontId="6" fillId="2" borderId="1" xfId="0" applyFont="1" applyFill="1" applyBorder="1"/>
    <xf numFmtId="164" fontId="6" fillId="2" borderId="1" xfId="0" applyNumberFormat="1" applyFont="1" applyFill="1" applyBorder="1" applyAlignment="1">
      <alignment horizontal="center"/>
    </xf>
    <xf numFmtId="0" fontId="3" fillId="2" borderId="2" xfId="0" applyFont="1" applyFill="1" applyBorder="1" applyAlignment="1">
      <alignment horizontal="left"/>
    </xf>
    <xf numFmtId="0" fontId="6" fillId="2" borderId="1" xfId="0" applyNumberFormat="1" applyFont="1" applyFill="1" applyBorder="1" applyAlignment="1">
      <alignment horizontal="center"/>
    </xf>
    <xf numFmtId="0" fontId="4" fillId="0" borderId="5" xfId="0" applyFont="1" applyBorder="1"/>
    <xf numFmtId="0" fontId="4" fillId="0" borderId="0" xfId="0" applyFont="1" applyBorder="1"/>
    <xf numFmtId="44" fontId="4" fillId="0" borderId="11" xfId="2" applyFont="1" applyBorder="1" applyAlignment="1"/>
    <xf numFmtId="14" fontId="4" fillId="0" borderId="1" xfId="0" applyNumberFormat="1" applyFont="1" applyBorder="1"/>
    <xf numFmtId="44" fontId="4" fillId="0" borderId="12" xfId="2" applyFont="1" applyBorder="1" applyAlignment="1"/>
    <xf numFmtId="44" fontId="4" fillId="0" borderId="13" xfId="2" applyFont="1" applyBorder="1" applyAlignment="1"/>
    <xf numFmtId="44" fontId="4" fillId="0" borderId="4" xfId="2" applyFont="1" applyBorder="1"/>
    <xf numFmtId="167" fontId="4" fillId="0" borderId="1" xfId="2" applyNumberFormat="1" applyFont="1" applyBorder="1"/>
    <xf numFmtId="44" fontId="5" fillId="0" borderId="1" xfId="0" applyNumberFormat="1" applyFont="1" applyBorder="1"/>
    <xf numFmtId="44" fontId="5" fillId="0" borderId="1" xfId="2" applyFont="1" applyFill="1" applyBorder="1"/>
    <xf numFmtId="44" fontId="4" fillId="0" borderId="5" xfId="2" applyFont="1" applyFill="1" applyBorder="1"/>
    <xf numFmtId="44" fontId="4" fillId="3" borderId="10" xfId="2" applyFont="1" applyFill="1" applyBorder="1"/>
    <xf numFmtId="44" fontId="3" fillId="3" borderId="10" xfId="2" applyFont="1" applyFill="1" applyBorder="1"/>
    <xf numFmtId="0" fontId="4" fillId="3" borderId="1" xfId="0" applyFont="1" applyFill="1" applyBorder="1"/>
    <xf numFmtId="0" fontId="4" fillId="0" borderId="14" xfId="0" applyFont="1" applyBorder="1"/>
    <xf numFmtId="44" fontId="4" fillId="0" borderId="14" xfId="2" applyFont="1" applyBorder="1"/>
    <xf numFmtId="0" fontId="5" fillId="0" borderId="1" xfId="0" applyFont="1" applyBorder="1" applyAlignment="1">
      <alignment horizontal="center"/>
    </xf>
    <xf numFmtId="14" fontId="5" fillId="0" borderId="1" xfId="0" applyNumberFormat="1" applyFont="1" applyBorder="1" applyAlignment="1">
      <alignment horizontal="center"/>
    </xf>
    <xf numFmtId="164" fontId="5" fillId="0" borderId="1" xfId="0" applyNumberFormat="1" applyFont="1" applyBorder="1"/>
    <xf numFmtId="44" fontId="6" fillId="0" borderId="1" xfId="0" applyNumberFormat="1" applyFont="1" applyBorder="1"/>
    <xf numFmtId="0" fontId="4" fillId="0" borderId="1" xfId="0" applyFont="1" applyBorder="1" applyAlignment="1">
      <alignment wrapText="1"/>
    </xf>
    <xf numFmtId="0" fontId="4" fillId="0" borderId="7" xfId="0" applyFont="1" applyBorder="1" applyAlignment="1">
      <alignment vertical="top"/>
    </xf>
    <xf numFmtId="164" fontId="4" fillId="0" borderId="1" xfId="0" applyNumberFormat="1" applyFont="1" applyBorder="1" applyAlignment="1"/>
    <xf numFmtId="44" fontId="3" fillId="0" borderId="1" xfId="0" applyNumberFormat="1" applyFont="1" applyBorder="1"/>
    <xf numFmtId="44" fontId="4" fillId="0" borderId="0" xfId="2" applyFont="1" applyBorder="1"/>
    <xf numFmtId="44" fontId="5" fillId="0" borderId="0" xfId="2" applyFont="1" applyBorder="1"/>
    <xf numFmtId="0" fontId="5" fillId="0" borderId="0" xfId="0" applyFont="1" applyBorder="1"/>
    <xf numFmtId="44" fontId="8" fillId="0" borderId="1" xfId="2" applyFont="1" applyBorder="1"/>
    <xf numFmtId="44" fontId="9" fillId="0" borderId="1" xfId="2" applyFont="1" applyBorder="1"/>
    <xf numFmtId="0" fontId="5" fillId="0" borderId="0" xfId="0" applyFont="1" applyFill="1" applyBorder="1"/>
    <xf numFmtId="44" fontId="5" fillId="0" borderId="12" xfId="2" applyFont="1" applyFill="1" applyBorder="1" applyAlignment="1"/>
    <xf numFmtId="167" fontId="5" fillId="0" borderId="1" xfId="0" applyNumberFormat="1" applyFont="1" applyFill="1" applyBorder="1"/>
    <xf numFmtId="165" fontId="5" fillId="0" borderId="1" xfId="2" applyNumberFormat="1" applyFont="1" applyFill="1" applyBorder="1"/>
    <xf numFmtId="14" fontId="5" fillId="0" borderId="1" xfId="0" applyNumberFormat="1" applyFont="1" applyFill="1" applyBorder="1"/>
    <xf numFmtId="0" fontId="5" fillId="0" borderId="1" xfId="0" applyFont="1" applyFill="1" applyBorder="1" applyAlignment="1">
      <alignment horizontal="center"/>
    </xf>
    <xf numFmtId="164" fontId="5" fillId="0" borderId="1" xfId="0" applyNumberFormat="1" applyFont="1" applyFill="1" applyBorder="1"/>
    <xf numFmtId="44" fontId="5" fillId="0" borderId="13" xfId="2" applyFont="1" applyBorder="1" applyAlignment="1"/>
    <xf numFmtId="167" fontId="5" fillId="0" borderId="1" xfId="0" applyNumberFormat="1" applyFont="1" applyBorder="1"/>
    <xf numFmtId="14" fontId="5" fillId="0" borderId="1" xfId="0" applyNumberFormat="1" applyFont="1" applyBorder="1"/>
    <xf numFmtId="44" fontId="5" fillId="0" borderId="4" xfId="2" applyFont="1" applyBorder="1"/>
    <xf numFmtId="167" fontId="5" fillId="0" borderId="1" xfId="2" applyNumberFormat="1" applyFont="1" applyBorder="1"/>
    <xf numFmtId="44" fontId="6" fillId="0" borderId="1" xfId="2" applyFont="1" applyBorder="1"/>
    <xf numFmtId="0" fontId="5" fillId="0" borderId="7" xfId="0" applyFont="1" applyBorder="1"/>
    <xf numFmtId="0" fontId="8" fillId="0" borderId="1" xfId="0" applyFont="1" applyBorder="1"/>
    <xf numFmtId="44" fontId="9" fillId="0" borderId="1" xfId="2" applyFont="1" applyFill="1" applyBorder="1"/>
    <xf numFmtId="0" fontId="9" fillId="0" borderId="1" xfId="0" applyFont="1" applyBorder="1"/>
    <xf numFmtId="168" fontId="3" fillId="2" borderId="1" xfId="1" quotePrefix="1" applyNumberFormat="1" applyFont="1" applyFill="1" applyBorder="1" applyAlignment="1">
      <alignment horizontal="center"/>
    </xf>
    <xf numFmtId="0" fontId="3" fillId="4" borderId="1" xfId="0" applyFont="1" applyFill="1" applyBorder="1" applyAlignment="1">
      <alignment horizontal="center"/>
    </xf>
    <xf numFmtId="0" fontId="4" fillId="0" borderId="1" xfId="0" applyFont="1" applyBorder="1" applyAlignment="1"/>
    <xf numFmtId="164" fontId="9" fillId="0" borderId="1" xfId="0" applyNumberFormat="1" applyFont="1" applyBorder="1"/>
    <xf numFmtId="0" fontId="9" fillId="0" borderId="1" xfId="0" applyFont="1" applyBorder="1" applyAlignment="1">
      <alignment horizontal="center"/>
    </xf>
    <xf numFmtId="0" fontId="10" fillId="0" borderId="0" xfId="0" applyFont="1"/>
    <xf numFmtId="44" fontId="4" fillId="0" borderId="2" xfId="2" applyFont="1" applyBorder="1"/>
    <xf numFmtId="44" fontId="4" fillId="0" borderId="15" xfId="2" applyFont="1" applyBorder="1"/>
    <xf numFmtId="44" fontId="3" fillId="0" borderId="16" xfId="2" applyFont="1" applyBorder="1"/>
    <xf numFmtId="0" fontId="3" fillId="0" borderId="10" xfId="0" applyFont="1" applyFill="1" applyBorder="1"/>
    <xf numFmtId="0" fontId="4" fillId="0" borderId="10" xfId="0" applyFont="1" applyFill="1" applyBorder="1"/>
    <xf numFmtId="0" fontId="4" fillId="0" borderId="10" xfId="0" applyFont="1" applyBorder="1"/>
    <xf numFmtId="0" fontId="4" fillId="0" borderId="0" xfId="0" applyFont="1"/>
    <xf numFmtId="169" fontId="4" fillId="0" borderId="10" xfId="0" applyNumberFormat="1" applyFont="1" applyBorder="1"/>
    <xf numFmtId="0" fontId="3" fillId="0" borderId="10" xfId="0" applyFont="1" applyBorder="1"/>
    <xf numFmtId="0" fontId="6" fillId="0" borderId="10" xfId="0" applyFont="1" applyBorder="1"/>
    <xf numFmtId="44" fontId="4" fillId="0" borderId="10" xfId="2" applyFont="1" applyBorder="1"/>
    <xf numFmtId="0" fontId="3" fillId="0" borderId="0" xfId="0" applyFont="1"/>
    <xf numFmtId="44" fontId="4" fillId="0" borderId="0" xfId="2" applyFont="1"/>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3" borderId="2" xfId="0" applyFont="1" applyFill="1" applyBorder="1" applyAlignment="1">
      <alignment horizontal="center"/>
    </xf>
    <xf numFmtId="0" fontId="4" fillId="3" borderId="4" xfId="0" applyFont="1" applyFill="1" applyBorder="1" applyAlignment="1">
      <alignment horizontal="center"/>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3" fillId="4" borderId="2" xfId="0" applyFont="1" applyFill="1" applyBorder="1" applyAlignment="1">
      <alignment horizontal="center"/>
    </xf>
    <xf numFmtId="0" fontId="4" fillId="0" borderId="4" xfId="0" applyFont="1" applyBorder="1" applyAlignment="1">
      <alignment horizontal="center"/>
    </xf>
  </cellXfs>
  <cellStyles count="3">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workbookViewId="0">
      <selection activeCell="E27" sqref="E27"/>
    </sheetView>
  </sheetViews>
  <sheetFormatPr defaultRowHeight="12.75" x14ac:dyDescent="0.2"/>
  <cols>
    <col min="1" max="1" width="29.5703125" style="136" customWidth="1"/>
    <col min="2" max="2" width="16.5703125" style="136" bestFit="1" customWidth="1"/>
    <col min="3" max="3" width="15.5703125" style="136" customWidth="1"/>
    <col min="4" max="4" width="16.7109375" style="136" bestFit="1" customWidth="1"/>
    <col min="5" max="6" width="15.5703125" style="136" bestFit="1" customWidth="1"/>
    <col min="7" max="7" width="22.5703125" style="136" bestFit="1" customWidth="1"/>
    <col min="8" max="8" width="14.7109375" style="136" bestFit="1" customWidth="1"/>
    <col min="9" max="9" width="23" style="136" bestFit="1" customWidth="1"/>
    <col min="10" max="10" width="19" style="136" bestFit="1" customWidth="1"/>
    <col min="11" max="11" width="17.7109375" style="136" customWidth="1"/>
    <col min="12" max="12" width="19.42578125" style="136" bestFit="1" customWidth="1"/>
    <col min="13" max="13" width="40.42578125" style="136" bestFit="1" customWidth="1"/>
    <col min="14" max="16384" width="9.140625" style="136"/>
  </cols>
  <sheetData>
    <row r="1" spans="1:13" x14ac:dyDescent="0.2">
      <c r="A1" s="141" t="s">
        <v>530</v>
      </c>
    </row>
    <row r="3" spans="1:13" x14ac:dyDescent="0.2">
      <c r="A3" s="133" t="s">
        <v>506</v>
      </c>
      <c r="B3" s="138" t="s">
        <v>13</v>
      </c>
      <c r="C3" s="138" t="s">
        <v>108</v>
      </c>
      <c r="D3" s="138" t="s">
        <v>16</v>
      </c>
      <c r="E3" s="139" t="s">
        <v>29</v>
      </c>
      <c r="F3" s="138" t="s">
        <v>85</v>
      </c>
      <c r="G3" s="138" t="s">
        <v>82</v>
      </c>
      <c r="H3" s="138" t="s">
        <v>68</v>
      </c>
      <c r="I3" s="138" t="s">
        <v>531</v>
      </c>
      <c r="J3" s="138" t="s">
        <v>532</v>
      </c>
      <c r="K3" s="138" t="s">
        <v>295</v>
      </c>
      <c r="L3" s="138" t="s">
        <v>534</v>
      </c>
      <c r="M3" s="138" t="s">
        <v>535</v>
      </c>
    </row>
    <row r="4" spans="1:13" x14ac:dyDescent="0.2">
      <c r="A4" s="134" t="s">
        <v>507</v>
      </c>
      <c r="B4" s="137">
        <v>19231800</v>
      </c>
      <c r="C4" s="137">
        <v>0</v>
      </c>
      <c r="D4" s="137">
        <v>11135700</v>
      </c>
      <c r="E4" s="137">
        <v>1000000</v>
      </c>
      <c r="F4" s="137">
        <v>0</v>
      </c>
      <c r="G4" s="137">
        <v>0</v>
      </c>
      <c r="H4" s="137">
        <v>0</v>
      </c>
      <c r="I4" s="137">
        <v>0</v>
      </c>
      <c r="J4" s="137">
        <v>0</v>
      </c>
      <c r="K4" s="137">
        <v>0</v>
      </c>
      <c r="L4" s="137">
        <v>0</v>
      </c>
      <c r="M4" s="137">
        <f>SUM(B4:L4)</f>
        <v>31367500</v>
      </c>
    </row>
    <row r="5" spans="1:13" x14ac:dyDescent="0.2">
      <c r="A5" s="134" t="s">
        <v>508</v>
      </c>
      <c r="B5" s="137">
        <v>10297900</v>
      </c>
      <c r="C5" s="137">
        <v>0</v>
      </c>
      <c r="D5" s="137">
        <v>3617668</v>
      </c>
      <c r="E5" s="137">
        <v>0</v>
      </c>
      <c r="F5" s="137">
        <v>0</v>
      </c>
      <c r="G5" s="137">
        <v>0</v>
      </c>
      <c r="H5" s="137">
        <v>0</v>
      </c>
      <c r="I5" s="137">
        <v>0</v>
      </c>
      <c r="J5" s="137">
        <v>0</v>
      </c>
      <c r="K5" s="137">
        <v>0</v>
      </c>
      <c r="L5" s="137">
        <v>0</v>
      </c>
      <c r="M5" s="137">
        <f>SUM(B5:L5)</f>
        <v>13915568</v>
      </c>
    </row>
    <row r="6" spans="1:13" x14ac:dyDescent="0.2">
      <c r="A6" s="134" t="s">
        <v>509</v>
      </c>
      <c r="B6" s="137">
        <v>10697900</v>
      </c>
      <c r="C6" s="137">
        <v>0</v>
      </c>
      <c r="D6" s="137">
        <v>4410000</v>
      </c>
      <c r="E6" s="137">
        <v>4700000</v>
      </c>
      <c r="F6" s="137">
        <v>726890</v>
      </c>
      <c r="G6" s="137">
        <v>150000</v>
      </c>
      <c r="H6" s="137">
        <v>0</v>
      </c>
      <c r="I6" s="137">
        <v>0</v>
      </c>
      <c r="J6" s="137">
        <v>0</v>
      </c>
      <c r="K6" s="137">
        <v>0</v>
      </c>
      <c r="L6" s="137">
        <v>0</v>
      </c>
      <c r="M6" s="137">
        <f t="shared" ref="M6:M26" si="0">SUM(B6:L6)</f>
        <v>20684790</v>
      </c>
    </row>
    <row r="7" spans="1:13" x14ac:dyDescent="0.2">
      <c r="A7" s="134" t="s">
        <v>510</v>
      </c>
      <c r="B7" s="137">
        <v>18814600</v>
      </c>
      <c r="C7" s="137">
        <v>370100</v>
      </c>
      <c r="D7" s="137">
        <v>5485554</v>
      </c>
      <c r="E7" s="137">
        <v>250000</v>
      </c>
      <c r="F7" s="137">
        <v>500000</v>
      </c>
      <c r="G7" s="137">
        <v>0</v>
      </c>
      <c r="H7" s="137">
        <v>0</v>
      </c>
      <c r="I7" s="137">
        <v>0</v>
      </c>
      <c r="J7" s="137">
        <v>0</v>
      </c>
      <c r="K7" s="137">
        <v>0</v>
      </c>
      <c r="L7" s="137">
        <v>0</v>
      </c>
      <c r="M7" s="137">
        <f t="shared" si="0"/>
        <v>25420254</v>
      </c>
    </row>
    <row r="8" spans="1:13" x14ac:dyDescent="0.2">
      <c r="A8" s="134" t="s">
        <v>511</v>
      </c>
      <c r="B8" s="140">
        <v>0</v>
      </c>
      <c r="C8" s="140">
        <v>3102600</v>
      </c>
      <c r="D8" s="140">
        <v>2365580</v>
      </c>
      <c r="E8" s="140">
        <v>500000</v>
      </c>
      <c r="F8" s="140">
        <v>603070</v>
      </c>
      <c r="G8" s="140">
        <v>0</v>
      </c>
      <c r="H8" s="137">
        <v>0</v>
      </c>
      <c r="I8" s="137">
        <v>0</v>
      </c>
      <c r="J8" s="137">
        <v>0</v>
      </c>
      <c r="K8" s="137">
        <v>0</v>
      </c>
      <c r="L8" s="137">
        <v>0</v>
      </c>
      <c r="M8" s="137">
        <f t="shared" si="0"/>
        <v>6571250</v>
      </c>
    </row>
    <row r="9" spans="1:13" x14ac:dyDescent="0.2">
      <c r="A9" s="134" t="s">
        <v>512</v>
      </c>
      <c r="B9" s="140">
        <v>0</v>
      </c>
      <c r="C9" s="140">
        <v>691300</v>
      </c>
      <c r="D9" s="140">
        <v>3572140</v>
      </c>
      <c r="E9" s="140">
        <v>1250000</v>
      </c>
      <c r="F9" s="140">
        <v>125000</v>
      </c>
      <c r="G9" s="140">
        <v>0</v>
      </c>
      <c r="H9" s="137">
        <v>0</v>
      </c>
      <c r="I9" s="140">
        <v>500000</v>
      </c>
      <c r="J9" s="137">
        <v>0</v>
      </c>
      <c r="K9" s="137">
        <v>0</v>
      </c>
      <c r="L9" s="137">
        <v>0</v>
      </c>
      <c r="M9" s="137">
        <f t="shared" si="0"/>
        <v>6138440</v>
      </c>
    </row>
    <row r="10" spans="1:13" x14ac:dyDescent="0.2">
      <c r="A10" s="134" t="s">
        <v>513</v>
      </c>
      <c r="B10" s="140">
        <v>0</v>
      </c>
      <c r="C10" s="140">
        <v>112700</v>
      </c>
      <c r="D10" s="140">
        <v>489000</v>
      </c>
      <c r="E10" s="140">
        <v>0</v>
      </c>
      <c r="F10" s="140">
        <v>0</v>
      </c>
      <c r="G10" s="140">
        <v>0</v>
      </c>
      <c r="H10" s="137">
        <v>0</v>
      </c>
      <c r="I10" s="140">
        <v>600000</v>
      </c>
      <c r="J10" s="137">
        <v>0</v>
      </c>
      <c r="K10" s="137">
        <v>0</v>
      </c>
      <c r="L10" s="137">
        <v>0</v>
      </c>
      <c r="M10" s="137">
        <f t="shared" si="0"/>
        <v>1201700</v>
      </c>
    </row>
    <row r="11" spans="1:13" x14ac:dyDescent="0.2">
      <c r="A11" s="134" t="s">
        <v>514</v>
      </c>
      <c r="B11" s="140">
        <v>2844100</v>
      </c>
      <c r="C11" s="140">
        <v>0</v>
      </c>
      <c r="D11" s="140">
        <v>3538389</v>
      </c>
      <c r="E11" s="140">
        <v>275000</v>
      </c>
      <c r="F11" s="140">
        <v>250000</v>
      </c>
      <c r="G11" s="140">
        <v>0</v>
      </c>
      <c r="H11" s="140">
        <v>1000000</v>
      </c>
      <c r="I11" s="140">
        <v>0</v>
      </c>
      <c r="J11" s="140">
        <v>100000</v>
      </c>
      <c r="K11" s="137">
        <v>0</v>
      </c>
      <c r="L11" s="137">
        <v>0</v>
      </c>
      <c r="M11" s="137">
        <f t="shared" si="0"/>
        <v>8007489</v>
      </c>
    </row>
    <row r="12" spans="1:13" x14ac:dyDescent="0.2">
      <c r="A12" s="134" t="s">
        <v>515</v>
      </c>
      <c r="B12" s="140">
        <v>14644500</v>
      </c>
      <c r="C12" s="140">
        <v>0</v>
      </c>
      <c r="D12" s="140">
        <v>2863980</v>
      </c>
      <c r="E12" s="140">
        <v>1759000</v>
      </c>
      <c r="F12" s="140">
        <v>680671</v>
      </c>
      <c r="G12" s="140">
        <v>0</v>
      </c>
      <c r="H12" s="140">
        <v>0</v>
      </c>
      <c r="I12" s="140">
        <v>0</v>
      </c>
      <c r="J12" s="140">
        <v>0</v>
      </c>
      <c r="K12" s="137">
        <v>0</v>
      </c>
      <c r="L12" s="137">
        <v>0</v>
      </c>
      <c r="M12" s="137">
        <f t="shared" si="0"/>
        <v>19948151</v>
      </c>
    </row>
    <row r="13" spans="1:13" x14ac:dyDescent="0.2">
      <c r="A13" s="134" t="s">
        <v>516</v>
      </c>
      <c r="B13" s="140">
        <v>14034900</v>
      </c>
      <c r="C13" s="140">
        <v>139800</v>
      </c>
      <c r="D13" s="140">
        <v>6332000</v>
      </c>
      <c r="E13" s="140">
        <v>2000000</v>
      </c>
      <c r="F13" s="140">
        <v>715000</v>
      </c>
      <c r="G13" s="140">
        <v>0</v>
      </c>
      <c r="H13" s="140">
        <v>1840000</v>
      </c>
      <c r="I13" s="140">
        <v>0</v>
      </c>
      <c r="J13" s="140">
        <v>0</v>
      </c>
      <c r="K13" s="137">
        <v>0</v>
      </c>
      <c r="L13" s="137">
        <v>0</v>
      </c>
      <c r="M13" s="137">
        <f t="shared" si="0"/>
        <v>25061700</v>
      </c>
    </row>
    <row r="14" spans="1:13" x14ac:dyDescent="0.2">
      <c r="A14" s="134" t="s">
        <v>517</v>
      </c>
      <c r="B14" s="140">
        <v>29852800</v>
      </c>
      <c r="C14" s="140">
        <v>0</v>
      </c>
      <c r="D14" s="140">
        <v>5500000</v>
      </c>
      <c r="E14" s="140">
        <v>0</v>
      </c>
      <c r="F14" s="140">
        <v>473671</v>
      </c>
      <c r="G14" s="140">
        <v>0</v>
      </c>
      <c r="H14" s="140">
        <v>0</v>
      </c>
      <c r="I14" s="140">
        <v>0</v>
      </c>
      <c r="J14" s="140">
        <v>700000</v>
      </c>
      <c r="K14" s="137">
        <v>0</v>
      </c>
      <c r="L14" s="137">
        <v>0</v>
      </c>
      <c r="M14" s="137">
        <f t="shared" si="0"/>
        <v>36526471</v>
      </c>
    </row>
    <row r="15" spans="1:13" x14ac:dyDescent="0.2">
      <c r="A15" s="134" t="s">
        <v>518</v>
      </c>
      <c r="B15" s="140">
        <v>17001200</v>
      </c>
      <c r="C15" s="140">
        <v>0</v>
      </c>
      <c r="D15" s="140">
        <v>4749138</v>
      </c>
      <c r="E15" s="140">
        <v>600000</v>
      </c>
      <c r="F15" s="140">
        <v>950000</v>
      </c>
      <c r="G15" s="140">
        <v>0</v>
      </c>
      <c r="H15" s="140">
        <v>776575</v>
      </c>
      <c r="I15" s="140">
        <v>0</v>
      </c>
      <c r="J15" s="140">
        <v>0</v>
      </c>
      <c r="K15" s="137">
        <v>0</v>
      </c>
      <c r="L15" s="137">
        <v>0</v>
      </c>
      <c r="M15" s="137">
        <f t="shared" si="0"/>
        <v>24076913</v>
      </c>
    </row>
    <row r="16" spans="1:13" x14ac:dyDescent="0.2">
      <c r="A16" s="134" t="s">
        <v>519</v>
      </c>
      <c r="B16" s="140">
        <v>22952400</v>
      </c>
      <c r="C16" s="140">
        <v>77400</v>
      </c>
      <c r="D16" s="140">
        <v>6233000</v>
      </c>
      <c r="E16" s="140">
        <v>3700000</v>
      </c>
      <c r="F16" s="140">
        <v>0</v>
      </c>
      <c r="G16" s="140">
        <v>0</v>
      </c>
      <c r="H16" s="140">
        <v>1000000</v>
      </c>
      <c r="I16" s="140">
        <v>0</v>
      </c>
      <c r="J16" s="140">
        <v>0</v>
      </c>
      <c r="K16" s="137">
        <v>0</v>
      </c>
      <c r="L16" s="137">
        <v>0</v>
      </c>
      <c r="M16" s="137">
        <f t="shared" si="0"/>
        <v>33962800</v>
      </c>
    </row>
    <row r="17" spans="1:13" x14ac:dyDescent="0.2">
      <c r="A17" s="134" t="s">
        <v>520</v>
      </c>
      <c r="B17" s="140">
        <v>14759400</v>
      </c>
      <c r="C17" s="140">
        <v>0</v>
      </c>
      <c r="D17" s="140">
        <v>3486000</v>
      </c>
      <c r="E17" s="140">
        <v>1935000</v>
      </c>
      <c r="F17" s="140">
        <v>600000</v>
      </c>
      <c r="G17" s="140">
        <v>0</v>
      </c>
      <c r="H17" s="140">
        <v>0</v>
      </c>
      <c r="I17" s="140">
        <v>0</v>
      </c>
      <c r="J17" s="140">
        <v>0</v>
      </c>
      <c r="K17" s="137">
        <v>0</v>
      </c>
      <c r="L17" s="137">
        <v>0</v>
      </c>
      <c r="M17" s="137">
        <f t="shared" si="0"/>
        <v>20780400</v>
      </c>
    </row>
    <row r="18" spans="1:13" x14ac:dyDescent="0.2">
      <c r="A18" s="134" t="s">
        <v>521</v>
      </c>
      <c r="B18" s="140">
        <v>25683800</v>
      </c>
      <c r="C18" s="140">
        <v>0</v>
      </c>
      <c r="D18" s="140">
        <v>8569000</v>
      </c>
      <c r="E18" s="140">
        <v>0</v>
      </c>
      <c r="F18" s="140">
        <v>4000000</v>
      </c>
      <c r="G18" s="140">
        <v>0</v>
      </c>
      <c r="H18" s="140">
        <v>1000000</v>
      </c>
      <c r="I18" s="140">
        <v>0</v>
      </c>
      <c r="J18" s="140">
        <v>1100000</v>
      </c>
      <c r="K18" s="140">
        <v>6000000</v>
      </c>
      <c r="L18" s="137">
        <v>0</v>
      </c>
      <c r="M18" s="137">
        <f t="shared" si="0"/>
        <v>46352800</v>
      </c>
    </row>
    <row r="19" spans="1:13" x14ac:dyDescent="0.2">
      <c r="A19" s="134" t="s">
        <v>522</v>
      </c>
      <c r="B19" s="140">
        <v>11264200</v>
      </c>
      <c r="C19" s="140">
        <v>883500</v>
      </c>
      <c r="D19" s="140">
        <v>5045300</v>
      </c>
      <c r="E19" s="140">
        <v>1000000</v>
      </c>
      <c r="F19" s="140">
        <v>195000</v>
      </c>
      <c r="G19" s="140">
        <v>0</v>
      </c>
      <c r="H19" s="140">
        <v>0</v>
      </c>
      <c r="I19" s="140">
        <v>0</v>
      </c>
      <c r="J19" s="140">
        <v>16300</v>
      </c>
      <c r="K19" s="140">
        <v>0</v>
      </c>
      <c r="L19" s="137">
        <v>0</v>
      </c>
      <c r="M19" s="137">
        <f t="shared" si="0"/>
        <v>18404300</v>
      </c>
    </row>
    <row r="20" spans="1:13" x14ac:dyDescent="0.2">
      <c r="A20" s="134" t="s">
        <v>523</v>
      </c>
      <c r="B20" s="140">
        <v>31723300</v>
      </c>
      <c r="C20" s="140">
        <v>240800</v>
      </c>
      <c r="D20" s="140">
        <v>5726200</v>
      </c>
      <c r="E20" s="140">
        <v>9554225</v>
      </c>
      <c r="F20" s="140">
        <v>75000</v>
      </c>
      <c r="G20" s="140">
        <v>0</v>
      </c>
      <c r="H20" s="140">
        <v>0</v>
      </c>
      <c r="I20" s="140">
        <v>0</v>
      </c>
      <c r="J20" s="140">
        <v>2100000</v>
      </c>
      <c r="K20" s="140">
        <v>0</v>
      </c>
      <c r="L20" s="137">
        <v>0</v>
      </c>
      <c r="M20" s="137">
        <f t="shared" si="0"/>
        <v>49419525</v>
      </c>
    </row>
    <row r="21" spans="1:13" x14ac:dyDescent="0.2">
      <c r="A21" s="134" t="s">
        <v>524</v>
      </c>
      <c r="B21" s="140">
        <v>20048489</v>
      </c>
      <c r="C21" s="140">
        <v>57500</v>
      </c>
      <c r="D21" s="140">
        <v>10261875</v>
      </c>
      <c r="E21" s="140">
        <v>0</v>
      </c>
      <c r="F21" s="140">
        <v>450000</v>
      </c>
      <c r="G21" s="140">
        <v>0</v>
      </c>
      <c r="H21" s="140">
        <v>0</v>
      </c>
      <c r="I21" s="140">
        <v>0</v>
      </c>
      <c r="J21" s="140">
        <v>0</v>
      </c>
      <c r="K21" s="140">
        <v>0</v>
      </c>
      <c r="L21" s="137">
        <v>0</v>
      </c>
      <c r="M21" s="137">
        <f t="shared" si="0"/>
        <v>30817864</v>
      </c>
    </row>
    <row r="22" spans="1:13" x14ac:dyDescent="0.2">
      <c r="A22" s="134" t="s">
        <v>525</v>
      </c>
      <c r="B22" s="140">
        <v>17743900</v>
      </c>
      <c r="C22" s="140">
        <v>0</v>
      </c>
      <c r="D22" s="140">
        <v>7606925</v>
      </c>
      <c r="E22" s="140">
        <v>3300000</v>
      </c>
      <c r="F22" s="140">
        <v>273827</v>
      </c>
      <c r="G22" s="140">
        <v>0</v>
      </c>
      <c r="H22" s="140">
        <v>0</v>
      </c>
      <c r="I22" s="140">
        <v>0</v>
      </c>
      <c r="J22" s="140">
        <v>0</v>
      </c>
      <c r="K22" s="140">
        <v>0</v>
      </c>
      <c r="L22" s="137">
        <v>0</v>
      </c>
      <c r="M22" s="137">
        <f t="shared" si="0"/>
        <v>28924652</v>
      </c>
    </row>
    <row r="23" spans="1:13" x14ac:dyDescent="0.2">
      <c r="A23" s="134" t="s">
        <v>526</v>
      </c>
      <c r="B23" s="140">
        <v>16400</v>
      </c>
      <c r="C23" s="140">
        <v>677300</v>
      </c>
      <c r="D23" s="140">
        <v>4410600</v>
      </c>
      <c r="E23" s="140">
        <v>9431481</v>
      </c>
      <c r="F23" s="140">
        <v>427500</v>
      </c>
      <c r="G23" s="140">
        <v>0</v>
      </c>
      <c r="H23" s="140">
        <v>0</v>
      </c>
      <c r="I23" s="140">
        <v>0</v>
      </c>
      <c r="J23" s="140">
        <v>0</v>
      </c>
      <c r="K23" s="140">
        <v>0</v>
      </c>
      <c r="L23" s="140">
        <v>500000</v>
      </c>
      <c r="M23" s="137">
        <f t="shared" si="0"/>
        <v>15463281</v>
      </c>
    </row>
    <row r="24" spans="1:13" x14ac:dyDescent="0.2">
      <c r="A24" s="134" t="s">
        <v>527</v>
      </c>
      <c r="B24" s="140">
        <v>10049300</v>
      </c>
      <c r="C24" s="140">
        <v>0</v>
      </c>
      <c r="D24" s="140">
        <v>3737555</v>
      </c>
      <c r="E24" s="140">
        <v>2410000</v>
      </c>
      <c r="F24" s="140">
        <v>0</v>
      </c>
      <c r="G24" s="140">
        <v>0</v>
      </c>
      <c r="H24" s="140">
        <v>0</v>
      </c>
      <c r="I24" s="140">
        <v>0</v>
      </c>
      <c r="J24" s="140">
        <v>0</v>
      </c>
      <c r="K24" s="140">
        <v>0</v>
      </c>
      <c r="L24" s="140">
        <v>0</v>
      </c>
      <c r="M24" s="137">
        <f t="shared" si="0"/>
        <v>16196855</v>
      </c>
    </row>
    <row r="25" spans="1:13" x14ac:dyDescent="0.2">
      <c r="A25" s="134" t="s">
        <v>528</v>
      </c>
      <c r="B25" s="140">
        <v>0</v>
      </c>
      <c r="C25" s="140">
        <v>400000</v>
      </c>
      <c r="D25" s="140">
        <v>3273700</v>
      </c>
      <c r="E25" s="140">
        <v>1500000</v>
      </c>
      <c r="F25" s="140">
        <v>500000</v>
      </c>
      <c r="G25" s="140">
        <v>0</v>
      </c>
      <c r="H25" s="140">
        <v>1000000</v>
      </c>
      <c r="I25" s="140">
        <v>0</v>
      </c>
      <c r="J25" s="140">
        <v>0</v>
      </c>
      <c r="K25" s="140">
        <v>0</v>
      </c>
      <c r="L25" s="140">
        <v>0</v>
      </c>
      <c r="M25" s="137">
        <f t="shared" si="0"/>
        <v>6673700</v>
      </c>
    </row>
    <row r="26" spans="1:13" x14ac:dyDescent="0.2">
      <c r="A26" s="134" t="s">
        <v>529</v>
      </c>
      <c r="B26" s="142">
        <v>15652600</v>
      </c>
      <c r="C26" s="140">
        <v>0</v>
      </c>
      <c r="D26" s="142">
        <v>6076600</v>
      </c>
      <c r="E26" s="140">
        <v>1500000</v>
      </c>
      <c r="F26" s="140">
        <v>798400</v>
      </c>
      <c r="G26" s="140">
        <v>0</v>
      </c>
      <c r="H26" s="140">
        <v>0</v>
      </c>
      <c r="I26" s="140">
        <v>1000000</v>
      </c>
      <c r="J26" s="140">
        <v>0</v>
      </c>
      <c r="K26" s="140">
        <v>0</v>
      </c>
      <c r="L26" s="140">
        <v>0</v>
      </c>
      <c r="M26" s="137">
        <f t="shared" si="0"/>
        <v>25027600</v>
      </c>
    </row>
    <row r="27" spans="1:13" x14ac:dyDescent="0.2">
      <c r="A27" s="135"/>
      <c r="B27" s="135"/>
      <c r="C27" s="135"/>
      <c r="D27" s="135"/>
      <c r="E27" s="135"/>
      <c r="F27" s="135"/>
      <c r="G27" s="135"/>
      <c r="H27" s="135"/>
      <c r="I27" s="135"/>
      <c r="J27" s="135"/>
      <c r="K27" s="135"/>
      <c r="L27" s="135"/>
      <c r="M27" s="135"/>
    </row>
    <row r="28" spans="1:13" x14ac:dyDescent="0.2">
      <c r="A28" s="138" t="s">
        <v>536</v>
      </c>
      <c r="B28" s="137">
        <f>SUM(B4:B27)</f>
        <v>307313489</v>
      </c>
      <c r="C28" s="137">
        <f t="shared" ref="C28:L28" si="1">SUM(C4:C27)</f>
        <v>6753000</v>
      </c>
      <c r="D28" s="137">
        <f t="shared" si="1"/>
        <v>118485904</v>
      </c>
      <c r="E28" s="137">
        <f t="shared" si="1"/>
        <v>46664706</v>
      </c>
      <c r="F28" s="137">
        <f t="shared" si="1"/>
        <v>12344029</v>
      </c>
      <c r="G28" s="137">
        <f t="shared" si="1"/>
        <v>150000</v>
      </c>
      <c r="H28" s="137">
        <f t="shared" si="1"/>
        <v>6616575</v>
      </c>
      <c r="I28" s="137">
        <f t="shared" si="1"/>
        <v>2100000</v>
      </c>
      <c r="J28" s="137">
        <f t="shared" si="1"/>
        <v>4016300</v>
      </c>
      <c r="K28" s="137">
        <f t="shared" si="1"/>
        <v>6000000</v>
      </c>
      <c r="L28" s="137">
        <f t="shared" si="1"/>
        <v>500000</v>
      </c>
      <c r="M28" s="137">
        <f>SUM(M4:M27)</f>
        <v>510944003</v>
      </c>
    </row>
    <row r="30" spans="1:13" x14ac:dyDescent="0.2">
      <c r="A30" s="136" t="s">
        <v>533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workbookViewId="0">
      <selection activeCell="C9" sqref="C9"/>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6.28515625" style="17" bestFit="1" customWidth="1"/>
    <col min="7" max="7" width="13.28515625" style="17" customWidth="1"/>
    <col min="8" max="8" width="11.85546875" style="17" customWidth="1"/>
    <col min="9" max="9" width="10.42578125" style="16" bestFit="1" customWidth="1"/>
    <col min="10" max="10" width="60.7109375" style="16"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v>2018</v>
      </c>
      <c r="C2" s="10">
        <v>2020</v>
      </c>
      <c r="D2" s="1"/>
      <c r="E2" s="1"/>
      <c r="F2" s="11" t="s">
        <v>9</v>
      </c>
      <c r="G2" s="12" t="s">
        <v>10</v>
      </c>
      <c r="H2" s="12" t="s">
        <v>11</v>
      </c>
      <c r="I2" s="1"/>
      <c r="J2" s="1"/>
      <c r="L2" s="59" t="s">
        <v>44</v>
      </c>
      <c r="M2" s="59" t="s">
        <v>13</v>
      </c>
      <c r="W2" s="5"/>
    </row>
    <row r="3" spans="1:23" x14ac:dyDescent="0.2">
      <c r="A3" s="69" t="s">
        <v>172</v>
      </c>
      <c r="B3" s="73">
        <v>3986300</v>
      </c>
      <c r="C3" s="35">
        <f>ROUND(B3/123.7*141.9,-2)</f>
        <v>4572800</v>
      </c>
      <c r="D3" s="63" t="s">
        <v>46</v>
      </c>
      <c r="E3" s="16" t="s">
        <v>76</v>
      </c>
      <c r="F3" s="17" t="s">
        <v>173</v>
      </c>
      <c r="G3" s="70">
        <v>42864</v>
      </c>
      <c r="H3" s="18">
        <v>45055</v>
      </c>
      <c r="I3" s="16" t="s">
        <v>49</v>
      </c>
    </row>
    <row r="4" spans="1:23" x14ac:dyDescent="0.2">
      <c r="A4" s="99" t="s">
        <v>174</v>
      </c>
      <c r="B4" s="35">
        <v>8779900</v>
      </c>
      <c r="C4" s="35">
        <f>ROUND(B4/123.7*141.9,-2)</f>
        <v>10071700</v>
      </c>
      <c r="D4" s="63" t="s">
        <v>46</v>
      </c>
      <c r="E4" s="16" t="s">
        <v>76</v>
      </c>
      <c r="F4" s="17" t="s">
        <v>175</v>
      </c>
      <c r="G4" s="70">
        <v>42955</v>
      </c>
      <c r="H4" s="18">
        <v>45054</v>
      </c>
      <c r="I4" s="16" t="s">
        <v>49</v>
      </c>
      <c r="L4" s="17"/>
      <c r="M4" s="17"/>
    </row>
    <row r="5" spans="1:23" x14ac:dyDescent="0.2">
      <c r="A5" s="99" t="s">
        <v>174</v>
      </c>
      <c r="B5" s="35">
        <v>2314000</v>
      </c>
      <c r="C5" s="35">
        <f>B5</f>
        <v>2314000</v>
      </c>
      <c r="D5" s="71" t="s">
        <v>16</v>
      </c>
      <c r="E5" s="16" t="s">
        <v>76</v>
      </c>
      <c r="F5" s="17" t="s">
        <v>176</v>
      </c>
      <c r="G5" s="70">
        <v>42863</v>
      </c>
      <c r="H5" s="18">
        <v>43959</v>
      </c>
      <c r="I5" s="16" t="s">
        <v>49</v>
      </c>
      <c r="J5" s="16" t="s">
        <v>177</v>
      </c>
      <c r="L5" s="17"/>
      <c r="M5" s="17"/>
    </row>
    <row r="6" spans="1:23" x14ac:dyDescent="0.2">
      <c r="A6" s="69" t="s">
        <v>172</v>
      </c>
      <c r="B6" s="35">
        <v>534000</v>
      </c>
      <c r="C6" s="35">
        <f>B6</f>
        <v>534000</v>
      </c>
      <c r="D6" s="63" t="s">
        <v>16</v>
      </c>
      <c r="E6" s="16" t="s">
        <v>76</v>
      </c>
      <c r="F6" s="17" t="s">
        <v>178</v>
      </c>
      <c r="G6" s="70">
        <v>42863</v>
      </c>
      <c r="H6" s="18">
        <v>43959</v>
      </c>
      <c r="J6" s="16" t="s">
        <v>179</v>
      </c>
    </row>
    <row r="7" spans="1:23" x14ac:dyDescent="0.2">
      <c r="B7" s="35">
        <v>15980</v>
      </c>
      <c r="C7" s="35">
        <f>B7</f>
        <v>15980</v>
      </c>
      <c r="D7" s="63" t="s">
        <v>16</v>
      </c>
      <c r="G7" s="70"/>
      <c r="H7" s="18"/>
      <c r="J7" s="16" t="s">
        <v>180</v>
      </c>
    </row>
    <row r="8" spans="1:23" x14ac:dyDescent="0.2">
      <c r="B8" s="35">
        <v>680671</v>
      </c>
      <c r="C8" s="35">
        <f>B8</f>
        <v>680671</v>
      </c>
      <c r="D8" s="63" t="s">
        <v>85</v>
      </c>
      <c r="G8" s="70"/>
      <c r="H8" s="18"/>
    </row>
    <row r="9" spans="1:23" x14ac:dyDescent="0.2">
      <c r="B9" s="35">
        <v>3832863</v>
      </c>
      <c r="C9" s="35">
        <v>1759000</v>
      </c>
      <c r="D9" s="63" t="s">
        <v>29</v>
      </c>
      <c r="G9" s="70"/>
      <c r="H9" s="18"/>
      <c r="J9" s="16" t="s">
        <v>181</v>
      </c>
    </row>
    <row r="10" spans="1:23" x14ac:dyDescent="0.2">
      <c r="A10" s="13"/>
      <c r="B10" s="14"/>
      <c r="C10" s="14"/>
      <c r="D10" s="13"/>
      <c r="E10" s="13"/>
    </row>
    <row r="11" spans="1:23" ht="13.5" thickBot="1" x14ac:dyDescent="0.25">
      <c r="A11" s="13"/>
      <c r="B11" s="28"/>
      <c r="C11" s="28"/>
      <c r="E11" s="13"/>
    </row>
    <row r="12" spans="1:23" s="4" customFormat="1" ht="13.5" thickBot="1" x14ac:dyDescent="0.25">
      <c r="A12" s="4" t="s">
        <v>27</v>
      </c>
      <c r="B12" s="47">
        <f>SUM(B3:B10)</f>
        <v>20143714</v>
      </c>
      <c r="C12" s="47">
        <f>SUM(C3:C10)</f>
        <v>19948151</v>
      </c>
      <c r="E12" s="32"/>
      <c r="F12" s="33"/>
      <c r="G12" s="33"/>
      <c r="H12" s="33"/>
      <c r="W12" s="5"/>
    </row>
    <row r="13" spans="1:23" x14ac:dyDescent="0.2">
      <c r="B13" s="34"/>
      <c r="C13" s="34"/>
      <c r="E13" s="13"/>
    </row>
    <row r="14" spans="1:23" x14ac:dyDescent="0.2">
      <c r="B14" s="35"/>
      <c r="C14" s="35"/>
    </row>
    <row r="15" spans="1:23" x14ac:dyDescent="0.2">
      <c r="A15" s="36" t="s">
        <v>28</v>
      </c>
      <c r="B15" s="35"/>
      <c r="C15" s="35"/>
    </row>
    <row r="16" spans="1:23" x14ac:dyDescent="0.2">
      <c r="A16" s="16" t="s">
        <v>13</v>
      </c>
      <c r="B16" s="35">
        <f>B3+B4</f>
        <v>12766200</v>
      </c>
      <c r="C16" s="35">
        <f>C3+C4</f>
        <v>14644500</v>
      </c>
      <c r="E16" s="19"/>
    </row>
    <row r="17" spans="1:5" x14ac:dyDescent="0.2">
      <c r="A17" s="16" t="s">
        <v>16</v>
      </c>
      <c r="B17" s="35">
        <f>B5+B6+B7</f>
        <v>2863980</v>
      </c>
      <c r="C17" s="35">
        <f>C5+C6+C7</f>
        <v>2863980</v>
      </c>
      <c r="E17" s="19"/>
    </row>
    <row r="18" spans="1:5" x14ac:dyDescent="0.2">
      <c r="A18" s="16" t="s">
        <v>85</v>
      </c>
      <c r="B18" s="35">
        <f>B8</f>
        <v>680671</v>
      </c>
      <c r="C18" s="35">
        <f>C8</f>
        <v>680671</v>
      </c>
    </row>
    <row r="19" spans="1:5" x14ac:dyDescent="0.2">
      <c r="B19" s="35"/>
      <c r="C19" s="35"/>
    </row>
    <row r="20" spans="1:5" x14ac:dyDescent="0.2">
      <c r="A20" s="63" t="s">
        <v>29</v>
      </c>
      <c r="B20" s="35">
        <f>B9</f>
        <v>3832863</v>
      </c>
      <c r="C20" s="35">
        <f>C9</f>
        <v>1759000</v>
      </c>
    </row>
    <row r="21" spans="1:5" x14ac:dyDescent="0.2">
      <c r="A21" s="13"/>
      <c r="B21" s="35"/>
      <c r="C21" s="35"/>
    </row>
    <row r="22" spans="1:5" x14ac:dyDescent="0.2">
      <c r="B22" s="35"/>
      <c r="C22" s="35"/>
    </row>
    <row r="23" spans="1:5" ht="13.5" thickBot="1" x14ac:dyDescent="0.25">
      <c r="B23" s="72">
        <f>SUM(B16:B22)</f>
        <v>20143714</v>
      </c>
      <c r="C23" s="72">
        <f>SUM(C16:C22)</f>
        <v>19948151</v>
      </c>
    </row>
    <row r="24" spans="1:5" ht="13.5" thickTop="1" x14ac:dyDescent="0.2">
      <c r="B24" s="58"/>
      <c r="C24" s="58"/>
    </row>
    <row r="25" spans="1:5" x14ac:dyDescent="0.2">
      <c r="A25" s="36" t="s">
        <v>30</v>
      </c>
    </row>
    <row r="26" spans="1:5" x14ac:dyDescent="0.2">
      <c r="A26" s="16" t="s">
        <v>31</v>
      </c>
      <c r="C26" s="19" t="s">
        <v>74</v>
      </c>
    </row>
    <row r="27" spans="1:5" x14ac:dyDescent="0.2">
      <c r="A27" s="16" t="s">
        <v>33</v>
      </c>
      <c r="C27" s="19" t="s">
        <v>74</v>
      </c>
    </row>
    <row r="28" spans="1:5" x14ac:dyDescent="0.2">
      <c r="A28" s="16" t="s">
        <v>35</v>
      </c>
    </row>
    <row r="29" spans="1:5" x14ac:dyDescent="0.2">
      <c r="A29" s="16" t="s">
        <v>36</v>
      </c>
      <c r="C29" s="19" t="s">
        <v>182</v>
      </c>
    </row>
    <row r="30" spans="1:5" x14ac:dyDescent="0.2">
      <c r="A30" s="16" t="s">
        <v>38</v>
      </c>
      <c r="C30" s="19" t="s">
        <v>183</v>
      </c>
    </row>
    <row r="31" spans="1:5" x14ac:dyDescent="0.2">
      <c r="A31" s="16" t="s">
        <v>39</v>
      </c>
      <c r="C31" s="19" t="s">
        <v>184</v>
      </c>
    </row>
  </sheetData>
  <mergeCells count="2">
    <mergeCell ref="F1:H1"/>
    <mergeCell ref="L1:M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workbookViewId="0">
      <selection activeCell="C14" sqref="C14"/>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8.28515625" style="17" bestFit="1" customWidth="1"/>
    <col min="7" max="7" width="13.28515625" style="17" customWidth="1"/>
    <col min="8" max="8" width="11.85546875" style="17" customWidth="1"/>
    <col min="9" max="9" width="10.42578125" style="16" bestFit="1" customWidth="1"/>
    <col min="10" max="10" width="66.4257812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185</v>
      </c>
      <c r="B3" s="73">
        <v>504500</v>
      </c>
      <c r="C3" s="35">
        <f>ROUND(B3/132*141.9,-2)</f>
        <v>542300</v>
      </c>
      <c r="D3" s="63" t="s">
        <v>46</v>
      </c>
      <c r="E3" s="16" t="s">
        <v>47</v>
      </c>
      <c r="F3" s="17" t="s">
        <v>186</v>
      </c>
      <c r="G3" s="70">
        <v>43354</v>
      </c>
      <c r="H3" s="18">
        <v>45546</v>
      </c>
      <c r="I3" s="16" t="s">
        <v>49</v>
      </c>
    </row>
    <row r="4" spans="1:23" x14ac:dyDescent="0.2">
      <c r="A4" s="99"/>
      <c r="B4" s="35">
        <v>72000</v>
      </c>
      <c r="C4" s="35">
        <f>B4</f>
        <v>72000</v>
      </c>
      <c r="D4" s="63" t="s">
        <v>16</v>
      </c>
      <c r="E4" s="16" t="s">
        <v>47</v>
      </c>
      <c r="F4" s="17" t="s">
        <v>187</v>
      </c>
      <c r="G4" s="70">
        <v>43354</v>
      </c>
      <c r="H4" s="18">
        <v>44450</v>
      </c>
      <c r="I4" s="16" t="s">
        <v>96</v>
      </c>
      <c r="J4" s="16" t="s">
        <v>188</v>
      </c>
      <c r="L4" s="17"/>
      <c r="M4" s="17"/>
    </row>
    <row r="5" spans="1:23" x14ac:dyDescent="0.2">
      <c r="A5" s="16" t="s">
        <v>189</v>
      </c>
      <c r="B5" s="35">
        <v>10170000</v>
      </c>
      <c r="C5" s="35">
        <f>ROUND(B5/132*141.9,-2)</f>
        <v>10932800</v>
      </c>
      <c r="D5" s="71" t="s">
        <v>46</v>
      </c>
      <c r="E5" s="16" t="s">
        <v>47</v>
      </c>
      <c r="F5" s="17" t="s">
        <v>190</v>
      </c>
      <c r="G5" s="70">
        <v>43354</v>
      </c>
      <c r="H5" s="18">
        <v>45546</v>
      </c>
      <c r="I5" s="16" t="s">
        <v>49</v>
      </c>
      <c r="L5" s="17"/>
      <c r="M5" s="17"/>
    </row>
    <row r="6" spans="1:23" x14ac:dyDescent="0.2">
      <c r="A6" s="69"/>
      <c r="B6" s="35">
        <v>3025000</v>
      </c>
      <c r="C6" s="35">
        <f t="shared" ref="C6:C7" si="0">B6</f>
        <v>3025000</v>
      </c>
      <c r="D6" s="63" t="s">
        <v>16</v>
      </c>
      <c r="E6" s="16" t="s">
        <v>47</v>
      </c>
      <c r="F6" s="17" t="s">
        <v>191</v>
      </c>
      <c r="G6" s="70">
        <v>43354</v>
      </c>
      <c r="H6" s="18">
        <v>44450</v>
      </c>
      <c r="I6" s="16" t="s">
        <v>49</v>
      </c>
      <c r="J6" s="16" t="s">
        <v>192</v>
      </c>
    </row>
    <row r="7" spans="1:23" x14ac:dyDescent="0.2">
      <c r="B7" s="35">
        <v>250000</v>
      </c>
      <c r="C7" s="35">
        <f t="shared" si="0"/>
        <v>250000</v>
      </c>
      <c r="D7" s="71" t="s">
        <v>85</v>
      </c>
      <c r="G7" s="70"/>
      <c r="H7" s="18"/>
      <c r="I7" s="16" t="s">
        <v>54</v>
      </c>
    </row>
    <row r="8" spans="1:23" x14ac:dyDescent="0.2">
      <c r="A8" s="16" t="s">
        <v>193</v>
      </c>
      <c r="B8" s="35">
        <v>1866600</v>
      </c>
      <c r="C8" s="35">
        <f>ROUND(B8/132*141.9,-2)</f>
        <v>2006600</v>
      </c>
      <c r="D8" s="63" t="s">
        <v>46</v>
      </c>
      <c r="E8" s="16" t="s">
        <v>47</v>
      </c>
      <c r="F8" s="17" t="s">
        <v>194</v>
      </c>
      <c r="G8" s="70">
        <v>43354</v>
      </c>
      <c r="H8" s="18">
        <v>45546</v>
      </c>
      <c r="I8" s="16" t="s">
        <v>49</v>
      </c>
      <c r="J8" s="16" t="s">
        <v>195</v>
      </c>
    </row>
    <row r="9" spans="1:23" x14ac:dyDescent="0.2">
      <c r="B9" s="35">
        <v>30000</v>
      </c>
      <c r="C9" s="35">
        <f>B9</f>
        <v>30000</v>
      </c>
      <c r="D9" s="71" t="s">
        <v>16</v>
      </c>
      <c r="E9" s="16" t="s">
        <v>47</v>
      </c>
      <c r="F9" s="17" t="s">
        <v>196</v>
      </c>
      <c r="G9" s="70">
        <v>43354</v>
      </c>
      <c r="H9" s="18">
        <v>44450</v>
      </c>
      <c r="I9" s="16" t="s">
        <v>49</v>
      </c>
      <c r="J9" s="16" t="s">
        <v>197</v>
      </c>
    </row>
    <row r="10" spans="1:23" x14ac:dyDescent="0.2">
      <c r="A10" s="16" t="s">
        <v>198</v>
      </c>
      <c r="B10" s="35">
        <v>20000</v>
      </c>
      <c r="C10" s="35">
        <f>B10</f>
        <v>20000</v>
      </c>
      <c r="D10" s="71" t="s">
        <v>16</v>
      </c>
      <c r="E10" s="16" t="s">
        <v>47</v>
      </c>
      <c r="F10" s="17" t="s">
        <v>199</v>
      </c>
      <c r="G10" s="70">
        <v>43354</v>
      </c>
      <c r="H10" s="18">
        <v>44450</v>
      </c>
      <c r="I10" s="16" t="s">
        <v>49</v>
      </c>
      <c r="J10" s="16" t="s">
        <v>200</v>
      </c>
    </row>
    <row r="11" spans="1:23" x14ac:dyDescent="0.2">
      <c r="A11" s="16" t="s">
        <v>201</v>
      </c>
      <c r="B11" s="35">
        <v>514600</v>
      </c>
      <c r="C11" s="35">
        <f>ROUND(B11/132*141.9,-2)</f>
        <v>553200</v>
      </c>
      <c r="D11" s="63" t="s">
        <v>46</v>
      </c>
      <c r="E11" s="16" t="s">
        <v>47</v>
      </c>
      <c r="F11" s="17" t="s">
        <v>202</v>
      </c>
      <c r="G11" s="70">
        <v>43354</v>
      </c>
      <c r="H11" s="18">
        <v>45546</v>
      </c>
      <c r="I11" s="16" t="s">
        <v>49</v>
      </c>
    </row>
    <row r="12" spans="1:23" x14ac:dyDescent="0.2">
      <c r="A12" s="13"/>
      <c r="B12" s="35">
        <v>111000</v>
      </c>
      <c r="C12" s="35">
        <f>B12</f>
        <v>111000</v>
      </c>
      <c r="D12" s="71" t="s">
        <v>16</v>
      </c>
      <c r="E12" s="16" t="s">
        <v>47</v>
      </c>
      <c r="F12" s="17" t="s">
        <v>203</v>
      </c>
      <c r="G12" s="70">
        <v>43354</v>
      </c>
      <c r="H12" s="18"/>
      <c r="I12" s="16" t="s">
        <v>49</v>
      </c>
      <c r="J12" s="16" t="s">
        <v>204</v>
      </c>
    </row>
    <row r="13" spans="1:23" x14ac:dyDescent="0.2">
      <c r="A13" s="40" t="s">
        <v>165</v>
      </c>
      <c r="B13" s="14">
        <v>5000000</v>
      </c>
      <c r="C13" s="35">
        <v>2000000</v>
      </c>
      <c r="D13" s="71" t="s">
        <v>29</v>
      </c>
      <c r="E13" s="13"/>
      <c r="F13" s="44"/>
      <c r="G13" s="70"/>
      <c r="H13" s="18"/>
      <c r="I13" s="16" t="s">
        <v>54</v>
      </c>
      <c r="J13" s="16" t="s">
        <v>166</v>
      </c>
    </row>
    <row r="14" spans="1:23" x14ac:dyDescent="0.2">
      <c r="A14" s="13"/>
      <c r="B14" s="14">
        <v>1840000</v>
      </c>
      <c r="C14" s="35">
        <f>B14</f>
        <v>1840000</v>
      </c>
      <c r="D14" s="71" t="s">
        <v>167</v>
      </c>
      <c r="E14" s="13"/>
      <c r="F14" s="44"/>
      <c r="G14" s="70"/>
      <c r="H14" s="18"/>
      <c r="I14" s="16" t="s">
        <v>54</v>
      </c>
      <c r="J14" s="16" t="s">
        <v>205</v>
      </c>
    </row>
    <row r="15" spans="1:23" x14ac:dyDescent="0.2">
      <c r="A15" s="13" t="s">
        <v>160</v>
      </c>
      <c r="B15" s="14">
        <v>526000</v>
      </c>
      <c r="C15" s="35">
        <f>B15</f>
        <v>526000</v>
      </c>
      <c r="D15" s="71" t="s">
        <v>16</v>
      </c>
      <c r="E15" s="16" t="s">
        <v>47</v>
      </c>
      <c r="F15" s="17" t="s">
        <v>206</v>
      </c>
      <c r="G15" s="70">
        <v>43354</v>
      </c>
      <c r="H15" s="18">
        <v>44450</v>
      </c>
      <c r="I15" s="16" t="s">
        <v>54</v>
      </c>
      <c r="J15" s="16" t="s">
        <v>207</v>
      </c>
    </row>
    <row r="16" spans="1:23" x14ac:dyDescent="0.2">
      <c r="A16" s="13" t="s">
        <v>208</v>
      </c>
      <c r="B16" s="14">
        <v>130000</v>
      </c>
      <c r="C16" s="35">
        <f>ROUND(B16/132*141.9,-2)</f>
        <v>139800</v>
      </c>
      <c r="D16" s="71" t="s">
        <v>108</v>
      </c>
      <c r="E16" s="16" t="s">
        <v>47</v>
      </c>
      <c r="F16" s="17" t="s">
        <v>209</v>
      </c>
      <c r="G16" s="70">
        <v>43354</v>
      </c>
      <c r="H16" s="18">
        <v>44450</v>
      </c>
      <c r="I16" s="16" t="s">
        <v>49</v>
      </c>
    </row>
    <row r="17" spans="1:23" x14ac:dyDescent="0.2">
      <c r="A17" s="13"/>
      <c r="B17" s="14">
        <v>234000</v>
      </c>
      <c r="C17" s="35">
        <f>B17</f>
        <v>234000</v>
      </c>
      <c r="D17" s="63" t="s">
        <v>16</v>
      </c>
      <c r="E17" s="13" t="s">
        <v>47</v>
      </c>
      <c r="F17" s="17" t="s">
        <v>209</v>
      </c>
      <c r="G17" s="70">
        <v>43354</v>
      </c>
      <c r="H17" s="18">
        <v>44450</v>
      </c>
      <c r="I17" s="16" t="s">
        <v>49</v>
      </c>
      <c r="J17" s="16" t="s">
        <v>210</v>
      </c>
    </row>
    <row r="18" spans="1:23" x14ac:dyDescent="0.2">
      <c r="A18" s="13"/>
      <c r="B18" s="14">
        <v>150000</v>
      </c>
      <c r="C18" s="35">
        <f>B18</f>
        <v>150000</v>
      </c>
      <c r="D18" s="71" t="s">
        <v>80</v>
      </c>
      <c r="G18" s="70"/>
      <c r="H18" s="18"/>
      <c r="I18" s="16" t="s">
        <v>54</v>
      </c>
      <c r="J18" s="16" t="s">
        <v>211</v>
      </c>
    </row>
    <row r="19" spans="1:23" x14ac:dyDescent="0.2">
      <c r="A19" s="13" t="s">
        <v>212</v>
      </c>
      <c r="B19" s="14">
        <v>2314000</v>
      </c>
      <c r="C19" s="35">
        <f>B19</f>
        <v>2314000</v>
      </c>
      <c r="D19" s="71" t="s">
        <v>16</v>
      </c>
      <c r="E19" s="13" t="s">
        <v>47</v>
      </c>
      <c r="F19" s="17" t="s">
        <v>213</v>
      </c>
      <c r="G19" s="70">
        <v>43354</v>
      </c>
      <c r="H19" s="18">
        <v>44450</v>
      </c>
      <c r="I19" s="16" t="s">
        <v>49</v>
      </c>
      <c r="J19" s="16" t="s">
        <v>192</v>
      </c>
    </row>
    <row r="20" spans="1:23" x14ac:dyDescent="0.2">
      <c r="A20" s="13"/>
      <c r="B20" s="14">
        <v>275000</v>
      </c>
      <c r="C20" s="35">
        <f>B20</f>
        <v>275000</v>
      </c>
      <c r="D20" s="63" t="s">
        <v>80</v>
      </c>
      <c r="E20" s="13"/>
      <c r="G20" s="70"/>
      <c r="I20" s="16" t="s">
        <v>54</v>
      </c>
      <c r="J20" s="16" t="s">
        <v>214</v>
      </c>
    </row>
    <row r="21" spans="1:23" x14ac:dyDescent="0.2">
      <c r="A21" s="13"/>
      <c r="B21" s="14">
        <v>40000</v>
      </c>
      <c r="C21" s="35">
        <f>B21</f>
        <v>40000</v>
      </c>
      <c r="D21" s="13" t="s">
        <v>85</v>
      </c>
      <c r="E21" s="13"/>
      <c r="G21" s="70"/>
      <c r="H21" s="18"/>
      <c r="I21" s="16" t="s">
        <v>54</v>
      </c>
      <c r="J21" s="16" t="s">
        <v>215</v>
      </c>
    </row>
    <row r="22" spans="1:23" x14ac:dyDescent="0.2">
      <c r="A22" s="13"/>
      <c r="B22" s="14"/>
      <c r="C22" s="14"/>
      <c r="D22" s="13"/>
      <c r="E22" s="13"/>
    </row>
    <row r="23" spans="1:23" ht="13.5" thickBot="1" x14ac:dyDescent="0.25">
      <c r="A23" s="13"/>
      <c r="B23" s="28"/>
      <c r="C23" s="28"/>
      <c r="E23" s="13"/>
    </row>
    <row r="24" spans="1:23" s="4" customFormat="1" ht="13.5" thickBot="1" x14ac:dyDescent="0.25">
      <c r="A24" s="4" t="s">
        <v>27</v>
      </c>
      <c r="B24" s="47">
        <f>SUM(B3:B22)</f>
        <v>27072700</v>
      </c>
      <c r="C24" s="47">
        <f>SUM(C3:C22)</f>
        <v>25061700</v>
      </c>
      <c r="E24" s="32"/>
      <c r="F24" s="33"/>
      <c r="G24" s="33"/>
      <c r="H24" s="33"/>
      <c r="W24" s="5"/>
    </row>
    <row r="25" spans="1:23" x14ac:dyDescent="0.2">
      <c r="B25" s="34"/>
      <c r="C25" s="34"/>
      <c r="E25" s="13"/>
    </row>
    <row r="26" spans="1:23" x14ac:dyDescent="0.2">
      <c r="B26" s="35"/>
      <c r="C26" s="35"/>
    </row>
    <row r="27" spans="1:23" x14ac:dyDescent="0.2">
      <c r="A27" s="36" t="s">
        <v>28</v>
      </c>
      <c r="B27" s="35"/>
      <c r="C27" s="35"/>
    </row>
    <row r="28" spans="1:23" x14ac:dyDescent="0.2">
      <c r="A28" s="16" t="s">
        <v>13</v>
      </c>
      <c r="B28" s="35">
        <f>B3+B5+B8+B11</f>
        <v>13055700</v>
      </c>
      <c r="C28" s="35">
        <f>C3+C5+C8+C11</f>
        <v>14034900</v>
      </c>
      <c r="E28" s="19"/>
    </row>
    <row r="29" spans="1:23" x14ac:dyDescent="0.2">
      <c r="A29" s="16" t="s">
        <v>16</v>
      </c>
      <c r="B29" s="35">
        <f>B4+B6+B9+B10+B12+B15+B17+B19</f>
        <v>6332000</v>
      </c>
      <c r="C29" s="35">
        <f>C4+C6+C9+C10+C12+C15+C17+C19</f>
        <v>6332000</v>
      </c>
      <c r="E29" s="19"/>
    </row>
    <row r="30" spans="1:23" x14ac:dyDescent="0.2">
      <c r="A30" s="16" t="s">
        <v>85</v>
      </c>
      <c r="B30" s="35">
        <f>B7+B18+B20+B21</f>
        <v>715000</v>
      </c>
      <c r="C30" s="35">
        <f>C7+C18+C20+C21</f>
        <v>715000</v>
      </c>
    </row>
    <row r="31" spans="1:23" x14ac:dyDescent="0.2">
      <c r="A31" s="16" t="s">
        <v>108</v>
      </c>
      <c r="B31" s="35">
        <f>B16</f>
        <v>130000</v>
      </c>
      <c r="C31" s="35">
        <f>C16</f>
        <v>139800</v>
      </c>
    </row>
    <row r="32" spans="1:23" x14ac:dyDescent="0.2">
      <c r="A32" s="71" t="s">
        <v>29</v>
      </c>
      <c r="B32" s="35">
        <f>B13</f>
        <v>5000000</v>
      </c>
      <c r="C32" s="35">
        <f>C13</f>
        <v>2000000</v>
      </c>
    </row>
    <row r="33" spans="1:3" x14ac:dyDescent="0.2">
      <c r="A33" s="13" t="s">
        <v>68</v>
      </c>
      <c r="B33" s="35">
        <f>B14</f>
        <v>1840000</v>
      </c>
      <c r="C33" s="35">
        <f>C14</f>
        <v>1840000</v>
      </c>
    </row>
    <row r="34" spans="1:3" x14ac:dyDescent="0.2">
      <c r="B34" s="35"/>
      <c r="C34" s="35"/>
    </row>
    <row r="35" spans="1:3" ht="13.5" thickBot="1" x14ac:dyDescent="0.25">
      <c r="B35" s="72">
        <f>SUM(B28:B34)</f>
        <v>27072700</v>
      </c>
      <c r="C35" s="72">
        <f>SUM(C28:C34)</f>
        <v>25061700</v>
      </c>
    </row>
    <row r="36" spans="1:3" ht="13.5" thickTop="1" x14ac:dyDescent="0.2">
      <c r="B36" s="58"/>
      <c r="C36" s="58"/>
    </row>
    <row r="37" spans="1:3" x14ac:dyDescent="0.2">
      <c r="A37" s="36" t="s">
        <v>30</v>
      </c>
    </row>
    <row r="38" spans="1:3" x14ac:dyDescent="0.2">
      <c r="A38" s="16" t="s">
        <v>31</v>
      </c>
      <c r="C38" s="19" t="s">
        <v>74</v>
      </c>
    </row>
    <row r="39" spans="1:3" x14ac:dyDescent="0.2">
      <c r="A39" s="16" t="s">
        <v>33</v>
      </c>
      <c r="C39" s="19" t="s">
        <v>71</v>
      </c>
    </row>
    <row r="40" spans="1:3" x14ac:dyDescent="0.2">
      <c r="A40" s="16" t="s">
        <v>35</v>
      </c>
      <c r="C40" s="19" t="s">
        <v>34</v>
      </c>
    </row>
    <row r="41" spans="1:3" x14ac:dyDescent="0.2">
      <c r="A41" s="16" t="s">
        <v>36</v>
      </c>
      <c r="C41" s="19" t="s">
        <v>216</v>
      </c>
    </row>
    <row r="42" spans="1:3" x14ac:dyDescent="0.2">
      <c r="A42" s="16" t="s">
        <v>38</v>
      </c>
      <c r="C42" s="19" t="s">
        <v>121</v>
      </c>
    </row>
    <row r="43" spans="1:3" x14ac:dyDescent="0.2">
      <c r="A43" s="16" t="s">
        <v>39</v>
      </c>
      <c r="C43" s="19" t="s">
        <v>217</v>
      </c>
    </row>
  </sheetData>
  <mergeCells count="2">
    <mergeCell ref="F1:H1"/>
    <mergeCell ref="L1:M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6"/>
  <sheetViews>
    <sheetView workbookViewId="0">
      <selection activeCell="H20" sqref="H20:O20"/>
    </sheetView>
  </sheetViews>
  <sheetFormatPr defaultRowHeight="12.75" x14ac:dyDescent="0.2"/>
  <cols>
    <col min="1" max="1" width="25" style="16" customWidth="1"/>
    <col min="2" max="2" width="9.140625" style="16" bestFit="1" customWidth="1"/>
    <col min="3" max="3" width="9.140625" style="19" bestFit="1" customWidth="1"/>
    <col min="4" max="4" width="18.28515625" style="19" hidden="1" customWidth="1"/>
    <col min="5" max="5" width="10.5703125" style="19" hidden="1" customWidth="1"/>
    <col min="6" max="6" width="20.28515625" style="19" hidden="1" customWidth="1"/>
    <col min="7" max="7" width="10.5703125" style="19" bestFit="1" customWidth="1"/>
    <col min="8" max="8" width="20.28515625" style="19" customWidth="1"/>
    <col min="9" max="9" width="22.42578125" style="16" customWidth="1"/>
    <col min="10" max="10" width="25.85546875" style="16" customWidth="1"/>
    <col min="11" max="11" width="11.5703125" style="16" bestFit="1" customWidth="1"/>
    <col min="12" max="12" width="10.85546875" style="16" customWidth="1"/>
    <col min="13" max="13" width="11.28515625" style="16" customWidth="1"/>
    <col min="14" max="14" width="10.42578125" style="16" bestFit="1" customWidth="1"/>
    <col min="15" max="15" width="32" style="16" bestFit="1" customWidth="1"/>
    <col min="16" max="16" width="2.42578125" style="16" customWidth="1"/>
    <col min="17" max="17" width="9.140625" style="16"/>
    <col min="18" max="18" width="9.5703125" style="16" bestFit="1" customWidth="1"/>
    <col min="19" max="20" width="9.140625" style="16"/>
    <col min="21" max="21" width="10.140625" style="16" bestFit="1" customWidth="1"/>
    <col min="22" max="24" width="9.140625" style="16"/>
    <col min="25" max="25" width="11.5703125" style="19" bestFit="1" customWidth="1"/>
    <col min="26" max="16384" width="9.140625" style="16"/>
  </cols>
  <sheetData>
    <row r="1" spans="1:25" s="4" customFormat="1" x14ac:dyDescent="0.2">
      <c r="A1" s="74" t="s">
        <v>0</v>
      </c>
      <c r="B1" s="74" t="s">
        <v>218</v>
      </c>
      <c r="C1" s="75" t="s">
        <v>219</v>
      </c>
      <c r="D1" s="75" t="s">
        <v>1</v>
      </c>
      <c r="E1" s="2" t="s">
        <v>2</v>
      </c>
      <c r="F1" s="75" t="s">
        <v>1</v>
      </c>
      <c r="G1" s="3" t="s">
        <v>2</v>
      </c>
      <c r="H1" s="3" t="s">
        <v>1</v>
      </c>
      <c r="I1" s="74" t="s">
        <v>3</v>
      </c>
      <c r="J1" s="74" t="s">
        <v>4</v>
      </c>
      <c r="K1" s="76" t="s">
        <v>5</v>
      </c>
      <c r="L1" s="76" t="s">
        <v>5</v>
      </c>
      <c r="M1" s="74" t="s">
        <v>220</v>
      </c>
      <c r="N1" s="74" t="s">
        <v>6</v>
      </c>
      <c r="O1" s="74" t="s">
        <v>7</v>
      </c>
      <c r="Y1" s="5"/>
    </row>
    <row r="2" spans="1:25" s="4" customFormat="1" x14ac:dyDescent="0.2">
      <c r="A2" s="74"/>
      <c r="B2" s="74"/>
      <c r="C2" s="77"/>
      <c r="D2" s="77">
        <v>2018</v>
      </c>
      <c r="E2" s="7">
        <v>43466</v>
      </c>
      <c r="F2" s="77">
        <v>2019</v>
      </c>
      <c r="G2" s="9">
        <v>43831</v>
      </c>
      <c r="H2" s="10">
        <v>2020</v>
      </c>
      <c r="I2" s="74"/>
      <c r="J2" s="74"/>
      <c r="K2" s="11" t="s">
        <v>90</v>
      </c>
      <c r="L2" s="11" t="s">
        <v>91</v>
      </c>
      <c r="M2" s="74" t="s">
        <v>221</v>
      </c>
      <c r="N2" s="74"/>
      <c r="O2" s="74"/>
      <c r="Y2" s="5"/>
    </row>
    <row r="3" spans="1:25" x14ac:dyDescent="0.2">
      <c r="A3" s="78"/>
      <c r="B3" s="45"/>
      <c r="C3" s="96"/>
    </row>
    <row r="4" spans="1:25" x14ac:dyDescent="0.2">
      <c r="A4" s="79" t="s">
        <v>222</v>
      </c>
      <c r="B4" s="104" t="s">
        <v>223</v>
      </c>
      <c r="C4" s="14" t="s">
        <v>224</v>
      </c>
      <c r="D4" s="80">
        <v>14033975</v>
      </c>
      <c r="E4" s="42">
        <v>132</v>
      </c>
      <c r="F4" s="105">
        <v>17000000</v>
      </c>
      <c r="G4" s="43">
        <v>141.9</v>
      </c>
      <c r="H4" s="87">
        <f>ROUND(F4/E4*G4,-2)</f>
        <v>18275000</v>
      </c>
      <c r="I4" s="16" t="s">
        <v>13</v>
      </c>
      <c r="J4" s="16" t="s">
        <v>225</v>
      </c>
      <c r="K4" s="16">
        <v>31901022</v>
      </c>
      <c r="L4" s="81">
        <v>43524</v>
      </c>
      <c r="M4" s="18">
        <v>45716</v>
      </c>
      <c r="N4" s="16" t="s">
        <v>96</v>
      </c>
    </row>
    <row r="5" spans="1:25" x14ac:dyDescent="0.2">
      <c r="A5" s="79"/>
      <c r="B5" s="104"/>
      <c r="C5" s="14"/>
      <c r="D5" s="82">
        <v>3263110</v>
      </c>
      <c r="E5" s="42"/>
      <c r="F5" s="106">
        <v>3444100</v>
      </c>
      <c r="G5" s="43"/>
      <c r="H5" s="35">
        <f t="shared" ref="H5:H6" si="0">F5</f>
        <v>3444100</v>
      </c>
      <c r="I5" s="16" t="s">
        <v>16</v>
      </c>
      <c r="J5" s="16" t="s">
        <v>225</v>
      </c>
      <c r="K5" s="16">
        <v>11901021</v>
      </c>
      <c r="L5" s="81">
        <v>43524</v>
      </c>
      <c r="M5" s="18">
        <v>44620</v>
      </c>
      <c r="N5" s="16" t="s">
        <v>96</v>
      </c>
    </row>
    <row r="6" spans="1:25" x14ac:dyDescent="0.2">
      <c r="A6" s="79"/>
      <c r="B6" s="104"/>
      <c r="C6" s="14"/>
      <c r="D6" s="82">
        <v>251890</v>
      </c>
      <c r="E6" s="42"/>
      <c r="F6" s="106">
        <v>255900</v>
      </c>
      <c r="G6" s="43"/>
      <c r="H6" s="35">
        <f t="shared" si="0"/>
        <v>255900</v>
      </c>
      <c r="I6" s="16" t="s">
        <v>16</v>
      </c>
      <c r="J6" s="16" t="s">
        <v>225</v>
      </c>
      <c r="K6" s="16">
        <v>11901021</v>
      </c>
      <c r="L6" s="81">
        <v>43524</v>
      </c>
      <c r="M6" s="18">
        <v>44620</v>
      </c>
      <c r="N6" s="16" t="s">
        <v>101</v>
      </c>
      <c r="O6" s="16" t="s">
        <v>19</v>
      </c>
    </row>
    <row r="7" spans="1:25" s="71" customFormat="1" x14ac:dyDescent="0.2">
      <c r="A7" s="107"/>
      <c r="B7" s="107"/>
      <c r="C7" s="87"/>
      <c r="D7" s="108"/>
      <c r="E7" s="109"/>
      <c r="F7" s="87">
        <v>700000</v>
      </c>
      <c r="G7" s="110"/>
      <c r="H7" s="87">
        <f>F7</f>
        <v>700000</v>
      </c>
      <c r="I7" s="71" t="s">
        <v>226</v>
      </c>
      <c r="L7" s="111"/>
      <c r="M7" s="112"/>
      <c r="O7" s="71" t="s">
        <v>227</v>
      </c>
      <c r="Y7" s="113"/>
    </row>
    <row r="8" spans="1:25" s="13" customFormat="1" x14ac:dyDescent="0.2">
      <c r="A8" s="104"/>
      <c r="B8" s="104"/>
      <c r="C8" s="14"/>
      <c r="D8" s="114">
        <v>273671</v>
      </c>
      <c r="E8" s="115"/>
      <c r="F8" s="14">
        <f>D8</f>
        <v>273671</v>
      </c>
      <c r="G8" s="15"/>
      <c r="H8" s="14">
        <f>F8</f>
        <v>273671</v>
      </c>
      <c r="I8" s="13" t="s">
        <v>85</v>
      </c>
      <c r="L8" s="116"/>
      <c r="M8" s="94"/>
      <c r="Y8" s="96"/>
    </row>
    <row r="9" spans="1:25" s="13" customFormat="1" x14ac:dyDescent="0.2">
      <c r="A9" s="104" t="s">
        <v>228</v>
      </c>
      <c r="B9" s="104" t="s">
        <v>229</v>
      </c>
      <c r="C9" s="14" t="s">
        <v>224</v>
      </c>
      <c r="D9" s="117">
        <v>8049791</v>
      </c>
      <c r="E9" s="118">
        <v>132</v>
      </c>
      <c r="F9" s="119">
        <v>9600000</v>
      </c>
      <c r="G9" s="15">
        <v>141.9</v>
      </c>
      <c r="H9" s="14">
        <f>ROUND(F9/E9*G9,-2)</f>
        <v>10320000</v>
      </c>
      <c r="I9" s="13" t="s">
        <v>13</v>
      </c>
      <c r="J9" s="13" t="s">
        <v>225</v>
      </c>
      <c r="K9" s="13">
        <v>31901022</v>
      </c>
      <c r="L9" s="116">
        <v>43524</v>
      </c>
      <c r="M9" s="95">
        <v>45716</v>
      </c>
      <c r="N9" s="13" t="s">
        <v>96</v>
      </c>
      <c r="Y9" s="96"/>
    </row>
    <row r="10" spans="1:25" s="13" customFormat="1" x14ac:dyDescent="0.2">
      <c r="A10" s="120"/>
      <c r="B10" s="120"/>
      <c r="C10" s="14"/>
      <c r="D10" s="14">
        <v>1434400</v>
      </c>
      <c r="E10" s="118"/>
      <c r="F10" s="14">
        <v>1543400</v>
      </c>
      <c r="G10" s="15"/>
      <c r="H10" s="14">
        <v>1543400</v>
      </c>
      <c r="I10" s="13" t="s">
        <v>16</v>
      </c>
      <c r="J10" s="13" t="s">
        <v>225</v>
      </c>
      <c r="K10" s="13">
        <v>11901021</v>
      </c>
      <c r="L10" s="116">
        <v>43524</v>
      </c>
      <c r="M10" s="95">
        <v>44620</v>
      </c>
      <c r="N10" s="13" t="s">
        <v>96</v>
      </c>
      <c r="Y10" s="96"/>
    </row>
    <row r="11" spans="1:25" s="13" customFormat="1" x14ac:dyDescent="0.2">
      <c r="C11" s="14"/>
      <c r="D11" s="14">
        <v>200600</v>
      </c>
      <c r="E11" s="115"/>
      <c r="F11" s="14">
        <v>196600</v>
      </c>
      <c r="G11" s="15"/>
      <c r="H11" s="14">
        <v>196600</v>
      </c>
      <c r="I11" s="13" t="s">
        <v>16</v>
      </c>
      <c r="J11" s="13" t="s">
        <v>225</v>
      </c>
      <c r="K11" s="13">
        <v>11901021</v>
      </c>
      <c r="L11" s="116">
        <v>43524</v>
      </c>
      <c r="M11" s="95">
        <v>44620</v>
      </c>
      <c r="N11" s="13" t="s">
        <v>101</v>
      </c>
      <c r="O11" s="13" t="s">
        <v>19</v>
      </c>
      <c r="Y11" s="96"/>
    </row>
    <row r="12" spans="1:25" s="13" customFormat="1" x14ac:dyDescent="0.2">
      <c r="A12" s="13" t="s">
        <v>230</v>
      </c>
      <c r="B12" s="13" t="s">
        <v>231</v>
      </c>
      <c r="C12" s="14" t="s">
        <v>224</v>
      </c>
      <c r="D12" s="14">
        <v>288577</v>
      </c>
      <c r="E12" s="118">
        <v>132</v>
      </c>
      <c r="F12" s="119">
        <v>345000</v>
      </c>
      <c r="G12" s="15">
        <v>141.9</v>
      </c>
      <c r="H12" s="14">
        <f>ROUND(F12/E12*G12,-2)</f>
        <v>370900</v>
      </c>
      <c r="I12" s="13" t="s">
        <v>13</v>
      </c>
      <c r="J12" s="13" t="s">
        <v>225</v>
      </c>
      <c r="K12" s="13">
        <v>31901022</v>
      </c>
      <c r="L12" s="116">
        <v>43524</v>
      </c>
      <c r="M12" s="95">
        <v>45716</v>
      </c>
      <c r="N12" s="13" t="s">
        <v>96</v>
      </c>
      <c r="O12" s="13" t="s">
        <v>232</v>
      </c>
      <c r="Y12" s="96"/>
    </row>
    <row r="13" spans="1:25" s="13" customFormat="1" x14ac:dyDescent="0.2">
      <c r="A13" s="13" t="s">
        <v>233</v>
      </c>
      <c r="B13" s="13" t="s">
        <v>234</v>
      </c>
      <c r="C13" s="14" t="s">
        <v>235</v>
      </c>
      <c r="D13" s="14">
        <v>339205</v>
      </c>
      <c r="E13" s="118">
        <v>132</v>
      </c>
      <c r="F13" s="119">
        <v>405000</v>
      </c>
      <c r="G13" s="15">
        <v>141.9</v>
      </c>
      <c r="H13" s="14">
        <f>ROUND(F13/E13*G13,-2)</f>
        <v>435400</v>
      </c>
      <c r="I13" s="13" t="s">
        <v>13</v>
      </c>
      <c r="J13" s="13" t="s">
        <v>225</v>
      </c>
      <c r="K13" s="13">
        <v>31901022</v>
      </c>
      <c r="L13" s="116">
        <v>43524</v>
      </c>
      <c r="M13" s="95">
        <v>45716</v>
      </c>
      <c r="N13" s="13" t="s">
        <v>96</v>
      </c>
      <c r="Y13" s="96"/>
    </row>
    <row r="14" spans="1:25" s="13" customFormat="1" x14ac:dyDescent="0.2">
      <c r="C14" s="14"/>
      <c r="D14" s="14">
        <v>12675</v>
      </c>
      <c r="E14" s="118"/>
      <c r="F14" s="14">
        <v>14175</v>
      </c>
      <c r="G14" s="15"/>
      <c r="H14" s="14">
        <v>14175</v>
      </c>
      <c r="I14" s="13" t="s">
        <v>16</v>
      </c>
      <c r="J14" s="13" t="s">
        <v>225</v>
      </c>
      <c r="K14" s="13">
        <v>11901021</v>
      </c>
      <c r="L14" s="116">
        <v>43524</v>
      </c>
      <c r="M14" s="95">
        <v>44620</v>
      </c>
      <c r="N14" s="13" t="s">
        <v>96</v>
      </c>
      <c r="Y14" s="96"/>
    </row>
    <row r="15" spans="1:25" s="13" customFormat="1" x14ac:dyDescent="0.2">
      <c r="C15" s="14"/>
      <c r="D15" s="14">
        <v>22325</v>
      </c>
      <c r="E15" s="118"/>
      <c r="F15" s="14">
        <v>20825</v>
      </c>
      <c r="G15" s="15"/>
      <c r="H15" s="14">
        <v>20825</v>
      </c>
      <c r="I15" s="13" t="s">
        <v>16</v>
      </c>
      <c r="J15" s="13" t="s">
        <v>225</v>
      </c>
      <c r="K15" s="13">
        <v>11901021</v>
      </c>
      <c r="L15" s="116">
        <v>43524</v>
      </c>
      <c r="M15" s="95">
        <v>44620</v>
      </c>
      <c r="N15" s="13" t="s">
        <v>101</v>
      </c>
      <c r="O15" s="13" t="s">
        <v>19</v>
      </c>
      <c r="Y15" s="96"/>
    </row>
    <row r="16" spans="1:25" s="13" customFormat="1" x14ac:dyDescent="0.2">
      <c r="A16" s="13" t="s">
        <v>236</v>
      </c>
      <c r="B16" s="13" t="s">
        <v>237</v>
      </c>
      <c r="C16" s="14" t="s">
        <v>238</v>
      </c>
      <c r="D16" s="14">
        <v>349331</v>
      </c>
      <c r="E16" s="118">
        <v>132</v>
      </c>
      <c r="F16" s="119">
        <v>420000</v>
      </c>
      <c r="G16" s="15">
        <v>141.9</v>
      </c>
      <c r="H16" s="14">
        <f>ROUND(F16/E16*G16,-2)</f>
        <v>451500</v>
      </c>
      <c r="I16" s="13" t="s">
        <v>13</v>
      </c>
      <c r="J16" s="13" t="s">
        <v>225</v>
      </c>
      <c r="K16" s="13">
        <v>31901022</v>
      </c>
      <c r="L16" s="116">
        <v>43524</v>
      </c>
      <c r="M16" s="95">
        <v>45716</v>
      </c>
      <c r="N16" s="13" t="s">
        <v>96</v>
      </c>
      <c r="O16" s="13" t="s">
        <v>239</v>
      </c>
      <c r="Y16" s="96"/>
    </row>
    <row r="17" spans="1:25" s="13" customFormat="1" x14ac:dyDescent="0.2">
      <c r="C17" s="14"/>
      <c r="D17" s="14">
        <v>7000</v>
      </c>
      <c r="E17" s="118"/>
      <c r="F17" s="14">
        <v>7500</v>
      </c>
      <c r="G17" s="15"/>
      <c r="H17" s="14">
        <v>7500</v>
      </c>
      <c r="I17" s="13" t="s">
        <v>16</v>
      </c>
      <c r="J17" s="13" t="s">
        <v>225</v>
      </c>
      <c r="K17" s="13">
        <v>11901021</v>
      </c>
      <c r="L17" s="116">
        <v>43524</v>
      </c>
      <c r="M17" s="95">
        <v>44620</v>
      </c>
      <c r="N17" s="13" t="s">
        <v>96</v>
      </c>
      <c r="Y17" s="96"/>
    </row>
    <row r="18" spans="1:25" s="13" customFormat="1" x14ac:dyDescent="0.2">
      <c r="C18" s="14"/>
      <c r="D18" s="14">
        <v>18000</v>
      </c>
      <c r="E18" s="115"/>
      <c r="F18" s="14">
        <v>17500</v>
      </c>
      <c r="G18" s="15"/>
      <c r="H18" s="14">
        <v>17500</v>
      </c>
      <c r="I18" s="13" t="s">
        <v>16</v>
      </c>
      <c r="J18" s="13" t="s">
        <v>225</v>
      </c>
      <c r="K18" s="13">
        <v>11901021</v>
      </c>
      <c r="L18" s="116">
        <v>43524</v>
      </c>
      <c r="M18" s="95">
        <v>44620</v>
      </c>
      <c r="N18" s="13" t="s">
        <v>101</v>
      </c>
      <c r="O18" s="13" t="s">
        <v>19</v>
      </c>
      <c r="Y18" s="96"/>
    </row>
    <row r="19" spans="1:25" x14ac:dyDescent="0.2">
      <c r="A19" s="16" t="s">
        <v>240</v>
      </c>
      <c r="B19" s="13"/>
      <c r="C19" s="14"/>
      <c r="D19" s="35">
        <v>200000</v>
      </c>
      <c r="E19" s="85"/>
      <c r="F19" s="35">
        <f t="shared" ref="F19:F20" si="1">D19</f>
        <v>200000</v>
      </c>
      <c r="G19" s="43"/>
      <c r="H19" s="35">
        <f>F19</f>
        <v>200000</v>
      </c>
      <c r="I19" s="16" t="s">
        <v>85</v>
      </c>
      <c r="N19" s="16" t="s">
        <v>101</v>
      </c>
    </row>
    <row r="20" spans="1:25" x14ac:dyDescent="0.2">
      <c r="B20" s="13"/>
      <c r="C20" s="14"/>
      <c r="D20" s="35">
        <v>2559000</v>
      </c>
      <c r="E20" s="35"/>
      <c r="F20" s="35">
        <f t="shared" si="1"/>
        <v>2559000</v>
      </c>
      <c r="G20" s="35"/>
      <c r="H20" s="35"/>
    </row>
    <row r="21" spans="1:25" x14ac:dyDescent="0.2">
      <c r="B21" s="45"/>
      <c r="C21" s="28"/>
      <c r="D21" s="56"/>
      <c r="E21" s="56"/>
      <c r="F21" s="56"/>
      <c r="G21" s="56"/>
      <c r="H21" s="56"/>
    </row>
    <row r="22" spans="1:25" s="4" customFormat="1" x14ac:dyDescent="0.2">
      <c r="A22" s="4" t="s">
        <v>27</v>
      </c>
      <c r="B22" s="46"/>
      <c r="C22" s="34"/>
      <c r="D22" s="34"/>
      <c r="E22" s="34"/>
      <c r="F22" s="34"/>
      <c r="G22" s="34"/>
      <c r="H22" s="90">
        <f>SUM(H4:H20)</f>
        <v>36526471</v>
      </c>
      <c r="M22" s="16"/>
      <c r="Y22" s="5"/>
    </row>
    <row r="23" spans="1:25" x14ac:dyDescent="0.2">
      <c r="B23" s="49"/>
      <c r="C23" s="34"/>
      <c r="D23" s="34"/>
      <c r="E23" s="34"/>
      <c r="F23" s="34"/>
      <c r="G23" s="34"/>
      <c r="H23" s="34"/>
    </row>
    <row r="24" spans="1:25" x14ac:dyDescent="0.2">
      <c r="A24" s="91" t="s">
        <v>28</v>
      </c>
      <c r="B24" s="91"/>
    </row>
    <row r="25" spans="1:25" x14ac:dyDescent="0.2">
      <c r="A25" s="16" t="s">
        <v>13</v>
      </c>
      <c r="C25" s="35"/>
      <c r="D25" s="35">
        <f>D4+D9+D12+D13+D16</f>
        <v>23060879</v>
      </c>
      <c r="E25" s="35"/>
      <c r="F25" s="35">
        <f>F4+F9+F12+F13+F16</f>
        <v>27770000</v>
      </c>
      <c r="G25" s="35"/>
      <c r="H25" s="35">
        <f>H4+H9+H12+H13+H16</f>
        <v>29852800</v>
      </c>
      <c r="K25" s="73"/>
    </row>
    <row r="26" spans="1:25" x14ac:dyDescent="0.2">
      <c r="A26" s="16" t="s">
        <v>16</v>
      </c>
      <c r="C26" s="35"/>
      <c r="D26" s="35">
        <f>D5+D6+D10+D11+D14+D15+D17+D18</f>
        <v>5210000</v>
      </c>
      <c r="E26" s="35"/>
      <c r="F26" s="35">
        <f>F5+F6+F10+F11+F14+F15+F17+F18</f>
        <v>5500000</v>
      </c>
      <c r="G26" s="35"/>
      <c r="H26" s="35">
        <f>H5+H6+H10+H11+H14+H15+H17+H18</f>
        <v>5500000</v>
      </c>
    </row>
    <row r="27" spans="1:25" x14ac:dyDescent="0.2">
      <c r="A27" s="16" t="s">
        <v>85</v>
      </c>
      <c r="C27" s="35"/>
      <c r="D27" s="35">
        <f>D8+D19</f>
        <v>473671</v>
      </c>
      <c r="E27" s="35"/>
      <c r="F27" s="35">
        <f>F8+F19</f>
        <v>473671</v>
      </c>
      <c r="G27" s="35"/>
      <c r="H27" s="35">
        <f>H8+H19</f>
        <v>473671</v>
      </c>
      <c r="K27" s="73"/>
    </row>
    <row r="28" spans="1:25" x14ac:dyDescent="0.2">
      <c r="A28" s="16" t="s">
        <v>29</v>
      </c>
      <c r="C28" s="35"/>
      <c r="D28" s="35">
        <f>D20</f>
        <v>2559000</v>
      </c>
      <c r="E28" s="35"/>
      <c r="F28" s="35">
        <f>F20</f>
        <v>2559000</v>
      </c>
      <c r="G28" s="35"/>
      <c r="H28" s="35">
        <f>H20</f>
        <v>0</v>
      </c>
      <c r="K28" s="73"/>
    </row>
    <row r="29" spans="1:25" x14ac:dyDescent="0.2">
      <c r="A29" s="16" t="s">
        <v>226</v>
      </c>
      <c r="B29" s="49"/>
      <c r="C29" s="34"/>
      <c r="D29" s="34"/>
      <c r="E29" s="34"/>
      <c r="F29" s="34">
        <f>F7</f>
        <v>700000</v>
      </c>
      <c r="G29" s="34"/>
      <c r="H29" s="34">
        <f>H7</f>
        <v>700000</v>
      </c>
    </row>
    <row r="30" spans="1:25" x14ac:dyDescent="0.2">
      <c r="B30" s="49"/>
      <c r="C30" s="34"/>
      <c r="D30" s="37">
        <f>SUM(D25:D28)</f>
        <v>31303550</v>
      </c>
      <c r="E30" s="37"/>
      <c r="F30" s="37">
        <f>SUM(F25:F29)</f>
        <v>37002671</v>
      </c>
      <c r="G30" s="39"/>
      <c r="H30" s="37">
        <f>SUM(H25:H29)</f>
        <v>36526471</v>
      </c>
    </row>
    <row r="31" spans="1:25" hidden="1" x14ac:dyDescent="0.2">
      <c r="C31" s="35"/>
      <c r="D31" s="35">
        <f>D30-D22</f>
        <v>31303550</v>
      </c>
      <c r="E31" s="35"/>
      <c r="F31" s="35">
        <f>F30-F22</f>
        <v>37002671</v>
      </c>
      <c r="G31" s="35"/>
      <c r="H31" s="35"/>
    </row>
    <row r="34" spans="1:25" x14ac:dyDescent="0.2">
      <c r="A34" s="36" t="s">
        <v>30</v>
      </c>
      <c r="B34" s="36"/>
    </row>
    <row r="35" spans="1:25" x14ac:dyDescent="0.2">
      <c r="A35" s="16" t="s">
        <v>31</v>
      </c>
      <c r="G35" s="19" t="s">
        <v>32</v>
      </c>
    </row>
    <row r="36" spans="1:25" x14ac:dyDescent="0.2">
      <c r="A36" s="16" t="s">
        <v>33</v>
      </c>
      <c r="G36" s="19" t="s">
        <v>73</v>
      </c>
    </row>
    <row r="37" spans="1:25" x14ac:dyDescent="0.2">
      <c r="A37" s="16" t="s">
        <v>35</v>
      </c>
      <c r="G37" s="19" t="s">
        <v>34</v>
      </c>
    </row>
    <row r="38" spans="1:25" x14ac:dyDescent="0.2">
      <c r="A38" s="16" t="s">
        <v>36</v>
      </c>
      <c r="G38" s="19" t="s">
        <v>241</v>
      </c>
    </row>
    <row r="39" spans="1:25" x14ac:dyDescent="0.2">
      <c r="A39" s="16" t="s">
        <v>38</v>
      </c>
      <c r="G39" s="19" t="s">
        <v>242</v>
      </c>
    </row>
    <row r="40" spans="1:25" x14ac:dyDescent="0.2">
      <c r="A40" s="16" t="s">
        <v>39</v>
      </c>
      <c r="G40" s="19" t="s">
        <v>243</v>
      </c>
    </row>
    <row r="44" spans="1:25" x14ac:dyDescent="0.2">
      <c r="A44" s="121" t="s">
        <v>244</v>
      </c>
    </row>
    <row r="45" spans="1:25" s="13" customFormat="1" x14ac:dyDescent="0.2">
      <c r="A45" s="120" t="s">
        <v>245</v>
      </c>
      <c r="B45" s="120" t="s">
        <v>246</v>
      </c>
      <c r="C45" s="14" t="s">
        <v>247</v>
      </c>
      <c r="D45" s="14">
        <v>1434400</v>
      </c>
      <c r="E45" s="118"/>
      <c r="F45" s="14">
        <v>1543400</v>
      </c>
      <c r="G45" s="15"/>
      <c r="H45" s="122">
        <v>1543400</v>
      </c>
      <c r="I45" s="13" t="s">
        <v>16</v>
      </c>
      <c r="J45" s="13" t="s">
        <v>225</v>
      </c>
      <c r="K45" s="13">
        <v>11901021</v>
      </c>
      <c r="L45" s="116">
        <v>43524</v>
      </c>
      <c r="M45" s="95">
        <v>44620</v>
      </c>
      <c r="N45" s="13" t="s">
        <v>96</v>
      </c>
      <c r="O45" s="123" t="s">
        <v>248</v>
      </c>
      <c r="Y45" s="96"/>
    </row>
    <row r="46" spans="1:25" s="13" customFormat="1" x14ac:dyDescent="0.2">
      <c r="A46" s="104" t="s">
        <v>228</v>
      </c>
      <c r="B46" s="104" t="s">
        <v>229</v>
      </c>
      <c r="C46" s="14" t="s">
        <v>224</v>
      </c>
      <c r="D46" s="14">
        <v>1434400</v>
      </c>
      <c r="E46" s="118"/>
      <c r="F46" s="14">
        <v>1543400</v>
      </c>
      <c r="G46" s="15"/>
      <c r="H46" s="122">
        <v>1543400</v>
      </c>
      <c r="I46" s="13" t="s">
        <v>16</v>
      </c>
      <c r="J46" s="13" t="s">
        <v>225</v>
      </c>
      <c r="K46" s="13">
        <v>11901021</v>
      </c>
      <c r="L46" s="116">
        <v>43524</v>
      </c>
      <c r="M46" s="95">
        <v>44620</v>
      </c>
      <c r="N46" s="13" t="s">
        <v>96</v>
      </c>
      <c r="O46" s="123" t="s">
        <v>248</v>
      </c>
      <c r="P46" s="104"/>
      <c r="Q46" s="14"/>
      <c r="Y46" s="9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workbookViewId="0">
      <selection activeCell="C11" sqref="C11"/>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hidden="1" customWidth="1"/>
    <col min="6" max="6" width="16.28515625" style="17" hidden="1" customWidth="1"/>
    <col min="7" max="7" width="13.28515625" style="17" hidden="1" customWidth="1"/>
    <col min="8" max="8" width="11.85546875" style="17" hidden="1" customWidth="1"/>
    <col min="9" max="9" width="10.42578125" style="16" bestFit="1" customWidth="1"/>
    <col min="10" max="10" width="60.7109375" style="16"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124">
        <v>2019</v>
      </c>
      <c r="C2" s="10">
        <v>2020</v>
      </c>
      <c r="D2" s="1"/>
      <c r="E2" s="1"/>
      <c r="F2" s="11" t="s">
        <v>9</v>
      </c>
      <c r="G2" s="12" t="s">
        <v>10</v>
      </c>
      <c r="H2" s="12" t="s">
        <v>11</v>
      </c>
      <c r="I2" s="1"/>
      <c r="J2" s="1"/>
      <c r="L2" s="59" t="s">
        <v>44</v>
      </c>
      <c r="M2" s="59" t="s">
        <v>13</v>
      </c>
      <c r="W2" s="5"/>
    </row>
    <row r="3" spans="1:23" x14ac:dyDescent="0.2">
      <c r="A3" s="69" t="s">
        <v>249</v>
      </c>
      <c r="B3" s="73">
        <v>15387800</v>
      </c>
      <c r="C3" s="35">
        <f>ROUND(B3/132*141.9,-2)</f>
        <v>16541900</v>
      </c>
      <c r="D3" s="63" t="s">
        <v>46</v>
      </c>
      <c r="G3" s="70"/>
      <c r="H3" s="18"/>
      <c r="I3" s="16" t="s">
        <v>54</v>
      </c>
    </row>
    <row r="4" spans="1:23" x14ac:dyDescent="0.2">
      <c r="A4" s="99"/>
      <c r="B4" s="35">
        <v>427300</v>
      </c>
      <c r="C4" s="35">
        <f>ROUND(B4/132*141.9,-2)</f>
        <v>459300</v>
      </c>
      <c r="D4" s="63" t="s">
        <v>46</v>
      </c>
      <c r="G4" s="70"/>
      <c r="H4" s="18"/>
      <c r="I4" s="16" t="s">
        <v>54</v>
      </c>
      <c r="J4" s="16" t="s">
        <v>250</v>
      </c>
      <c r="L4" s="17"/>
      <c r="M4" s="17"/>
    </row>
    <row r="5" spans="1:23" x14ac:dyDescent="0.2">
      <c r="A5" s="99"/>
      <c r="B5" s="35">
        <v>4449138</v>
      </c>
      <c r="C5" s="35">
        <v>4549138</v>
      </c>
      <c r="D5" s="71" t="s">
        <v>16</v>
      </c>
      <c r="G5" s="70"/>
      <c r="H5" s="18"/>
      <c r="I5" s="16" t="s">
        <v>54</v>
      </c>
      <c r="L5" s="17"/>
      <c r="M5" s="17"/>
    </row>
    <row r="6" spans="1:23" x14ac:dyDescent="0.2">
      <c r="A6" s="69" t="s">
        <v>251</v>
      </c>
      <c r="B6" s="35">
        <v>100000</v>
      </c>
      <c r="C6" s="35">
        <f t="shared" ref="C6:C12" si="0">B6</f>
        <v>100000</v>
      </c>
      <c r="D6" s="63" t="s">
        <v>16</v>
      </c>
      <c r="G6" s="70"/>
      <c r="H6" s="18"/>
      <c r="I6" s="16" t="s">
        <v>54</v>
      </c>
    </row>
    <row r="7" spans="1:23" x14ac:dyDescent="0.2">
      <c r="B7" s="35">
        <v>100000</v>
      </c>
      <c r="C7" s="35">
        <f t="shared" si="0"/>
        <v>100000</v>
      </c>
      <c r="D7" s="63" t="s">
        <v>80</v>
      </c>
      <c r="G7" s="70"/>
      <c r="H7" s="18"/>
      <c r="I7" s="16" t="s">
        <v>54</v>
      </c>
      <c r="J7" s="16" t="s">
        <v>252</v>
      </c>
    </row>
    <row r="8" spans="1:23" x14ac:dyDescent="0.2">
      <c r="A8" s="16" t="s">
        <v>253</v>
      </c>
      <c r="B8" s="35"/>
      <c r="C8" s="35">
        <v>100000</v>
      </c>
      <c r="D8" s="63" t="s">
        <v>16</v>
      </c>
      <c r="G8" s="70"/>
      <c r="H8" s="18"/>
    </row>
    <row r="9" spans="1:23" x14ac:dyDescent="0.2">
      <c r="B9" s="35"/>
      <c r="C9" s="35">
        <v>100000</v>
      </c>
      <c r="D9" s="63" t="s">
        <v>80</v>
      </c>
      <c r="G9" s="70"/>
      <c r="H9" s="18"/>
    </row>
    <row r="10" spans="1:23" x14ac:dyDescent="0.2">
      <c r="A10" s="16" t="s">
        <v>56</v>
      </c>
      <c r="B10" s="35">
        <v>3200000</v>
      </c>
      <c r="C10" s="35">
        <v>600000</v>
      </c>
      <c r="D10" s="63" t="s">
        <v>29</v>
      </c>
      <c r="G10" s="70"/>
      <c r="H10" s="18"/>
      <c r="I10" s="16" t="s">
        <v>54</v>
      </c>
      <c r="J10" s="16" t="s">
        <v>166</v>
      </c>
    </row>
    <row r="11" spans="1:23" x14ac:dyDescent="0.2">
      <c r="B11" s="35">
        <v>776575</v>
      </c>
      <c r="C11" s="35">
        <f t="shared" si="0"/>
        <v>776575</v>
      </c>
      <c r="D11" s="63" t="s">
        <v>254</v>
      </c>
      <c r="G11" s="70"/>
      <c r="H11" s="18"/>
      <c r="I11" s="16" t="s">
        <v>54</v>
      </c>
      <c r="J11" s="16" t="s">
        <v>255</v>
      </c>
    </row>
    <row r="12" spans="1:23" x14ac:dyDescent="0.2">
      <c r="B12" s="35">
        <v>750000</v>
      </c>
      <c r="C12" s="35">
        <f t="shared" si="0"/>
        <v>750000</v>
      </c>
      <c r="D12" s="71" t="s">
        <v>80</v>
      </c>
      <c r="G12" s="70"/>
      <c r="H12" s="18"/>
      <c r="I12" s="16" t="s">
        <v>54</v>
      </c>
    </row>
    <row r="13" spans="1:23" x14ac:dyDescent="0.2">
      <c r="A13" s="13"/>
      <c r="B13" s="14"/>
      <c r="C13" s="14"/>
      <c r="D13" s="13"/>
      <c r="E13" s="13"/>
    </row>
    <row r="14" spans="1:23" ht="13.5" thickBot="1" x14ac:dyDescent="0.25">
      <c r="A14" s="13"/>
      <c r="B14" s="28"/>
      <c r="C14" s="28"/>
      <c r="E14" s="13"/>
    </row>
    <row r="15" spans="1:23" s="4" customFormat="1" ht="13.5" thickBot="1" x14ac:dyDescent="0.25">
      <c r="A15" s="4" t="s">
        <v>27</v>
      </c>
      <c r="B15" s="47">
        <f>SUM(B3:B13)</f>
        <v>25190813</v>
      </c>
      <c r="C15" s="47">
        <f>SUM(C3:C13)</f>
        <v>24076913</v>
      </c>
      <c r="E15" s="32"/>
      <c r="F15" s="33"/>
      <c r="G15" s="33"/>
      <c r="H15" s="33"/>
      <c r="W15" s="5"/>
    </row>
    <row r="16" spans="1:23" x14ac:dyDescent="0.2">
      <c r="B16" s="34"/>
      <c r="C16" s="34"/>
      <c r="E16" s="13"/>
    </row>
    <row r="17" spans="1:5" x14ac:dyDescent="0.2">
      <c r="B17" s="35"/>
      <c r="C17" s="35"/>
    </row>
    <row r="18" spans="1:5" x14ac:dyDescent="0.2">
      <c r="A18" s="36" t="s">
        <v>28</v>
      </c>
      <c r="B18" s="35"/>
      <c r="C18" s="35"/>
    </row>
    <row r="19" spans="1:5" x14ac:dyDescent="0.2">
      <c r="A19" s="16" t="s">
        <v>13</v>
      </c>
      <c r="B19" s="35">
        <f>B3+B4</f>
        <v>15815100</v>
      </c>
      <c r="C19" s="35">
        <f>C3+C4</f>
        <v>17001200</v>
      </c>
      <c r="E19" s="19"/>
    </row>
    <row r="20" spans="1:5" x14ac:dyDescent="0.2">
      <c r="A20" s="16" t="s">
        <v>16</v>
      </c>
      <c r="B20" s="35">
        <f>B5+B6</f>
        <v>4549138</v>
      </c>
      <c r="C20" s="35">
        <f>C5+C6+C8</f>
        <v>4749138</v>
      </c>
      <c r="E20" s="19"/>
    </row>
    <row r="21" spans="1:5" x14ac:dyDescent="0.2">
      <c r="A21" s="16" t="s">
        <v>85</v>
      </c>
      <c r="B21" s="35">
        <f>B7+B12</f>
        <v>850000</v>
      </c>
      <c r="C21" s="35">
        <f>C7+C12+C9</f>
        <v>950000</v>
      </c>
    </row>
    <row r="22" spans="1:5" x14ac:dyDescent="0.2">
      <c r="A22" s="63" t="s">
        <v>29</v>
      </c>
      <c r="B22" s="35">
        <f>B10</f>
        <v>3200000</v>
      </c>
      <c r="C22" s="35">
        <f>C10</f>
        <v>600000</v>
      </c>
    </row>
    <row r="23" spans="1:5" x14ac:dyDescent="0.2">
      <c r="A23" s="13" t="s">
        <v>68</v>
      </c>
      <c r="B23" s="35">
        <f>B11</f>
        <v>776575</v>
      </c>
      <c r="C23" s="35">
        <f>C11</f>
        <v>776575</v>
      </c>
    </row>
    <row r="24" spans="1:5" ht="13.5" thickBot="1" x14ac:dyDescent="0.25">
      <c r="B24" s="72">
        <f>SUM(B19:B23)</f>
        <v>25190813</v>
      </c>
      <c r="C24" s="72">
        <f>SUM(C19:C23)</f>
        <v>24076913</v>
      </c>
    </row>
    <row r="25" spans="1:5" ht="13.5" thickTop="1" x14ac:dyDescent="0.2">
      <c r="B25" s="58"/>
      <c r="C25" s="58"/>
    </row>
    <row r="27" spans="1:5" x14ac:dyDescent="0.2">
      <c r="A27" s="36" t="s">
        <v>30</v>
      </c>
    </row>
    <row r="28" spans="1:5" x14ac:dyDescent="0.2">
      <c r="A28" s="16" t="s">
        <v>31</v>
      </c>
      <c r="C28" s="19" t="s">
        <v>71</v>
      </c>
    </row>
    <row r="29" spans="1:5" x14ac:dyDescent="0.2">
      <c r="A29" s="16" t="s">
        <v>33</v>
      </c>
      <c r="C29" s="19" t="s">
        <v>74</v>
      </c>
    </row>
    <row r="30" spans="1:5" x14ac:dyDescent="0.2">
      <c r="A30" s="16" t="s">
        <v>35</v>
      </c>
    </row>
    <row r="31" spans="1:5" x14ac:dyDescent="0.2">
      <c r="A31" s="16" t="s">
        <v>36</v>
      </c>
      <c r="C31" s="19" t="s">
        <v>256</v>
      </c>
    </row>
    <row r="32" spans="1:5" x14ac:dyDescent="0.2">
      <c r="A32" s="16" t="s">
        <v>38</v>
      </c>
      <c r="C32" s="19" t="s">
        <v>121</v>
      </c>
    </row>
    <row r="33" spans="1:3" x14ac:dyDescent="0.2">
      <c r="A33" s="16" t="s">
        <v>39</v>
      </c>
      <c r="C33" s="19" t="s">
        <v>257</v>
      </c>
    </row>
  </sheetData>
  <mergeCells count="2">
    <mergeCell ref="F1:H1"/>
    <mergeCell ref="L1:M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tabSelected="1" workbookViewId="0">
      <selection activeCell="E23" sqref="E23"/>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4.5703125" style="17" bestFit="1" customWidth="1"/>
    <col min="7" max="7" width="13.28515625" style="17" customWidth="1"/>
    <col min="8" max="8" width="11.85546875" style="17" customWidth="1"/>
    <col min="9" max="9" width="10.42578125" style="16" bestFit="1" customWidth="1"/>
    <col min="10" max="10" width="66.42578125" style="16" bestFit="1" customWidth="1"/>
    <col min="11" max="11" width="9" style="16" hidden="1" customWidth="1"/>
    <col min="12" max="12" width="11.42578125" style="16" hidden="1" customWidth="1"/>
    <col min="13" max="13" width="13.28515625" style="16" hidden="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s="63" customFormat="1" x14ac:dyDescent="0.2">
      <c r="A3" s="60" t="s">
        <v>383</v>
      </c>
      <c r="B3" s="61">
        <v>5430200</v>
      </c>
      <c r="C3" s="62">
        <f>5710000</f>
        <v>5710000</v>
      </c>
      <c r="D3" s="63" t="s">
        <v>46</v>
      </c>
      <c r="E3" s="63" t="s">
        <v>76</v>
      </c>
      <c r="F3" s="64" t="s">
        <v>384</v>
      </c>
      <c r="G3" s="65">
        <v>43844</v>
      </c>
      <c r="H3" s="66">
        <v>46036</v>
      </c>
      <c r="I3" s="63" t="s">
        <v>49</v>
      </c>
      <c r="J3" s="63" t="s">
        <v>385</v>
      </c>
      <c r="W3" s="67"/>
    </row>
    <row r="4" spans="1:23" s="63" customFormat="1" x14ac:dyDescent="0.2">
      <c r="A4" s="68"/>
      <c r="B4" s="62">
        <v>1009000</v>
      </c>
      <c r="C4" s="62">
        <v>1159000</v>
      </c>
      <c r="D4" s="63" t="s">
        <v>16</v>
      </c>
      <c r="E4" s="63" t="s">
        <v>76</v>
      </c>
      <c r="F4" s="64" t="s">
        <v>386</v>
      </c>
      <c r="G4" s="65">
        <v>43844</v>
      </c>
      <c r="H4" s="66">
        <v>44940</v>
      </c>
      <c r="I4" s="63" t="s">
        <v>49</v>
      </c>
      <c r="J4" s="63" t="s">
        <v>387</v>
      </c>
      <c r="L4" s="64"/>
      <c r="M4" s="64"/>
      <c r="W4" s="67"/>
    </row>
    <row r="5" spans="1:23" x14ac:dyDescent="0.2">
      <c r="A5" s="69" t="s">
        <v>388</v>
      </c>
      <c r="B5" s="35">
        <v>16923300</v>
      </c>
      <c r="C5" s="35">
        <f t="shared" ref="C5:C6" si="0">B5</f>
        <v>16923300</v>
      </c>
      <c r="D5" s="63" t="s">
        <v>46</v>
      </c>
      <c r="E5" s="16" t="s">
        <v>76</v>
      </c>
      <c r="F5" s="17" t="s">
        <v>389</v>
      </c>
      <c r="G5" s="70">
        <v>43117</v>
      </c>
      <c r="H5" s="18">
        <v>45308</v>
      </c>
      <c r="I5" s="16" t="s">
        <v>49</v>
      </c>
      <c r="J5" s="16" t="s">
        <v>390</v>
      </c>
    </row>
    <row r="6" spans="1:23" x14ac:dyDescent="0.2">
      <c r="B6" s="35">
        <v>4712000</v>
      </c>
      <c r="C6" s="35">
        <f t="shared" si="0"/>
        <v>4712000</v>
      </c>
      <c r="D6" s="71" t="s">
        <v>16</v>
      </c>
      <c r="E6" s="16" t="s">
        <v>76</v>
      </c>
      <c r="F6" s="17" t="s">
        <v>389</v>
      </c>
      <c r="G6" s="70">
        <v>43117</v>
      </c>
      <c r="H6" s="18">
        <v>44213</v>
      </c>
      <c r="I6" s="16" t="s">
        <v>49</v>
      </c>
    </row>
    <row r="7" spans="1:23" x14ac:dyDescent="0.2">
      <c r="A7" s="16" t="s">
        <v>391</v>
      </c>
      <c r="B7" s="35">
        <v>267100</v>
      </c>
      <c r="C7" s="35">
        <f>ROUND(B7/132*141.9,-2)</f>
        <v>287100</v>
      </c>
      <c r="D7" s="63" t="s">
        <v>46</v>
      </c>
      <c r="E7" s="16" t="s">
        <v>76</v>
      </c>
      <c r="F7" s="17" t="s">
        <v>392</v>
      </c>
      <c r="G7" s="70">
        <v>43117</v>
      </c>
      <c r="H7" s="18">
        <v>45308</v>
      </c>
      <c r="I7" s="16" t="s">
        <v>49</v>
      </c>
      <c r="J7" s="16" t="s">
        <v>393</v>
      </c>
      <c r="N7" s="16" t="s">
        <v>537</v>
      </c>
    </row>
    <row r="8" spans="1:23" x14ac:dyDescent="0.2">
      <c r="B8" s="35">
        <v>36000</v>
      </c>
      <c r="C8" s="35">
        <f>B8</f>
        <v>36000</v>
      </c>
      <c r="D8" s="71" t="s">
        <v>16</v>
      </c>
      <c r="E8" s="16" t="s">
        <v>76</v>
      </c>
      <c r="F8" s="17" t="s">
        <v>392</v>
      </c>
      <c r="G8" s="70">
        <v>43117</v>
      </c>
      <c r="H8" s="18">
        <v>44213</v>
      </c>
      <c r="I8" s="16" t="s">
        <v>49</v>
      </c>
    </row>
    <row r="9" spans="1:23" x14ac:dyDescent="0.2">
      <c r="A9" s="40" t="s">
        <v>394</v>
      </c>
      <c r="B9" s="14">
        <v>29800</v>
      </c>
      <c r="C9" s="35">
        <f>ROUND(B9/132*141.9,-2)</f>
        <v>32000</v>
      </c>
      <c r="D9" s="71" t="s">
        <v>46</v>
      </c>
      <c r="E9" s="13"/>
      <c r="F9" s="44"/>
      <c r="G9" s="70"/>
      <c r="H9" s="18"/>
      <c r="I9" s="16" t="s">
        <v>54</v>
      </c>
      <c r="N9" s="16" t="s">
        <v>538</v>
      </c>
    </row>
    <row r="10" spans="1:23" x14ac:dyDescent="0.2">
      <c r="A10" s="13" t="s">
        <v>395</v>
      </c>
      <c r="B10" s="14">
        <v>72000</v>
      </c>
      <c r="C10" s="35">
        <f>ROUND(B10/132*141.9,-2)</f>
        <v>77400</v>
      </c>
      <c r="D10" s="71" t="s">
        <v>108</v>
      </c>
      <c r="E10" s="16" t="s">
        <v>76</v>
      </c>
      <c r="F10" s="17" t="s">
        <v>396</v>
      </c>
      <c r="G10" s="70">
        <v>43117</v>
      </c>
      <c r="H10" s="18">
        <v>44213</v>
      </c>
      <c r="I10" s="16" t="s">
        <v>49</v>
      </c>
    </row>
    <row r="11" spans="1:23" x14ac:dyDescent="0.2">
      <c r="A11" s="13"/>
      <c r="B11" s="14">
        <v>276000</v>
      </c>
      <c r="C11" s="35">
        <f>B11</f>
        <v>276000</v>
      </c>
      <c r="D11" s="63" t="s">
        <v>16</v>
      </c>
      <c r="E11" s="16" t="s">
        <v>76</v>
      </c>
      <c r="F11" s="17" t="s">
        <v>396</v>
      </c>
      <c r="G11" s="70">
        <v>43117</v>
      </c>
      <c r="H11" s="18">
        <v>44213</v>
      </c>
      <c r="I11" s="16" t="s">
        <v>49</v>
      </c>
    </row>
    <row r="12" spans="1:23" x14ac:dyDescent="0.2">
      <c r="A12" s="13" t="s">
        <v>397</v>
      </c>
      <c r="B12" s="14">
        <v>30000</v>
      </c>
      <c r="C12" s="35">
        <f>B12</f>
        <v>30000</v>
      </c>
      <c r="D12" s="13" t="s">
        <v>16</v>
      </c>
      <c r="E12" s="13"/>
      <c r="G12" s="70"/>
      <c r="H12" s="18"/>
      <c r="I12" s="16" t="s">
        <v>54</v>
      </c>
      <c r="J12" s="16" t="s">
        <v>398</v>
      </c>
    </row>
    <row r="13" spans="1:23" x14ac:dyDescent="0.2">
      <c r="A13" s="13" t="s">
        <v>399</v>
      </c>
      <c r="B13" s="14">
        <v>20000</v>
      </c>
      <c r="C13" s="35">
        <f>B13</f>
        <v>20000</v>
      </c>
      <c r="D13" s="13" t="s">
        <v>16</v>
      </c>
      <c r="E13" s="13"/>
      <c r="G13" s="70"/>
      <c r="H13" s="18"/>
      <c r="I13" s="16" t="s">
        <v>54</v>
      </c>
      <c r="J13" s="16" t="s">
        <v>400</v>
      </c>
    </row>
    <row r="14" spans="1:23" x14ac:dyDescent="0.2">
      <c r="A14" s="13"/>
      <c r="B14" s="14"/>
      <c r="C14" s="14">
        <v>0</v>
      </c>
      <c r="D14" s="13" t="s">
        <v>20</v>
      </c>
      <c r="E14" s="13"/>
      <c r="J14" s="16" t="s">
        <v>21</v>
      </c>
    </row>
    <row r="15" spans="1:23" x14ac:dyDescent="0.2">
      <c r="A15" s="13"/>
      <c r="B15" s="14"/>
      <c r="C15" s="14">
        <v>2100000</v>
      </c>
      <c r="D15" s="13" t="s">
        <v>22</v>
      </c>
      <c r="E15" s="13"/>
    </row>
    <row r="16" spans="1:23" x14ac:dyDescent="0.2">
      <c r="A16" s="13" t="s">
        <v>401</v>
      </c>
      <c r="B16" s="14">
        <v>9697000</v>
      </c>
      <c r="C16" s="14">
        <v>1600000</v>
      </c>
      <c r="D16" s="13" t="s">
        <v>23</v>
      </c>
      <c r="E16" s="13"/>
      <c r="J16" s="16" t="s">
        <v>24</v>
      </c>
    </row>
    <row r="17" spans="1:23" x14ac:dyDescent="0.2">
      <c r="A17" s="13"/>
      <c r="B17" s="14"/>
      <c r="C17" s="14">
        <v>0</v>
      </c>
      <c r="D17" s="13" t="s">
        <v>25</v>
      </c>
      <c r="E17" s="13"/>
    </row>
    <row r="18" spans="1:23" ht="13.5" thickBot="1" x14ac:dyDescent="0.25">
      <c r="A18" s="13" t="s">
        <v>401</v>
      </c>
      <c r="B18" s="14">
        <v>1755200</v>
      </c>
      <c r="C18" s="14">
        <v>1000000</v>
      </c>
      <c r="D18" s="13" t="s">
        <v>26</v>
      </c>
      <c r="E18" s="13"/>
    </row>
    <row r="19" spans="1:23" s="4" customFormat="1" ht="13.5" thickBot="1" x14ac:dyDescent="0.25">
      <c r="A19" s="4" t="s">
        <v>27</v>
      </c>
      <c r="B19" s="47">
        <f>SUM(B3:B18)</f>
        <v>40257600</v>
      </c>
      <c r="C19" s="47">
        <f>SUM(C3:C18)</f>
        <v>33962800</v>
      </c>
      <c r="E19" s="32"/>
      <c r="F19" s="33"/>
      <c r="G19" s="33"/>
      <c r="H19" s="33"/>
      <c r="W19" s="5"/>
    </row>
    <row r="20" spans="1:23" x14ac:dyDescent="0.2">
      <c r="B20" s="34"/>
      <c r="C20" s="34"/>
      <c r="E20" s="13"/>
    </row>
    <row r="21" spans="1:23" x14ac:dyDescent="0.2">
      <c r="B21" s="35"/>
      <c r="C21" s="35"/>
    </row>
    <row r="22" spans="1:23" x14ac:dyDescent="0.2">
      <c r="A22" s="36" t="s">
        <v>28</v>
      </c>
      <c r="B22" s="35"/>
      <c r="C22" s="35"/>
    </row>
    <row r="23" spans="1:23" x14ac:dyDescent="0.2">
      <c r="A23" s="16" t="s">
        <v>13</v>
      </c>
      <c r="B23" s="35">
        <f>B3+B5+B7+B9</f>
        <v>22650400</v>
      </c>
      <c r="C23" s="35">
        <f>C3+C5+C7+C9</f>
        <v>22952400</v>
      </c>
      <c r="E23" s="19"/>
    </row>
    <row r="24" spans="1:23" x14ac:dyDescent="0.2">
      <c r="A24" s="16" t="s">
        <v>16</v>
      </c>
      <c r="B24" s="35">
        <f>B4+B6+B8+B11+B12+B13</f>
        <v>6083000</v>
      </c>
      <c r="C24" s="35">
        <f>C4+C6+C8+C11+C12+C13</f>
        <v>6233000</v>
      </c>
      <c r="E24" s="19"/>
    </row>
    <row r="25" spans="1:23" x14ac:dyDescent="0.2">
      <c r="A25" s="16" t="s">
        <v>108</v>
      </c>
      <c r="B25" s="35">
        <f>B10</f>
        <v>72000</v>
      </c>
      <c r="C25" s="35">
        <f>C10</f>
        <v>77400</v>
      </c>
    </row>
    <row r="26" spans="1:23" x14ac:dyDescent="0.2">
      <c r="A26" s="16" t="s">
        <v>29</v>
      </c>
      <c r="B26" s="35">
        <f>B16</f>
        <v>9697000</v>
      </c>
      <c r="C26" s="35">
        <f>SUM(C15:C16)</f>
        <v>3700000</v>
      </c>
    </row>
    <row r="27" spans="1:23" x14ac:dyDescent="0.2">
      <c r="A27" s="13" t="s">
        <v>68</v>
      </c>
      <c r="B27" s="35">
        <f>B18</f>
        <v>1755200</v>
      </c>
      <c r="C27" s="35">
        <f>C18</f>
        <v>1000000</v>
      </c>
    </row>
    <row r="28" spans="1:23" hidden="1" x14ac:dyDescent="0.2">
      <c r="A28" s="16" t="s">
        <v>170</v>
      </c>
      <c r="B28" s="35"/>
      <c r="C28" s="35"/>
    </row>
    <row r="29" spans="1:23" ht="13.5" thickBot="1" x14ac:dyDescent="0.25">
      <c r="B29" s="72">
        <f>SUM(B23:B28)</f>
        <v>40257600</v>
      </c>
      <c r="C29" s="72">
        <f>SUM(C23:C28)</f>
        <v>33962800</v>
      </c>
    </row>
    <row r="30" spans="1:23" ht="13.5" thickTop="1" x14ac:dyDescent="0.2">
      <c r="B30" s="58"/>
      <c r="C30" s="58"/>
    </row>
    <row r="32" spans="1:23" x14ac:dyDescent="0.2">
      <c r="A32" s="36" t="s">
        <v>30</v>
      </c>
    </row>
    <row r="33" spans="1:3" x14ac:dyDescent="0.2">
      <c r="A33" s="16" t="s">
        <v>31</v>
      </c>
      <c r="C33" s="19" t="s">
        <v>402</v>
      </c>
    </row>
    <row r="34" spans="1:3" x14ac:dyDescent="0.2">
      <c r="A34" s="16" t="s">
        <v>33</v>
      </c>
      <c r="C34" s="19" t="s">
        <v>403</v>
      </c>
    </row>
    <row r="35" spans="1:3" x14ac:dyDescent="0.2">
      <c r="A35" s="16" t="s">
        <v>35</v>
      </c>
      <c r="C35" s="19" t="s">
        <v>404</v>
      </c>
    </row>
    <row r="36" spans="1:3" x14ac:dyDescent="0.2">
      <c r="A36" s="16" t="s">
        <v>36</v>
      </c>
      <c r="C36" s="19" t="s">
        <v>405</v>
      </c>
    </row>
    <row r="37" spans="1:3" x14ac:dyDescent="0.2">
      <c r="A37" s="16" t="s">
        <v>38</v>
      </c>
      <c r="C37" s="19" t="s">
        <v>539</v>
      </c>
    </row>
    <row r="38" spans="1:3" x14ac:dyDescent="0.2">
      <c r="A38" s="16" t="s">
        <v>39</v>
      </c>
      <c r="C38" s="19" t="s">
        <v>243</v>
      </c>
    </row>
    <row r="39" spans="1:3" x14ac:dyDescent="0.2">
      <c r="A39" s="16" t="s">
        <v>41</v>
      </c>
      <c r="C39" s="19" t="s">
        <v>406</v>
      </c>
    </row>
  </sheetData>
  <mergeCells count="2">
    <mergeCell ref="F1:H1"/>
    <mergeCell ref="L1:M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workbookViewId="0">
      <selection activeCell="C11" sqref="C11"/>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0.7109375" style="16" bestFit="1" customWidth="1"/>
    <col min="6" max="6" width="14.5703125" style="17" bestFit="1" customWidth="1"/>
    <col min="7" max="7" width="13.28515625" style="17" customWidth="1"/>
    <col min="8" max="8" width="11.85546875" style="17" customWidth="1"/>
    <col min="9" max="9" width="10.42578125" style="16" bestFit="1" customWidth="1"/>
    <col min="10" max="10" width="66.4257812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148" t="s">
        <v>258</v>
      </c>
      <c r="B3" s="73">
        <v>13323800</v>
      </c>
      <c r="C3" s="35">
        <f>ROUND(B3/132*141.9,-2)</f>
        <v>14323100</v>
      </c>
      <c r="D3" s="16" t="s">
        <v>13</v>
      </c>
      <c r="E3" s="16" t="s">
        <v>47</v>
      </c>
      <c r="F3" s="17" t="s">
        <v>259</v>
      </c>
      <c r="G3" s="18">
        <v>43123</v>
      </c>
      <c r="H3" s="18">
        <v>45314</v>
      </c>
      <c r="I3" s="16" t="s">
        <v>49</v>
      </c>
    </row>
    <row r="4" spans="1:23" x14ac:dyDescent="0.2">
      <c r="A4" s="149"/>
      <c r="B4" s="35">
        <v>231200</v>
      </c>
      <c r="C4" s="35">
        <f>ROUND(B4/132*141.9,-2)</f>
        <v>248500</v>
      </c>
      <c r="E4" s="16" t="s">
        <v>47</v>
      </c>
      <c r="F4" s="17" t="s">
        <v>259</v>
      </c>
      <c r="G4" s="18">
        <v>43123</v>
      </c>
      <c r="H4" s="18">
        <v>45314</v>
      </c>
      <c r="I4" s="16" t="s">
        <v>49</v>
      </c>
      <c r="J4" s="16" t="s">
        <v>250</v>
      </c>
      <c r="L4" s="17"/>
      <c r="M4" s="17"/>
    </row>
    <row r="5" spans="1:23" x14ac:dyDescent="0.2">
      <c r="B5" s="35">
        <v>174700</v>
      </c>
      <c r="C5" s="35">
        <f>ROUND(B5/132*141.9,-2)</f>
        <v>187800</v>
      </c>
      <c r="D5" s="13"/>
      <c r="E5" s="16" t="s">
        <v>47</v>
      </c>
      <c r="F5" s="17" t="s">
        <v>259</v>
      </c>
      <c r="G5" s="18">
        <v>43123</v>
      </c>
      <c r="H5" s="18">
        <v>45314</v>
      </c>
      <c r="I5" s="16" t="s">
        <v>49</v>
      </c>
      <c r="J5" s="16" t="s">
        <v>260</v>
      </c>
      <c r="L5" s="17"/>
      <c r="M5" s="17"/>
    </row>
    <row r="6" spans="1:23" x14ac:dyDescent="0.2">
      <c r="B6" s="35">
        <v>2789000</v>
      </c>
      <c r="C6" s="35">
        <f t="shared" ref="C6:C11" si="0">B6</f>
        <v>2789000</v>
      </c>
      <c r="D6" s="16" t="s">
        <v>16</v>
      </c>
      <c r="E6" s="16" t="s">
        <v>47</v>
      </c>
      <c r="F6" s="17" t="s">
        <v>261</v>
      </c>
      <c r="G6" s="18">
        <v>43123</v>
      </c>
      <c r="H6" s="18">
        <v>44219</v>
      </c>
      <c r="I6" s="16" t="s">
        <v>49</v>
      </c>
    </row>
    <row r="7" spans="1:23" x14ac:dyDescent="0.2">
      <c r="B7" s="35">
        <v>450000</v>
      </c>
      <c r="C7" s="35">
        <f t="shared" si="0"/>
        <v>450000</v>
      </c>
      <c r="D7" s="13" t="s">
        <v>16</v>
      </c>
      <c r="E7" s="16" t="s">
        <v>47</v>
      </c>
      <c r="F7" s="17" t="s">
        <v>261</v>
      </c>
      <c r="G7" s="18">
        <v>43123</v>
      </c>
      <c r="H7" s="18">
        <v>44219</v>
      </c>
      <c r="I7" s="16" t="s">
        <v>54</v>
      </c>
    </row>
    <row r="8" spans="1:23" x14ac:dyDescent="0.2">
      <c r="B8" s="35">
        <v>50000</v>
      </c>
      <c r="C8" s="35">
        <f t="shared" si="0"/>
        <v>50000</v>
      </c>
      <c r="D8" s="16" t="s">
        <v>85</v>
      </c>
      <c r="I8" s="16" t="s">
        <v>54</v>
      </c>
    </row>
    <row r="9" spans="1:23" x14ac:dyDescent="0.2">
      <c r="B9" s="35">
        <v>550000</v>
      </c>
      <c r="C9" s="35">
        <f t="shared" si="0"/>
        <v>550000</v>
      </c>
      <c r="D9" s="16" t="s">
        <v>85</v>
      </c>
      <c r="I9" s="16" t="s">
        <v>54</v>
      </c>
      <c r="J9" s="16" t="s">
        <v>211</v>
      </c>
    </row>
    <row r="10" spans="1:23" x14ac:dyDescent="0.2">
      <c r="B10" s="35">
        <v>1700000</v>
      </c>
      <c r="C10" s="35">
        <v>1935000</v>
      </c>
      <c r="D10" s="13" t="s">
        <v>29</v>
      </c>
      <c r="I10" s="16" t="s">
        <v>54</v>
      </c>
      <c r="J10" s="16" t="s">
        <v>166</v>
      </c>
    </row>
    <row r="11" spans="1:23" x14ac:dyDescent="0.2">
      <c r="B11" s="35">
        <v>247000</v>
      </c>
      <c r="C11" s="35">
        <f t="shared" si="0"/>
        <v>247000</v>
      </c>
      <c r="D11" s="13" t="s">
        <v>16</v>
      </c>
      <c r="E11" s="16" t="s">
        <v>47</v>
      </c>
      <c r="F11" s="17" t="s">
        <v>261</v>
      </c>
      <c r="G11" s="18">
        <v>43123</v>
      </c>
      <c r="H11" s="18">
        <v>44219</v>
      </c>
      <c r="I11" s="16" t="s">
        <v>49</v>
      </c>
      <c r="J11" s="16" t="s">
        <v>262</v>
      </c>
    </row>
    <row r="12" spans="1:23" x14ac:dyDescent="0.2">
      <c r="B12" s="35"/>
      <c r="C12" s="35"/>
    </row>
    <row r="13" spans="1:23" hidden="1" x14ac:dyDescent="0.2">
      <c r="B13" s="35"/>
      <c r="C13" s="35"/>
      <c r="D13" s="13"/>
    </row>
    <row r="14" spans="1:23" hidden="1" x14ac:dyDescent="0.2">
      <c r="A14" s="13"/>
      <c r="B14" s="14"/>
      <c r="C14" s="14"/>
      <c r="D14" s="13"/>
      <c r="E14" s="13"/>
      <c r="F14" s="44"/>
      <c r="G14" s="18"/>
      <c r="H14" s="18"/>
    </row>
    <row r="15" spans="1:23" hidden="1" x14ac:dyDescent="0.2">
      <c r="A15" s="40"/>
      <c r="B15" s="14"/>
      <c r="C15" s="14"/>
      <c r="D15" s="13"/>
      <c r="E15" s="13"/>
      <c r="F15" s="44"/>
      <c r="G15" s="18"/>
      <c r="H15" s="18"/>
    </row>
    <row r="16" spans="1:23" hidden="1" x14ac:dyDescent="0.2">
      <c r="A16" s="40"/>
      <c r="B16" s="14"/>
      <c r="C16" s="14"/>
      <c r="D16" s="13"/>
      <c r="E16" s="13"/>
      <c r="G16" s="18"/>
      <c r="H16" s="18"/>
    </row>
    <row r="17" spans="1:23" hidden="1" x14ac:dyDescent="0.2">
      <c r="A17" s="13"/>
      <c r="B17" s="14"/>
      <c r="C17" s="14"/>
      <c r="D17" s="13"/>
      <c r="E17" s="13"/>
    </row>
    <row r="18" spans="1:23" hidden="1" x14ac:dyDescent="0.2">
      <c r="A18" s="13"/>
      <c r="B18" s="14"/>
      <c r="C18" s="14"/>
      <c r="E18" s="13"/>
      <c r="G18" s="18"/>
      <c r="H18" s="18"/>
    </row>
    <row r="19" spans="1:23" hidden="1" x14ac:dyDescent="0.2">
      <c r="A19" s="13"/>
      <c r="B19" s="14"/>
      <c r="C19" s="14"/>
      <c r="D19" s="13"/>
      <c r="E19" s="13"/>
      <c r="G19" s="18"/>
      <c r="H19" s="18"/>
    </row>
    <row r="20" spans="1:23" hidden="1" x14ac:dyDescent="0.2">
      <c r="A20" s="13"/>
      <c r="B20" s="14"/>
      <c r="C20" s="14"/>
      <c r="D20" s="13"/>
      <c r="E20" s="13"/>
      <c r="G20" s="18"/>
      <c r="H20" s="18"/>
    </row>
    <row r="21" spans="1:23" hidden="1" x14ac:dyDescent="0.2">
      <c r="A21" s="13"/>
      <c r="B21" s="14"/>
      <c r="C21" s="14"/>
      <c r="E21" s="13"/>
      <c r="G21" s="18"/>
    </row>
    <row r="22" spans="1:23" hidden="1" x14ac:dyDescent="0.2">
      <c r="A22" s="13"/>
      <c r="B22" s="14"/>
      <c r="C22" s="14"/>
      <c r="D22" s="13"/>
      <c r="E22" s="13"/>
      <c r="G22" s="18"/>
      <c r="H22" s="18"/>
    </row>
    <row r="23" spans="1:23" hidden="1" x14ac:dyDescent="0.2">
      <c r="A23" s="13"/>
      <c r="B23" s="14"/>
      <c r="C23" s="14"/>
      <c r="D23" s="13"/>
      <c r="E23" s="13"/>
      <c r="G23" s="18"/>
      <c r="H23" s="18"/>
    </row>
    <row r="24" spans="1:23" hidden="1" x14ac:dyDescent="0.2">
      <c r="A24" s="13"/>
      <c r="B24" s="14"/>
      <c r="C24" s="14"/>
      <c r="D24" s="13"/>
      <c r="E24" s="13"/>
      <c r="G24" s="18"/>
      <c r="H24" s="18"/>
    </row>
    <row r="25" spans="1:23" hidden="1" x14ac:dyDescent="0.2">
      <c r="A25" s="13"/>
      <c r="B25" s="14"/>
      <c r="C25" s="14"/>
      <c r="D25" s="13"/>
      <c r="E25" s="13"/>
      <c r="G25" s="18"/>
      <c r="H25" s="18"/>
    </row>
    <row r="26" spans="1:23" hidden="1" x14ac:dyDescent="0.2">
      <c r="A26" s="13"/>
      <c r="B26" s="14"/>
      <c r="C26" s="14"/>
      <c r="D26" s="13"/>
      <c r="E26" s="13"/>
    </row>
    <row r="27" spans="1:23" ht="13.5" thickBot="1" x14ac:dyDescent="0.25">
      <c r="A27" s="13"/>
      <c r="B27" s="28"/>
      <c r="C27" s="28"/>
      <c r="E27" s="13"/>
    </row>
    <row r="28" spans="1:23" s="4" customFormat="1" ht="13.5" thickBot="1" x14ac:dyDescent="0.25">
      <c r="A28" s="4" t="s">
        <v>27</v>
      </c>
      <c r="B28" s="47">
        <f>SUM(B3:B26)</f>
        <v>19515700</v>
      </c>
      <c r="C28" s="47">
        <f>SUM(C3:C26)</f>
        <v>20780400</v>
      </c>
      <c r="E28" s="32"/>
      <c r="F28" s="33"/>
      <c r="G28" s="33"/>
      <c r="H28" s="33"/>
      <c r="W28" s="5"/>
    </row>
    <row r="29" spans="1:23" x14ac:dyDescent="0.2">
      <c r="B29" s="34"/>
      <c r="C29" s="34"/>
      <c r="E29" s="13"/>
    </row>
    <row r="30" spans="1:23" x14ac:dyDescent="0.2">
      <c r="B30" s="35"/>
      <c r="C30" s="35"/>
    </row>
    <row r="31" spans="1:23" x14ac:dyDescent="0.2">
      <c r="A31" s="36" t="s">
        <v>28</v>
      </c>
      <c r="B31" s="35"/>
      <c r="C31" s="35"/>
    </row>
    <row r="32" spans="1:23" x14ac:dyDescent="0.2">
      <c r="A32" s="16" t="s">
        <v>13</v>
      </c>
      <c r="B32" s="35">
        <f>B3+B4+B5</f>
        <v>13729700</v>
      </c>
      <c r="C32" s="35">
        <f>C3+C4+C5</f>
        <v>14759400</v>
      </c>
      <c r="E32" s="19"/>
    </row>
    <row r="33" spans="1:5" x14ac:dyDescent="0.2">
      <c r="A33" s="16" t="s">
        <v>16</v>
      </c>
      <c r="B33" s="35">
        <f>B6+B7+B11</f>
        <v>3486000</v>
      </c>
      <c r="C33" s="35">
        <f>C6+C7+C11</f>
        <v>3486000</v>
      </c>
      <c r="E33" s="19"/>
    </row>
    <row r="34" spans="1:5" x14ac:dyDescent="0.2">
      <c r="A34" s="16" t="s">
        <v>85</v>
      </c>
      <c r="B34" s="35">
        <f>B8+B9</f>
        <v>600000</v>
      </c>
      <c r="C34" s="35">
        <f>C8+C9</f>
        <v>600000</v>
      </c>
    </row>
    <row r="35" spans="1:5" x14ac:dyDescent="0.2">
      <c r="A35" s="16" t="s">
        <v>29</v>
      </c>
      <c r="B35" s="35">
        <f>B10</f>
        <v>1700000</v>
      </c>
      <c r="C35" s="35">
        <f>C10</f>
        <v>1935000</v>
      </c>
    </row>
    <row r="36" spans="1:5" ht="13.5" thickBot="1" x14ac:dyDescent="0.25">
      <c r="B36" s="72">
        <f>SUM(B32:B35)</f>
        <v>19515700</v>
      </c>
      <c r="C36" s="72">
        <f>SUM(C32:C35)</f>
        <v>20780400</v>
      </c>
    </row>
    <row r="37" spans="1:5" ht="13.5" thickTop="1" x14ac:dyDescent="0.2">
      <c r="B37" s="58"/>
      <c r="C37" s="58"/>
    </row>
    <row r="39" spans="1:5" x14ac:dyDescent="0.2">
      <c r="A39" s="36" t="s">
        <v>30</v>
      </c>
    </row>
    <row r="40" spans="1:5" x14ac:dyDescent="0.2">
      <c r="A40" s="16" t="s">
        <v>31</v>
      </c>
      <c r="C40" s="19" t="s">
        <v>74</v>
      </c>
    </row>
    <row r="41" spans="1:5" x14ac:dyDescent="0.2">
      <c r="A41" s="16" t="s">
        <v>33</v>
      </c>
      <c r="C41" s="19" t="s">
        <v>74</v>
      </c>
    </row>
    <row r="42" spans="1:5" x14ac:dyDescent="0.2">
      <c r="A42" s="16" t="s">
        <v>35</v>
      </c>
      <c r="C42" s="19" t="s">
        <v>132</v>
      </c>
    </row>
    <row r="43" spans="1:5" x14ac:dyDescent="0.2">
      <c r="A43" s="16" t="s">
        <v>36</v>
      </c>
      <c r="C43" s="19" t="s">
        <v>263</v>
      </c>
    </row>
    <row r="44" spans="1:5" x14ac:dyDescent="0.2">
      <c r="A44" s="16" t="s">
        <v>38</v>
      </c>
      <c r="C44" s="19" t="s">
        <v>264</v>
      </c>
    </row>
    <row r="45" spans="1:5" x14ac:dyDescent="0.2">
      <c r="A45" s="16" t="s">
        <v>39</v>
      </c>
      <c r="C45" s="19" t="s">
        <v>265</v>
      </c>
    </row>
  </sheetData>
  <mergeCells count="3">
    <mergeCell ref="F1:H1"/>
    <mergeCell ref="L1:M1"/>
    <mergeCell ref="A3:A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40"/>
  <sheetViews>
    <sheetView workbookViewId="0">
      <selection activeCell="I26" sqref="I26"/>
    </sheetView>
  </sheetViews>
  <sheetFormatPr defaultRowHeight="12.75" x14ac:dyDescent="0.2"/>
  <cols>
    <col min="1" max="1" width="39.7109375" style="16" bestFit="1" customWidth="1"/>
    <col min="2" max="2" width="9.140625" style="16" bestFit="1" customWidth="1"/>
    <col min="3" max="3" width="13.140625" style="16" bestFit="1" customWidth="1"/>
    <col min="4" max="4" width="18.28515625" style="19" hidden="1" customWidth="1"/>
    <col min="5" max="5" width="10.5703125" style="19" hidden="1" customWidth="1"/>
    <col min="6" max="6" width="20.28515625" style="19" hidden="1" customWidth="1"/>
    <col min="7" max="7" width="14.42578125" style="19" bestFit="1" customWidth="1"/>
    <col min="8" max="8" width="20.28515625" style="19" customWidth="1"/>
    <col min="9" max="9" width="22.42578125" style="16" customWidth="1"/>
    <col min="10" max="10" width="28.42578125" style="16" bestFit="1" customWidth="1"/>
    <col min="11" max="11" width="14.140625" style="16" bestFit="1" customWidth="1"/>
    <col min="12" max="12" width="10.85546875" style="16" bestFit="1" customWidth="1"/>
    <col min="13" max="13" width="11.28515625" style="16" bestFit="1" customWidth="1"/>
    <col min="14" max="14" width="14.7109375" style="16" hidden="1" customWidth="1"/>
    <col min="15" max="15" width="51.42578125" style="16" customWidth="1"/>
    <col min="16" max="16" width="2.42578125" style="16" customWidth="1"/>
    <col min="17" max="17" width="9.140625" style="16"/>
    <col min="18" max="18" width="9.5703125" style="16" bestFit="1" customWidth="1"/>
    <col min="19" max="20" width="9.140625" style="16"/>
    <col min="21" max="21" width="10.140625" style="16" bestFit="1" customWidth="1"/>
    <col min="22" max="24" width="9.140625" style="16"/>
    <col min="25" max="25" width="11.5703125" style="19" bestFit="1" customWidth="1"/>
    <col min="26" max="16384" width="9.140625" style="16"/>
  </cols>
  <sheetData>
    <row r="1" spans="1:25" s="4" customFormat="1" x14ac:dyDescent="0.2">
      <c r="A1" s="74" t="s">
        <v>0</v>
      </c>
      <c r="B1" s="74" t="s">
        <v>218</v>
      </c>
      <c r="C1" s="74" t="s">
        <v>219</v>
      </c>
      <c r="D1" s="75" t="s">
        <v>1</v>
      </c>
      <c r="E1" s="2" t="s">
        <v>2</v>
      </c>
      <c r="F1" s="75" t="s">
        <v>1</v>
      </c>
      <c r="G1" s="3" t="s">
        <v>2</v>
      </c>
      <c r="H1" s="3" t="s">
        <v>1</v>
      </c>
      <c r="I1" s="74" t="s">
        <v>3</v>
      </c>
      <c r="J1" s="74" t="s">
        <v>4</v>
      </c>
      <c r="K1" s="76" t="s">
        <v>5</v>
      </c>
      <c r="L1" s="76" t="s">
        <v>5</v>
      </c>
      <c r="M1" s="74" t="s">
        <v>220</v>
      </c>
      <c r="N1" s="74" t="s">
        <v>6</v>
      </c>
      <c r="O1" s="74" t="s">
        <v>7</v>
      </c>
      <c r="Y1" s="5"/>
    </row>
    <row r="2" spans="1:25" s="4" customFormat="1" x14ac:dyDescent="0.2">
      <c r="A2" s="74"/>
      <c r="B2" s="74"/>
      <c r="C2" s="74"/>
      <c r="D2" s="77">
        <v>2018</v>
      </c>
      <c r="E2" s="7">
        <v>43466</v>
      </c>
      <c r="F2" s="77">
        <v>2019</v>
      </c>
      <c r="G2" s="9">
        <v>43831</v>
      </c>
      <c r="H2" s="10">
        <v>2020</v>
      </c>
      <c r="I2" s="74"/>
      <c r="J2" s="74"/>
      <c r="K2" s="11" t="s">
        <v>90</v>
      </c>
      <c r="L2" s="11" t="s">
        <v>91</v>
      </c>
      <c r="M2" s="74" t="s">
        <v>221</v>
      </c>
      <c r="N2" s="74"/>
      <c r="O2" s="74"/>
      <c r="Y2" s="5"/>
    </row>
    <row r="3" spans="1:25" x14ac:dyDescent="0.2">
      <c r="A3" s="78"/>
      <c r="B3" s="78"/>
      <c r="C3" s="78"/>
    </row>
    <row r="4" spans="1:25" x14ac:dyDescent="0.2">
      <c r="A4" s="79" t="s">
        <v>266</v>
      </c>
      <c r="B4" s="79" t="s">
        <v>267</v>
      </c>
      <c r="C4" s="79" t="s">
        <v>268</v>
      </c>
      <c r="D4" s="80">
        <f>18528311-180000</f>
        <v>18348311</v>
      </c>
      <c r="E4" s="42">
        <v>132</v>
      </c>
      <c r="F4" s="35">
        <v>19033700</v>
      </c>
      <c r="G4" s="43">
        <v>141.9</v>
      </c>
      <c r="H4" s="14">
        <f>ROUND(F4/E4*G4,-2)-1800000</f>
        <v>18661200</v>
      </c>
      <c r="I4" s="16" t="s">
        <v>13</v>
      </c>
      <c r="J4" s="16" t="s">
        <v>269</v>
      </c>
      <c r="K4" s="16" t="s">
        <v>270</v>
      </c>
      <c r="L4" s="81">
        <v>42429</v>
      </c>
      <c r="M4" s="17" t="s">
        <v>271</v>
      </c>
      <c r="O4" s="16" t="s">
        <v>272</v>
      </c>
    </row>
    <row r="5" spans="1:25" x14ac:dyDescent="0.2">
      <c r="A5" s="79"/>
      <c r="B5" s="79"/>
      <c r="C5" s="79"/>
      <c r="D5" s="82">
        <v>1600000</v>
      </c>
      <c r="E5" s="42"/>
      <c r="F5" s="35">
        <v>1600000</v>
      </c>
      <c r="G5" s="43"/>
      <c r="H5" s="14">
        <v>1100000</v>
      </c>
      <c r="I5" s="16" t="s">
        <v>273</v>
      </c>
      <c r="L5" s="81"/>
      <c r="M5" s="17"/>
      <c r="O5" s="16" t="s">
        <v>274</v>
      </c>
    </row>
    <row r="6" spans="1:25" x14ac:dyDescent="0.2">
      <c r="A6" s="79"/>
      <c r="B6" s="79"/>
      <c r="C6" s="79"/>
      <c r="D6" s="82">
        <v>6375000</v>
      </c>
      <c r="E6" s="42"/>
      <c r="F6" s="35">
        <v>6375000</v>
      </c>
      <c r="G6" s="43"/>
      <c r="H6" s="14">
        <f>F6-1200000</f>
        <v>5175000</v>
      </c>
      <c r="I6" s="16" t="s">
        <v>16</v>
      </c>
      <c r="L6" s="81"/>
      <c r="M6" s="17"/>
    </row>
    <row r="7" spans="1:25" x14ac:dyDescent="0.2">
      <c r="A7" s="79" t="s">
        <v>275</v>
      </c>
      <c r="B7" s="79" t="s">
        <v>276</v>
      </c>
      <c r="C7" s="79" t="s">
        <v>277</v>
      </c>
      <c r="D7" s="83">
        <v>6034647</v>
      </c>
      <c r="E7" s="42">
        <v>132</v>
      </c>
      <c r="F7" s="35">
        <v>6199300</v>
      </c>
      <c r="G7" s="43">
        <v>141.9</v>
      </c>
      <c r="H7" s="14">
        <f t="shared" ref="H7" si="0">ROUND(F7/E7*G7,-2)</f>
        <v>6664200</v>
      </c>
      <c r="I7" s="16" t="s">
        <v>13</v>
      </c>
      <c r="J7" s="16" t="s">
        <v>269</v>
      </c>
      <c r="K7" s="16" t="s">
        <v>270</v>
      </c>
      <c r="L7" s="81">
        <v>42429</v>
      </c>
      <c r="M7" s="17" t="s">
        <v>271</v>
      </c>
      <c r="O7" s="16" t="s">
        <v>278</v>
      </c>
    </row>
    <row r="8" spans="1:25" x14ac:dyDescent="0.2">
      <c r="A8" s="79"/>
      <c r="B8" s="79"/>
      <c r="C8" s="79"/>
      <c r="D8" s="84">
        <v>2303350</v>
      </c>
      <c r="E8" s="85"/>
      <c r="F8" s="35">
        <v>2303350</v>
      </c>
      <c r="G8" s="43"/>
      <c r="H8" s="14">
        <f>F8</f>
        <v>2303350</v>
      </c>
      <c r="I8" s="16" t="s">
        <v>16</v>
      </c>
      <c r="L8" s="81"/>
      <c r="M8" s="17"/>
    </row>
    <row r="9" spans="1:25" x14ac:dyDescent="0.2">
      <c r="A9" s="49"/>
      <c r="B9" s="49"/>
      <c r="C9" s="49"/>
      <c r="D9" s="35">
        <v>544650</v>
      </c>
      <c r="E9" s="85"/>
      <c r="F9" s="35">
        <f t="shared" ref="F9:F18" si="1">D9</f>
        <v>544650</v>
      </c>
      <c r="G9" s="43"/>
      <c r="H9" s="14">
        <f>F9</f>
        <v>544650</v>
      </c>
      <c r="I9" s="16" t="s">
        <v>16</v>
      </c>
      <c r="L9" s="81"/>
      <c r="M9" s="17"/>
    </row>
    <row r="10" spans="1:25" x14ac:dyDescent="0.2">
      <c r="A10" s="16" t="s">
        <v>279</v>
      </c>
      <c r="B10" s="16" t="s">
        <v>280</v>
      </c>
      <c r="C10" s="16" t="s">
        <v>277</v>
      </c>
      <c r="D10" s="35">
        <v>25000</v>
      </c>
      <c r="E10" s="42">
        <v>132</v>
      </c>
      <c r="F10" s="35">
        <v>25700</v>
      </c>
      <c r="G10" s="43">
        <v>141.9</v>
      </c>
      <c r="H10" s="14">
        <v>350000</v>
      </c>
      <c r="I10" s="16" t="s">
        <v>13</v>
      </c>
      <c r="O10" s="16" t="s">
        <v>281</v>
      </c>
    </row>
    <row r="11" spans="1:25" x14ac:dyDescent="0.2">
      <c r="D11" s="35">
        <v>136000</v>
      </c>
      <c r="E11" s="85"/>
      <c r="F11" s="35">
        <f>D11</f>
        <v>136000</v>
      </c>
      <c r="G11" s="43"/>
      <c r="H11" s="86">
        <f>F11</f>
        <v>136000</v>
      </c>
      <c r="I11" s="16" t="s">
        <v>16</v>
      </c>
    </row>
    <row r="12" spans="1:25" x14ac:dyDescent="0.2">
      <c r="A12" s="16" t="s">
        <v>282</v>
      </c>
      <c r="B12" s="16" t="s">
        <v>283</v>
      </c>
      <c r="C12" s="16" t="s">
        <v>284</v>
      </c>
      <c r="D12" s="35">
        <v>100000</v>
      </c>
      <c r="E12" s="85"/>
      <c r="F12" s="35">
        <f t="shared" ref="F12:H17" si="2">D12</f>
        <v>100000</v>
      </c>
      <c r="G12" s="43"/>
      <c r="H12" s="14">
        <f t="shared" si="2"/>
        <v>100000</v>
      </c>
      <c r="I12" s="16" t="s">
        <v>16</v>
      </c>
    </row>
    <row r="13" spans="1:25" x14ac:dyDescent="0.2">
      <c r="A13" s="16" t="s">
        <v>285</v>
      </c>
      <c r="B13" s="16" t="s">
        <v>286</v>
      </c>
      <c r="C13" s="16" t="s">
        <v>277</v>
      </c>
      <c r="D13" s="35">
        <v>50000</v>
      </c>
      <c r="E13" s="85"/>
      <c r="F13" s="35">
        <f t="shared" si="2"/>
        <v>50000</v>
      </c>
      <c r="G13" s="43"/>
      <c r="H13" s="14">
        <f t="shared" si="2"/>
        <v>50000</v>
      </c>
      <c r="I13" s="16" t="s">
        <v>16</v>
      </c>
      <c r="O13" s="16" t="s">
        <v>287</v>
      </c>
    </row>
    <row r="14" spans="1:25" x14ac:dyDescent="0.2">
      <c r="A14" s="16" t="s">
        <v>288</v>
      </c>
      <c r="B14" s="16" t="s">
        <v>289</v>
      </c>
      <c r="C14" s="16" t="s">
        <v>277</v>
      </c>
      <c r="D14" s="35">
        <v>250000</v>
      </c>
      <c r="E14" s="85"/>
      <c r="F14" s="35">
        <f t="shared" si="2"/>
        <v>250000</v>
      </c>
      <c r="G14" s="43"/>
      <c r="H14" s="14">
        <f t="shared" si="2"/>
        <v>250000</v>
      </c>
      <c r="I14" s="16" t="s">
        <v>16</v>
      </c>
      <c r="O14" s="16" t="s">
        <v>287</v>
      </c>
    </row>
    <row r="15" spans="1:25" x14ac:dyDescent="0.2">
      <c r="A15" s="16" t="s">
        <v>290</v>
      </c>
      <c r="B15" s="16" t="s">
        <v>291</v>
      </c>
      <c r="C15" s="16" t="s">
        <v>277</v>
      </c>
      <c r="D15" s="35">
        <v>10000</v>
      </c>
      <c r="E15" s="85"/>
      <c r="F15" s="35">
        <f t="shared" si="2"/>
        <v>10000</v>
      </c>
      <c r="G15" s="43"/>
      <c r="H15" s="14">
        <f t="shared" si="2"/>
        <v>10000</v>
      </c>
      <c r="I15" s="16" t="s">
        <v>16</v>
      </c>
      <c r="O15" s="16" t="s">
        <v>287</v>
      </c>
    </row>
    <row r="16" spans="1:25" x14ac:dyDescent="0.2">
      <c r="A16" s="16" t="s">
        <v>292</v>
      </c>
      <c r="C16" s="16" t="s">
        <v>277</v>
      </c>
      <c r="D16" s="35">
        <v>7500</v>
      </c>
      <c r="E16" s="42">
        <v>132</v>
      </c>
      <c r="F16" s="35">
        <v>7800</v>
      </c>
      <c r="G16" s="43">
        <v>141.9</v>
      </c>
      <c r="H16" s="14">
        <f t="shared" ref="H16" si="3">ROUND(F16/E16*G16,-2)</f>
        <v>8400</v>
      </c>
      <c r="I16" s="16" t="s">
        <v>13</v>
      </c>
      <c r="O16" s="16" t="s">
        <v>293</v>
      </c>
    </row>
    <row r="17" spans="1:25" x14ac:dyDescent="0.2">
      <c r="A17" s="16" t="s">
        <v>240</v>
      </c>
      <c r="D17" s="35">
        <v>4000000</v>
      </c>
      <c r="E17" s="85"/>
      <c r="F17" s="35">
        <f t="shared" si="2"/>
        <v>4000000</v>
      </c>
      <c r="G17" s="43"/>
      <c r="H17" s="87">
        <v>4000000</v>
      </c>
      <c r="I17" s="16" t="s">
        <v>85</v>
      </c>
      <c r="O17" s="16" t="s">
        <v>294</v>
      </c>
    </row>
    <row r="18" spans="1:25" x14ac:dyDescent="0.2">
      <c r="D18" s="35">
        <v>40000000</v>
      </c>
      <c r="E18" s="35"/>
      <c r="F18" s="35">
        <f t="shared" si="1"/>
        <v>40000000</v>
      </c>
      <c r="G18" s="35"/>
      <c r="H18" s="62">
        <v>6000000</v>
      </c>
      <c r="I18" s="16" t="s">
        <v>295</v>
      </c>
      <c r="O18" s="16" t="s">
        <v>296</v>
      </c>
    </row>
    <row r="19" spans="1:25" x14ac:dyDescent="0.2">
      <c r="B19" s="78"/>
      <c r="C19" s="78"/>
      <c r="D19" s="56"/>
      <c r="E19" s="56"/>
      <c r="F19" s="56"/>
      <c r="G19" s="56"/>
      <c r="H19" s="88">
        <v>1000000</v>
      </c>
      <c r="I19" s="13" t="s">
        <v>68</v>
      </c>
      <c r="O19" s="16" t="s">
        <v>274</v>
      </c>
    </row>
    <row r="20" spans="1:25" x14ac:dyDescent="0.2">
      <c r="B20" s="78"/>
      <c r="C20" s="78"/>
      <c r="D20" s="56"/>
      <c r="E20" s="56"/>
      <c r="F20" s="56"/>
      <c r="G20" s="56"/>
      <c r="H20" s="56"/>
    </row>
    <row r="21" spans="1:25" s="4" customFormat="1" x14ac:dyDescent="0.2">
      <c r="A21" s="4" t="s">
        <v>27</v>
      </c>
      <c r="B21" s="46"/>
      <c r="C21" s="46"/>
      <c r="D21" s="89">
        <f>SUM(D4:D18)</f>
        <v>79784458</v>
      </c>
      <c r="E21" s="89"/>
      <c r="F21" s="90">
        <f>SUM(F4:F18)</f>
        <v>80635500</v>
      </c>
      <c r="G21" s="34"/>
      <c r="H21" s="90">
        <f>SUM(H4:H19)</f>
        <v>46352800</v>
      </c>
      <c r="M21" s="16"/>
      <c r="Y21" s="5"/>
    </row>
    <row r="22" spans="1:25" x14ac:dyDescent="0.2">
      <c r="B22" s="49"/>
      <c r="C22" s="49"/>
      <c r="D22" s="34"/>
      <c r="E22" s="34"/>
      <c r="F22" s="34"/>
      <c r="G22" s="34"/>
      <c r="H22" s="34"/>
    </row>
    <row r="23" spans="1:25" x14ac:dyDescent="0.2">
      <c r="A23" s="91" t="s">
        <v>28</v>
      </c>
      <c r="B23" s="91"/>
      <c r="C23" s="91"/>
    </row>
    <row r="24" spans="1:25" x14ac:dyDescent="0.2">
      <c r="A24" s="16" t="s">
        <v>13</v>
      </c>
      <c r="D24" s="35">
        <f>D4+D7+D10+D16</f>
        <v>24415458</v>
      </c>
      <c r="E24" s="35"/>
      <c r="F24" s="35">
        <f>F4+F7+F10+F16</f>
        <v>25266500</v>
      </c>
      <c r="G24" s="35"/>
      <c r="H24" s="35">
        <f>H4+H7+H10+H16</f>
        <v>25683800</v>
      </c>
    </row>
    <row r="25" spans="1:25" x14ac:dyDescent="0.2">
      <c r="A25" s="16" t="s">
        <v>16</v>
      </c>
      <c r="D25" s="35">
        <f>D6+D8+D9+D11+D12+D13+D14+D15</f>
        <v>9769000</v>
      </c>
      <c r="E25" s="35"/>
      <c r="F25" s="35">
        <f>F6+F8+F9+F11+F12+F13+F14+F15</f>
        <v>9769000</v>
      </c>
      <c r="G25" s="35"/>
      <c r="H25" s="35">
        <f>H6+H8+H9+H11+H12+H13+H14+H15</f>
        <v>8569000</v>
      </c>
    </row>
    <row r="26" spans="1:25" x14ac:dyDescent="0.2">
      <c r="A26" s="16" t="s">
        <v>85</v>
      </c>
      <c r="D26" s="35">
        <f>D17</f>
        <v>4000000</v>
      </c>
      <c r="E26" s="35"/>
      <c r="F26" s="35">
        <f>F17</f>
        <v>4000000</v>
      </c>
      <c r="G26" s="35"/>
      <c r="H26" s="35">
        <f>H17</f>
        <v>4000000</v>
      </c>
    </row>
    <row r="27" spans="1:25" x14ac:dyDescent="0.2">
      <c r="A27" s="16" t="s">
        <v>295</v>
      </c>
      <c r="D27" s="35">
        <f>D18</f>
        <v>40000000</v>
      </c>
      <c r="E27" s="35"/>
      <c r="F27" s="35">
        <f>F18</f>
        <v>40000000</v>
      </c>
      <c r="G27" s="35"/>
      <c r="H27" s="35">
        <f>H18</f>
        <v>6000000</v>
      </c>
    </row>
    <row r="28" spans="1:25" x14ac:dyDescent="0.2">
      <c r="A28" s="16" t="s">
        <v>297</v>
      </c>
      <c r="B28" s="78"/>
      <c r="C28" s="78"/>
      <c r="D28" s="56">
        <f>D5</f>
        <v>1600000</v>
      </c>
      <c r="E28" s="56"/>
      <c r="F28" s="56">
        <f>F5</f>
        <v>1600000</v>
      </c>
      <c r="G28" s="56"/>
      <c r="H28" s="56">
        <f>H5</f>
        <v>1100000</v>
      </c>
    </row>
    <row r="29" spans="1:25" x14ac:dyDescent="0.2">
      <c r="A29" s="13" t="s">
        <v>68</v>
      </c>
      <c r="B29" s="92"/>
      <c r="C29" s="92"/>
      <c r="D29" s="93"/>
      <c r="E29" s="93"/>
      <c r="F29" s="93"/>
      <c r="G29" s="93"/>
      <c r="H29" s="93">
        <f>H19</f>
        <v>1000000</v>
      </c>
    </row>
    <row r="30" spans="1:25" x14ac:dyDescent="0.2">
      <c r="B30" s="49"/>
      <c r="C30" s="49"/>
      <c r="D30" s="37">
        <f>SUM(D24:D28)</f>
        <v>79784458</v>
      </c>
      <c r="E30" s="37"/>
      <c r="F30" s="37">
        <f>SUM(F24:F28)</f>
        <v>80635500</v>
      </c>
      <c r="G30" s="39"/>
      <c r="H30" s="37">
        <f>SUM(H24:H29)</f>
        <v>46352800</v>
      </c>
    </row>
    <row r="31" spans="1:25" hidden="1" x14ac:dyDescent="0.2">
      <c r="D31" s="35">
        <f>D30-D21</f>
        <v>0</v>
      </c>
      <c r="E31" s="35"/>
      <c r="F31" s="35">
        <f>F30-F21</f>
        <v>0</v>
      </c>
      <c r="G31" s="35"/>
      <c r="H31" s="35"/>
    </row>
    <row r="34" spans="1:2" x14ac:dyDescent="0.2">
      <c r="A34" s="36" t="s">
        <v>30</v>
      </c>
    </row>
    <row r="35" spans="1:2" x14ac:dyDescent="0.2">
      <c r="A35" s="16" t="s">
        <v>31</v>
      </c>
      <c r="B35" s="16" t="s">
        <v>74</v>
      </c>
    </row>
    <row r="36" spans="1:2" x14ac:dyDescent="0.2">
      <c r="A36" s="16" t="s">
        <v>33</v>
      </c>
      <c r="B36" s="16" t="s">
        <v>132</v>
      </c>
    </row>
    <row r="37" spans="1:2" x14ac:dyDescent="0.2">
      <c r="A37" s="16" t="s">
        <v>35</v>
      </c>
    </row>
    <row r="38" spans="1:2" x14ac:dyDescent="0.2">
      <c r="A38" s="16" t="s">
        <v>36</v>
      </c>
      <c r="B38" s="16" t="s">
        <v>132</v>
      </c>
    </row>
    <row r="39" spans="1:2" x14ac:dyDescent="0.2">
      <c r="A39" s="16" t="s">
        <v>38</v>
      </c>
      <c r="B39" s="16" t="s">
        <v>132</v>
      </c>
    </row>
    <row r="40" spans="1:2" x14ac:dyDescent="0.2">
      <c r="A40" s="16" t="s">
        <v>39</v>
      </c>
      <c r="B40" s="16" t="s">
        <v>298</v>
      </c>
    </row>
  </sheetData>
  <pageMargins left="0.7" right="0.7"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workbookViewId="0">
      <selection activeCell="H15" sqref="H15"/>
    </sheetView>
  </sheetViews>
  <sheetFormatPr defaultRowHeight="12.75" x14ac:dyDescent="0.2"/>
  <cols>
    <col min="1" max="1" width="29.5703125" style="16" customWidth="1"/>
    <col min="2" max="2" width="9.140625" style="16" bestFit="1" customWidth="1"/>
    <col min="3" max="3" width="16.42578125" style="16" bestFit="1" customWidth="1"/>
    <col min="4" max="4" width="18.28515625" style="19" hidden="1" customWidth="1"/>
    <col min="5" max="5" width="10.5703125" style="19" hidden="1" customWidth="1"/>
    <col min="6" max="6" width="20.28515625" style="19" hidden="1" customWidth="1"/>
    <col min="7" max="7" width="10.5703125" style="19" bestFit="1" customWidth="1"/>
    <col min="8" max="8" width="20.28515625" style="19" customWidth="1"/>
    <col min="9" max="9" width="22.42578125" style="16" customWidth="1"/>
    <col min="10" max="10" width="12.5703125" style="16" bestFit="1" customWidth="1"/>
    <col min="11" max="11" width="11.5703125" style="16" bestFit="1" customWidth="1"/>
    <col min="12" max="12" width="10.85546875" style="16" bestFit="1" customWidth="1"/>
    <col min="13" max="13" width="17.7109375" style="16" bestFit="1" customWidth="1"/>
    <col min="14" max="14" width="14.7109375" style="16" customWidth="1"/>
    <col min="15" max="15" width="51.42578125" style="16" customWidth="1"/>
    <col min="16" max="16" width="2.42578125" style="16" customWidth="1"/>
    <col min="17" max="17" width="9.5703125" style="16" bestFit="1" customWidth="1"/>
    <col min="18" max="18" width="14.42578125" style="16" bestFit="1" customWidth="1"/>
    <col min="19" max="19" width="9.140625" style="16"/>
    <col min="20" max="20" width="9.5703125" style="16" bestFit="1" customWidth="1"/>
    <col min="21" max="22" width="9.140625" style="16"/>
    <col min="23" max="23" width="10.140625" style="16" bestFit="1" customWidth="1"/>
    <col min="24" max="26" width="9.140625" style="16"/>
    <col min="27" max="27" width="11.5703125" style="19" bestFit="1" customWidth="1"/>
    <col min="28" max="16384" width="9.140625" style="16"/>
  </cols>
  <sheetData>
    <row r="1" spans="1:27" s="4" customFormat="1" x14ac:dyDescent="0.2">
      <c r="A1" s="74" t="s">
        <v>0</v>
      </c>
      <c r="B1" s="74" t="s">
        <v>218</v>
      </c>
      <c r="C1" s="74" t="s">
        <v>219</v>
      </c>
      <c r="D1" s="75" t="s">
        <v>1</v>
      </c>
      <c r="E1" s="2" t="s">
        <v>2</v>
      </c>
      <c r="F1" s="75" t="s">
        <v>1</v>
      </c>
      <c r="G1" s="3" t="s">
        <v>2</v>
      </c>
      <c r="H1" s="3" t="s">
        <v>1</v>
      </c>
      <c r="I1" s="74" t="s">
        <v>3</v>
      </c>
      <c r="J1" s="74" t="s">
        <v>4</v>
      </c>
      <c r="K1" s="76" t="s">
        <v>5</v>
      </c>
      <c r="L1" s="76" t="s">
        <v>5</v>
      </c>
      <c r="M1" s="74" t="s">
        <v>299</v>
      </c>
      <c r="N1" s="74" t="s">
        <v>6</v>
      </c>
      <c r="O1" s="74" t="s">
        <v>7</v>
      </c>
      <c r="Q1" s="150" t="s">
        <v>300</v>
      </c>
      <c r="R1" s="151"/>
      <c r="AA1" s="5"/>
    </row>
    <row r="2" spans="1:27" s="4" customFormat="1" x14ac:dyDescent="0.2">
      <c r="A2" s="74"/>
      <c r="B2" s="74"/>
      <c r="C2" s="74"/>
      <c r="D2" s="77">
        <v>2018</v>
      </c>
      <c r="E2" s="7">
        <v>43466</v>
      </c>
      <c r="F2" s="77">
        <v>2019</v>
      </c>
      <c r="G2" s="9">
        <v>43831</v>
      </c>
      <c r="H2" s="10">
        <v>2020</v>
      </c>
      <c r="I2" s="74"/>
      <c r="J2" s="74"/>
      <c r="K2" s="11" t="s">
        <v>90</v>
      </c>
      <c r="L2" s="11" t="s">
        <v>91</v>
      </c>
      <c r="M2" s="74"/>
      <c r="N2" s="74"/>
      <c r="O2" s="74"/>
      <c r="Q2" s="125" t="s">
        <v>301</v>
      </c>
      <c r="R2" s="125" t="s">
        <v>13</v>
      </c>
      <c r="AA2" s="5"/>
    </row>
    <row r="4" spans="1:27" x14ac:dyDescent="0.2">
      <c r="A4" s="16" t="s">
        <v>302</v>
      </c>
      <c r="B4" s="16" t="s">
        <v>303</v>
      </c>
      <c r="C4" s="16" t="s">
        <v>304</v>
      </c>
      <c r="D4" s="35">
        <v>1076690</v>
      </c>
      <c r="E4" s="85">
        <v>118.5</v>
      </c>
      <c r="F4" s="35">
        <f>D4</f>
        <v>1076690</v>
      </c>
      <c r="G4" s="43">
        <v>120.4</v>
      </c>
      <c r="H4" s="14">
        <f>ROUND(F4/E4*G4,-2)</f>
        <v>1094000</v>
      </c>
      <c r="I4" s="16" t="s">
        <v>16</v>
      </c>
      <c r="J4" s="16" t="s">
        <v>305</v>
      </c>
      <c r="K4" s="16" t="s">
        <v>306</v>
      </c>
      <c r="L4" s="81">
        <v>42990</v>
      </c>
      <c r="M4" s="17" t="s">
        <v>307</v>
      </c>
      <c r="N4" s="16" t="s">
        <v>96</v>
      </c>
      <c r="Q4" s="17">
        <v>2018</v>
      </c>
      <c r="R4" s="17">
        <v>110</v>
      </c>
    </row>
    <row r="5" spans="1:27" x14ac:dyDescent="0.2">
      <c r="D5" s="35">
        <v>210310</v>
      </c>
      <c r="E5" s="85">
        <v>118.5</v>
      </c>
      <c r="F5" s="35">
        <f>D5</f>
        <v>210310</v>
      </c>
      <c r="G5" s="43">
        <v>120.4</v>
      </c>
      <c r="H5" s="14">
        <f t="shared" ref="H5:H12" si="0">ROUND(F5/E5*G5,-2)</f>
        <v>213700</v>
      </c>
      <c r="I5" s="16" t="s">
        <v>16</v>
      </c>
      <c r="J5" s="16" t="s">
        <v>305</v>
      </c>
      <c r="K5" s="16" t="s">
        <v>306</v>
      </c>
      <c r="L5" s="81">
        <v>42990</v>
      </c>
      <c r="M5" s="17" t="s">
        <v>307</v>
      </c>
      <c r="N5" s="16" t="s">
        <v>308</v>
      </c>
      <c r="Q5" s="17">
        <v>2019</v>
      </c>
      <c r="R5" s="17">
        <v>113</v>
      </c>
    </row>
    <row r="6" spans="1:27" x14ac:dyDescent="0.2">
      <c r="D6" s="35">
        <v>800000</v>
      </c>
      <c r="E6" s="42">
        <v>132</v>
      </c>
      <c r="F6" s="35">
        <f>CEILING((D6*$R$5/$R$4),100)</f>
        <v>821900</v>
      </c>
      <c r="G6" s="43">
        <v>141.9</v>
      </c>
      <c r="H6" s="14">
        <f t="shared" si="0"/>
        <v>883500</v>
      </c>
      <c r="I6" s="16" t="s">
        <v>108</v>
      </c>
      <c r="J6" s="16" t="s">
        <v>305</v>
      </c>
      <c r="K6" s="16" t="s">
        <v>306</v>
      </c>
      <c r="L6" s="81">
        <v>42990</v>
      </c>
      <c r="M6" s="17" t="s">
        <v>307</v>
      </c>
      <c r="N6" s="16" t="s">
        <v>96</v>
      </c>
    </row>
    <row r="7" spans="1:27" x14ac:dyDescent="0.2">
      <c r="D7" s="35">
        <v>16300</v>
      </c>
      <c r="E7" s="35"/>
      <c r="F7" s="35">
        <f>D7</f>
        <v>16300</v>
      </c>
      <c r="G7" s="35"/>
      <c r="H7" s="14">
        <f>F7</f>
        <v>16300</v>
      </c>
      <c r="I7" s="16" t="s">
        <v>273</v>
      </c>
      <c r="J7" s="16" t="s">
        <v>305</v>
      </c>
      <c r="K7" s="16" t="s">
        <v>306</v>
      </c>
      <c r="L7" s="81">
        <v>42990</v>
      </c>
      <c r="M7" s="17" t="s">
        <v>307</v>
      </c>
      <c r="N7" s="16" t="s">
        <v>96</v>
      </c>
      <c r="O7" s="16" t="s">
        <v>309</v>
      </c>
    </row>
    <row r="8" spans="1:27" x14ac:dyDescent="0.2">
      <c r="A8" s="16" t="s">
        <v>310</v>
      </c>
      <c r="B8" s="16" t="s">
        <v>311</v>
      </c>
      <c r="C8" s="16" t="s">
        <v>312</v>
      </c>
      <c r="D8" s="35">
        <v>9750000</v>
      </c>
      <c r="E8" s="42">
        <v>132</v>
      </c>
      <c r="F8" s="35">
        <f>CEILING((D8*$R$5/$R$4),100)</f>
        <v>10016000</v>
      </c>
      <c r="G8" s="43">
        <v>141.9</v>
      </c>
      <c r="H8" s="14">
        <f t="shared" si="0"/>
        <v>10767200</v>
      </c>
      <c r="I8" s="16" t="s">
        <v>13</v>
      </c>
      <c r="J8" s="16" t="s">
        <v>305</v>
      </c>
      <c r="K8" s="16" t="s">
        <v>313</v>
      </c>
      <c r="L8" s="81">
        <v>42915</v>
      </c>
      <c r="M8" s="17" t="s">
        <v>271</v>
      </c>
      <c r="N8" s="16" t="s">
        <v>96</v>
      </c>
    </row>
    <row r="9" spans="1:27" x14ac:dyDescent="0.2">
      <c r="D9" s="35">
        <v>450000</v>
      </c>
      <c r="E9" s="42">
        <v>132</v>
      </c>
      <c r="F9" s="35">
        <f>CEILING((D9*$R$5/$R$4),100)</f>
        <v>462300</v>
      </c>
      <c r="G9" s="43">
        <v>141.9</v>
      </c>
      <c r="H9" s="14">
        <f t="shared" si="0"/>
        <v>497000</v>
      </c>
      <c r="I9" s="16" t="s">
        <v>13</v>
      </c>
      <c r="M9" s="17"/>
      <c r="N9" s="16" t="s">
        <v>308</v>
      </c>
      <c r="O9" s="16" t="s">
        <v>314</v>
      </c>
    </row>
    <row r="10" spans="1:27" x14ac:dyDescent="0.2">
      <c r="D10" s="35">
        <v>2651050</v>
      </c>
      <c r="E10" s="85">
        <v>118.5</v>
      </c>
      <c r="F10" s="35">
        <f t="shared" ref="F10:F15" si="1">D10</f>
        <v>2651050</v>
      </c>
      <c r="G10" s="43">
        <v>120.4</v>
      </c>
      <c r="H10" s="14">
        <f t="shared" si="0"/>
        <v>2693600</v>
      </c>
      <c r="I10" s="16" t="s">
        <v>16</v>
      </c>
      <c r="J10" s="16" t="s">
        <v>305</v>
      </c>
      <c r="K10" s="16" t="s">
        <v>315</v>
      </c>
      <c r="L10" s="81">
        <v>42915</v>
      </c>
      <c r="M10" s="17" t="s">
        <v>307</v>
      </c>
      <c r="N10" s="16" t="s">
        <v>96</v>
      </c>
    </row>
    <row r="11" spans="1:27" x14ac:dyDescent="0.2">
      <c r="D11" s="35">
        <v>543680</v>
      </c>
      <c r="E11" s="85">
        <v>118.5</v>
      </c>
      <c r="F11" s="35">
        <f t="shared" si="1"/>
        <v>543680</v>
      </c>
      <c r="G11" s="43">
        <v>120.4</v>
      </c>
      <c r="H11" s="14">
        <f t="shared" si="0"/>
        <v>552400</v>
      </c>
      <c r="I11" s="16" t="s">
        <v>16</v>
      </c>
      <c r="J11" s="16" t="s">
        <v>305</v>
      </c>
      <c r="K11" s="16" t="s">
        <v>315</v>
      </c>
      <c r="L11" s="81">
        <v>42915</v>
      </c>
      <c r="M11" s="17" t="s">
        <v>307</v>
      </c>
      <c r="N11" s="16" t="s">
        <v>308</v>
      </c>
    </row>
    <row r="12" spans="1:27" x14ac:dyDescent="0.2">
      <c r="D12" s="35">
        <v>460270</v>
      </c>
      <c r="E12" s="85">
        <v>118.5</v>
      </c>
      <c r="F12" s="35">
        <f t="shared" si="1"/>
        <v>460270</v>
      </c>
      <c r="G12" s="43">
        <v>120.4</v>
      </c>
      <c r="H12" s="14">
        <f t="shared" si="0"/>
        <v>467600</v>
      </c>
      <c r="I12" s="16" t="s">
        <v>16</v>
      </c>
      <c r="J12" s="16" t="s">
        <v>305</v>
      </c>
      <c r="K12" s="16" t="s">
        <v>315</v>
      </c>
      <c r="L12" s="81">
        <v>42915</v>
      </c>
      <c r="M12" s="17" t="s">
        <v>307</v>
      </c>
      <c r="N12" s="16" t="s">
        <v>96</v>
      </c>
      <c r="O12" s="16" t="s">
        <v>316</v>
      </c>
    </row>
    <row r="13" spans="1:27" x14ac:dyDescent="0.2">
      <c r="A13" s="16" t="s">
        <v>317</v>
      </c>
      <c r="D13" s="35">
        <v>56995</v>
      </c>
      <c r="E13" s="85">
        <v>118.5</v>
      </c>
      <c r="F13" s="35">
        <f t="shared" si="1"/>
        <v>56995</v>
      </c>
      <c r="G13" s="43">
        <v>120.4</v>
      </c>
      <c r="H13" s="14">
        <v>24000</v>
      </c>
      <c r="I13" s="16" t="s">
        <v>16</v>
      </c>
      <c r="N13" s="16" t="s">
        <v>308</v>
      </c>
    </row>
    <row r="14" spans="1:27" x14ac:dyDescent="0.2">
      <c r="A14" s="16" t="s">
        <v>240</v>
      </c>
      <c r="D14" s="35">
        <v>4000000</v>
      </c>
      <c r="E14" s="35"/>
      <c r="F14" s="35">
        <f t="shared" si="1"/>
        <v>4000000</v>
      </c>
      <c r="G14" s="35"/>
      <c r="H14" s="14">
        <v>1000000</v>
      </c>
      <c r="I14" s="16" t="s">
        <v>29</v>
      </c>
      <c r="N14" s="16" t="s">
        <v>308</v>
      </c>
      <c r="O14" s="16" t="s">
        <v>318</v>
      </c>
    </row>
    <row r="15" spans="1:27" x14ac:dyDescent="0.2">
      <c r="D15" s="35">
        <v>924710</v>
      </c>
      <c r="E15" s="35"/>
      <c r="F15" s="35">
        <f t="shared" si="1"/>
        <v>924710</v>
      </c>
      <c r="G15" s="35"/>
      <c r="H15" s="14">
        <v>195000</v>
      </c>
      <c r="I15" s="16" t="s">
        <v>85</v>
      </c>
      <c r="N15" s="16" t="s">
        <v>308</v>
      </c>
      <c r="O15" s="16" t="s">
        <v>319</v>
      </c>
    </row>
    <row r="16" spans="1:27" x14ac:dyDescent="0.2">
      <c r="B16" s="78"/>
      <c r="C16" s="78"/>
      <c r="D16" s="56"/>
      <c r="E16" s="56"/>
      <c r="F16" s="56"/>
      <c r="G16" s="56"/>
      <c r="H16" s="56"/>
    </row>
    <row r="17" spans="1:27" s="4" customFormat="1" x14ac:dyDescent="0.2">
      <c r="A17" s="4" t="s">
        <v>27</v>
      </c>
      <c r="B17" s="46"/>
      <c r="C17" s="46"/>
      <c r="D17" s="89">
        <f>SUM(D4:D15)</f>
        <v>20940005</v>
      </c>
      <c r="E17" s="89"/>
      <c r="F17" s="90">
        <f>SUM(F4:F15)</f>
        <v>21240205</v>
      </c>
      <c r="G17" s="31"/>
      <c r="H17" s="90">
        <f>SUM(H4:H15)</f>
        <v>18404300</v>
      </c>
      <c r="M17" s="16"/>
      <c r="AA17" s="5"/>
    </row>
    <row r="18" spans="1:27" x14ac:dyDescent="0.2">
      <c r="B18" s="49"/>
      <c r="C18" s="49"/>
      <c r="D18" s="34"/>
      <c r="E18" s="34"/>
      <c r="F18" s="34"/>
      <c r="G18" s="34"/>
      <c r="H18" s="34"/>
    </row>
    <row r="19" spans="1:27" x14ac:dyDescent="0.2">
      <c r="D19" s="35"/>
      <c r="E19" s="35"/>
      <c r="F19" s="35"/>
      <c r="G19" s="35"/>
      <c r="H19" s="35"/>
    </row>
    <row r="20" spans="1:27" x14ac:dyDescent="0.2">
      <c r="A20" s="91" t="s">
        <v>28</v>
      </c>
      <c r="B20" s="91"/>
      <c r="C20" s="91"/>
    </row>
    <row r="21" spans="1:27" x14ac:dyDescent="0.2">
      <c r="A21" s="16" t="s">
        <v>13</v>
      </c>
      <c r="D21" s="35">
        <f>D8+D9</f>
        <v>10200000</v>
      </c>
      <c r="E21" s="35"/>
      <c r="F21" s="35">
        <f>F8+F9</f>
        <v>10478300</v>
      </c>
      <c r="G21" s="35"/>
      <c r="H21" s="35">
        <f>H8+H9</f>
        <v>11264200</v>
      </c>
    </row>
    <row r="22" spans="1:27" x14ac:dyDescent="0.2">
      <c r="A22" s="16" t="s">
        <v>108</v>
      </c>
      <c r="D22" s="35">
        <f>D6</f>
        <v>800000</v>
      </c>
      <c r="E22" s="35"/>
      <c r="F22" s="35">
        <f>F6</f>
        <v>821900</v>
      </c>
      <c r="G22" s="35"/>
      <c r="H22" s="35">
        <f>H6</f>
        <v>883500</v>
      </c>
    </row>
    <row r="23" spans="1:27" x14ac:dyDescent="0.2">
      <c r="A23" s="16" t="s">
        <v>16</v>
      </c>
      <c r="D23" s="35">
        <f>D4+D5+D10+D11+D12+D13</f>
        <v>4998995</v>
      </c>
      <c r="E23" s="35"/>
      <c r="F23" s="35">
        <f>F4+F5+F10+F11+F12+F13</f>
        <v>4998995</v>
      </c>
      <c r="G23" s="35"/>
      <c r="H23" s="35">
        <f>H4+H5+H10+H11+H12+H13</f>
        <v>5045300</v>
      </c>
    </row>
    <row r="24" spans="1:27" x14ac:dyDescent="0.2">
      <c r="A24" s="16" t="s">
        <v>85</v>
      </c>
      <c r="D24" s="35">
        <f>D15</f>
        <v>924710</v>
      </c>
      <c r="E24" s="35"/>
      <c r="F24" s="35">
        <f>F15</f>
        <v>924710</v>
      </c>
      <c r="G24" s="35"/>
      <c r="H24" s="35">
        <f>H15</f>
        <v>195000</v>
      </c>
    </row>
    <row r="25" spans="1:27" x14ac:dyDescent="0.2">
      <c r="A25" s="16" t="s">
        <v>29</v>
      </c>
      <c r="D25" s="35">
        <f>D14</f>
        <v>4000000</v>
      </c>
      <c r="E25" s="35"/>
      <c r="F25" s="35">
        <f>F14</f>
        <v>4000000</v>
      </c>
      <c r="G25" s="35"/>
      <c r="H25" s="35">
        <f>H14</f>
        <v>1000000</v>
      </c>
    </row>
    <row r="26" spans="1:27" x14ac:dyDescent="0.2">
      <c r="A26" s="16" t="s">
        <v>297</v>
      </c>
      <c r="B26" s="78"/>
      <c r="C26" s="78"/>
      <c r="D26" s="56">
        <f>D7</f>
        <v>16300</v>
      </c>
      <c r="E26" s="56"/>
      <c r="F26" s="56">
        <f>F7</f>
        <v>16300</v>
      </c>
      <c r="G26" s="56"/>
      <c r="H26" s="56">
        <f>H7</f>
        <v>16300</v>
      </c>
    </row>
    <row r="27" spans="1:27" x14ac:dyDescent="0.2">
      <c r="B27" s="49"/>
      <c r="C27" s="49"/>
      <c r="D27" s="37">
        <f>SUM(D21:D26)</f>
        <v>20940005</v>
      </c>
      <c r="E27" s="37"/>
      <c r="F27" s="38">
        <f>SUM(F21:F26)</f>
        <v>21240205</v>
      </c>
      <c r="G27" s="39"/>
      <c r="H27" s="38">
        <f>SUM(H21:H26)</f>
        <v>18404300</v>
      </c>
    </row>
    <row r="28" spans="1:27" hidden="1" x14ac:dyDescent="0.2">
      <c r="D28" s="35">
        <f>D27-D17</f>
        <v>0</v>
      </c>
      <c r="E28" s="35"/>
      <c r="F28" s="35">
        <f>F27-F17</f>
        <v>0</v>
      </c>
      <c r="G28" s="35"/>
      <c r="H28" s="35"/>
    </row>
    <row r="31" spans="1:27" x14ac:dyDescent="0.2">
      <c r="A31" s="36" t="s">
        <v>30</v>
      </c>
    </row>
    <row r="32" spans="1:27" x14ac:dyDescent="0.2">
      <c r="A32" s="16" t="s">
        <v>31</v>
      </c>
      <c r="B32" s="16" t="s">
        <v>74</v>
      </c>
    </row>
    <row r="33" spans="1:2" x14ac:dyDescent="0.2">
      <c r="A33" s="16" t="s">
        <v>33</v>
      </c>
      <c r="B33" s="16" t="s">
        <v>71</v>
      </c>
    </row>
    <row r="34" spans="1:2" x14ac:dyDescent="0.2">
      <c r="A34" s="16" t="s">
        <v>35</v>
      </c>
      <c r="B34" s="16" t="s">
        <v>34</v>
      </c>
    </row>
    <row r="35" spans="1:2" x14ac:dyDescent="0.2">
      <c r="A35" s="16" t="s">
        <v>36</v>
      </c>
      <c r="B35" s="126" t="s">
        <v>320</v>
      </c>
    </row>
    <row r="36" spans="1:2" x14ac:dyDescent="0.2">
      <c r="A36" s="16" t="s">
        <v>38</v>
      </c>
      <c r="B36" s="16" t="s">
        <v>321</v>
      </c>
    </row>
    <row r="37" spans="1:2" x14ac:dyDescent="0.2">
      <c r="A37" s="16" t="s">
        <v>39</v>
      </c>
      <c r="B37" s="16" t="s">
        <v>243</v>
      </c>
    </row>
  </sheetData>
  <mergeCells count="1">
    <mergeCell ref="Q1:R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6"/>
  <sheetViews>
    <sheetView workbookViewId="0">
      <selection activeCell="F17" sqref="F17"/>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0.5703125" style="19" bestFit="1" customWidth="1"/>
    <col min="6" max="6" width="21.85546875" style="19" customWidth="1"/>
    <col min="7" max="7" width="47.5703125" style="16" bestFit="1" customWidth="1"/>
    <col min="8" max="8" width="22.7109375" style="16" bestFit="1" customWidth="1"/>
    <col min="9" max="10" width="13.28515625" style="17" customWidth="1"/>
    <col min="11" max="11" width="11.85546875" style="17" customWidth="1"/>
    <col min="12" max="12" width="14.140625" style="16" bestFit="1" customWidth="1"/>
    <col min="13" max="13" width="66.425781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3" t="s">
        <v>2</v>
      </c>
      <c r="D1" s="3" t="s">
        <v>1</v>
      </c>
      <c r="E1" s="3" t="s">
        <v>2</v>
      </c>
      <c r="F1" s="3" t="s">
        <v>1</v>
      </c>
      <c r="G1" s="1" t="s">
        <v>3</v>
      </c>
      <c r="H1" s="1" t="s">
        <v>4</v>
      </c>
      <c r="I1" s="143" t="s">
        <v>5</v>
      </c>
      <c r="J1" s="144"/>
      <c r="K1" s="145"/>
      <c r="L1" s="1" t="s">
        <v>6</v>
      </c>
      <c r="M1" s="1" t="s">
        <v>7</v>
      </c>
      <c r="X1" s="5"/>
    </row>
    <row r="2" spans="1:24" s="4" customFormat="1" x14ac:dyDescent="0.2">
      <c r="A2" s="1"/>
      <c r="B2" s="6">
        <v>2018</v>
      </c>
      <c r="C2" s="9">
        <v>43466</v>
      </c>
      <c r="D2" s="8" t="s">
        <v>8</v>
      </c>
      <c r="E2" s="9">
        <v>43831</v>
      </c>
      <c r="F2" s="10">
        <v>2020</v>
      </c>
      <c r="G2" s="1"/>
      <c r="H2" s="1"/>
      <c r="I2" s="11" t="s">
        <v>9</v>
      </c>
      <c r="J2" s="12" t="s">
        <v>10</v>
      </c>
      <c r="K2" s="12" t="s">
        <v>11</v>
      </c>
      <c r="L2" s="1"/>
      <c r="M2" s="1"/>
      <c r="X2" s="5"/>
    </row>
    <row r="4" spans="1:24" ht="25.5" x14ac:dyDescent="0.2">
      <c r="A4" s="98" t="s">
        <v>322</v>
      </c>
      <c r="B4" s="14">
        <v>26155947</v>
      </c>
      <c r="C4" s="15">
        <v>132</v>
      </c>
      <c r="D4" s="14">
        <v>29250000</v>
      </c>
      <c r="E4" s="118">
        <v>141.9</v>
      </c>
      <c r="F4" s="14">
        <f>ROUND(D4/C4*E4,-2)</f>
        <v>31443800</v>
      </c>
      <c r="G4" s="13" t="s">
        <v>13</v>
      </c>
      <c r="H4" s="13" t="s">
        <v>14</v>
      </c>
      <c r="I4" s="17">
        <v>20190601</v>
      </c>
      <c r="J4" s="18">
        <v>43620</v>
      </c>
      <c r="K4" s="18">
        <v>45812</v>
      </c>
      <c r="L4" s="16" t="s">
        <v>49</v>
      </c>
      <c r="M4" s="16" t="s">
        <v>323</v>
      </c>
    </row>
    <row r="5" spans="1:24" x14ac:dyDescent="0.2">
      <c r="A5" s="40" t="s">
        <v>324</v>
      </c>
      <c r="B5" s="14">
        <v>2573900</v>
      </c>
      <c r="C5" s="15">
        <v>118.5</v>
      </c>
      <c r="D5" s="14">
        <v>3371550</v>
      </c>
      <c r="E5" s="118">
        <v>120.4</v>
      </c>
      <c r="F5" s="14">
        <f t="shared" ref="F5:F14" si="0">ROUND(D5/C5*E5,-2)</f>
        <v>3425600</v>
      </c>
      <c r="G5" s="13" t="s">
        <v>325</v>
      </c>
      <c r="H5" s="13" t="s">
        <v>14</v>
      </c>
      <c r="I5" s="17" t="s">
        <v>326</v>
      </c>
      <c r="J5" s="18">
        <v>43620</v>
      </c>
      <c r="K5" s="18">
        <v>44716</v>
      </c>
      <c r="L5" s="16" t="s">
        <v>49</v>
      </c>
      <c r="M5" s="16" t="s">
        <v>327</v>
      </c>
    </row>
    <row r="6" spans="1:24" x14ac:dyDescent="0.2">
      <c r="A6" s="40" t="s">
        <v>324</v>
      </c>
      <c r="B6" s="14">
        <v>433100</v>
      </c>
      <c r="C6" s="15">
        <v>118.5</v>
      </c>
      <c r="D6" s="14">
        <v>253450</v>
      </c>
      <c r="E6" s="118">
        <v>120.4</v>
      </c>
      <c r="F6" s="14">
        <f t="shared" si="0"/>
        <v>257500</v>
      </c>
      <c r="G6" s="13" t="s">
        <v>325</v>
      </c>
      <c r="H6" s="13" t="s">
        <v>14</v>
      </c>
      <c r="I6" s="17" t="s">
        <v>326</v>
      </c>
      <c r="J6" s="18">
        <v>43620</v>
      </c>
      <c r="K6" s="18">
        <v>44716</v>
      </c>
      <c r="L6" s="16" t="s">
        <v>54</v>
      </c>
    </row>
    <row r="7" spans="1:24" x14ac:dyDescent="0.2">
      <c r="A7" s="13"/>
      <c r="B7" s="14"/>
      <c r="C7" s="15"/>
      <c r="D7" s="14">
        <f>2300000+300000-500000</f>
        <v>2100000</v>
      </c>
      <c r="E7" s="118"/>
      <c r="F7" s="14">
        <f>D7</f>
        <v>2100000</v>
      </c>
      <c r="G7" s="13" t="s">
        <v>328</v>
      </c>
      <c r="H7" s="13" t="s">
        <v>14</v>
      </c>
      <c r="I7" s="17">
        <v>20190601</v>
      </c>
      <c r="M7" s="16" t="s">
        <v>329</v>
      </c>
    </row>
    <row r="8" spans="1:24" x14ac:dyDescent="0.2">
      <c r="A8" s="13" t="s">
        <v>330</v>
      </c>
      <c r="B8" s="14"/>
      <c r="C8" s="15">
        <v>132</v>
      </c>
      <c r="D8" s="14">
        <v>200000</v>
      </c>
      <c r="E8" s="118">
        <v>141.9</v>
      </c>
      <c r="F8" s="14">
        <f t="shared" si="0"/>
        <v>215000</v>
      </c>
      <c r="G8" s="13" t="s">
        <v>108</v>
      </c>
      <c r="H8" s="13" t="s">
        <v>331</v>
      </c>
      <c r="I8" s="17" t="s">
        <v>326</v>
      </c>
      <c r="J8" s="18">
        <v>43620</v>
      </c>
      <c r="K8" s="18">
        <v>44716</v>
      </c>
      <c r="L8" s="16" t="s">
        <v>54</v>
      </c>
      <c r="M8" s="16" t="s">
        <v>332</v>
      </c>
    </row>
    <row r="9" spans="1:24" x14ac:dyDescent="0.2">
      <c r="A9" s="13"/>
      <c r="B9" s="14">
        <v>690700</v>
      </c>
      <c r="C9" s="15">
        <v>118.5</v>
      </c>
      <c r="D9" s="14">
        <v>679000</v>
      </c>
      <c r="E9" s="118">
        <v>120.4</v>
      </c>
      <c r="F9" s="14">
        <f>ROUND(D9/C9*E9,-2)+721100</f>
        <v>1411000</v>
      </c>
      <c r="G9" s="13" t="s">
        <v>16</v>
      </c>
      <c r="H9" s="13" t="s">
        <v>331</v>
      </c>
      <c r="I9" s="17" t="s">
        <v>326</v>
      </c>
      <c r="J9" s="18">
        <v>43620</v>
      </c>
      <c r="L9" s="16" t="s">
        <v>54</v>
      </c>
      <c r="M9" s="16" t="s">
        <v>332</v>
      </c>
    </row>
    <row r="10" spans="1:24" x14ac:dyDescent="0.2">
      <c r="A10" s="13" t="s">
        <v>333</v>
      </c>
      <c r="B10" s="14">
        <v>22675</v>
      </c>
      <c r="C10" s="15">
        <v>118.5</v>
      </c>
      <c r="D10" s="14">
        <v>22550</v>
      </c>
      <c r="E10" s="118">
        <v>120.4</v>
      </c>
      <c r="F10" s="14">
        <f t="shared" si="0"/>
        <v>22900</v>
      </c>
      <c r="G10" s="13" t="s">
        <v>16</v>
      </c>
      <c r="H10" s="13" t="s">
        <v>331</v>
      </c>
      <c r="I10" s="17" t="s">
        <v>326</v>
      </c>
      <c r="J10" s="18">
        <v>43620</v>
      </c>
      <c r="K10" s="18">
        <v>44716</v>
      </c>
      <c r="L10" s="16" t="s">
        <v>54</v>
      </c>
      <c r="M10" s="16" t="s">
        <v>334</v>
      </c>
    </row>
    <row r="11" spans="1:24" x14ac:dyDescent="0.2">
      <c r="A11" s="13" t="s">
        <v>335</v>
      </c>
      <c r="B11" s="14">
        <v>15000</v>
      </c>
      <c r="C11" s="15">
        <v>132</v>
      </c>
      <c r="D11" s="14">
        <v>20000</v>
      </c>
      <c r="E11" s="118">
        <v>141.9</v>
      </c>
      <c r="F11" s="14">
        <f t="shared" si="0"/>
        <v>21500</v>
      </c>
      <c r="G11" s="13" t="s">
        <v>108</v>
      </c>
      <c r="H11" s="13" t="s">
        <v>331</v>
      </c>
      <c r="I11" s="17" t="s">
        <v>326</v>
      </c>
      <c r="J11" s="18">
        <v>43620</v>
      </c>
      <c r="K11" s="18">
        <v>44716</v>
      </c>
      <c r="L11" s="16" t="s">
        <v>54</v>
      </c>
      <c r="M11" s="16" t="s">
        <v>336</v>
      </c>
    </row>
    <row r="12" spans="1:24" x14ac:dyDescent="0.2">
      <c r="B12" s="14">
        <v>118750</v>
      </c>
      <c r="C12" s="15">
        <v>118.5</v>
      </c>
      <c r="D12" s="14">
        <v>119900</v>
      </c>
      <c r="E12" s="118">
        <v>120.4</v>
      </c>
      <c r="F12" s="14">
        <f t="shared" si="0"/>
        <v>121800</v>
      </c>
      <c r="G12" s="13" t="s">
        <v>16</v>
      </c>
      <c r="H12" s="13" t="s">
        <v>331</v>
      </c>
      <c r="I12" s="17" t="s">
        <v>326</v>
      </c>
      <c r="J12" s="18">
        <v>43620</v>
      </c>
      <c r="K12" s="18">
        <v>44716</v>
      </c>
      <c r="L12" s="16" t="s">
        <v>54</v>
      </c>
    </row>
    <row r="13" spans="1:24" x14ac:dyDescent="0.2">
      <c r="A13" s="13" t="s">
        <v>337</v>
      </c>
      <c r="B13" s="14"/>
      <c r="C13" s="15"/>
      <c r="D13" s="14"/>
      <c r="E13" s="118"/>
      <c r="F13" s="14"/>
      <c r="G13" s="13"/>
      <c r="H13" s="13"/>
      <c r="M13" s="16" t="s">
        <v>338</v>
      </c>
    </row>
    <row r="14" spans="1:24" x14ac:dyDescent="0.2">
      <c r="A14" s="13" t="s">
        <v>339</v>
      </c>
      <c r="B14" s="14">
        <v>90756</v>
      </c>
      <c r="C14" s="15">
        <v>118.5</v>
      </c>
      <c r="D14" s="14">
        <f t="shared" ref="D14:D16" si="1">B14</f>
        <v>90756</v>
      </c>
      <c r="E14" s="118">
        <v>120.4</v>
      </c>
      <c r="F14" s="14">
        <f t="shared" si="0"/>
        <v>92200</v>
      </c>
      <c r="G14" s="13" t="s">
        <v>16</v>
      </c>
      <c r="H14" s="13"/>
      <c r="L14" s="16" t="s">
        <v>54</v>
      </c>
      <c r="M14" s="16" t="s">
        <v>340</v>
      </c>
    </row>
    <row r="15" spans="1:24" x14ac:dyDescent="0.2">
      <c r="A15" s="13"/>
      <c r="B15" s="14">
        <v>75000</v>
      </c>
      <c r="C15" s="15">
        <v>118.5</v>
      </c>
      <c r="D15" s="14">
        <f t="shared" si="1"/>
        <v>75000</v>
      </c>
      <c r="E15" s="118"/>
      <c r="F15" s="14">
        <f t="shared" ref="F15" si="2">D15</f>
        <v>75000</v>
      </c>
      <c r="G15" s="13" t="s">
        <v>85</v>
      </c>
      <c r="H15" s="13"/>
      <c r="L15" s="16" t="s">
        <v>54</v>
      </c>
    </row>
    <row r="16" spans="1:24" x14ac:dyDescent="0.2">
      <c r="A16" s="13"/>
      <c r="B16" s="14">
        <v>7453390</v>
      </c>
      <c r="C16" s="15">
        <v>118.5</v>
      </c>
      <c r="D16" s="14">
        <f t="shared" si="1"/>
        <v>7453390</v>
      </c>
      <c r="E16" s="118"/>
      <c r="F16" s="14">
        <v>9554225</v>
      </c>
      <c r="G16" s="13" t="s">
        <v>29</v>
      </c>
      <c r="H16" s="13"/>
      <c r="L16" s="16" t="s">
        <v>54</v>
      </c>
      <c r="M16" s="16" t="s">
        <v>341</v>
      </c>
    </row>
    <row r="17" spans="1:24" x14ac:dyDescent="0.2">
      <c r="A17" s="13" t="s">
        <v>342</v>
      </c>
      <c r="B17" s="14">
        <v>4000</v>
      </c>
      <c r="C17" s="15">
        <v>132</v>
      </c>
      <c r="D17" s="14">
        <v>4000</v>
      </c>
      <c r="E17" s="118">
        <v>141.9</v>
      </c>
      <c r="F17" s="14">
        <f t="shared" ref="F17:F22" si="3">ROUND(D17/C17*E17,-2)</f>
        <v>4300</v>
      </c>
      <c r="G17" s="13" t="s">
        <v>108</v>
      </c>
      <c r="H17" s="13" t="s">
        <v>343</v>
      </c>
      <c r="I17" s="17" t="s">
        <v>326</v>
      </c>
      <c r="J17" s="18">
        <v>43620</v>
      </c>
      <c r="K17" s="18">
        <v>44716</v>
      </c>
      <c r="L17" s="16" t="s">
        <v>54</v>
      </c>
      <c r="M17" s="16" t="s">
        <v>344</v>
      </c>
    </row>
    <row r="18" spans="1:24" x14ac:dyDescent="0.2">
      <c r="A18" s="13"/>
      <c r="B18" s="14">
        <v>13800</v>
      </c>
      <c r="C18" s="15">
        <v>118.5</v>
      </c>
      <c r="D18" s="14">
        <v>32900</v>
      </c>
      <c r="E18" s="118">
        <v>120.4</v>
      </c>
      <c r="F18" s="14">
        <f t="shared" si="3"/>
        <v>33400</v>
      </c>
      <c r="G18" s="13" t="s">
        <v>16</v>
      </c>
      <c r="H18" s="13"/>
      <c r="L18" s="16" t="s">
        <v>54</v>
      </c>
    </row>
    <row r="19" spans="1:24" x14ac:dyDescent="0.2">
      <c r="A19" s="13" t="s">
        <v>345</v>
      </c>
      <c r="B19" s="14">
        <v>58325</v>
      </c>
      <c r="C19" s="15">
        <v>118.5</v>
      </c>
      <c r="D19" s="14">
        <v>43300</v>
      </c>
      <c r="E19" s="118">
        <v>120.4</v>
      </c>
      <c r="F19" s="14">
        <f t="shared" si="3"/>
        <v>44000</v>
      </c>
      <c r="G19" s="13" t="s">
        <v>16</v>
      </c>
      <c r="H19" s="13" t="s">
        <v>343</v>
      </c>
      <c r="I19" s="17" t="s">
        <v>326</v>
      </c>
      <c r="J19" s="18">
        <v>43620</v>
      </c>
      <c r="K19" s="18">
        <v>44716</v>
      </c>
      <c r="L19" s="16" t="s">
        <v>54</v>
      </c>
    </row>
    <row r="20" spans="1:24" x14ac:dyDescent="0.2">
      <c r="A20" s="13"/>
      <c r="B20" s="14">
        <v>20000</v>
      </c>
      <c r="C20" s="15">
        <v>132</v>
      </c>
      <c r="D20" s="14">
        <v>260000</v>
      </c>
      <c r="E20" s="118">
        <v>141.9</v>
      </c>
      <c r="F20" s="14">
        <f t="shared" si="3"/>
        <v>279500</v>
      </c>
      <c r="G20" s="13" t="s">
        <v>13</v>
      </c>
      <c r="H20" s="13" t="s">
        <v>343</v>
      </c>
      <c r="I20" s="17">
        <v>201906011</v>
      </c>
      <c r="J20" s="18">
        <v>43620</v>
      </c>
      <c r="K20" s="18">
        <v>45812</v>
      </c>
      <c r="L20" s="16" t="s">
        <v>54</v>
      </c>
      <c r="M20" s="16" t="s">
        <v>346</v>
      </c>
    </row>
    <row r="21" spans="1:24" x14ac:dyDescent="0.2">
      <c r="A21" s="13" t="s">
        <v>347</v>
      </c>
      <c r="B21" s="28"/>
      <c r="C21" s="15">
        <v>118.5</v>
      </c>
      <c r="D21" s="28">
        <v>8750</v>
      </c>
      <c r="E21" s="118">
        <v>120.4</v>
      </c>
      <c r="F21" s="14">
        <f t="shared" si="3"/>
        <v>8900</v>
      </c>
      <c r="G21" s="13" t="s">
        <v>16</v>
      </c>
      <c r="H21" s="13" t="s">
        <v>343</v>
      </c>
      <c r="I21" s="17">
        <v>201906011</v>
      </c>
      <c r="J21" s="18">
        <v>43620</v>
      </c>
      <c r="K21" s="18">
        <v>45812</v>
      </c>
      <c r="L21" s="16" t="s">
        <v>54</v>
      </c>
    </row>
    <row r="22" spans="1:24" x14ac:dyDescent="0.2">
      <c r="A22" s="13" t="s">
        <v>348</v>
      </c>
      <c r="B22" s="28"/>
      <c r="C22" s="15">
        <v>118.5</v>
      </c>
      <c r="D22" s="28">
        <v>304000</v>
      </c>
      <c r="E22" s="118">
        <v>120.4</v>
      </c>
      <c r="F22" s="14">
        <f t="shared" si="3"/>
        <v>308900</v>
      </c>
      <c r="G22" s="13" t="s">
        <v>16</v>
      </c>
      <c r="H22" s="13" t="s">
        <v>343</v>
      </c>
      <c r="I22" s="17">
        <v>201906011</v>
      </c>
      <c r="J22" s="18">
        <v>43620</v>
      </c>
      <c r="K22" s="18">
        <v>45812</v>
      </c>
      <c r="L22" s="16" t="s">
        <v>54</v>
      </c>
      <c r="M22" s="16" t="s">
        <v>349</v>
      </c>
    </row>
    <row r="23" spans="1:24" ht="13.5" thickBot="1" x14ac:dyDescent="0.25">
      <c r="A23" s="13"/>
      <c r="B23" s="28"/>
      <c r="C23" s="28"/>
      <c r="D23" s="28"/>
      <c r="E23" s="28"/>
      <c r="F23" s="28"/>
      <c r="H23" s="13"/>
    </row>
    <row r="24" spans="1:24" s="4" customFormat="1" ht="13.5" thickBot="1" x14ac:dyDescent="0.25">
      <c r="A24" s="4" t="s">
        <v>27</v>
      </c>
      <c r="B24" s="29">
        <f>SUM(B4:B20)</f>
        <v>37725343</v>
      </c>
      <c r="C24" s="29"/>
      <c r="D24" s="30">
        <f>SUM(D4:D22)</f>
        <v>44288546</v>
      </c>
      <c r="E24" s="31"/>
      <c r="F24" s="30">
        <f>SUM(F4:F22)</f>
        <v>49419525</v>
      </c>
      <c r="G24" s="101"/>
      <c r="H24" s="32"/>
      <c r="I24" s="33"/>
      <c r="J24" s="33"/>
      <c r="K24" s="33"/>
      <c r="X24" s="5"/>
    </row>
    <row r="25" spans="1:24" x14ac:dyDescent="0.2">
      <c r="B25" s="34"/>
      <c r="C25" s="34"/>
      <c r="D25" s="34"/>
      <c r="E25" s="34"/>
      <c r="F25" s="34"/>
      <c r="G25" s="73"/>
      <c r="H25" s="13"/>
    </row>
    <row r="26" spans="1:24" x14ac:dyDescent="0.2">
      <c r="B26" s="35"/>
      <c r="C26" s="35"/>
      <c r="D26" s="35"/>
      <c r="E26" s="35"/>
      <c r="F26" s="35"/>
      <c r="G26" s="73"/>
    </row>
    <row r="27" spans="1:24" x14ac:dyDescent="0.2">
      <c r="A27" s="36" t="s">
        <v>28</v>
      </c>
      <c r="B27" s="35"/>
      <c r="C27" s="35"/>
      <c r="D27" s="35"/>
      <c r="E27" s="35"/>
      <c r="F27" s="35"/>
    </row>
    <row r="28" spans="1:24" x14ac:dyDescent="0.2">
      <c r="A28" s="16" t="s">
        <v>13</v>
      </c>
      <c r="B28" s="35">
        <f>B4+B20</f>
        <v>26175947</v>
      </c>
      <c r="C28" s="35"/>
      <c r="D28" s="35">
        <f>D4+D20</f>
        <v>29510000</v>
      </c>
      <c r="E28" s="35"/>
      <c r="F28" s="35">
        <f>F4+F20</f>
        <v>31723300</v>
      </c>
    </row>
    <row r="29" spans="1:24" x14ac:dyDescent="0.2">
      <c r="A29" s="16" t="s">
        <v>108</v>
      </c>
      <c r="B29" s="35" t="e">
        <f>#REF!+B11+B17</f>
        <v>#REF!</v>
      </c>
      <c r="C29" s="35"/>
      <c r="D29" s="35" t="e">
        <f>#REF!+D8+D11+D17</f>
        <v>#REF!</v>
      </c>
      <c r="E29" s="35"/>
      <c r="F29" s="35">
        <f>F8+F11+F17</f>
        <v>240800</v>
      </c>
    </row>
    <row r="30" spans="1:24" x14ac:dyDescent="0.2">
      <c r="A30" s="16" t="s">
        <v>16</v>
      </c>
      <c r="B30" s="35" t="e">
        <f>B5+B6+#REF!+B9+B10+B12+B14+B18+B19+B21+B22</f>
        <v>#REF!</v>
      </c>
      <c r="C30" s="35"/>
      <c r="D30" s="35" t="e">
        <f>D5+D6+#REF!+D9+D10+D12+D14+D18+D19+D21+D22</f>
        <v>#REF!</v>
      </c>
      <c r="E30" s="35"/>
      <c r="F30" s="35">
        <f>F5+F6+F9+F10+F12+F14+F18+F19+F21+F22</f>
        <v>5726200</v>
      </c>
    </row>
    <row r="31" spans="1:24" x14ac:dyDescent="0.2">
      <c r="A31" s="16" t="s">
        <v>85</v>
      </c>
      <c r="B31" s="35">
        <f>B15</f>
        <v>75000</v>
      </c>
      <c r="C31" s="35"/>
      <c r="D31" s="35">
        <f>D15</f>
        <v>75000</v>
      </c>
      <c r="E31" s="35"/>
      <c r="F31" s="35">
        <f>F15</f>
        <v>75000</v>
      </c>
    </row>
    <row r="32" spans="1:24" x14ac:dyDescent="0.2">
      <c r="A32" s="16" t="s">
        <v>29</v>
      </c>
      <c r="B32" s="35">
        <f>B16</f>
        <v>7453390</v>
      </c>
      <c r="C32" s="35"/>
      <c r="D32" s="35">
        <f>D16</f>
        <v>7453390</v>
      </c>
      <c r="E32" s="35"/>
      <c r="F32" s="35">
        <f>F16</f>
        <v>9554225</v>
      </c>
    </row>
    <row r="33" spans="1:24" x14ac:dyDescent="0.2">
      <c r="A33" s="16" t="s">
        <v>297</v>
      </c>
      <c r="B33" s="93"/>
      <c r="C33" s="93"/>
      <c r="D33" s="93">
        <f>D7</f>
        <v>2100000</v>
      </c>
      <c r="E33" s="93"/>
      <c r="F33" s="93">
        <f>F7</f>
        <v>2100000</v>
      </c>
    </row>
    <row r="34" spans="1:24" x14ac:dyDescent="0.2">
      <c r="B34" s="37" t="e">
        <f>SUM(B28:B32)</f>
        <v>#REF!</v>
      </c>
      <c r="C34" s="37"/>
      <c r="D34" s="38" t="e">
        <f>SUM(D28:D33)</f>
        <v>#REF!</v>
      </c>
      <c r="E34" s="39"/>
      <c r="F34" s="38">
        <f>SUM(F28:F33)</f>
        <v>49419525</v>
      </c>
    </row>
    <row r="35" spans="1:24" x14ac:dyDescent="0.2">
      <c r="B35" s="34"/>
      <c r="C35" s="34"/>
      <c r="D35" s="39"/>
      <c r="E35" s="39"/>
      <c r="F35" s="39"/>
    </row>
    <row r="36" spans="1:24" x14ac:dyDescent="0.2">
      <c r="B36" s="34"/>
      <c r="C36" s="34"/>
      <c r="D36" s="39"/>
      <c r="E36" s="39"/>
      <c r="F36" s="39"/>
    </row>
    <row r="37" spans="1:24" x14ac:dyDescent="0.2">
      <c r="A37" s="36" t="s">
        <v>30</v>
      </c>
      <c r="B37" s="34"/>
      <c r="C37" s="34"/>
      <c r="D37" s="39"/>
      <c r="E37" s="39"/>
      <c r="F37" s="39"/>
    </row>
    <row r="38" spans="1:24" x14ac:dyDescent="0.2">
      <c r="A38" s="16" t="s">
        <v>31</v>
      </c>
      <c r="B38" s="34"/>
      <c r="C38" s="34"/>
      <c r="D38" s="39"/>
      <c r="E38" s="34" t="s">
        <v>74</v>
      </c>
      <c r="F38" s="39"/>
    </row>
    <row r="39" spans="1:24" x14ac:dyDescent="0.2">
      <c r="A39" s="16" t="s">
        <v>33</v>
      </c>
      <c r="B39" s="34"/>
      <c r="C39" s="34"/>
      <c r="D39" s="39"/>
      <c r="E39" s="34" t="s">
        <v>71</v>
      </c>
      <c r="F39" s="39"/>
    </row>
    <row r="40" spans="1:24" x14ac:dyDescent="0.2">
      <c r="A40" s="16" t="s">
        <v>35</v>
      </c>
      <c r="B40" s="34"/>
      <c r="C40" s="34"/>
      <c r="D40" s="39"/>
      <c r="E40" s="34" t="s">
        <v>34</v>
      </c>
      <c r="F40" s="39"/>
    </row>
    <row r="41" spans="1:24" x14ac:dyDescent="0.2">
      <c r="A41" s="16" t="s">
        <v>36</v>
      </c>
      <c r="B41" s="34"/>
      <c r="C41" s="34"/>
      <c r="D41" s="39"/>
      <c r="E41" s="34" t="s">
        <v>353</v>
      </c>
      <c r="F41" s="39"/>
    </row>
    <row r="42" spans="1:24" x14ac:dyDescent="0.2">
      <c r="A42" s="16" t="s">
        <v>38</v>
      </c>
      <c r="B42" s="34"/>
      <c r="C42" s="34"/>
      <c r="D42" s="39"/>
      <c r="E42" s="34" t="s">
        <v>121</v>
      </c>
      <c r="F42" s="39"/>
    </row>
    <row r="43" spans="1:24" x14ac:dyDescent="0.2">
      <c r="A43" s="16" t="s">
        <v>39</v>
      </c>
      <c r="E43" s="19" t="s">
        <v>40</v>
      </c>
    </row>
    <row r="45" spans="1:24" s="123" customFormat="1" x14ac:dyDescent="0.2">
      <c r="A45" s="121" t="s">
        <v>350</v>
      </c>
      <c r="B45" s="127"/>
      <c r="C45" s="127"/>
      <c r="D45" s="127"/>
      <c r="E45" s="127"/>
      <c r="F45" s="127"/>
      <c r="I45" s="128"/>
      <c r="J45" s="128"/>
      <c r="K45" s="128"/>
      <c r="X45" s="127"/>
    </row>
    <row r="46" spans="1:24" s="123" customFormat="1" x14ac:dyDescent="0.2">
      <c r="A46" s="123" t="s">
        <v>351</v>
      </c>
      <c r="B46" s="127"/>
      <c r="C46" s="127"/>
      <c r="D46" s="127"/>
      <c r="E46" s="127"/>
      <c r="F46" s="106">
        <v>200000</v>
      </c>
      <c r="G46" s="123" t="s">
        <v>16</v>
      </c>
      <c r="I46" s="128"/>
      <c r="J46" s="128"/>
      <c r="K46" s="128"/>
      <c r="M46" s="123" t="s">
        <v>352</v>
      </c>
      <c r="X46" s="127"/>
    </row>
  </sheetData>
  <mergeCells count="1">
    <mergeCell ref="I1:K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workbookViewId="0">
      <selection activeCell="G25" sqref="G25"/>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0.5703125" style="19" bestFit="1" customWidth="1"/>
    <col min="6" max="6" width="21.85546875" style="19" customWidth="1"/>
    <col min="7" max="7" width="19.85546875" style="16" bestFit="1" customWidth="1"/>
    <col min="8" max="8" width="19.85546875" style="16" customWidth="1"/>
    <col min="9" max="9" width="21.28515625" style="16" bestFit="1" customWidth="1"/>
    <col min="10" max="11" width="13.28515625" style="17" customWidth="1"/>
    <col min="12" max="12" width="11.85546875" style="17" customWidth="1"/>
    <col min="13" max="13" width="14.140625" style="16" bestFit="1" customWidth="1"/>
    <col min="14" max="14" width="66.42578125" style="16" bestFit="1" customWidth="1"/>
    <col min="15" max="15" width="9" style="16" bestFit="1" customWidth="1"/>
    <col min="16" max="17" width="11.42578125" style="16" customWidth="1"/>
    <col min="18" max="18" width="9.5703125" style="16" bestFit="1" customWidth="1"/>
    <col min="19" max="19" width="9.140625" style="16"/>
    <col min="20" max="21" width="9.5703125" style="16" bestFit="1" customWidth="1"/>
    <col min="22" max="22" width="9.140625" style="16"/>
    <col min="23" max="23" width="10.140625" style="16" bestFit="1" customWidth="1"/>
    <col min="24" max="26" width="9.140625" style="16"/>
    <col min="27" max="27" width="11.5703125" style="19" bestFit="1" customWidth="1"/>
    <col min="28" max="16384" width="9.140625" style="16"/>
  </cols>
  <sheetData>
    <row r="1" spans="1:27" s="4" customFormat="1" x14ac:dyDescent="0.2">
      <c r="A1" s="1" t="s">
        <v>0</v>
      </c>
      <c r="B1" s="2" t="s">
        <v>1</v>
      </c>
      <c r="C1" s="2" t="s">
        <v>2</v>
      </c>
      <c r="D1" s="3" t="s">
        <v>1</v>
      </c>
      <c r="E1" s="3" t="s">
        <v>2</v>
      </c>
      <c r="F1" s="3" t="s">
        <v>1</v>
      </c>
      <c r="G1" s="1" t="s">
        <v>3</v>
      </c>
      <c r="H1" s="1"/>
      <c r="I1" s="1" t="s">
        <v>4</v>
      </c>
      <c r="J1" s="143" t="s">
        <v>5</v>
      </c>
      <c r="K1" s="144"/>
      <c r="L1" s="145"/>
      <c r="M1" s="1" t="s">
        <v>6</v>
      </c>
      <c r="N1" s="1" t="s">
        <v>7</v>
      </c>
      <c r="P1" s="146" t="s">
        <v>43</v>
      </c>
      <c r="Q1" s="147"/>
      <c r="AA1" s="5"/>
    </row>
    <row r="2" spans="1:27" s="4" customFormat="1" x14ac:dyDescent="0.2">
      <c r="A2" s="1"/>
      <c r="B2" s="6">
        <v>2018</v>
      </c>
      <c r="C2" s="7">
        <v>43466</v>
      </c>
      <c r="D2" s="8" t="s">
        <v>8</v>
      </c>
      <c r="E2" s="9">
        <v>43831</v>
      </c>
      <c r="F2" s="9">
        <v>43831</v>
      </c>
      <c r="G2" s="1"/>
      <c r="H2" s="1"/>
      <c r="I2" s="1"/>
      <c r="J2" s="11" t="s">
        <v>9</v>
      </c>
      <c r="K2" s="12" t="s">
        <v>10</v>
      </c>
      <c r="L2" s="12" t="s">
        <v>11</v>
      </c>
      <c r="M2" s="1"/>
      <c r="N2" s="1"/>
      <c r="P2" s="59" t="s">
        <v>44</v>
      </c>
      <c r="Q2" s="59" t="s">
        <v>354</v>
      </c>
      <c r="AA2" s="5"/>
    </row>
    <row r="4" spans="1:27" x14ac:dyDescent="0.2">
      <c r="A4" s="71" t="s">
        <v>355</v>
      </c>
      <c r="B4" s="87">
        <v>52012</v>
      </c>
      <c r="C4" s="110">
        <v>132</v>
      </c>
      <c r="D4" s="87">
        <v>53500</v>
      </c>
      <c r="E4" s="110">
        <v>141.9</v>
      </c>
      <c r="F4" s="87">
        <f t="shared" ref="F4:F9" si="0">ROUND(D4/C4*E4,-2)</f>
        <v>57500</v>
      </c>
      <c r="G4" s="71" t="s">
        <v>108</v>
      </c>
      <c r="H4" s="13"/>
      <c r="I4" s="13"/>
      <c r="K4" s="18"/>
      <c r="L4" s="18"/>
      <c r="P4" s="17">
        <v>2018</v>
      </c>
      <c r="Q4" s="17">
        <v>110</v>
      </c>
    </row>
    <row r="5" spans="1:27" x14ac:dyDescent="0.2">
      <c r="A5" s="71" t="s">
        <v>356</v>
      </c>
      <c r="B5" s="87">
        <v>6786100</v>
      </c>
      <c r="C5" s="110">
        <v>132</v>
      </c>
      <c r="D5" s="87">
        <v>6971200</v>
      </c>
      <c r="E5" s="110">
        <v>141.9</v>
      </c>
      <c r="F5" s="87">
        <f t="shared" si="0"/>
        <v>7494000</v>
      </c>
      <c r="G5" s="71" t="s">
        <v>13</v>
      </c>
      <c r="H5" s="13"/>
      <c r="I5" s="13"/>
      <c r="K5" s="18"/>
      <c r="L5" s="18"/>
      <c r="N5" s="16" t="s">
        <v>357</v>
      </c>
      <c r="P5" s="17">
        <v>2019</v>
      </c>
      <c r="Q5" s="17">
        <v>113</v>
      </c>
    </row>
    <row r="6" spans="1:27" x14ac:dyDescent="0.2">
      <c r="A6" s="71" t="s">
        <v>358</v>
      </c>
      <c r="B6" s="87">
        <v>4822833</v>
      </c>
      <c r="C6" s="110">
        <v>118.5</v>
      </c>
      <c r="D6" s="87">
        <v>4822833</v>
      </c>
      <c r="E6" s="110">
        <v>120.4</v>
      </c>
      <c r="F6" s="87">
        <f t="shared" si="0"/>
        <v>4900200</v>
      </c>
      <c r="G6" s="71" t="s">
        <v>16</v>
      </c>
      <c r="H6" s="13"/>
      <c r="I6" s="13"/>
      <c r="K6" s="18"/>
      <c r="L6" s="18"/>
    </row>
    <row r="7" spans="1:27" x14ac:dyDescent="0.2">
      <c r="A7" s="71" t="s">
        <v>359</v>
      </c>
      <c r="B7" s="87">
        <v>60642</v>
      </c>
      <c r="C7" s="110">
        <v>118.5</v>
      </c>
      <c r="D7" s="87">
        <v>60642</v>
      </c>
      <c r="E7" s="110">
        <v>120.4</v>
      </c>
      <c r="F7" s="87">
        <f t="shared" si="0"/>
        <v>61600</v>
      </c>
      <c r="G7" s="71" t="s">
        <v>16</v>
      </c>
      <c r="H7" s="13"/>
      <c r="I7" s="13"/>
    </row>
    <row r="8" spans="1:27" x14ac:dyDescent="0.2">
      <c r="A8" s="71" t="s">
        <v>360</v>
      </c>
      <c r="B8" s="87">
        <v>901374</v>
      </c>
      <c r="C8" s="110">
        <v>132</v>
      </c>
      <c r="D8" s="87">
        <v>926000</v>
      </c>
      <c r="E8" s="110">
        <v>141.9</v>
      </c>
      <c r="F8" s="87">
        <f t="shared" si="0"/>
        <v>995500</v>
      </c>
      <c r="G8" s="71" t="s">
        <v>13</v>
      </c>
      <c r="H8" s="13"/>
      <c r="I8" s="13"/>
      <c r="K8" s="18"/>
      <c r="L8" s="18"/>
    </row>
    <row r="9" spans="1:27" x14ac:dyDescent="0.2">
      <c r="A9" s="71"/>
      <c r="B9" s="87">
        <v>202548</v>
      </c>
      <c r="C9" s="110">
        <v>118.5</v>
      </c>
      <c r="D9" s="87">
        <v>202548</v>
      </c>
      <c r="E9" s="110">
        <v>120.4</v>
      </c>
      <c r="F9" s="87">
        <f t="shared" si="0"/>
        <v>205800</v>
      </c>
      <c r="G9" s="71" t="s">
        <v>16</v>
      </c>
      <c r="H9" s="13"/>
      <c r="I9" s="13"/>
      <c r="K9" s="18"/>
      <c r="L9" s="18"/>
    </row>
    <row r="10" spans="1:27" x14ac:dyDescent="0.2">
      <c r="A10" s="71" t="s">
        <v>361</v>
      </c>
      <c r="B10" s="87">
        <v>350000</v>
      </c>
      <c r="C10" s="87"/>
      <c r="D10" s="87">
        <v>350000</v>
      </c>
      <c r="E10" s="87"/>
      <c r="F10" s="87">
        <f t="shared" ref="F10" si="1">D10</f>
        <v>350000</v>
      </c>
      <c r="G10" s="71" t="s">
        <v>85</v>
      </c>
      <c r="H10" s="13"/>
      <c r="I10" s="13"/>
      <c r="K10" s="18"/>
    </row>
    <row r="11" spans="1:27" x14ac:dyDescent="0.2">
      <c r="A11" s="71"/>
      <c r="B11" s="87">
        <v>2500000</v>
      </c>
      <c r="C11" s="87"/>
      <c r="D11" s="87">
        <v>2500000</v>
      </c>
      <c r="E11" s="87"/>
      <c r="F11" s="87">
        <v>0</v>
      </c>
      <c r="G11" s="71" t="s">
        <v>29</v>
      </c>
      <c r="H11" s="13"/>
      <c r="I11" s="13"/>
      <c r="K11" s="18"/>
      <c r="L11" s="18"/>
      <c r="N11" s="16" t="s">
        <v>362</v>
      </c>
    </row>
    <row r="12" spans="1:27" x14ac:dyDescent="0.2">
      <c r="A12" s="71" t="s">
        <v>363</v>
      </c>
      <c r="B12" s="87">
        <v>9466588</v>
      </c>
      <c r="C12" s="110">
        <v>132</v>
      </c>
      <c r="D12" s="87">
        <v>9724800</v>
      </c>
      <c r="E12" s="110">
        <v>141.9</v>
      </c>
      <c r="F12" s="87">
        <f t="shared" ref="F12:F14" si="2">ROUND(D12/C12*E12,-2)</f>
        <v>10454200</v>
      </c>
      <c r="G12" s="71" t="s">
        <v>13</v>
      </c>
      <c r="H12" s="13"/>
      <c r="I12" s="13" t="s">
        <v>364</v>
      </c>
      <c r="J12" s="17">
        <v>213466001</v>
      </c>
      <c r="K12" s="18">
        <v>41954</v>
      </c>
      <c r="L12" s="18">
        <v>44146</v>
      </c>
    </row>
    <row r="13" spans="1:27" x14ac:dyDescent="0.2">
      <c r="A13" s="71"/>
      <c r="B13" s="87">
        <v>200000</v>
      </c>
      <c r="C13" s="110">
        <v>132</v>
      </c>
      <c r="D13" s="87">
        <v>205500</v>
      </c>
      <c r="E13" s="110">
        <v>141.9</v>
      </c>
      <c r="F13" s="87">
        <f t="shared" si="2"/>
        <v>220900</v>
      </c>
      <c r="G13" s="71" t="s">
        <v>13</v>
      </c>
      <c r="H13" s="13"/>
      <c r="I13" s="13" t="s">
        <v>364</v>
      </c>
      <c r="N13" s="16" t="s">
        <v>365</v>
      </c>
    </row>
    <row r="14" spans="1:27" x14ac:dyDescent="0.2">
      <c r="A14" s="63" t="s">
        <v>366</v>
      </c>
      <c r="B14" s="87">
        <v>4255852</v>
      </c>
      <c r="C14" s="110">
        <v>118.5</v>
      </c>
      <c r="D14" s="87">
        <v>4255852</v>
      </c>
      <c r="E14" s="110">
        <v>120.4</v>
      </c>
      <c r="F14" s="87">
        <f t="shared" si="2"/>
        <v>4324100</v>
      </c>
      <c r="G14" s="71" t="s">
        <v>16</v>
      </c>
      <c r="H14" s="13"/>
      <c r="I14" s="13"/>
      <c r="N14" s="16" t="s">
        <v>366</v>
      </c>
    </row>
    <row r="15" spans="1:27" x14ac:dyDescent="0.2">
      <c r="A15" s="71"/>
      <c r="B15" s="87">
        <v>100000</v>
      </c>
      <c r="C15" s="87"/>
      <c r="D15" s="87">
        <f t="shared" ref="D15:D16" si="3">B15</f>
        <v>100000</v>
      </c>
      <c r="E15" s="87"/>
      <c r="F15" s="87">
        <f t="shared" ref="F15" si="4">D15</f>
        <v>100000</v>
      </c>
      <c r="G15" s="71" t="s">
        <v>85</v>
      </c>
      <c r="H15" s="13"/>
      <c r="I15" s="13"/>
    </row>
    <row r="16" spans="1:27" x14ac:dyDescent="0.2">
      <c r="A16" s="13"/>
      <c r="B16" s="14">
        <v>3000000</v>
      </c>
      <c r="C16" s="14"/>
      <c r="D16" s="14">
        <f t="shared" si="3"/>
        <v>3000000</v>
      </c>
      <c r="E16" s="14"/>
      <c r="F16" s="14">
        <v>0</v>
      </c>
      <c r="G16" s="13" t="s">
        <v>29</v>
      </c>
      <c r="H16" s="13"/>
      <c r="I16" s="13"/>
      <c r="N16" s="16" t="s">
        <v>362</v>
      </c>
    </row>
    <row r="17" spans="1:27" x14ac:dyDescent="0.2">
      <c r="A17" s="129" t="s">
        <v>367</v>
      </c>
      <c r="B17" s="28"/>
      <c r="C17" s="28"/>
      <c r="D17" s="28"/>
      <c r="E17" s="28"/>
      <c r="F17" s="28">
        <v>883889</v>
      </c>
      <c r="G17" s="71" t="s">
        <v>13</v>
      </c>
      <c r="H17" s="13"/>
      <c r="I17" s="13"/>
    </row>
    <row r="18" spans="1:27" x14ac:dyDescent="0.2">
      <c r="A18" s="13"/>
      <c r="B18" s="28"/>
      <c r="C18" s="28"/>
      <c r="D18" s="28"/>
      <c r="E18" s="28"/>
      <c r="F18" s="28">
        <v>770175</v>
      </c>
      <c r="G18" s="71" t="s">
        <v>16</v>
      </c>
      <c r="H18" s="13"/>
      <c r="I18" s="13"/>
    </row>
    <row r="19" spans="1:27" ht="13.5" thickBot="1" x14ac:dyDescent="0.25">
      <c r="A19" s="13"/>
      <c r="B19" s="28"/>
      <c r="C19" s="28"/>
      <c r="D19" s="28"/>
      <c r="E19" s="28"/>
      <c r="F19" s="28"/>
      <c r="I19" s="13"/>
    </row>
    <row r="20" spans="1:27" s="4" customFormat="1" ht="13.5" thickBot="1" x14ac:dyDescent="0.25">
      <c r="A20" s="4" t="s">
        <v>27</v>
      </c>
      <c r="B20" s="29">
        <f>SUM(B4:B16)</f>
        <v>32697949</v>
      </c>
      <c r="C20" s="29"/>
      <c r="D20" s="30">
        <f>SUM(D4:D16)</f>
        <v>33172875</v>
      </c>
      <c r="E20" s="31"/>
      <c r="F20" s="30">
        <f>SUM(F4:F18)</f>
        <v>30817864</v>
      </c>
      <c r="I20" s="32"/>
      <c r="J20" s="33"/>
      <c r="K20" s="33"/>
      <c r="L20" s="33"/>
      <c r="AA20" s="5"/>
    </row>
    <row r="21" spans="1:27" x14ac:dyDescent="0.2">
      <c r="B21" s="34"/>
      <c r="C21" s="34"/>
      <c r="D21" s="34"/>
      <c r="E21" s="34"/>
      <c r="F21" s="34"/>
      <c r="I21" s="13"/>
    </row>
    <row r="22" spans="1:27" x14ac:dyDescent="0.2">
      <c r="B22" s="35"/>
      <c r="C22" s="35"/>
      <c r="D22" s="35"/>
      <c r="E22" s="35"/>
      <c r="F22" s="35"/>
    </row>
    <row r="23" spans="1:27" x14ac:dyDescent="0.2">
      <c r="A23" s="36" t="s">
        <v>28</v>
      </c>
      <c r="B23" s="35"/>
      <c r="C23" s="35"/>
      <c r="D23" s="35"/>
      <c r="E23" s="35"/>
      <c r="F23" s="35"/>
    </row>
    <row r="24" spans="1:27" x14ac:dyDescent="0.2">
      <c r="A24" s="16" t="s">
        <v>13</v>
      </c>
      <c r="B24" s="35">
        <f>B5+B8+B12+B13</f>
        <v>17354062</v>
      </c>
      <c r="C24" s="35"/>
      <c r="D24" s="35">
        <f>D5+D8+D12+D13</f>
        <v>17827500</v>
      </c>
      <c r="E24" s="35"/>
      <c r="F24" s="35">
        <f>F5+F8+F12+F13+F17</f>
        <v>20048489</v>
      </c>
    </row>
    <row r="25" spans="1:27" x14ac:dyDescent="0.2">
      <c r="A25" s="16" t="s">
        <v>108</v>
      </c>
      <c r="B25" s="35">
        <f>B4</f>
        <v>52012</v>
      </c>
      <c r="C25" s="35"/>
      <c r="D25" s="35">
        <f>D4</f>
        <v>53500</v>
      </c>
      <c r="E25" s="35"/>
      <c r="F25" s="35">
        <f>F4</f>
        <v>57500</v>
      </c>
    </row>
    <row r="26" spans="1:27" x14ac:dyDescent="0.2">
      <c r="A26" s="16" t="s">
        <v>16</v>
      </c>
      <c r="B26" s="35">
        <f>B6+B7+B9+B14</f>
        <v>9341875</v>
      </c>
      <c r="C26" s="56"/>
      <c r="D26" s="35">
        <f>D6+D7+D9+D14</f>
        <v>9341875</v>
      </c>
      <c r="E26" s="35"/>
      <c r="F26" s="35">
        <f>F6+F7+F9+F14+F18</f>
        <v>10261875</v>
      </c>
    </row>
    <row r="27" spans="1:27" x14ac:dyDescent="0.2">
      <c r="A27" s="16" t="s">
        <v>85</v>
      </c>
      <c r="B27" s="130">
        <f>B10+B15</f>
        <v>450000</v>
      </c>
      <c r="C27" s="102"/>
      <c r="D27" s="84">
        <f>D10+D15</f>
        <v>450000</v>
      </c>
      <c r="E27" s="35"/>
      <c r="F27" s="35">
        <f>F10+F15</f>
        <v>450000</v>
      </c>
    </row>
    <row r="28" spans="1:27" x14ac:dyDescent="0.2">
      <c r="A28" s="16" t="s">
        <v>29</v>
      </c>
      <c r="B28" s="130">
        <f>B11+B16</f>
        <v>5500000</v>
      </c>
      <c r="C28" s="102"/>
      <c r="D28" s="84">
        <f>D11+D16</f>
        <v>5500000</v>
      </c>
      <c r="E28" s="35"/>
      <c r="F28" s="35">
        <f>F11+F16</f>
        <v>0</v>
      </c>
    </row>
    <row r="29" spans="1:27" x14ac:dyDescent="0.2">
      <c r="B29" s="131">
        <f>SUM(B24:B28)</f>
        <v>32697949</v>
      </c>
      <c r="C29" s="102"/>
      <c r="D29" s="132">
        <f>SUM(D24:D28)</f>
        <v>33172875</v>
      </c>
      <c r="E29" s="39"/>
      <c r="F29" s="38">
        <f>SUM(F24:F28)</f>
        <v>30817864</v>
      </c>
      <c r="H29" s="73"/>
    </row>
    <row r="30" spans="1:27" x14ac:dyDescent="0.2">
      <c r="C30" s="58"/>
      <c r="H30" s="73"/>
    </row>
    <row r="31" spans="1:27" x14ac:dyDescent="0.2">
      <c r="H31" s="73"/>
    </row>
    <row r="32" spans="1:27" x14ac:dyDescent="0.2">
      <c r="A32" s="36" t="s">
        <v>30</v>
      </c>
    </row>
    <row r="33" spans="1:5" x14ac:dyDescent="0.2">
      <c r="A33" s="16" t="s">
        <v>31</v>
      </c>
      <c r="E33" s="19" t="s">
        <v>74</v>
      </c>
    </row>
    <row r="34" spans="1:5" x14ac:dyDescent="0.2">
      <c r="A34" s="16" t="s">
        <v>33</v>
      </c>
      <c r="E34" s="19" t="s">
        <v>71</v>
      </c>
    </row>
    <row r="35" spans="1:5" x14ac:dyDescent="0.2">
      <c r="A35" s="16" t="s">
        <v>35</v>
      </c>
      <c r="E35" s="19" t="s">
        <v>34</v>
      </c>
    </row>
    <row r="36" spans="1:5" x14ac:dyDescent="0.2">
      <c r="A36" s="16" t="s">
        <v>36</v>
      </c>
      <c r="E36" s="19" t="s">
        <v>368</v>
      </c>
    </row>
    <row r="37" spans="1:5" x14ac:dyDescent="0.2">
      <c r="A37" s="16" t="s">
        <v>38</v>
      </c>
      <c r="E37" s="19" t="s">
        <v>54</v>
      </c>
    </row>
    <row r="38" spans="1:5" x14ac:dyDescent="0.2">
      <c r="A38" s="16" t="s">
        <v>39</v>
      </c>
      <c r="E38" s="19" t="s">
        <v>243</v>
      </c>
    </row>
  </sheetData>
  <mergeCells count="2">
    <mergeCell ref="J1:L1"/>
    <mergeCell ref="P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workbookViewId="0">
      <selection activeCell="F17" sqref="F17:F19"/>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4.42578125" style="19" bestFit="1" customWidth="1"/>
    <col min="6" max="6" width="21.85546875" style="19" customWidth="1"/>
    <col min="7" max="7" width="35.5703125" style="16" bestFit="1" customWidth="1"/>
    <col min="8" max="8" width="22.7109375" style="16" bestFit="1" customWidth="1"/>
    <col min="9" max="10" width="13.28515625" style="17" customWidth="1"/>
    <col min="11" max="11" width="11.85546875" style="17" customWidth="1"/>
    <col min="12" max="12" width="14.140625" style="16" bestFit="1" customWidth="1"/>
    <col min="13" max="13" width="66.425781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10">
        <v>2020</v>
      </c>
      <c r="G2" s="1"/>
      <c r="H2" s="1"/>
      <c r="I2" s="11" t="s">
        <v>9</v>
      </c>
      <c r="J2" s="12" t="s">
        <v>10</v>
      </c>
      <c r="K2" s="12" t="s">
        <v>11</v>
      </c>
      <c r="L2" s="1"/>
      <c r="M2" s="1"/>
      <c r="X2" s="5"/>
    </row>
    <row r="4" spans="1:24" x14ac:dyDescent="0.2">
      <c r="A4" s="13" t="s">
        <v>12</v>
      </c>
      <c r="B4" s="14">
        <v>17632134</v>
      </c>
      <c r="C4" s="15">
        <v>132</v>
      </c>
      <c r="D4" s="14">
        <v>17890000</v>
      </c>
      <c r="E4" s="15">
        <v>141.9</v>
      </c>
      <c r="F4" s="14">
        <f>ROUND(D4/C4*E4,-2)</f>
        <v>19231800</v>
      </c>
      <c r="G4" s="13" t="s">
        <v>13</v>
      </c>
      <c r="H4" s="16" t="s">
        <v>14</v>
      </c>
      <c r="I4" s="17">
        <v>20190133</v>
      </c>
      <c r="J4" s="18">
        <v>43531</v>
      </c>
      <c r="K4" s="18">
        <v>45723</v>
      </c>
      <c r="M4" s="16" t="s">
        <v>15</v>
      </c>
    </row>
    <row r="5" spans="1:24" x14ac:dyDescent="0.2">
      <c r="A5" s="13"/>
      <c r="B5" s="14">
        <v>6127500</v>
      </c>
      <c r="C5" s="15">
        <v>118.5</v>
      </c>
      <c r="D5" s="14">
        <f>10088200-40000</f>
        <v>10048200</v>
      </c>
      <c r="E5" s="15">
        <v>120.4</v>
      </c>
      <c r="F5" s="14">
        <f t="shared" ref="F5:F6" si="0">ROUND(D5/C5*E5,-2)</f>
        <v>10209300</v>
      </c>
      <c r="G5" s="13" t="s">
        <v>16</v>
      </c>
      <c r="H5" s="16" t="s">
        <v>14</v>
      </c>
      <c r="I5" s="17" t="s">
        <v>17</v>
      </c>
      <c r="J5" s="18">
        <v>43531</v>
      </c>
      <c r="K5" s="18">
        <v>44627</v>
      </c>
      <c r="M5" s="16" t="s">
        <v>18</v>
      </c>
    </row>
    <row r="6" spans="1:24" s="13" customFormat="1" x14ac:dyDescent="0.2">
      <c r="B6" s="14"/>
      <c r="C6" s="15">
        <v>118.5</v>
      </c>
      <c r="D6" s="14">
        <v>911800</v>
      </c>
      <c r="E6" s="15">
        <v>120.4</v>
      </c>
      <c r="F6" s="14">
        <f t="shared" si="0"/>
        <v>926400</v>
      </c>
      <c r="G6" s="13" t="s">
        <v>16</v>
      </c>
      <c r="H6" s="13" t="s">
        <v>14</v>
      </c>
      <c r="I6" s="94" t="s">
        <v>17</v>
      </c>
      <c r="J6" s="95">
        <v>43531</v>
      </c>
      <c r="K6" s="95">
        <v>44627</v>
      </c>
      <c r="M6" s="13" t="s">
        <v>19</v>
      </c>
      <c r="X6" s="96"/>
    </row>
    <row r="7" spans="1:24" x14ac:dyDescent="0.2">
      <c r="A7" s="13"/>
      <c r="B7" s="14">
        <v>5000000</v>
      </c>
      <c r="C7" s="14"/>
      <c r="D7" s="14">
        <v>5000000</v>
      </c>
      <c r="E7" s="14"/>
      <c r="F7" s="14">
        <v>0</v>
      </c>
      <c r="G7" s="13" t="s">
        <v>20</v>
      </c>
      <c r="H7" s="13"/>
      <c r="M7" s="16" t="s">
        <v>21</v>
      </c>
    </row>
    <row r="8" spans="1:24" x14ac:dyDescent="0.2">
      <c r="A8" s="13"/>
      <c r="B8" s="28"/>
      <c r="C8" s="28"/>
      <c r="D8" s="28"/>
      <c r="E8" s="28"/>
      <c r="F8" s="14">
        <v>0</v>
      </c>
      <c r="G8" s="13" t="s">
        <v>22</v>
      </c>
      <c r="H8" s="13"/>
    </row>
    <row r="9" spans="1:24" x14ac:dyDescent="0.2">
      <c r="A9" s="13"/>
      <c r="B9" s="28"/>
      <c r="C9" s="28"/>
      <c r="D9" s="28"/>
      <c r="E9" s="28"/>
      <c r="F9" s="14">
        <f t="shared" ref="F9" si="1">1000000</f>
        <v>1000000</v>
      </c>
      <c r="G9" s="13" t="s">
        <v>23</v>
      </c>
      <c r="H9" s="13"/>
      <c r="M9" s="16" t="s">
        <v>24</v>
      </c>
    </row>
    <row r="10" spans="1:24" x14ac:dyDescent="0.2">
      <c r="A10" s="13"/>
      <c r="B10" s="28"/>
      <c r="C10" s="28"/>
      <c r="D10" s="28"/>
      <c r="E10" s="28"/>
      <c r="F10" s="14">
        <v>0</v>
      </c>
      <c r="G10" s="13" t="s">
        <v>25</v>
      </c>
      <c r="H10" s="13"/>
    </row>
    <row r="11" spans="1:24" x14ac:dyDescent="0.2">
      <c r="A11" s="13"/>
      <c r="B11" s="28"/>
      <c r="C11" s="28"/>
      <c r="D11" s="28"/>
      <c r="E11" s="28"/>
      <c r="F11" s="14">
        <v>0</v>
      </c>
      <c r="G11" s="13" t="s">
        <v>26</v>
      </c>
      <c r="H11" s="13"/>
    </row>
    <row r="12" spans="1:24" ht="13.5" thickBot="1" x14ac:dyDescent="0.25">
      <c r="A12" s="13"/>
      <c r="B12" s="28"/>
      <c r="C12" s="28"/>
      <c r="D12" s="28"/>
      <c r="E12" s="28"/>
      <c r="F12" s="28"/>
      <c r="H12" s="13"/>
    </row>
    <row r="13" spans="1:24" s="4" customFormat="1" ht="13.5" thickBot="1" x14ac:dyDescent="0.25">
      <c r="A13" s="4" t="s">
        <v>27</v>
      </c>
      <c r="B13" s="29">
        <f>SUM(B4:B6)</f>
        <v>23759634</v>
      </c>
      <c r="C13" s="29"/>
      <c r="D13" s="30">
        <f>SUM(D4:D6)</f>
        <v>28850000</v>
      </c>
      <c r="E13" s="31"/>
      <c r="F13" s="30">
        <f>SUM(F4:F12)</f>
        <v>31367500</v>
      </c>
      <c r="H13" s="97"/>
      <c r="I13" s="33"/>
      <c r="J13" s="33"/>
      <c r="K13" s="33"/>
      <c r="X13" s="5"/>
    </row>
    <row r="14" spans="1:24" x14ac:dyDescent="0.2">
      <c r="B14" s="34"/>
      <c r="C14" s="34"/>
      <c r="D14" s="34"/>
      <c r="E14" s="34"/>
      <c r="F14" s="34"/>
      <c r="H14" s="14"/>
    </row>
    <row r="15" spans="1:24" x14ac:dyDescent="0.2">
      <c r="B15" s="35"/>
      <c r="C15" s="35"/>
      <c r="D15" s="35"/>
      <c r="E15" s="35"/>
      <c r="F15" s="35"/>
    </row>
    <row r="16" spans="1:24" x14ac:dyDescent="0.2">
      <c r="A16" s="36" t="s">
        <v>28</v>
      </c>
      <c r="B16" s="35"/>
      <c r="C16" s="35"/>
      <c r="D16" s="35"/>
      <c r="E16" s="35"/>
      <c r="F16" s="35"/>
    </row>
    <row r="17" spans="1:11" x14ac:dyDescent="0.2">
      <c r="A17" s="16" t="s">
        <v>13</v>
      </c>
      <c r="B17" s="35">
        <f>B4</f>
        <v>17632134</v>
      </c>
      <c r="C17" s="35"/>
      <c r="D17" s="35">
        <f>D4</f>
        <v>17890000</v>
      </c>
      <c r="E17" s="35"/>
      <c r="F17" s="35">
        <f>F4</f>
        <v>19231800</v>
      </c>
    </row>
    <row r="18" spans="1:11" x14ac:dyDescent="0.2">
      <c r="A18" s="16" t="s">
        <v>16</v>
      </c>
      <c r="B18" s="35">
        <f>B5</f>
        <v>6127500</v>
      </c>
      <c r="C18" s="35"/>
      <c r="D18" s="35">
        <f>D5+D6</f>
        <v>10960000</v>
      </c>
      <c r="E18" s="35"/>
      <c r="F18" s="35">
        <f>F5+F6</f>
        <v>11135700</v>
      </c>
    </row>
    <row r="19" spans="1:11" x14ac:dyDescent="0.2">
      <c r="A19" s="13" t="s">
        <v>29</v>
      </c>
      <c r="B19" s="34"/>
      <c r="C19" s="34"/>
      <c r="D19" s="34"/>
      <c r="E19" s="34"/>
      <c r="F19" s="34">
        <f>SUM(F7:F11)</f>
        <v>1000000</v>
      </c>
    </row>
    <row r="20" spans="1:11" x14ac:dyDescent="0.2">
      <c r="B20" s="37"/>
      <c r="C20" s="37"/>
      <c r="D20" s="38">
        <f>SUM(D17:D18)</f>
        <v>28850000</v>
      </c>
      <c r="E20" s="39"/>
      <c r="F20" s="38">
        <f>SUM(F17:F19)</f>
        <v>31367500</v>
      </c>
    </row>
    <row r="23" spans="1:11" x14ac:dyDescent="0.2">
      <c r="A23" s="36" t="s">
        <v>30</v>
      </c>
      <c r="J23" s="18"/>
      <c r="K23" s="18"/>
    </row>
    <row r="24" spans="1:11" x14ac:dyDescent="0.2">
      <c r="A24" s="16" t="s">
        <v>31</v>
      </c>
      <c r="E24" s="19" t="s">
        <v>74</v>
      </c>
    </row>
    <row r="25" spans="1:11" x14ac:dyDescent="0.2">
      <c r="A25" s="16" t="s">
        <v>33</v>
      </c>
      <c r="E25" s="19" t="s">
        <v>71</v>
      </c>
    </row>
    <row r="26" spans="1:11" x14ac:dyDescent="0.2">
      <c r="A26" s="16" t="s">
        <v>35</v>
      </c>
      <c r="E26" s="19" t="s">
        <v>34</v>
      </c>
    </row>
    <row r="27" spans="1:11" x14ac:dyDescent="0.2">
      <c r="A27" s="16" t="s">
        <v>36</v>
      </c>
      <c r="E27" s="19" t="s">
        <v>37</v>
      </c>
    </row>
    <row r="28" spans="1:11" x14ac:dyDescent="0.2">
      <c r="A28" s="16" t="s">
        <v>38</v>
      </c>
      <c r="E28" s="19" t="s">
        <v>121</v>
      </c>
    </row>
    <row r="29" spans="1:11" x14ac:dyDescent="0.2">
      <c r="A29" s="16" t="s">
        <v>39</v>
      </c>
      <c r="E29" s="19" t="s">
        <v>40</v>
      </c>
    </row>
    <row r="30" spans="1:11" x14ac:dyDescent="0.2">
      <c r="A30" s="16" t="s">
        <v>41</v>
      </c>
      <c r="E30" s="19" t="s">
        <v>42</v>
      </c>
    </row>
  </sheetData>
  <mergeCells count="1">
    <mergeCell ref="I1:K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2"/>
  <sheetViews>
    <sheetView workbookViewId="0">
      <selection activeCell="G26" sqref="G26"/>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4.42578125" style="19" bestFit="1" customWidth="1"/>
    <col min="6" max="6" width="21.85546875" style="19" customWidth="1"/>
    <col min="7" max="7" width="24" style="16" bestFit="1" customWidth="1"/>
    <col min="8" max="8" width="22.7109375" style="16" hidden="1" customWidth="1"/>
    <col min="9" max="10" width="13.28515625" style="17" hidden="1" customWidth="1"/>
    <col min="11" max="11" width="11.85546875" style="17" hidden="1" customWidth="1"/>
    <col min="12" max="12" width="14.140625" style="16" bestFit="1" customWidth="1"/>
    <col min="13" max="13" width="75.1406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10">
        <v>2020</v>
      </c>
      <c r="G2" s="1"/>
      <c r="H2" s="1"/>
      <c r="I2" s="11" t="s">
        <v>9</v>
      </c>
      <c r="J2" s="12" t="s">
        <v>10</v>
      </c>
      <c r="K2" s="12" t="s">
        <v>11</v>
      </c>
      <c r="L2" s="1"/>
      <c r="M2" s="1"/>
      <c r="X2" s="5"/>
    </row>
    <row r="4" spans="1:24" x14ac:dyDescent="0.2">
      <c r="A4" s="13" t="s">
        <v>369</v>
      </c>
      <c r="B4" s="14"/>
      <c r="C4" s="15">
        <v>132</v>
      </c>
      <c r="D4" s="14">
        <v>13662800</v>
      </c>
      <c r="E4" s="15">
        <v>141.9</v>
      </c>
      <c r="F4" s="14">
        <f>ROUND(D4/C4*E4,-2)</f>
        <v>14687500</v>
      </c>
      <c r="G4" s="13" t="s">
        <v>13</v>
      </c>
      <c r="J4" s="18"/>
      <c r="K4" s="18"/>
      <c r="L4" s="16" t="s">
        <v>101</v>
      </c>
    </row>
    <row r="5" spans="1:24" x14ac:dyDescent="0.2">
      <c r="A5" s="13"/>
      <c r="B5" s="14"/>
      <c r="C5" s="15"/>
      <c r="D5" s="14">
        <v>4261000</v>
      </c>
      <c r="E5" s="15"/>
      <c r="F5" s="14">
        <v>4710000</v>
      </c>
      <c r="G5" s="13" t="s">
        <v>16</v>
      </c>
      <c r="J5" s="18"/>
      <c r="K5" s="18"/>
      <c r="L5" s="16" t="s">
        <v>96</v>
      </c>
    </row>
    <row r="6" spans="1:24" x14ac:dyDescent="0.2">
      <c r="A6" s="13"/>
      <c r="B6" s="14"/>
      <c r="C6" s="15"/>
      <c r="D6" s="14"/>
      <c r="E6" s="15"/>
      <c r="F6" s="14">
        <v>390000</v>
      </c>
      <c r="G6" s="13" t="s">
        <v>16</v>
      </c>
      <c r="J6" s="18"/>
      <c r="K6" s="18"/>
      <c r="L6" s="16" t="s">
        <v>101</v>
      </c>
    </row>
    <row r="7" spans="1:24" x14ac:dyDescent="0.2">
      <c r="A7" s="40"/>
      <c r="B7" s="14"/>
      <c r="C7" s="15"/>
      <c r="D7" s="14">
        <v>200000</v>
      </c>
      <c r="E7" s="15"/>
      <c r="F7" s="14">
        <f t="shared" ref="F7:F18" si="0">D7</f>
        <v>200000</v>
      </c>
      <c r="G7" s="13" t="s">
        <v>85</v>
      </c>
      <c r="H7" s="13"/>
      <c r="J7" s="18"/>
      <c r="K7" s="18"/>
      <c r="L7" s="16" t="s">
        <v>101</v>
      </c>
    </row>
    <row r="8" spans="1:24" x14ac:dyDescent="0.2">
      <c r="A8" s="13"/>
      <c r="B8" s="14"/>
      <c r="C8" s="15"/>
      <c r="D8" s="14">
        <v>152000</v>
      </c>
      <c r="E8" s="15"/>
      <c r="F8" s="14">
        <f t="shared" si="0"/>
        <v>152000</v>
      </c>
      <c r="G8" s="13" t="s">
        <v>16</v>
      </c>
      <c r="J8" s="18"/>
      <c r="K8" s="18"/>
      <c r="L8" s="16" t="s">
        <v>96</v>
      </c>
      <c r="M8" s="16" t="s">
        <v>370</v>
      </c>
    </row>
    <row r="9" spans="1:24" x14ac:dyDescent="0.2">
      <c r="A9" s="13" t="s">
        <v>369</v>
      </c>
      <c r="B9" s="14"/>
      <c r="C9" s="15"/>
      <c r="D9" s="14">
        <v>94000</v>
      </c>
      <c r="E9" s="15"/>
      <c r="F9" s="14">
        <f t="shared" si="0"/>
        <v>94000</v>
      </c>
      <c r="G9" s="13" t="s">
        <v>16</v>
      </c>
      <c r="J9" s="18"/>
      <c r="K9" s="18"/>
      <c r="L9" s="16" t="s">
        <v>96</v>
      </c>
    </row>
    <row r="10" spans="1:24" x14ac:dyDescent="0.2">
      <c r="A10" s="13" t="s">
        <v>371</v>
      </c>
      <c r="B10" s="14"/>
      <c r="C10" s="15"/>
      <c r="D10" s="14">
        <v>393000</v>
      </c>
      <c r="E10" s="15"/>
      <c r="F10" s="14">
        <f t="shared" si="0"/>
        <v>393000</v>
      </c>
      <c r="G10" s="13" t="s">
        <v>16</v>
      </c>
      <c r="H10" s="13"/>
      <c r="J10" s="18"/>
      <c r="K10" s="18"/>
      <c r="L10" s="16" t="s">
        <v>101</v>
      </c>
    </row>
    <row r="11" spans="1:24" x14ac:dyDescent="0.2">
      <c r="A11" s="13" t="s">
        <v>372</v>
      </c>
      <c r="B11" s="14"/>
      <c r="C11" s="15">
        <v>132</v>
      </c>
      <c r="D11" s="14">
        <v>2443100</v>
      </c>
      <c r="E11" s="15">
        <v>141.9</v>
      </c>
      <c r="F11" s="14">
        <f>ROUND(D11/C11*E11,-2)</f>
        <v>2626300</v>
      </c>
      <c r="G11" s="13" t="s">
        <v>13</v>
      </c>
      <c r="H11" s="13"/>
      <c r="J11" s="18"/>
      <c r="K11" s="18"/>
      <c r="L11" s="16" t="s">
        <v>101</v>
      </c>
      <c r="M11" s="16" t="s">
        <v>373</v>
      </c>
    </row>
    <row r="12" spans="1:24" x14ac:dyDescent="0.2">
      <c r="A12" s="13" t="s">
        <v>504</v>
      </c>
      <c r="B12" s="14"/>
      <c r="C12" s="15"/>
      <c r="D12" s="14"/>
      <c r="E12" s="15"/>
      <c r="F12" s="14">
        <v>308000</v>
      </c>
      <c r="G12" s="13" t="s">
        <v>16</v>
      </c>
      <c r="H12" s="13"/>
      <c r="J12" s="18"/>
      <c r="K12" s="18"/>
      <c r="L12" s="16" t="s">
        <v>96</v>
      </c>
    </row>
    <row r="13" spans="1:24" x14ac:dyDescent="0.2">
      <c r="A13" s="13"/>
      <c r="B13" s="14"/>
      <c r="C13" s="15"/>
      <c r="D13" s="14"/>
      <c r="E13" s="15"/>
      <c r="F13" s="14">
        <v>27000</v>
      </c>
      <c r="G13" s="13" t="s">
        <v>16</v>
      </c>
      <c r="H13" s="13"/>
      <c r="J13" s="18"/>
      <c r="K13" s="18"/>
      <c r="L13" s="16" t="s">
        <v>101</v>
      </c>
    </row>
    <row r="14" spans="1:24" x14ac:dyDescent="0.2">
      <c r="A14" s="13" t="s">
        <v>374</v>
      </c>
      <c r="B14" s="14"/>
      <c r="C14" s="15"/>
      <c r="D14" s="14">
        <v>1802478</v>
      </c>
      <c r="E14" s="15"/>
      <c r="F14" s="14">
        <f t="shared" si="0"/>
        <v>1802478</v>
      </c>
      <c r="G14" s="13" t="s">
        <v>16</v>
      </c>
      <c r="H14" s="13"/>
      <c r="J14" s="18"/>
      <c r="L14" s="16" t="s">
        <v>101</v>
      </c>
    </row>
    <row r="15" spans="1:24" x14ac:dyDescent="0.2">
      <c r="A15" s="13"/>
      <c r="B15" s="14"/>
      <c r="C15" s="15"/>
      <c r="D15" s="14">
        <v>73827</v>
      </c>
      <c r="E15" s="15"/>
      <c r="F15" s="14">
        <f t="shared" si="0"/>
        <v>73827</v>
      </c>
      <c r="G15" s="13" t="s">
        <v>85</v>
      </c>
      <c r="H15" s="13"/>
      <c r="J15" s="18"/>
      <c r="K15" s="18"/>
      <c r="L15" s="16" t="s">
        <v>101</v>
      </c>
    </row>
    <row r="16" spans="1:24" x14ac:dyDescent="0.2">
      <c r="B16" s="14"/>
      <c r="C16" s="15"/>
      <c r="D16" s="14">
        <v>5447</v>
      </c>
      <c r="E16" s="15"/>
      <c r="F16" s="14">
        <f t="shared" si="0"/>
        <v>5447</v>
      </c>
      <c r="G16" s="13" t="s">
        <v>16</v>
      </c>
      <c r="H16" s="13"/>
      <c r="J16" s="18"/>
      <c r="K16" s="18"/>
      <c r="L16" s="16" t="s">
        <v>101</v>
      </c>
      <c r="M16" s="16" t="s">
        <v>375</v>
      </c>
    </row>
    <row r="17" spans="1:24" x14ac:dyDescent="0.2">
      <c r="A17" s="13" t="s">
        <v>376</v>
      </c>
      <c r="B17" s="14"/>
      <c r="C17" s="15">
        <v>132</v>
      </c>
      <c r="D17" s="14">
        <v>400100</v>
      </c>
      <c r="E17" s="15">
        <v>141.9</v>
      </c>
      <c r="F17" s="14">
        <f>ROUND(D17/C17*E17,-2)</f>
        <v>430100</v>
      </c>
      <c r="G17" s="13" t="s">
        <v>13</v>
      </c>
      <c r="H17" s="13"/>
      <c r="J17" s="18"/>
      <c r="K17" s="18"/>
      <c r="L17" s="16" t="s">
        <v>101</v>
      </c>
      <c r="M17" s="16" t="s">
        <v>377</v>
      </c>
    </row>
    <row r="18" spans="1:24" x14ac:dyDescent="0.2">
      <c r="A18" s="13" t="s">
        <v>378</v>
      </c>
      <c r="B18" s="14"/>
      <c r="C18" s="15"/>
      <c r="D18" s="14">
        <v>450000</v>
      </c>
      <c r="E18" s="15"/>
      <c r="F18" s="14">
        <f t="shared" si="0"/>
        <v>450000</v>
      </c>
      <c r="G18" s="13" t="s">
        <v>16</v>
      </c>
      <c r="H18" s="13"/>
      <c r="J18" s="18"/>
      <c r="K18" s="18"/>
      <c r="L18" s="16" t="s">
        <v>101</v>
      </c>
      <c r="M18" s="16" t="s">
        <v>379</v>
      </c>
    </row>
    <row r="19" spans="1:24" x14ac:dyDescent="0.2">
      <c r="A19" s="13"/>
      <c r="B19" s="14"/>
      <c r="C19" s="15"/>
      <c r="D19" s="14"/>
      <c r="E19" s="15"/>
      <c r="F19" s="14">
        <v>0</v>
      </c>
      <c r="G19" s="13" t="s">
        <v>20</v>
      </c>
      <c r="H19" s="13"/>
      <c r="M19" s="16" t="s">
        <v>21</v>
      </c>
    </row>
    <row r="20" spans="1:24" x14ac:dyDescent="0.2">
      <c r="A20" s="13"/>
      <c r="B20" s="14"/>
      <c r="C20" s="15"/>
      <c r="D20" s="14"/>
      <c r="E20" s="15"/>
      <c r="F20" s="14">
        <v>300000</v>
      </c>
      <c r="G20" s="13" t="s">
        <v>22</v>
      </c>
      <c r="H20" s="13"/>
    </row>
    <row r="21" spans="1:24" x14ac:dyDescent="0.2">
      <c r="A21" s="13" t="s">
        <v>380</v>
      </c>
      <c r="B21" s="14"/>
      <c r="C21" s="14"/>
      <c r="D21" s="14">
        <v>2400000</v>
      </c>
      <c r="E21" s="14"/>
      <c r="F21" s="14">
        <v>3000000</v>
      </c>
      <c r="G21" s="13" t="s">
        <v>23</v>
      </c>
      <c r="H21" s="13"/>
      <c r="M21" s="16" t="s">
        <v>24</v>
      </c>
    </row>
    <row r="22" spans="1:24" x14ac:dyDescent="0.2">
      <c r="A22" s="13"/>
      <c r="B22" s="28"/>
      <c r="C22" s="28"/>
      <c r="D22" s="28"/>
      <c r="E22" s="28"/>
      <c r="F22" s="14">
        <v>0</v>
      </c>
      <c r="G22" s="13" t="s">
        <v>25</v>
      </c>
      <c r="H22" s="13"/>
    </row>
    <row r="23" spans="1:24" ht="13.5" thickBot="1" x14ac:dyDescent="0.25">
      <c r="B23" s="28"/>
      <c r="C23" s="28"/>
      <c r="D23" s="28">
        <v>2459700</v>
      </c>
      <c r="E23" s="28"/>
      <c r="F23" s="14">
        <v>0</v>
      </c>
      <c r="G23" s="13" t="s">
        <v>26</v>
      </c>
      <c r="H23" s="13"/>
    </row>
    <row r="24" spans="1:24" s="4" customFormat="1" ht="13.5" thickBot="1" x14ac:dyDescent="0.25">
      <c r="A24" s="4" t="s">
        <v>27</v>
      </c>
      <c r="B24" s="29">
        <f>SUM(B4:B21)</f>
        <v>0</v>
      </c>
      <c r="C24" s="29"/>
      <c r="D24" s="30">
        <f>SUM(D4:D23)</f>
        <v>28797452</v>
      </c>
      <c r="E24" s="31"/>
      <c r="F24" s="30">
        <f>SUM(F4:F23)</f>
        <v>29649652</v>
      </c>
      <c r="H24" s="32"/>
      <c r="I24" s="33"/>
      <c r="J24" s="33"/>
      <c r="K24" s="33"/>
      <c r="X24" s="5"/>
    </row>
    <row r="25" spans="1:24" x14ac:dyDescent="0.2">
      <c r="B25" s="34"/>
      <c r="C25" s="34"/>
      <c r="D25" s="34"/>
      <c r="E25" s="34"/>
      <c r="F25" s="34"/>
      <c r="H25" s="13"/>
    </row>
    <row r="26" spans="1:24" x14ac:dyDescent="0.2">
      <c r="B26" s="35"/>
      <c r="C26" s="35"/>
      <c r="D26" s="35"/>
      <c r="E26" s="35"/>
      <c r="F26" s="35"/>
    </row>
    <row r="27" spans="1:24" x14ac:dyDescent="0.2">
      <c r="A27" s="36" t="s">
        <v>28</v>
      </c>
      <c r="B27" s="35"/>
      <c r="C27" s="35"/>
      <c r="D27" s="35"/>
      <c r="E27" s="35"/>
      <c r="F27" s="35"/>
    </row>
    <row r="28" spans="1:24" x14ac:dyDescent="0.2">
      <c r="A28" s="16" t="s">
        <v>13</v>
      </c>
      <c r="B28" s="35">
        <v>16506000</v>
      </c>
      <c r="C28" s="35"/>
      <c r="D28" s="35">
        <f>D4+D11+D17</f>
        <v>16506000</v>
      </c>
      <c r="E28" s="35"/>
      <c r="F28" s="35">
        <f>F4+F11+F17</f>
        <v>17743900</v>
      </c>
    </row>
    <row r="29" spans="1:24" x14ac:dyDescent="0.2">
      <c r="A29" s="16" t="s">
        <v>16</v>
      </c>
      <c r="B29" s="35">
        <v>7157925</v>
      </c>
      <c r="C29" s="35"/>
      <c r="D29" s="35">
        <f>D5+D8+D9+D10+D14+D16+D18</f>
        <v>7157925</v>
      </c>
      <c r="E29" s="35"/>
      <c r="F29" s="35">
        <f>F5+F8+F9+F10+F14+F16+F18</f>
        <v>7606925</v>
      </c>
    </row>
    <row r="30" spans="1:24" x14ac:dyDescent="0.2">
      <c r="A30" s="16" t="s">
        <v>85</v>
      </c>
      <c r="B30" s="35">
        <v>273827</v>
      </c>
      <c r="C30" s="35"/>
      <c r="D30" s="35">
        <f>D7+D15</f>
        <v>273827</v>
      </c>
      <c r="E30" s="35"/>
      <c r="F30" s="35">
        <f>F7+F15</f>
        <v>273827</v>
      </c>
    </row>
    <row r="31" spans="1:24" x14ac:dyDescent="0.2">
      <c r="A31" s="16" t="s">
        <v>29</v>
      </c>
      <c r="B31" s="35">
        <v>2400000</v>
      </c>
      <c r="C31" s="35"/>
      <c r="D31" s="35">
        <f>D21</f>
        <v>2400000</v>
      </c>
      <c r="E31" s="35"/>
      <c r="F31" s="35">
        <f>SUM(F19:F22)</f>
        <v>3300000</v>
      </c>
    </row>
    <row r="32" spans="1:24" x14ac:dyDescent="0.2">
      <c r="A32" s="16" t="s">
        <v>68</v>
      </c>
      <c r="B32" s="34">
        <v>2459700</v>
      </c>
      <c r="C32" s="34"/>
      <c r="D32" s="34">
        <f>D23</f>
        <v>2459700</v>
      </c>
      <c r="E32" s="34"/>
      <c r="F32" s="34">
        <f>F23</f>
        <v>0</v>
      </c>
    </row>
    <row r="33" spans="1:11" x14ac:dyDescent="0.2">
      <c r="B33" s="37">
        <f>SUM(B28:B32)</f>
        <v>28797452</v>
      </c>
      <c r="C33" s="37"/>
      <c r="D33" s="38">
        <f>SUM(D28:D32)</f>
        <v>28797452</v>
      </c>
      <c r="E33" s="39"/>
      <c r="F33" s="38">
        <f>SUM(F28:F32)</f>
        <v>28924652</v>
      </c>
    </row>
    <row r="36" spans="1:11" x14ac:dyDescent="0.2">
      <c r="A36" s="36" t="s">
        <v>30</v>
      </c>
      <c r="J36" s="18"/>
      <c r="K36" s="18"/>
    </row>
    <row r="37" spans="1:11" x14ac:dyDescent="0.2">
      <c r="A37" s="16" t="s">
        <v>31</v>
      </c>
      <c r="E37" s="19" t="s">
        <v>381</v>
      </c>
    </row>
    <row r="38" spans="1:11" x14ac:dyDescent="0.2">
      <c r="A38" s="16" t="s">
        <v>33</v>
      </c>
      <c r="E38" s="19" t="s">
        <v>74</v>
      </c>
    </row>
    <row r="39" spans="1:11" x14ac:dyDescent="0.2">
      <c r="A39" s="16" t="s">
        <v>35</v>
      </c>
      <c r="E39" s="19" t="s">
        <v>132</v>
      </c>
    </row>
    <row r="40" spans="1:11" x14ac:dyDescent="0.2">
      <c r="A40" s="16" t="s">
        <v>36</v>
      </c>
    </row>
    <row r="41" spans="1:11" x14ac:dyDescent="0.2">
      <c r="A41" s="16" t="s">
        <v>38</v>
      </c>
      <c r="E41" s="19" t="s">
        <v>382</v>
      </c>
    </row>
    <row r="42" spans="1:11" x14ac:dyDescent="0.2">
      <c r="A42" s="16" t="s">
        <v>39</v>
      </c>
      <c r="E42" s="19" t="s">
        <v>243</v>
      </c>
    </row>
  </sheetData>
  <mergeCells count="1">
    <mergeCell ref="I1:K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4"/>
  <sheetViews>
    <sheetView topLeftCell="A7" workbookViewId="0">
      <selection activeCell="F39" sqref="F39"/>
    </sheetView>
  </sheetViews>
  <sheetFormatPr defaultColWidth="9.140625" defaultRowHeight="12.75" x14ac:dyDescent="0.2"/>
  <cols>
    <col min="1" max="1" width="51" style="16" bestFit="1" customWidth="1"/>
    <col min="2" max="2" width="10.5703125" style="16" hidden="1" customWidth="1"/>
    <col min="3" max="3" width="21.85546875" style="19" hidden="1" customWidth="1"/>
    <col min="4" max="4" width="14.42578125" style="19" bestFit="1" customWidth="1"/>
    <col min="5" max="5" width="21.85546875" style="19" bestFit="1" customWidth="1"/>
    <col min="6" max="6" width="24" style="16" bestFit="1" customWidth="1"/>
    <col min="7" max="7" width="10.28515625" style="16" bestFit="1" customWidth="1"/>
    <col min="8" max="8" width="12" style="17" bestFit="1" customWidth="1"/>
    <col min="9" max="9" width="13.28515625" style="17" customWidth="1"/>
    <col min="10" max="10" width="11.85546875" style="17" customWidth="1"/>
    <col min="11" max="11" width="14.140625" style="16" bestFit="1" customWidth="1"/>
    <col min="12" max="12" width="66.42578125" style="16" bestFit="1" customWidth="1"/>
    <col min="13" max="13" width="9"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2" t="s">
        <v>2</v>
      </c>
      <c r="C1" s="3" t="s">
        <v>1</v>
      </c>
      <c r="D1" s="3" t="s">
        <v>2</v>
      </c>
      <c r="E1" s="3" t="s">
        <v>1</v>
      </c>
      <c r="F1" s="1" t="s">
        <v>3</v>
      </c>
      <c r="G1" s="1" t="s">
        <v>4</v>
      </c>
      <c r="H1" s="143" t="s">
        <v>5</v>
      </c>
      <c r="I1" s="144"/>
      <c r="J1" s="145"/>
      <c r="K1" s="1" t="s">
        <v>6</v>
      </c>
      <c r="L1" s="1" t="s">
        <v>7</v>
      </c>
      <c r="W1" s="5"/>
    </row>
    <row r="2" spans="1:23" s="4" customFormat="1" x14ac:dyDescent="0.2">
      <c r="A2" s="1"/>
      <c r="B2" s="7">
        <v>43466</v>
      </c>
      <c r="C2" s="8" t="s">
        <v>8</v>
      </c>
      <c r="D2" s="9">
        <v>43831</v>
      </c>
      <c r="E2" s="10">
        <v>2020</v>
      </c>
      <c r="F2" s="1"/>
      <c r="G2" s="1"/>
      <c r="H2" s="11" t="s">
        <v>9</v>
      </c>
      <c r="I2" s="12" t="s">
        <v>10</v>
      </c>
      <c r="J2" s="12" t="s">
        <v>11</v>
      </c>
      <c r="K2" s="1"/>
      <c r="L2" s="1"/>
      <c r="W2" s="5"/>
    </row>
    <row r="4" spans="1:23" x14ac:dyDescent="0.2">
      <c r="A4" s="16" t="s">
        <v>407</v>
      </c>
      <c r="B4" s="42">
        <v>132</v>
      </c>
      <c r="C4" s="35">
        <v>275000</v>
      </c>
      <c r="D4" s="43">
        <v>141.9</v>
      </c>
      <c r="E4" s="14">
        <f>ROUND(C4/B4*D4,-2)</f>
        <v>295600</v>
      </c>
      <c r="F4" s="16" t="s">
        <v>408</v>
      </c>
    </row>
    <row r="5" spans="1:23" x14ac:dyDescent="0.2">
      <c r="B5" s="16">
        <v>118.5</v>
      </c>
      <c r="C5" s="35">
        <v>3700000</v>
      </c>
      <c r="D5" s="43">
        <v>120.4</v>
      </c>
      <c r="E5" s="14">
        <f t="shared" ref="E5:E24" si="0">ROUND(C5/B5*D5,-2)</f>
        <v>3759300</v>
      </c>
      <c r="F5" s="13" t="s">
        <v>16</v>
      </c>
      <c r="G5" s="16" t="s">
        <v>409</v>
      </c>
      <c r="H5" s="44" t="s">
        <v>410</v>
      </c>
      <c r="I5" s="18">
        <v>43511</v>
      </c>
    </row>
    <row r="6" spans="1:23" x14ac:dyDescent="0.2">
      <c r="B6" s="16">
        <v>118.5</v>
      </c>
      <c r="C6" s="35">
        <v>26391</v>
      </c>
      <c r="D6" s="43">
        <v>120.4</v>
      </c>
      <c r="E6" s="14">
        <f t="shared" si="0"/>
        <v>26800</v>
      </c>
      <c r="F6" s="13" t="s">
        <v>16</v>
      </c>
      <c r="L6" s="16" t="s">
        <v>411</v>
      </c>
    </row>
    <row r="7" spans="1:23" x14ac:dyDescent="0.2">
      <c r="A7" s="16" t="s">
        <v>412</v>
      </c>
      <c r="B7" s="42">
        <v>132</v>
      </c>
      <c r="C7" s="35">
        <v>300000</v>
      </c>
      <c r="D7" s="43">
        <v>141.9</v>
      </c>
      <c r="E7" s="14">
        <f t="shared" si="0"/>
        <v>322500</v>
      </c>
      <c r="F7" s="16" t="s">
        <v>408</v>
      </c>
      <c r="L7" s="16" t="s">
        <v>413</v>
      </c>
    </row>
    <row r="8" spans="1:23" x14ac:dyDescent="0.2">
      <c r="B8" s="16">
        <v>118.5</v>
      </c>
      <c r="C8" s="35">
        <v>150000</v>
      </c>
      <c r="D8" s="43">
        <v>120.4</v>
      </c>
      <c r="E8" s="14">
        <f t="shared" si="0"/>
        <v>152400</v>
      </c>
      <c r="F8" s="13" t="s">
        <v>16</v>
      </c>
    </row>
    <row r="9" spans="1:23" x14ac:dyDescent="0.2">
      <c r="C9" s="35">
        <v>300000</v>
      </c>
      <c r="D9" s="35"/>
      <c r="E9" s="35">
        <f>C9</f>
        <v>300000</v>
      </c>
      <c r="F9" s="16" t="s">
        <v>85</v>
      </c>
    </row>
    <row r="10" spans="1:23" x14ac:dyDescent="0.2">
      <c r="A10" s="35" t="s">
        <v>414</v>
      </c>
      <c r="B10" s="42">
        <v>132</v>
      </c>
      <c r="C10" s="35">
        <v>10000</v>
      </c>
      <c r="D10" s="43">
        <v>141.9</v>
      </c>
      <c r="E10" s="14">
        <f t="shared" si="0"/>
        <v>10800</v>
      </c>
      <c r="F10" s="16" t="s">
        <v>408</v>
      </c>
    </row>
    <row r="11" spans="1:23" x14ac:dyDescent="0.2">
      <c r="B11" s="16">
        <v>118.5</v>
      </c>
      <c r="C11" s="35">
        <v>50000</v>
      </c>
      <c r="D11" s="43">
        <v>120.4</v>
      </c>
      <c r="E11" s="14">
        <f t="shared" si="0"/>
        <v>50800</v>
      </c>
      <c r="F11" s="13" t="s">
        <v>16</v>
      </c>
      <c r="L11" s="16" t="s">
        <v>415</v>
      </c>
    </row>
    <row r="12" spans="1:23" x14ac:dyDescent="0.2">
      <c r="A12" s="16" t="s">
        <v>416</v>
      </c>
      <c r="B12" s="42">
        <v>132</v>
      </c>
      <c r="C12" s="35">
        <v>45000</v>
      </c>
      <c r="D12" s="43">
        <v>141.9</v>
      </c>
      <c r="E12" s="14">
        <f t="shared" si="0"/>
        <v>48400</v>
      </c>
      <c r="F12" s="16" t="s">
        <v>408</v>
      </c>
    </row>
    <row r="13" spans="1:23" x14ac:dyDescent="0.2">
      <c r="B13" s="16">
        <v>118.5</v>
      </c>
      <c r="C13" s="35">
        <v>110000</v>
      </c>
      <c r="D13" s="43">
        <v>120.4</v>
      </c>
      <c r="E13" s="14">
        <f t="shared" si="0"/>
        <v>111800</v>
      </c>
      <c r="F13" s="13" t="s">
        <v>16</v>
      </c>
    </row>
    <row r="14" spans="1:23" x14ac:dyDescent="0.2">
      <c r="A14" s="16" t="s">
        <v>417</v>
      </c>
      <c r="B14" s="42">
        <v>132</v>
      </c>
      <c r="C14" s="35">
        <v>15268</v>
      </c>
      <c r="D14" s="43">
        <v>141.9</v>
      </c>
      <c r="E14" s="14">
        <f t="shared" si="0"/>
        <v>16400</v>
      </c>
      <c r="F14" s="16" t="s">
        <v>13</v>
      </c>
      <c r="L14" s="16" t="s">
        <v>418</v>
      </c>
    </row>
    <row r="15" spans="1:23" x14ac:dyDescent="0.2">
      <c r="B15" s="16">
        <v>118.5</v>
      </c>
      <c r="C15" s="35">
        <v>10014</v>
      </c>
      <c r="D15" s="43">
        <v>120.4</v>
      </c>
      <c r="E15" s="14">
        <f t="shared" si="0"/>
        <v>10200</v>
      </c>
      <c r="F15" s="13" t="s">
        <v>16</v>
      </c>
      <c r="L15" s="16" t="s">
        <v>419</v>
      </c>
    </row>
    <row r="16" spans="1:23" x14ac:dyDescent="0.2">
      <c r="A16" s="13"/>
      <c r="B16" s="16">
        <v>118.5</v>
      </c>
      <c r="C16" s="14">
        <v>50895</v>
      </c>
      <c r="D16" s="43">
        <v>120.4</v>
      </c>
      <c r="E16" s="14">
        <f t="shared" si="0"/>
        <v>51700</v>
      </c>
      <c r="F16" s="13" t="s">
        <v>16</v>
      </c>
      <c r="G16" s="13"/>
      <c r="H16" s="44"/>
      <c r="I16" s="18"/>
      <c r="J16" s="18"/>
      <c r="L16" s="16" t="s">
        <v>420</v>
      </c>
    </row>
    <row r="17" spans="1:12" x14ac:dyDescent="0.2">
      <c r="A17" s="40"/>
      <c r="B17" s="16">
        <v>118.5</v>
      </c>
      <c r="C17" s="14">
        <v>150207</v>
      </c>
      <c r="D17" s="43">
        <v>120.4</v>
      </c>
      <c r="E17" s="14">
        <f t="shared" si="0"/>
        <v>152600</v>
      </c>
      <c r="F17" s="13" t="s">
        <v>16</v>
      </c>
      <c r="G17" s="13"/>
      <c r="H17" s="44"/>
      <c r="I17" s="18"/>
      <c r="J17" s="18"/>
      <c r="L17" s="16" t="s">
        <v>421</v>
      </c>
    </row>
    <row r="18" spans="1:12" x14ac:dyDescent="0.2">
      <c r="A18" s="40" t="s">
        <v>422</v>
      </c>
      <c r="B18" s="16">
        <v>118.5</v>
      </c>
      <c r="C18" s="14">
        <v>20028</v>
      </c>
      <c r="D18" s="43">
        <v>120.4</v>
      </c>
      <c r="E18" s="14">
        <f t="shared" si="0"/>
        <v>20300</v>
      </c>
      <c r="F18" s="13" t="s">
        <v>16</v>
      </c>
      <c r="G18" s="13"/>
      <c r="I18" s="18"/>
      <c r="J18" s="18"/>
    </row>
    <row r="19" spans="1:12" x14ac:dyDescent="0.2">
      <c r="A19" s="13" t="s">
        <v>423</v>
      </c>
      <c r="B19" s="16">
        <v>118.5</v>
      </c>
      <c r="C19" s="14">
        <v>7662</v>
      </c>
      <c r="D19" s="43">
        <v>120.4</v>
      </c>
      <c r="E19" s="14">
        <f t="shared" si="0"/>
        <v>7800</v>
      </c>
      <c r="F19" s="13" t="s">
        <v>16</v>
      </c>
      <c r="G19" s="13"/>
    </row>
    <row r="20" spans="1:12" x14ac:dyDescent="0.2">
      <c r="A20" s="13"/>
      <c r="B20" s="13"/>
      <c r="C20" s="14">
        <v>12500</v>
      </c>
      <c r="D20" s="14"/>
      <c r="E20" s="35">
        <f>C20</f>
        <v>12500</v>
      </c>
      <c r="F20" s="16" t="s">
        <v>85</v>
      </c>
      <c r="G20" s="13"/>
      <c r="I20" s="18"/>
      <c r="J20" s="18"/>
    </row>
    <row r="21" spans="1:12" x14ac:dyDescent="0.2">
      <c r="A21" s="13" t="s">
        <v>424</v>
      </c>
      <c r="B21" s="16">
        <v>118.5</v>
      </c>
      <c r="C21" s="14">
        <v>15321</v>
      </c>
      <c r="D21" s="43">
        <v>120.4</v>
      </c>
      <c r="E21" s="14">
        <f t="shared" si="0"/>
        <v>15600</v>
      </c>
      <c r="F21" s="13" t="s">
        <v>16</v>
      </c>
      <c r="G21" s="13"/>
      <c r="I21" s="18"/>
      <c r="J21" s="18"/>
    </row>
    <row r="22" spans="1:12" x14ac:dyDescent="0.2">
      <c r="A22" s="13" t="s">
        <v>425</v>
      </c>
      <c r="B22" s="16">
        <v>118.5</v>
      </c>
      <c r="C22" s="14">
        <v>25535</v>
      </c>
      <c r="D22" s="43">
        <v>120.4</v>
      </c>
      <c r="E22" s="14">
        <f t="shared" si="0"/>
        <v>25900</v>
      </c>
      <c r="F22" s="13" t="s">
        <v>16</v>
      </c>
      <c r="G22" s="13"/>
      <c r="I22" s="18"/>
      <c r="J22" s="18"/>
    </row>
    <row r="23" spans="1:12" x14ac:dyDescent="0.2">
      <c r="A23" s="13"/>
      <c r="B23" s="13"/>
      <c r="C23" s="14">
        <v>15000</v>
      </c>
      <c r="D23" s="14"/>
      <c r="E23" s="35">
        <f>C23</f>
        <v>15000</v>
      </c>
      <c r="F23" s="16" t="s">
        <v>85</v>
      </c>
      <c r="G23" s="13"/>
      <c r="I23" s="18"/>
    </row>
    <row r="24" spans="1:12" x14ac:dyDescent="0.2">
      <c r="A24" s="13" t="s">
        <v>426</v>
      </c>
      <c r="B24" s="16">
        <v>118.5</v>
      </c>
      <c r="C24" s="14">
        <v>25000</v>
      </c>
      <c r="D24" s="43">
        <v>120.4</v>
      </c>
      <c r="E24" s="14">
        <f t="shared" si="0"/>
        <v>25400</v>
      </c>
      <c r="F24" s="13" t="s">
        <v>16</v>
      </c>
      <c r="G24" s="13"/>
      <c r="I24" s="18"/>
      <c r="J24" s="18"/>
    </row>
    <row r="25" spans="1:12" x14ac:dyDescent="0.2">
      <c r="A25" s="13"/>
      <c r="C25" s="14"/>
      <c r="D25" s="43"/>
      <c r="E25" s="14">
        <v>0</v>
      </c>
      <c r="F25" s="13" t="s">
        <v>20</v>
      </c>
      <c r="G25" s="13"/>
      <c r="L25" s="16" t="s">
        <v>21</v>
      </c>
    </row>
    <row r="26" spans="1:12" x14ac:dyDescent="0.2">
      <c r="A26" s="13"/>
      <c r="C26" s="14"/>
      <c r="D26" s="43"/>
      <c r="E26" s="14">
        <v>0</v>
      </c>
      <c r="F26" s="13" t="s">
        <v>22</v>
      </c>
      <c r="G26" s="13"/>
    </row>
    <row r="27" spans="1:12" x14ac:dyDescent="0.2">
      <c r="A27" s="13" t="s">
        <v>165</v>
      </c>
      <c r="B27" s="13"/>
      <c r="C27" s="14">
        <v>9100000</v>
      </c>
      <c r="D27" s="14"/>
      <c r="E27" s="14">
        <v>8502665</v>
      </c>
      <c r="F27" s="13" t="s">
        <v>23</v>
      </c>
      <c r="G27" s="13"/>
      <c r="L27" s="16" t="s">
        <v>24</v>
      </c>
    </row>
    <row r="28" spans="1:12" x14ac:dyDescent="0.2">
      <c r="A28" s="13"/>
      <c r="B28" s="13"/>
      <c r="C28" s="14"/>
      <c r="D28" s="14"/>
      <c r="E28" s="14">
        <v>928816</v>
      </c>
      <c r="F28" s="13" t="s">
        <v>25</v>
      </c>
      <c r="G28" s="13"/>
    </row>
    <row r="29" spans="1:12" x14ac:dyDescent="0.2">
      <c r="A29" s="16" t="s">
        <v>427</v>
      </c>
      <c r="B29" s="13"/>
      <c r="C29" s="14">
        <f>1640000-500000</f>
        <v>1140000</v>
      </c>
      <c r="D29" s="14"/>
      <c r="E29" s="14">
        <v>0</v>
      </c>
      <c r="F29" s="13" t="s">
        <v>26</v>
      </c>
      <c r="G29" s="13"/>
    </row>
    <row r="30" spans="1:12" x14ac:dyDescent="0.2">
      <c r="A30" s="13"/>
      <c r="B30" s="13"/>
      <c r="C30" s="14">
        <v>100000</v>
      </c>
      <c r="D30" s="14"/>
      <c r="E30" s="35">
        <f t="shared" ref="E30:E31" si="1">C30</f>
        <v>100000</v>
      </c>
      <c r="F30" s="13" t="s">
        <v>85</v>
      </c>
      <c r="G30" s="13"/>
      <c r="I30" s="18"/>
      <c r="J30" s="18"/>
    </row>
    <row r="31" spans="1:12" x14ac:dyDescent="0.2">
      <c r="A31" s="16" t="s">
        <v>427</v>
      </c>
      <c r="B31" s="13"/>
      <c r="C31" s="14">
        <f>1000000-500000</f>
        <v>500000</v>
      </c>
      <c r="D31" s="14"/>
      <c r="E31" s="35">
        <f t="shared" si="1"/>
        <v>500000</v>
      </c>
      <c r="F31" s="13" t="s">
        <v>428</v>
      </c>
      <c r="G31" s="13"/>
    </row>
    <row r="32" spans="1:12" ht="13.5" thickBot="1" x14ac:dyDescent="0.25">
      <c r="A32" s="13"/>
      <c r="B32" s="45"/>
      <c r="C32" s="28"/>
      <c r="D32" s="28"/>
      <c r="E32" s="28"/>
      <c r="G32" s="13"/>
    </row>
    <row r="33" spans="1:23" s="4" customFormat="1" ht="13.5" thickBot="1" x14ac:dyDescent="0.25">
      <c r="A33" s="4" t="s">
        <v>27</v>
      </c>
      <c r="B33" s="46"/>
      <c r="C33" s="47">
        <f>SUM(C4:C31)</f>
        <v>16153821</v>
      </c>
      <c r="D33" s="48"/>
      <c r="E33" s="30">
        <f>SUM(E4:E31)</f>
        <v>15463281</v>
      </c>
      <c r="G33" s="32"/>
      <c r="H33" s="33"/>
      <c r="I33" s="33"/>
      <c r="J33" s="33"/>
      <c r="W33" s="5"/>
    </row>
    <row r="34" spans="1:23" x14ac:dyDescent="0.2">
      <c r="B34" s="49"/>
      <c r="C34" s="34"/>
      <c r="D34" s="34"/>
      <c r="E34" s="34"/>
      <c r="G34" s="13"/>
    </row>
    <row r="35" spans="1:23" x14ac:dyDescent="0.2">
      <c r="C35" s="35"/>
      <c r="D35" s="35"/>
      <c r="E35" s="35"/>
    </row>
    <row r="36" spans="1:23" x14ac:dyDescent="0.2">
      <c r="A36" s="36" t="s">
        <v>28</v>
      </c>
      <c r="B36" s="36"/>
      <c r="C36" s="35"/>
      <c r="D36" s="35"/>
      <c r="E36" s="35"/>
    </row>
    <row r="37" spans="1:23" x14ac:dyDescent="0.2">
      <c r="A37" s="16" t="s">
        <v>13</v>
      </c>
      <c r="C37" s="35">
        <f>C14</f>
        <v>15268</v>
      </c>
      <c r="D37" s="35"/>
      <c r="E37" s="35">
        <f>E14</f>
        <v>16400</v>
      </c>
    </row>
    <row r="38" spans="1:23" x14ac:dyDescent="0.2">
      <c r="A38" s="16" t="s">
        <v>108</v>
      </c>
      <c r="C38" s="35">
        <f>C4+C7+C10+C12</f>
        <v>630000</v>
      </c>
      <c r="D38" s="35"/>
      <c r="E38" s="35">
        <f>E4+E7+E10+E12</f>
        <v>677300</v>
      </c>
    </row>
    <row r="39" spans="1:23" x14ac:dyDescent="0.2">
      <c r="A39" s="16" t="s">
        <v>16</v>
      </c>
      <c r="C39" s="35">
        <f>C5+C6+C8+C11+C13+C15+C16+C17+C18+C19+C21+C22+C24</f>
        <v>4341053</v>
      </c>
      <c r="D39" s="35"/>
      <c r="E39" s="35">
        <f>E5+E6+E8+E11+E13+E15+E16+E17+E18+E19+E21+E22+E24</f>
        <v>4410600</v>
      </c>
    </row>
    <row r="40" spans="1:23" x14ac:dyDescent="0.2">
      <c r="A40" s="16" t="s">
        <v>85</v>
      </c>
      <c r="C40" s="35">
        <f>C9+C20+C23+C30</f>
        <v>427500</v>
      </c>
      <c r="D40" s="35"/>
      <c r="E40" s="35">
        <f>E9+E20+E23+E30</f>
        <v>427500</v>
      </c>
    </row>
    <row r="41" spans="1:23" x14ac:dyDescent="0.2">
      <c r="A41" s="16" t="s">
        <v>29</v>
      </c>
      <c r="C41" s="35">
        <f>C27</f>
        <v>9100000</v>
      </c>
      <c r="D41" s="35"/>
      <c r="E41" s="35">
        <f>SUM(E25:E28)</f>
        <v>9431481</v>
      </c>
    </row>
    <row r="42" spans="1:23" x14ac:dyDescent="0.2">
      <c r="A42" s="13" t="s">
        <v>429</v>
      </c>
      <c r="B42" s="13"/>
      <c r="C42" s="35">
        <f>C29</f>
        <v>1140000</v>
      </c>
      <c r="D42" s="35"/>
      <c r="E42" s="35">
        <f>E29</f>
        <v>0</v>
      </c>
    </row>
    <row r="43" spans="1:23" x14ac:dyDescent="0.2">
      <c r="A43" s="13" t="s">
        <v>428</v>
      </c>
      <c r="B43" s="13"/>
      <c r="C43" s="35">
        <f>C31</f>
        <v>500000</v>
      </c>
      <c r="D43" s="35"/>
      <c r="E43" s="35">
        <f>E31</f>
        <v>500000</v>
      </c>
    </row>
    <row r="44" spans="1:23" x14ac:dyDescent="0.2">
      <c r="B44" s="49"/>
      <c r="C44" s="38">
        <f>SUM(C37:C43)</f>
        <v>16153821</v>
      </c>
      <c r="D44" s="39"/>
      <c r="E44" s="38">
        <f>SUM(E37:E43)</f>
        <v>15463281</v>
      </c>
    </row>
    <row r="47" spans="1:23" x14ac:dyDescent="0.2">
      <c r="A47" s="36" t="s">
        <v>30</v>
      </c>
    </row>
    <row r="48" spans="1:23" x14ac:dyDescent="0.2">
      <c r="A48" s="16" t="s">
        <v>31</v>
      </c>
      <c r="D48" s="19" t="s">
        <v>430</v>
      </c>
      <c r="E48" s="16"/>
    </row>
    <row r="49" spans="1:5" x14ac:dyDescent="0.2">
      <c r="A49" s="16" t="s">
        <v>33</v>
      </c>
      <c r="D49" s="19" t="s">
        <v>431</v>
      </c>
      <c r="E49" s="50"/>
    </row>
    <row r="50" spans="1:5" x14ac:dyDescent="0.2">
      <c r="A50" s="16" t="s">
        <v>35</v>
      </c>
      <c r="D50" s="19" t="s">
        <v>34</v>
      </c>
      <c r="E50" s="16"/>
    </row>
    <row r="51" spans="1:5" x14ac:dyDescent="0.2">
      <c r="A51" s="16" t="s">
        <v>36</v>
      </c>
      <c r="D51" s="19" t="s">
        <v>432</v>
      </c>
      <c r="E51" s="16"/>
    </row>
    <row r="52" spans="1:5" x14ac:dyDescent="0.2">
      <c r="A52" s="16" t="s">
        <v>38</v>
      </c>
      <c r="D52" s="19" t="s">
        <v>34</v>
      </c>
      <c r="E52" s="16"/>
    </row>
    <row r="53" spans="1:5" x14ac:dyDescent="0.2">
      <c r="A53" s="16" t="s">
        <v>39</v>
      </c>
      <c r="D53" s="19" t="s">
        <v>433</v>
      </c>
      <c r="E53" s="16"/>
    </row>
    <row r="54" spans="1:5" x14ac:dyDescent="0.2">
      <c r="A54" s="16" t="s">
        <v>41</v>
      </c>
      <c r="D54" s="19" t="s">
        <v>434</v>
      </c>
    </row>
  </sheetData>
  <mergeCells count="1">
    <mergeCell ref="H1:J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0"/>
  <sheetViews>
    <sheetView workbookViewId="0">
      <selection activeCell="G24" sqref="G24"/>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4.42578125" style="19" bestFit="1" customWidth="1"/>
    <col min="6" max="6" width="21.85546875" style="19" customWidth="1"/>
    <col min="7" max="7" width="24" style="16" bestFit="1" customWidth="1"/>
    <col min="8" max="8" width="9.28515625" style="16" bestFit="1" customWidth="1"/>
    <col min="9" max="9" width="10" style="17" bestFit="1" customWidth="1"/>
    <col min="10" max="10" width="10.5703125" style="17" customWidth="1"/>
    <col min="11" max="11" width="11.85546875" style="17" customWidth="1"/>
    <col min="12" max="12" width="14.140625" style="16" hidden="1" customWidth="1"/>
    <col min="13" max="13" width="35.5703125" style="16" hidden="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10">
        <v>2020</v>
      </c>
      <c r="G2" s="1"/>
      <c r="H2" s="1"/>
      <c r="I2" s="11" t="s">
        <v>9</v>
      </c>
      <c r="J2" s="12" t="s">
        <v>10</v>
      </c>
      <c r="K2" s="12" t="s">
        <v>11</v>
      </c>
      <c r="L2" s="1"/>
      <c r="M2" s="1"/>
      <c r="X2" s="5"/>
    </row>
    <row r="4" spans="1:24" x14ac:dyDescent="0.2">
      <c r="A4" s="13" t="s">
        <v>435</v>
      </c>
      <c r="B4" s="14"/>
      <c r="C4" s="15">
        <v>132</v>
      </c>
      <c r="D4" s="14">
        <v>9348200</v>
      </c>
      <c r="E4" s="15">
        <v>141.9</v>
      </c>
      <c r="F4" s="14">
        <f>ROUND(D4/C4*E4,-2)</f>
        <v>10049300</v>
      </c>
      <c r="G4" s="13" t="s">
        <v>13</v>
      </c>
      <c r="H4" s="16" t="s">
        <v>409</v>
      </c>
      <c r="I4" s="17">
        <v>223071001</v>
      </c>
      <c r="J4" s="18">
        <v>42395</v>
      </c>
      <c r="K4" s="18">
        <v>44587</v>
      </c>
    </row>
    <row r="5" spans="1:24" s="24" customFormat="1" ht="25.5" x14ac:dyDescent="0.25">
      <c r="A5" s="20" t="s">
        <v>435</v>
      </c>
      <c r="B5" s="21"/>
      <c r="C5" s="22"/>
      <c r="D5" s="21"/>
      <c r="E5" s="22"/>
      <c r="F5" s="21">
        <f>3307000+393000</f>
        <v>3700000</v>
      </c>
      <c r="G5" s="23" t="s">
        <v>436</v>
      </c>
      <c r="H5" s="24" t="s">
        <v>409</v>
      </c>
      <c r="I5" s="25">
        <v>243429001</v>
      </c>
      <c r="J5" s="26">
        <v>43550</v>
      </c>
      <c r="K5" s="26">
        <v>44646</v>
      </c>
      <c r="X5" s="27"/>
    </row>
    <row r="6" spans="1:24" s="24" customFormat="1" x14ac:dyDescent="0.25">
      <c r="A6" s="20" t="s">
        <v>437</v>
      </c>
      <c r="B6" s="21"/>
      <c r="C6" s="22"/>
      <c r="D6" s="21"/>
      <c r="E6" s="22"/>
      <c r="F6" s="21">
        <v>37555</v>
      </c>
      <c r="G6" s="23" t="s">
        <v>438</v>
      </c>
      <c r="I6" s="25"/>
      <c r="J6" s="26"/>
      <c r="K6" s="26"/>
      <c r="X6" s="27"/>
    </row>
    <row r="7" spans="1:24" s="24" customFormat="1" x14ac:dyDescent="0.2">
      <c r="A7" s="20"/>
      <c r="B7" s="21"/>
      <c r="C7" s="22"/>
      <c r="D7" s="21"/>
      <c r="E7" s="22"/>
      <c r="F7" s="14">
        <v>0</v>
      </c>
      <c r="G7" s="13" t="s">
        <v>20</v>
      </c>
      <c r="H7" s="13"/>
      <c r="I7" s="17"/>
      <c r="J7" s="17"/>
      <c r="K7" s="17"/>
      <c r="L7" s="16"/>
      <c r="M7" s="16" t="s">
        <v>21</v>
      </c>
      <c r="X7" s="27"/>
    </row>
    <row r="8" spans="1:24" s="24" customFormat="1" x14ac:dyDescent="0.2">
      <c r="A8" s="20"/>
      <c r="B8" s="21"/>
      <c r="C8" s="22"/>
      <c r="D8" s="21"/>
      <c r="E8" s="22"/>
      <c r="F8" s="14">
        <v>0</v>
      </c>
      <c r="G8" s="13" t="s">
        <v>22</v>
      </c>
      <c r="H8" s="13"/>
      <c r="I8" s="17"/>
      <c r="J8" s="17"/>
      <c r="K8" s="17"/>
      <c r="L8" s="16"/>
      <c r="M8" s="16"/>
      <c r="X8" s="27"/>
    </row>
    <row r="9" spans="1:24" s="24" customFormat="1" x14ac:dyDescent="0.2">
      <c r="A9" s="20"/>
      <c r="B9" s="21"/>
      <c r="C9" s="22"/>
      <c r="D9" s="21"/>
      <c r="E9" s="22"/>
      <c r="F9" s="14">
        <v>710000</v>
      </c>
      <c r="G9" s="13" t="s">
        <v>23</v>
      </c>
      <c r="H9" s="13"/>
      <c r="I9" s="17"/>
      <c r="J9" s="17"/>
      <c r="K9" s="17"/>
      <c r="L9" s="16"/>
      <c r="M9" s="16" t="s">
        <v>24</v>
      </c>
      <c r="X9" s="27"/>
    </row>
    <row r="10" spans="1:24" s="24" customFormat="1" x14ac:dyDescent="0.2">
      <c r="A10" s="20"/>
      <c r="B10" s="21"/>
      <c r="C10" s="22"/>
      <c r="D10" s="21"/>
      <c r="E10" s="22"/>
      <c r="F10" s="14">
        <v>1700000</v>
      </c>
      <c r="G10" s="13" t="s">
        <v>25</v>
      </c>
      <c r="H10" s="13"/>
      <c r="I10" s="17"/>
      <c r="J10" s="17"/>
      <c r="K10" s="17"/>
      <c r="L10" s="16"/>
      <c r="M10" s="16"/>
      <c r="X10" s="27"/>
    </row>
    <row r="11" spans="1:24" s="24" customFormat="1" x14ac:dyDescent="0.2">
      <c r="A11" s="20"/>
      <c r="B11" s="21"/>
      <c r="C11" s="22"/>
      <c r="D11" s="21"/>
      <c r="E11" s="22"/>
      <c r="F11" s="14">
        <v>0</v>
      </c>
      <c r="G11" s="13" t="s">
        <v>26</v>
      </c>
      <c r="H11" s="13"/>
      <c r="I11" s="17"/>
      <c r="J11" s="17"/>
      <c r="K11" s="17"/>
      <c r="L11" s="16"/>
      <c r="M11" s="16"/>
      <c r="X11" s="27"/>
    </row>
    <row r="12" spans="1:24" s="24" customFormat="1" x14ac:dyDescent="0.25">
      <c r="A12" s="20"/>
      <c r="B12" s="21"/>
      <c r="C12" s="22"/>
      <c r="D12" s="21"/>
      <c r="E12" s="22"/>
      <c r="F12" s="21"/>
      <c r="G12" s="23"/>
      <c r="I12" s="25"/>
      <c r="J12" s="26"/>
      <c r="K12" s="26"/>
      <c r="X12" s="27"/>
    </row>
    <row r="13" spans="1:24" ht="13.5" thickBot="1" x14ac:dyDescent="0.25">
      <c r="A13" s="13"/>
      <c r="B13" s="28"/>
      <c r="C13" s="28"/>
      <c r="D13" s="28"/>
      <c r="E13" s="28"/>
      <c r="F13" s="28"/>
      <c r="H13" s="13"/>
    </row>
    <row r="14" spans="1:24" s="4" customFormat="1" ht="13.5" thickBot="1" x14ac:dyDescent="0.25">
      <c r="A14" s="4" t="s">
        <v>27</v>
      </c>
      <c r="B14" s="29">
        <f>SUM(B4:B4)</f>
        <v>0</v>
      </c>
      <c r="C14" s="29"/>
      <c r="D14" s="30">
        <f>SUM(D4:D4)</f>
        <v>9348200</v>
      </c>
      <c r="E14" s="31"/>
      <c r="F14" s="30">
        <f>SUM(F4:F13)</f>
        <v>16196855</v>
      </c>
      <c r="H14" s="32"/>
      <c r="I14" s="33"/>
      <c r="J14" s="33"/>
      <c r="K14" s="33"/>
      <c r="X14" s="5"/>
    </row>
    <row r="15" spans="1:24" x14ac:dyDescent="0.2">
      <c r="B15" s="34"/>
      <c r="C15" s="34"/>
      <c r="D15" s="34"/>
      <c r="E15" s="34"/>
      <c r="F15" s="34"/>
      <c r="H15" s="13"/>
    </row>
    <row r="16" spans="1:24" x14ac:dyDescent="0.2">
      <c r="B16" s="35"/>
      <c r="C16" s="35"/>
      <c r="D16" s="35"/>
      <c r="E16" s="35"/>
      <c r="F16" s="35"/>
    </row>
    <row r="17" spans="1:11" x14ac:dyDescent="0.2">
      <c r="A17" s="36" t="s">
        <v>28</v>
      </c>
      <c r="B17" s="35"/>
      <c r="C17" s="35"/>
      <c r="D17" s="35"/>
      <c r="E17" s="35"/>
      <c r="F17" s="35"/>
    </row>
    <row r="18" spans="1:11" x14ac:dyDescent="0.2">
      <c r="A18" s="16" t="s">
        <v>13</v>
      </c>
      <c r="B18" s="35">
        <f>B4</f>
        <v>0</v>
      </c>
      <c r="C18" s="35"/>
      <c r="D18" s="35">
        <f>D4</f>
        <v>9348200</v>
      </c>
      <c r="E18" s="35"/>
      <c r="F18" s="35">
        <f>F4</f>
        <v>10049300</v>
      </c>
    </row>
    <row r="19" spans="1:11" x14ac:dyDescent="0.2">
      <c r="A19" s="16" t="str">
        <f>G5</f>
        <v>Bedrijfsinventaris inclusief computerapparatuur</v>
      </c>
      <c r="B19" s="34"/>
      <c r="C19" s="34"/>
      <c r="D19" s="34"/>
      <c r="E19" s="34"/>
      <c r="F19" s="34">
        <f>F5+F6</f>
        <v>3737555</v>
      </c>
    </row>
    <row r="20" spans="1:11" x14ac:dyDescent="0.2">
      <c r="A20" s="16" t="s">
        <v>29</v>
      </c>
      <c r="B20" s="34"/>
      <c r="C20" s="34"/>
      <c r="D20" s="34"/>
      <c r="E20" s="34"/>
      <c r="F20" s="34">
        <f>SUM(F7:F10)</f>
        <v>2410000</v>
      </c>
    </row>
    <row r="21" spans="1:11" x14ac:dyDescent="0.2">
      <c r="B21" s="37">
        <f>SUM(B18:B18)</f>
        <v>0</v>
      </c>
      <c r="C21" s="37"/>
      <c r="D21" s="38">
        <f>SUM(D18:D18)</f>
        <v>9348200</v>
      </c>
      <c r="E21" s="39"/>
      <c r="F21" s="38">
        <f>SUM(F18:F20)</f>
        <v>16196855</v>
      </c>
    </row>
    <row r="23" spans="1:11" x14ac:dyDescent="0.2">
      <c r="A23" s="36" t="s">
        <v>30</v>
      </c>
    </row>
    <row r="24" spans="1:11" x14ac:dyDescent="0.2">
      <c r="A24" s="16" t="s">
        <v>31</v>
      </c>
      <c r="E24" s="19" t="s">
        <v>32</v>
      </c>
      <c r="J24" s="18"/>
      <c r="K24" s="18"/>
    </row>
    <row r="25" spans="1:11" x14ac:dyDescent="0.2">
      <c r="A25" s="16" t="s">
        <v>33</v>
      </c>
      <c r="E25" s="19" t="s">
        <v>34</v>
      </c>
    </row>
    <row r="26" spans="1:11" x14ac:dyDescent="0.2">
      <c r="A26" s="16" t="s">
        <v>35</v>
      </c>
      <c r="E26" s="19" t="s">
        <v>34</v>
      </c>
    </row>
    <row r="27" spans="1:11" x14ac:dyDescent="0.2">
      <c r="A27" s="16" t="s">
        <v>36</v>
      </c>
      <c r="E27" s="19" t="s">
        <v>439</v>
      </c>
    </row>
    <row r="28" spans="1:11" x14ac:dyDescent="0.2">
      <c r="A28" s="16" t="s">
        <v>38</v>
      </c>
      <c r="E28" s="19" t="s">
        <v>54</v>
      </c>
    </row>
    <row r="29" spans="1:11" x14ac:dyDescent="0.2">
      <c r="A29" s="16" t="s">
        <v>39</v>
      </c>
      <c r="E29" s="19" t="s">
        <v>69</v>
      </c>
    </row>
    <row r="30" spans="1:11" x14ac:dyDescent="0.2">
      <c r="A30" s="16" t="s">
        <v>41</v>
      </c>
      <c r="E30" s="19" t="s">
        <v>440</v>
      </c>
    </row>
  </sheetData>
  <mergeCells count="1">
    <mergeCell ref="I1:K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workbookViewId="0">
      <selection activeCell="H26" sqref="H26"/>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0.5703125" style="19" bestFit="1" customWidth="1"/>
    <col min="6" max="6" width="21.85546875" style="19" customWidth="1"/>
    <col min="7" max="7" width="36.7109375" style="16" bestFit="1" customWidth="1"/>
    <col min="8" max="8" width="8.7109375" style="16" bestFit="1" customWidth="1"/>
    <col min="9" max="10" width="13.28515625" style="17" customWidth="1"/>
    <col min="11" max="11" width="11.85546875" style="17" customWidth="1"/>
    <col min="12" max="12" width="14.140625" style="16" bestFit="1" customWidth="1"/>
    <col min="13" max="13" width="66.425781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9">
        <v>43831</v>
      </c>
      <c r="G2" s="1"/>
      <c r="H2" s="1"/>
      <c r="I2" s="11" t="s">
        <v>9</v>
      </c>
      <c r="J2" s="12" t="s">
        <v>10</v>
      </c>
      <c r="K2" s="12" t="s">
        <v>11</v>
      </c>
      <c r="L2" s="1"/>
      <c r="M2" s="1"/>
      <c r="X2" s="5"/>
    </row>
    <row r="4" spans="1:24" x14ac:dyDescent="0.2">
      <c r="A4" s="13" t="s">
        <v>441</v>
      </c>
      <c r="B4" s="14">
        <v>350000</v>
      </c>
      <c r="C4" s="15">
        <v>138.1</v>
      </c>
      <c r="D4" s="14">
        <v>400000</v>
      </c>
      <c r="E4" s="15">
        <v>141.9</v>
      </c>
      <c r="F4" s="14">
        <f>D4</f>
        <v>400000</v>
      </c>
      <c r="G4" s="13" t="s">
        <v>108</v>
      </c>
      <c r="H4" s="13" t="s">
        <v>442</v>
      </c>
      <c r="I4" s="44" t="s">
        <v>443</v>
      </c>
      <c r="J4" s="18">
        <v>43811</v>
      </c>
      <c r="K4" s="18"/>
    </row>
    <row r="5" spans="1:24" x14ac:dyDescent="0.2">
      <c r="A5" s="40"/>
      <c r="B5" s="14">
        <v>2194875</v>
      </c>
      <c r="C5" s="15">
        <v>120.2</v>
      </c>
      <c r="D5" s="14">
        <v>2270075</v>
      </c>
      <c r="E5" s="15">
        <v>120.4</v>
      </c>
      <c r="F5" s="14">
        <f>D5</f>
        <v>2270075</v>
      </c>
      <c r="G5" s="13" t="s">
        <v>16</v>
      </c>
      <c r="H5" s="13" t="s">
        <v>442</v>
      </c>
      <c r="I5" s="44" t="s">
        <v>443</v>
      </c>
      <c r="J5" s="18">
        <v>43811</v>
      </c>
      <c r="K5" s="18"/>
    </row>
    <row r="6" spans="1:24" x14ac:dyDescent="0.2">
      <c r="A6" s="40"/>
      <c r="B6" s="14">
        <v>255125</v>
      </c>
      <c r="C6" s="15">
        <v>120.2</v>
      </c>
      <c r="D6" s="14">
        <v>639925</v>
      </c>
      <c r="E6" s="15">
        <v>120.4</v>
      </c>
      <c r="F6" s="14">
        <f>D6</f>
        <v>639925</v>
      </c>
      <c r="G6" s="13" t="s">
        <v>16</v>
      </c>
      <c r="H6" s="13" t="s">
        <v>442</v>
      </c>
      <c r="I6" s="44" t="s">
        <v>443</v>
      </c>
      <c r="J6" s="18">
        <v>43811</v>
      </c>
      <c r="K6" s="18"/>
    </row>
    <row r="7" spans="1:24" x14ac:dyDescent="0.2">
      <c r="A7" s="13"/>
      <c r="B7" s="14">
        <v>82111</v>
      </c>
      <c r="C7" s="15">
        <v>118.5</v>
      </c>
      <c r="D7" s="14">
        <v>82111</v>
      </c>
      <c r="E7" s="15">
        <v>120.4</v>
      </c>
      <c r="F7" s="14">
        <f t="shared" ref="F7:F9" si="0">ROUND(D7/C7*E7,-2)</f>
        <v>83400</v>
      </c>
      <c r="G7" s="13" t="s">
        <v>16</v>
      </c>
      <c r="H7" s="13"/>
    </row>
    <row r="8" spans="1:24" x14ac:dyDescent="0.2">
      <c r="A8" s="13" t="s">
        <v>444</v>
      </c>
      <c r="B8" s="14">
        <v>181508</v>
      </c>
      <c r="C8" s="15">
        <v>118.5</v>
      </c>
      <c r="D8" s="14">
        <v>181508</v>
      </c>
      <c r="E8" s="15">
        <v>120.4</v>
      </c>
      <c r="F8" s="14">
        <f t="shared" si="0"/>
        <v>184400</v>
      </c>
      <c r="G8" s="13" t="s">
        <v>445</v>
      </c>
      <c r="H8" s="13"/>
      <c r="J8" s="18"/>
      <c r="K8" s="18"/>
    </row>
    <row r="9" spans="1:24" x14ac:dyDescent="0.2">
      <c r="A9" s="13" t="s">
        <v>165</v>
      </c>
      <c r="B9" s="14">
        <v>18152</v>
      </c>
      <c r="C9" s="15">
        <v>118.5</v>
      </c>
      <c r="D9" s="14">
        <v>18152</v>
      </c>
      <c r="E9" s="15">
        <v>120.4</v>
      </c>
      <c r="F9" s="14">
        <f t="shared" si="0"/>
        <v>18400</v>
      </c>
      <c r="G9" s="13" t="s">
        <v>16</v>
      </c>
      <c r="H9" s="13"/>
      <c r="J9" s="18"/>
      <c r="K9" s="18"/>
    </row>
    <row r="10" spans="1:24" x14ac:dyDescent="0.2">
      <c r="A10" s="13"/>
      <c r="B10" s="14"/>
      <c r="C10" s="15"/>
      <c r="D10" s="14"/>
      <c r="E10" s="15"/>
      <c r="F10" s="14">
        <v>0</v>
      </c>
      <c r="G10" s="13" t="s">
        <v>20</v>
      </c>
      <c r="H10" s="13"/>
      <c r="M10" s="16" t="s">
        <v>21</v>
      </c>
    </row>
    <row r="11" spans="1:24" x14ac:dyDescent="0.2">
      <c r="A11" s="13"/>
      <c r="B11" s="14"/>
      <c r="C11" s="15"/>
      <c r="D11" s="14"/>
      <c r="E11" s="15"/>
      <c r="F11" s="14">
        <v>0</v>
      </c>
      <c r="G11" s="13" t="s">
        <v>22</v>
      </c>
      <c r="H11" s="13"/>
    </row>
    <row r="12" spans="1:24" x14ac:dyDescent="0.2">
      <c r="A12" s="16" t="s">
        <v>21</v>
      </c>
      <c r="B12" s="14">
        <v>3000000</v>
      </c>
      <c r="C12" s="15"/>
      <c r="D12" s="14">
        <v>3000000</v>
      </c>
      <c r="E12" s="15"/>
      <c r="F12" s="14">
        <v>1500000</v>
      </c>
      <c r="G12" s="13" t="s">
        <v>23</v>
      </c>
      <c r="H12" s="13"/>
      <c r="M12" s="16" t="s">
        <v>24</v>
      </c>
    </row>
    <row r="13" spans="1:24" x14ac:dyDescent="0.2">
      <c r="B13" s="14"/>
      <c r="C13" s="15"/>
      <c r="D13" s="14"/>
      <c r="E13" s="15"/>
      <c r="F13" s="14">
        <v>0</v>
      </c>
      <c r="G13" s="13" t="s">
        <v>25</v>
      </c>
      <c r="H13" s="13"/>
    </row>
    <row r="14" spans="1:24" x14ac:dyDescent="0.2">
      <c r="A14" s="16" t="s">
        <v>21</v>
      </c>
      <c r="B14" s="14">
        <v>2153350</v>
      </c>
      <c r="C14" s="15"/>
      <c r="D14" s="14">
        <f>2153350-500000</f>
        <v>1653350</v>
      </c>
      <c r="E14" s="15"/>
      <c r="F14" s="14">
        <v>1000000</v>
      </c>
      <c r="G14" s="13" t="s">
        <v>26</v>
      </c>
      <c r="H14" s="13"/>
    </row>
    <row r="15" spans="1:24" x14ac:dyDescent="0.2">
      <c r="A15" s="16" t="s">
        <v>446</v>
      </c>
      <c r="B15" s="14">
        <v>76322</v>
      </c>
      <c r="C15" s="15">
        <v>118.5</v>
      </c>
      <c r="D15" s="14">
        <v>76322</v>
      </c>
      <c r="E15" s="15">
        <v>120.4</v>
      </c>
      <c r="F15" s="14">
        <f t="shared" ref="F15" si="1">ROUND(D15/C15*E15,-2)</f>
        <v>77500</v>
      </c>
      <c r="G15" s="13" t="s">
        <v>16</v>
      </c>
      <c r="H15" s="13"/>
      <c r="J15" s="18"/>
      <c r="K15" s="18"/>
      <c r="M15" s="16" t="s">
        <v>446</v>
      </c>
    </row>
    <row r="16" spans="1:24" x14ac:dyDescent="0.2">
      <c r="A16" s="13"/>
      <c r="B16" s="14">
        <v>500000</v>
      </c>
      <c r="C16" s="15"/>
      <c r="D16" s="14">
        <v>500000</v>
      </c>
      <c r="E16" s="14"/>
      <c r="F16" s="14">
        <f t="shared" ref="F16" si="2">D16</f>
        <v>500000</v>
      </c>
      <c r="G16" s="13" t="s">
        <v>85</v>
      </c>
      <c r="H16" s="13"/>
      <c r="J16" s="18"/>
      <c r="K16" s="18"/>
    </row>
    <row r="17" spans="1:24" ht="13.5" thickBot="1" x14ac:dyDescent="0.25">
      <c r="A17" s="13"/>
      <c r="B17" s="28"/>
      <c r="C17" s="28"/>
      <c r="D17" s="28"/>
      <c r="E17" s="28"/>
      <c r="F17" s="28"/>
      <c r="H17" s="13"/>
    </row>
    <row r="18" spans="1:24" s="4" customFormat="1" ht="13.5" thickBot="1" x14ac:dyDescent="0.25">
      <c r="A18" s="4" t="s">
        <v>27</v>
      </c>
      <c r="B18" s="29">
        <f>SUM(B4:B16)</f>
        <v>8811443</v>
      </c>
      <c r="C18" s="29"/>
      <c r="D18" s="30">
        <f>SUM(D4:D16)</f>
        <v>8821443</v>
      </c>
      <c r="E18" s="29"/>
      <c r="F18" s="30">
        <f>SUM(F4:F16)</f>
        <v>6673700</v>
      </c>
      <c r="H18" s="32"/>
      <c r="I18" s="33"/>
      <c r="J18" s="33"/>
      <c r="K18" s="33"/>
      <c r="X18" s="5"/>
    </row>
    <row r="19" spans="1:24" x14ac:dyDescent="0.2">
      <c r="B19" s="34"/>
      <c r="C19" s="34"/>
      <c r="D19" s="34"/>
      <c r="E19" s="34"/>
      <c r="F19" s="34"/>
      <c r="H19" s="13"/>
    </row>
    <row r="20" spans="1:24" x14ac:dyDescent="0.2">
      <c r="B20" s="35"/>
      <c r="C20" s="35"/>
      <c r="D20" s="35"/>
      <c r="E20" s="35"/>
      <c r="F20" s="35"/>
    </row>
    <row r="21" spans="1:24" x14ac:dyDescent="0.2">
      <c r="A21" s="36" t="s">
        <v>28</v>
      </c>
      <c r="B21" s="35"/>
      <c r="C21" s="35"/>
      <c r="D21" s="35"/>
      <c r="E21" s="35"/>
      <c r="F21" s="35"/>
    </row>
    <row r="22" spans="1:24" x14ac:dyDescent="0.2">
      <c r="A22" s="16" t="s">
        <v>408</v>
      </c>
      <c r="B22" s="35"/>
      <c r="C22" s="35"/>
      <c r="D22" s="35">
        <f>D4</f>
        <v>400000</v>
      </c>
      <c r="E22" s="35"/>
      <c r="F22" s="35">
        <f>F4</f>
        <v>400000</v>
      </c>
    </row>
    <row r="23" spans="1:24" x14ac:dyDescent="0.2">
      <c r="A23" s="16" t="s">
        <v>16</v>
      </c>
      <c r="B23" s="35"/>
      <c r="C23" s="35"/>
      <c r="D23" s="35">
        <f>D5+D6+D7+D8+D9+D15</f>
        <v>3268093</v>
      </c>
      <c r="E23" s="35"/>
      <c r="F23" s="35">
        <f>F5+F6+F7+F8+F9+F15</f>
        <v>3273700</v>
      </c>
    </row>
    <row r="24" spans="1:24" x14ac:dyDescent="0.2">
      <c r="A24" s="16" t="s">
        <v>85</v>
      </c>
      <c r="B24" s="35"/>
      <c r="C24" s="35"/>
      <c r="D24" s="35">
        <f>D16</f>
        <v>500000</v>
      </c>
      <c r="E24" s="35"/>
      <c r="F24" s="35">
        <f>F16</f>
        <v>500000</v>
      </c>
    </row>
    <row r="25" spans="1:24" x14ac:dyDescent="0.2">
      <c r="A25" s="16" t="s">
        <v>29</v>
      </c>
      <c r="B25" s="35">
        <f>B12</f>
        <v>3000000</v>
      </c>
      <c r="C25" s="35"/>
      <c r="D25" s="35">
        <f>D12</f>
        <v>3000000</v>
      </c>
      <c r="E25" s="35"/>
      <c r="F25" s="35">
        <f>F12</f>
        <v>1500000</v>
      </c>
    </row>
    <row r="26" spans="1:24" x14ac:dyDescent="0.2">
      <c r="A26" s="16" t="s">
        <v>68</v>
      </c>
      <c r="B26" s="35"/>
      <c r="C26" s="35"/>
      <c r="D26" s="35">
        <f>D14</f>
        <v>1653350</v>
      </c>
      <c r="E26" s="35"/>
      <c r="F26" s="35">
        <f>F14</f>
        <v>1000000</v>
      </c>
    </row>
    <row r="27" spans="1:24" x14ac:dyDescent="0.2">
      <c r="B27" s="37">
        <f>SUM(B22:B26)</f>
        <v>3000000</v>
      </c>
      <c r="C27" s="37"/>
      <c r="D27" s="38">
        <f>SUM(D22:D26)</f>
        <v>8821443</v>
      </c>
      <c r="E27" s="39"/>
      <c r="F27" s="38">
        <f>SUM(F22:F26)</f>
        <v>6673700</v>
      </c>
    </row>
    <row r="30" spans="1:24" x14ac:dyDescent="0.2">
      <c r="A30" s="36" t="s">
        <v>30</v>
      </c>
    </row>
    <row r="31" spans="1:24" x14ac:dyDescent="0.2">
      <c r="A31" s="16" t="s">
        <v>31</v>
      </c>
      <c r="E31" s="19" t="s">
        <v>449</v>
      </c>
    </row>
    <row r="32" spans="1:24" x14ac:dyDescent="0.2">
      <c r="A32" s="16" t="s">
        <v>33</v>
      </c>
      <c r="E32" s="19" t="s">
        <v>73</v>
      </c>
    </row>
    <row r="33" spans="1:5" x14ac:dyDescent="0.2">
      <c r="A33" s="16" t="s">
        <v>35</v>
      </c>
      <c r="E33" s="19" t="s">
        <v>34</v>
      </c>
    </row>
    <row r="34" spans="1:5" x14ac:dyDescent="0.2">
      <c r="A34" s="16" t="s">
        <v>36</v>
      </c>
      <c r="E34" s="19" t="s">
        <v>447</v>
      </c>
    </row>
    <row r="35" spans="1:5" x14ac:dyDescent="0.2">
      <c r="A35" s="16" t="s">
        <v>38</v>
      </c>
      <c r="E35" s="19" t="s">
        <v>54</v>
      </c>
    </row>
    <row r="36" spans="1:5" x14ac:dyDescent="0.2">
      <c r="A36" s="16" t="s">
        <v>39</v>
      </c>
      <c r="E36" s="19" t="s">
        <v>448</v>
      </c>
    </row>
    <row r="37" spans="1:5" x14ac:dyDescent="0.2">
      <c r="A37" s="16" t="s">
        <v>41</v>
      </c>
      <c r="E37" s="19" t="s">
        <v>406</v>
      </c>
    </row>
  </sheetData>
  <mergeCells count="1">
    <mergeCell ref="I1:K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opLeftCell="A19" workbookViewId="0">
      <selection activeCell="E60" sqref="E60"/>
    </sheetView>
  </sheetViews>
  <sheetFormatPr defaultColWidth="9.140625" defaultRowHeight="12.75" x14ac:dyDescent="0.2"/>
  <cols>
    <col min="1" max="1" width="35.7109375" style="16" customWidth="1"/>
    <col min="2" max="2" width="6.28515625" style="16" customWidth="1"/>
    <col min="3" max="3" width="5.28515625" style="16" customWidth="1"/>
    <col min="4" max="4" width="15.5703125" style="19" hidden="1" customWidth="1"/>
    <col min="5" max="5" width="15.5703125" style="19" customWidth="1"/>
    <col min="6" max="6" width="36.7109375" style="16" bestFit="1" customWidth="1"/>
    <col min="7" max="7" width="10.42578125" style="16" bestFit="1" customWidth="1"/>
    <col min="8" max="8" width="110.7109375" style="16" customWidth="1"/>
    <col min="9" max="9" width="56" style="16" customWidth="1"/>
    <col min="10" max="10" width="12.42578125" style="16" customWidth="1"/>
    <col min="11" max="11" width="17.7109375" style="16" customWidth="1"/>
    <col min="12" max="12" width="9.5703125" style="16" bestFit="1" customWidth="1"/>
    <col min="13" max="13" width="10.85546875" style="16" customWidth="1"/>
    <col min="14" max="14" width="12.28515625" style="16" customWidth="1"/>
    <col min="15" max="15" width="9.140625" style="16"/>
    <col min="16" max="16" width="9.5703125" style="16" bestFit="1" customWidth="1"/>
    <col min="17" max="18" width="9.140625" style="16"/>
    <col min="19" max="19" width="10.140625" style="16" bestFit="1" customWidth="1"/>
    <col min="20" max="22" width="9.140625" style="16"/>
    <col min="23" max="23" width="11.5703125" style="19" bestFit="1" customWidth="1"/>
    <col min="24" max="16384" width="9.140625" style="16"/>
  </cols>
  <sheetData>
    <row r="1" spans="1:23" x14ac:dyDescent="0.2">
      <c r="A1" s="4" t="s">
        <v>450</v>
      </c>
    </row>
    <row r="3" spans="1:23" s="4" customFormat="1" x14ac:dyDescent="0.2">
      <c r="A3" s="51" t="s">
        <v>0</v>
      </c>
      <c r="B3" s="51"/>
      <c r="C3" s="51"/>
      <c r="D3" s="52" t="s">
        <v>1</v>
      </c>
      <c r="E3" s="53" t="s">
        <v>1</v>
      </c>
      <c r="F3" s="51" t="s">
        <v>3</v>
      </c>
      <c r="G3" s="51" t="s">
        <v>6</v>
      </c>
      <c r="H3" s="51" t="s">
        <v>7</v>
      </c>
      <c r="I3" s="51" t="s">
        <v>4</v>
      </c>
      <c r="J3" s="51" t="s">
        <v>299</v>
      </c>
      <c r="K3" s="51"/>
      <c r="M3" s="146" t="s">
        <v>43</v>
      </c>
      <c r="N3" s="147"/>
      <c r="W3" s="5"/>
    </row>
    <row r="4" spans="1:23" s="4" customFormat="1" x14ac:dyDescent="0.2">
      <c r="A4" s="51"/>
      <c r="B4" s="51"/>
      <c r="C4" s="51"/>
      <c r="D4" s="54">
        <v>2018</v>
      </c>
      <c r="E4" s="55">
        <v>2019</v>
      </c>
      <c r="F4" s="51"/>
      <c r="G4" s="51"/>
      <c r="H4" s="51"/>
      <c r="I4" s="51"/>
      <c r="J4" s="51"/>
      <c r="K4" s="51"/>
      <c r="M4" s="36" t="s">
        <v>44</v>
      </c>
      <c r="N4" s="36" t="s">
        <v>354</v>
      </c>
      <c r="W4" s="5"/>
    </row>
    <row r="6" spans="1:23" x14ac:dyDescent="0.2">
      <c r="A6" s="16" t="s">
        <v>451</v>
      </c>
      <c r="D6" s="35">
        <v>8000000</v>
      </c>
      <c r="E6" s="35">
        <f>CEILING((D6*$N$7/$N$6),100)</f>
        <v>8218200</v>
      </c>
      <c r="F6" s="16" t="s">
        <v>13</v>
      </c>
      <c r="G6" s="16" t="s">
        <v>49</v>
      </c>
      <c r="I6" s="16" t="s">
        <v>452</v>
      </c>
      <c r="J6" s="17" t="s">
        <v>453</v>
      </c>
      <c r="K6" s="17"/>
      <c r="M6" s="17">
        <v>2018</v>
      </c>
      <c r="N6" s="17">
        <v>110</v>
      </c>
    </row>
    <row r="7" spans="1:23" x14ac:dyDescent="0.2">
      <c r="D7" s="35">
        <v>3177470</v>
      </c>
      <c r="E7" s="35">
        <f>D7</f>
        <v>3177470</v>
      </c>
      <c r="F7" s="16" t="s">
        <v>16</v>
      </c>
      <c r="G7" s="16" t="s">
        <v>49</v>
      </c>
      <c r="I7" s="16" t="s">
        <v>454</v>
      </c>
      <c r="J7" s="17" t="s">
        <v>455</v>
      </c>
      <c r="K7" s="17"/>
      <c r="M7" s="17">
        <v>2019</v>
      </c>
      <c r="N7" s="17">
        <v>113</v>
      </c>
    </row>
    <row r="8" spans="1:23" x14ac:dyDescent="0.2">
      <c r="D8" s="35">
        <v>580530</v>
      </c>
      <c r="E8" s="35">
        <f>D8</f>
        <v>580530</v>
      </c>
      <c r="F8" s="16" t="s">
        <v>16</v>
      </c>
      <c r="G8" s="16" t="s">
        <v>54</v>
      </c>
      <c r="I8" s="16" t="s">
        <v>454</v>
      </c>
      <c r="J8" s="17" t="s">
        <v>455</v>
      </c>
      <c r="K8" s="17"/>
    </row>
    <row r="9" spans="1:23" x14ac:dyDescent="0.2">
      <c r="A9" s="16" t="s">
        <v>456</v>
      </c>
      <c r="D9" s="35">
        <v>900000</v>
      </c>
      <c r="E9" s="35">
        <f>CEILING((D9*$N$7/$N$6),100)</f>
        <v>924600</v>
      </c>
      <c r="F9" s="16" t="s">
        <v>13</v>
      </c>
      <c r="G9" s="16" t="s">
        <v>49</v>
      </c>
      <c r="I9" s="16" t="s">
        <v>457</v>
      </c>
      <c r="J9" s="17" t="s">
        <v>453</v>
      </c>
      <c r="K9" s="17"/>
    </row>
    <row r="10" spans="1:23" x14ac:dyDescent="0.2">
      <c r="D10" s="35">
        <v>331620</v>
      </c>
      <c r="E10" s="35">
        <f t="shared" ref="E10:E17" si="0">D10</f>
        <v>331620</v>
      </c>
      <c r="F10" s="16" t="s">
        <v>16</v>
      </c>
      <c r="G10" s="16" t="s">
        <v>49</v>
      </c>
      <c r="I10" s="16" t="s">
        <v>458</v>
      </c>
      <c r="J10" s="17" t="s">
        <v>455</v>
      </c>
      <c r="K10" s="17"/>
    </row>
    <row r="11" spans="1:23" x14ac:dyDescent="0.2">
      <c r="D11" s="35">
        <v>63380</v>
      </c>
      <c r="E11" s="35">
        <f t="shared" si="0"/>
        <v>63380</v>
      </c>
      <c r="F11" s="16" t="s">
        <v>16</v>
      </c>
      <c r="G11" s="16" t="s">
        <v>54</v>
      </c>
      <c r="I11" s="16" t="s">
        <v>458</v>
      </c>
      <c r="J11" s="17" t="s">
        <v>455</v>
      </c>
      <c r="K11" s="17"/>
    </row>
    <row r="12" spans="1:23" x14ac:dyDescent="0.2">
      <c r="A12" s="16" t="s">
        <v>459</v>
      </c>
      <c r="D12" s="35">
        <v>3450000</v>
      </c>
      <c r="E12" s="35">
        <f>CEILING((D12*$N$7/$N$6),100)</f>
        <v>3544100</v>
      </c>
      <c r="F12" s="16" t="s">
        <v>13</v>
      </c>
      <c r="G12" s="16" t="s">
        <v>49</v>
      </c>
      <c r="H12" s="16" t="s">
        <v>460</v>
      </c>
      <c r="I12" s="16" t="s">
        <v>461</v>
      </c>
      <c r="J12" s="17" t="s">
        <v>453</v>
      </c>
      <c r="K12" s="17"/>
    </row>
    <row r="13" spans="1:23" x14ac:dyDescent="0.2">
      <c r="D13" s="35">
        <v>351280</v>
      </c>
      <c r="E13" s="35">
        <f t="shared" si="0"/>
        <v>351280</v>
      </c>
      <c r="F13" s="16" t="s">
        <v>16</v>
      </c>
      <c r="G13" s="16" t="s">
        <v>49</v>
      </c>
      <c r="I13" s="16" t="s">
        <v>462</v>
      </c>
      <c r="J13" s="17" t="s">
        <v>455</v>
      </c>
      <c r="K13" s="17"/>
    </row>
    <row r="14" spans="1:23" x14ac:dyDescent="0.2">
      <c r="D14" s="35">
        <v>50720</v>
      </c>
      <c r="E14" s="35">
        <f t="shared" si="0"/>
        <v>50720</v>
      </c>
      <c r="F14" s="16" t="s">
        <v>16</v>
      </c>
      <c r="G14" s="16" t="s">
        <v>54</v>
      </c>
      <c r="I14" s="16" t="s">
        <v>462</v>
      </c>
      <c r="J14" s="17" t="s">
        <v>455</v>
      </c>
      <c r="K14" s="17"/>
    </row>
    <row r="15" spans="1:23" x14ac:dyDescent="0.2">
      <c r="A15" s="16" t="s">
        <v>463</v>
      </c>
      <c r="D15" s="35">
        <v>200000</v>
      </c>
      <c r="E15" s="35">
        <f>CEILING((D15*$N$7/$N$6),100)</f>
        <v>205500</v>
      </c>
      <c r="F15" s="16" t="s">
        <v>13</v>
      </c>
      <c r="G15" s="16" t="s">
        <v>49</v>
      </c>
      <c r="I15" s="16" t="s">
        <v>464</v>
      </c>
      <c r="J15" s="17" t="s">
        <v>453</v>
      </c>
      <c r="K15" s="17"/>
    </row>
    <row r="16" spans="1:23" x14ac:dyDescent="0.2">
      <c r="D16" s="35">
        <v>22940</v>
      </c>
      <c r="E16" s="35">
        <f t="shared" si="0"/>
        <v>22940</v>
      </c>
      <c r="F16" s="16" t="s">
        <v>16</v>
      </c>
      <c r="G16" s="16" t="s">
        <v>49</v>
      </c>
      <c r="I16" s="16" t="s">
        <v>465</v>
      </c>
      <c r="J16" s="17" t="s">
        <v>455</v>
      </c>
      <c r="K16" s="17"/>
    </row>
    <row r="17" spans="1:11" x14ac:dyDescent="0.2">
      <c r="D17" s="35">
        <v>6060</v>
      </c>
      <c r="E17" s="35">
        <f t="shared" si="0"/>
        <v>6060</v>
      </c>
      <c r="F17" s="16" t="s">
        <v>16</v>
      </c>
      <c r="G17" s="16" t="s">
        <v>54</v>
      </c>
      <c r="I17" s="16" t="s">
        <v>465</v>
      </c>
      <c r="J17" s="17" t="s">
        <v>455</v>
      </c>
      <c r="K17" s="17"/>
    </row>
    <row r="18" spans="1:11" hidden="1" x14ac:dyDescent="0.2">
      <c r="A18" s="16" t="s">
        <v>466</v>
      </c>
      <c r="D18" s="35">
        <v>120600</v>
      </c>
      <c r="E18" s="35"/>
      <c r="F18" s="16" t="s">
        <v>13</v>
      </c>
      <c r="G18" s="16" t="s">
        <v>54</v>
      </c>
      <c r="H18" s="16" t="s">
        <v>467</v>
      </c>
      <c r="J18" s="17"/>
      <c r="K18" s="17"/>
    </row>
    <row r="19" spans="1:11" x14ac:dyDescent="0.2">
      <c r="A19" s="16" t="s">
        <v>468</v>
      </c>
      <c r="D19" s="35">
        <v>29100</v>
      </c>
      <c r="E19" s="35">
        <f>CEILING((D19*$N$7/$N$6),100)</f>
        <v>29900</v>
      </c>
      <c r="F19" s="16" t="s">
        <v>13</v>
      </c>
      <c r="G19" s="16" t="s">
        <v>54</v>
      </c>
      <c r="H19" s="16" t="s">
        <v>467</v>
      </c>
      <c r="J19" s="17"/>
      <c r="K19" s="17"/>
    </row>
    <row r="20" spans="1:11" x14ac:dyDescent="0.2">
      <c r="A20" s="16" t="s">
        <v>469</v>
      </c>
      <c r="D20" s="35">
        <v>2400000</v>
      </c>
      <c r="E20" s="35">
        <f>CEILING((D20*$N$7/$N$6),100)</f>
        <v>2465500</v>
      </c>
      <c r="F20" s="16" t="s">
        <v>13</v>
      </c>
      <c r="G20" s="16" t="s">
        <v>49</v>
      </c>
      <c r="I20" s="16" t="s">
        <v>470</v>
      </c>
      <c r="J20" s="17" t="s">
        <v>453</v>
      </c>
      <c r="K20" s="17"/>
    </row>
    <row r="21" spans="1:11" x14ac:dyDescent="0.2">
      <c r="D21" s="35">
        <v>387370</v>
      </c>
      <c r="E21" s="35">
        <f t="shared" ref="E21:E32" si="1">D21</f>
        <v>387370</v>
      </c>
      <c r="F21" s="16" t="s">
        <v>16</v>
      </c>
      <c r="G21" s="16" t="s">
        <v>49</v>
      </c>
      <c r="I21" s="16" t="s">
        <v>471</v>
      </c>
      <c r="J21" s="17" t="s">
        <v>455</v>
      </c>
      <c r="K21" s="17"/>
    </row>
    <row r="22" spans="1:11" x14ac:dyDescent="0.2">
      <c r="D22" s="35">
        <v>86630</v>
      </c>
      <c r="E22" s="35">
        <f t="shared" si="1"/>
        <v>86630</v>
      </c>
      <c r="F22" s="16" t="s">
        <v>16</v>
      </c>
      <c r="G22" s="16" t="s">
        <v>54</v>
      </c>
      <c r="I22" s="16" t="s">
        <v>471</v>
      </c>
      <c r="J22" s="17" t="s">
        <v>455</v>
      </c>
      <c r="K22" s="17"/>
    </row>
    <row r="23" spans="1:11" x14ac:dyDescent="0.2">
      <c r="D23" s="35">
        <v>135100</v>
      </c>
      <c r="E23" s="35">
        <f t="shared" si="1"/>
        <v>135100</v>
      </c>
      <c r="F23" s="16" t="s">
        <v>16</v>
      </c>
      <c r="G23" s="16" t="s">
        <v>54</v>
      </c>
      <c r="H23" s="16" t="s">
        <v>472</v>
      </c>
    </row>
    <row r="24" spans="1:11" x14ac:dyDescent="0.2">
      <c r="D24" s="35">
        <v>356200</v>
      </c>
      <c r="E24" s="35">
        <f t="shared" si="1"/>
        <v>356200</v>
      </c>
      <c r="F24" s="16" t="s">
        <v>16</v>
      </c>
      <c r="G24" s="16" t="s">
        <v>54</v>
      </c>
      <c r="H24" s="16" t="s">
        <v>473</v>
      </c>
    </row>
    <row r="25" spans="1:11" x14ac:dyDescent="0.2">
      <c r="D25" s="35"/>
      <c r="E25" s="14">
        <v>0</v>
      </c>
      <c r="F25" s="13" t="s">
        <v>20</v>
      </c>
    </row>
    <row r="26" spans="1:11" x14ac:dyDescent="0.2">
      <c r="D26" s="35"/>
      <c r="E26" s="14">
        <v>0</v>
      </c>
      <c r="F26" s="13" t="s">
        <v>22</v>
      </c>
    </row>
    <row r="27" spans="1:11" x14ac:dyDescent="0.2">
      <c r="A27" s="16" t="s">
        <v>474</v>
      </c>
      <c r="D27" s="35">
        <v>2359400</v>
      </c>
      <c r="E27" s="14">
        <v>1500000</v>
      </c>
      <c r="F27" s="13" t="s">
        <v>23</v>
      </c>
      <c r="H27" s="16" t="s">
        <v>475</v>
      </c>
    </row>
    <row r="28" spans="1:11" x14ac:dyDescent="0.2">
      <c r="D28" s="35"/>
      <c r="E28" s="14">
        <v>0</v>
      </c>
      <c r="F28" s="13" t="s">
        <v>25</v>
      </c>
    </row>
    <row r="29" spans="1:11" x14ac:dyDescent="0.2">
      <c r="D29" s="35"/>
      <c r="E29" s="14">
        <v>1000000</v>
      </c>
      <c r="F29" s="13" t="s">
        <v>26</v>
      </c>
    </row>
    <row r="30" spans="1:11" x14ac:dyDescent="0.2">
      <c r="D30" s="35">
        <v>798400</v>
      </c>
      <c r="E30" s="35">
        <f t="shared" si="1"/>
        <v>798400</v>
      </c>
      <c r="F30" s="16" t="s">
        <v>85</v>
      </c>
      <c r="G30" s="16" t="s">
        <v>54</v>
      </c>
      <c r="H30" s="16" t="s">
        <v>476</v>
      </c>
    </row>
    <row r="31" spans="1:11" x14ac:dyDescent="0.2">
      <c r="A31" s="16" t="s">
        <v>477</v>
      </c>
      <c r="D31" s="35">
        <v>93400</v>
      </c>
      <c r="E31" s="35">
        <f t="shared" si="1"/>
        <v>93400</v>
      </c>
      <c r="F31" s="16" t="s">
        <v>16</v>
      </c>
      <c r="G31" s="16" t="s">
        <v>54</v>
      </c>
      <c r="H31" s="16" t="s">
        <v>478</v>
      </c>
    </row>
    <row r="32" spans="1:11" x14ac:dyDescent="0.2">
      <c r="A32" s="16" t="s">
        <v>479</v>
      </c>
      <c r="D32" s="35">
        <v>98600</v>
      </c>
      <c r="E32" s="35">
        <f t="shared" si="1"/>
        <v>98600</v>
      </c>
      <c r="F32" s="16" t="s">
        <v>16</v>
      </c>
      <c r="G32" s="16" t="s">
        <v>54</v>
      </c>
      <c r="H32" s="16" t="s">
        <v>478</v>
      </c>
    </row>
    <row r="33" spans="1:8" x14ac:dyDescent="0.2">
      <c r="A33" s="16" t="s">
        <v>480</v>
      </c>
      <c r="D33" s="35">
        <v>197600</v>
      </c>
      <c r="E33" s="35">
        <f>CEILING((D33*$N$7/$N$6),100)</f>
        <v>203000</v>
      </c>
      <c r="F33" s="16" t="s">
        <v>13</v>
      </c>
      <c r="G33" s="16" t="s">
        <v>54</v>
      </c>
      <c r="H33" s="16" t="s">
        <v>481</v>
      </c>
    </row>
    <row r="34" spans="1:8" x14ac:dyDescent="0.2">
      <c r="A34" s="16" t="s">
        <v>482</v>
      </c>
      <c r="D34" s="35">
        <v>88300</v>
      </c>
      <c r="E34" s="35">
        <f t="shared" ref="E34:E36" si="2">D34</f>
        <v>88300</v>
      </c>
      <c r="F34" s="16" t="s">
        <v>16</v>
      </c>
      <c r="G34" s="16" t="s">
        <v>54</v>
      </c>
      <c r="H34" s="16" t="s">
        <v>478</v>
      </c>
    </row>
    <row r="35" spans="1:8" hidden="1" x14ac:dyDescent="0.2">
      <c r="A35" s="16" t="s">
        <v>483</v>
      </c>
      <c r="D35" s="35">
        <v>15000</v>
      </c>
      <c r="E35" s="35"/>
      <c r="F35" s="16" t="s">
        <v>16</v>
      </c>
      <c r="G35" s="16" t="s">
        <v>54</v>
      </c>
      <c r="H35" s="16" t="s">
        <v>484</v>
      </c>
    </row>
    <row r="36" spans="1:8" x14ac:dyDescent="0.2">
      <c r="A36" s="16" t="s">
        <v>485</v>
      </c>
      <c r="D36" s="35">
        <v>25000</v>
      </c>
      <c r="E36" s="35">
        <f t="shared" si="2"/>
        <v>25000</v>
      </c>
      <c r="F36" s="16" t="s">
        <v>16</v>
      </c>
      <c r="G36" s="16" t="s">
        <v>54</v>
      </c>
    </row>
    <row r="37" spans="1:8" x14ac:dyDescent="0.2">
      <c r="A37" s="16" t="s">
        <v>486</v>
      </c>
      <c r="D37" s="35">
        <v>30000</v>
      </c>
      <c r="E37" s="35">
        <f>CEILING((D37*$N$7/$N$6),100)</f>
        <v>30900</v>
      </c>
      <c r="F37" s="16" t="s">
        <v>13</v>
      </c>
      <c r="G37" s="16" t="s">
        <v>54</v>
      </c>
    </row>
    <row r="38" spans="1:8" x14ac:dyDescent="0.2">
      <c r="D38" s="35">
        <v>25000</v>
      </c>
      <c r="E38" s="35">
        <f t="shared" ref="E38:E44" si="3">D38</f>
        <v>25000</v>
      </c>
      <c r="F38" s="16" t="s">
        <v>16</v>
      </c>
      <c r="G38" s="16" t="s">
        <v>54</v>
      </c>
    </row>
    <row r="39" spans="1:8" x14ac:dyDescent="0.2">
      <c r="A39" s="16" t="s">
        <v>487</v>
      </c>
      <c r="D39" s="35">
        <v>10000</v>
      </c>
      <c r="E39" s="35">
        <f t="shared" si="3"/>
        <v>10000</v>
      </c>
      <c r="F39" s="16" t="s">
        <v>16</v>
      </c>
      <c r="G39" s="16" t="s">
        <v>54</v>
      </c>
    </row>
    <row r="40" spans="1:8" x14ac:dyDescent="0.2">
      <c r="A40" s="16" t="s">
        <v>488</v>
      </c>
      <c r="D40" s="35">
        <v>15000</v>
      </c>
      <c r="E40" s="35">
        <f t="shared" si="3"/>
        <v>15000</v>
      </c>
      <c r="F40" s="16" t="s">
        <v>16</v>
      </c>
      <c r="G40" s="16" t="s">
        <v>54</v>
      </c>
    </row>
    <row r="41" spans="1:8" x14ac:dyDescent="0.2">
      <c r="A41" s="16" t="s">
        <v>489</v>
      </c>
      <c r="D41" s="35">
        <v>6000</v>
      </c>
      <c r="E41" s="35">
        <f t="shared" si="3"/>
        <v>6000</v>
      </c>
      <c r="F41" s="16" t="s">
        <v>16</v>
      </c>
      <c r="G41" s="16" t="s">
        <v>54</v>
      </c>
    </row>
    <row r="42" spans="1:8" x14ac:dyDescent="0.2">
      <c r="A42" s="16" t="s">
        <v>490</v>
      </c>
      <c r="D42" s="35">
        <v>21000</v>
      </c>
      <c r="E42" s="35">
        <f t="shared" si="3"/>
        <v>21000</v>
      </c>
      <c r="F42" s="16" t="s">
        <v>16</v>
      </c>
      <c r="G42" s="16" t="s">
        <v>54</v>
      </c>
    </row>
    <row r="43" spans="1:8" x14ac:dyDescent="0.2">
      <c r="A43" s="16" t="s">
        <v>491</v>
      </c>
      <c r="D43" s="35">
        <v>14000</v>
      </c>
      <c r="E43" s="35">
        <f t="shared" si="3"/>
        <v>14000</v>
      </c>
      <c r="F43" s="16" t="s">
        <v>16</v>
      </c>
      <c r="G43" s="16" t="s">
        <v>54</v>
      </c>
    </row>
    <row r="44" spans="1:8" x14ac:dyDescent="0.2">
      <c r="A44" s="16" t="s">
        <v>492</v>
      </c>
      <c r="D44" s="35">
        <v>18000</v>
      </c>
      <c r="E44" s="35">
        <f t="shared" si="3"/>
        <v>18000</v>
      </c>
      <c r="F44" s="16" t="s">
        <v>16</v>
      </c>
      <c r="G44" s="16" t="s">
        <v>54</v>
      </c>
    </row>
    <row r="45" spans="1:8" x14ac:dyDescent="0.2">
      <c r="A45" s="16" t="s">
        <v>493</v>
      </c>
      <c r="D45" s="35">
        <v>30000</v>
      </c>
      <c r="E45" s="35">
        <f>CEILING((D45*$N$7/$N$6),100)</f>
        <v>30900</v>
      </c>
      <c r="F45" s="16" t="s">
        <v>13</v>
      </c>
      <c r="G45" s="16" t="s">
        <v>54</v>
      </c>
      <c r="H45" s="16" t="s">
        <v>494</v>
      </c>
    </row>
    <row r="46" spans="1:8" x14ac:dyDescent="0.2">
      <c r="D46" s="35">
        <v>25000</v>
      </c>
      <c r="E46" s="35">
        <f t="shared" ref="E46:E50" si="4">D46</f>
        <v>25000</v>
      </c>
      <c r="F46" s="16" t="s">
        <v>16</v>
      </c>
      <c r="G46" s="16" t="s">
        <v>54</v>
      </c>
    </row>
    <row r="47" spans="1:8" x14ac:dyDescent="0.2">
      <c r="A47" s="16" t="s">
        <v>495</v>
      </c>
      <c r="D47" s="35">
        <v>30000</v>
      </c>
      <c r="E47" s="35">
        <f t="shared" si="4"/>
        <v>30000</v>
      </c>
      <c r="F47" s="16" t="s">
        <v>16</v>
      </c>
      <c r="G47" s="16" t="s">
        <v>54</v>
      </c>
    </row>
    <row r="48" spans="1:8" x14ac:dyDescent="0.2">
      <c r="A48" s="16" t="s">
        <v>496</v>
      </c>
      <c r="D48" s="35">
        <v>20000</v>
      </c>
      <c r="E48" s="35">
        <f t="shared" si="4"/>
        <v>20000</v>
      </c>
      <c r="F48" s="16" t="s">
        <v>16</v>
      </c>
      <c r="G48" s="16" t="s">
        <v>54</v>
      </c>
    </row>
    <row r="49" spans="1:23" x14ac:dyDescent="0.2">
      <c r="A49" s="16" t="s">
        <v>497</v>
      </c>
      <c r="D49" s="35">
        <v>31000</v>
      </c>
      <c r="E49" s="35">
        <f t="shared" si="4"/>
        <v>31000</v>
      </c>
      <c r="F49" s="16" t="s">
        <v>16</v>
      </c>
      <c r="G49" s="16" t="s">
        <v>54</v>
      </c>
    </row>
    <row r="50" spans="1:23" x14ac:dyDescent="0.2">
      <c r="A50" s="16" t="s">
        <v>498</v>
      </c>
      <c r="D50" s="35">
        <v>7000</v>
      </c>
      <c r="E50" s="35">
        <f t="shared" si="4"/>
        <v>7000</v>
      </c>
      <c r="F50" s="16" t="s">
        <v>16</v>
      </c>
      <c r="G50" s="16" t="s">
        <v>54</v>
      </c>
    </row>
    <row r="51" spans="1:23" ht="13.5" thickBot="1" x14ac:dyDescent="0.25">
      <c r="D51" s="56"/>
      <c r="E51" s="56"/>
    </row>
    <row r="52" spans="1:23" s="4" customFormat="1" ht="13.5" thickBot="1" x14ac:dyDescent="0.25">
      <c r="A52" s="4" t="s">
        <v>27</v>
      </c>
      <c r="C52" s="57"/>
      <c r="D52" s="29">
        <f>SUM(D6:D50)</f>
        <v>24606700</v>
      </c>
      <c r="E52" s="30">
        <f>SUM(E6:E50)</f>
        <v>25027600</v>
      </c>
      <c r="W52" s="5"/>
    </row>
    <row r="53" spans="1:23" x14ac:dyDescent="0.2">
      <c r="D53" s="58"/>
      <c r="E53" s="58"/>
    </row>
    <row r="55" spans="1:23" x14ac:dyDescent="0.2">
      <c r="A55" s="36" t="s">
        <v>28</v>
      </c>
    </row>
    <row r="56" spans="1:23" x14ac:dyDescent="0.2">
      <c r="A56" s="16" t="s">
        <v>13</v>
      </c>
      <c r="B56" s="16" t="s">
        <v>499</v>
      </c>
      <c r="C56" s="16" t="s">
        <v>500</v>
      </c>
      <c r="D56" s="35">
        <f>D6+D9+D12+D15+D18+D19+D20+D33+D37+D45</f>
        <v>15357300</v>
      </c>
      <c r="E56" s="35">
        <f>E6+E9+E12+E15+E18+E19+E20+E33+E37+E45</f>
        <v>15652600</v>
      </c>
    </row>
    <row r="57" spans="1:23" x14ac:dyDescent="0.2">
      <c r="A57" s="16" t="s">
        <v>16</v>
      </c>
      <c r="B57" s="16" t="s">
        <v>499</v>
      </c>
      <c r="C57" s="16" t="s">
        <v>501</v>
      </c>
      <c r="D57" s="35">
        <f>D7+D8+D10+D11+D13+D14+D16+D17+D21+D22+D23+D24+D31+D32+D34+D35+D36+D38+D39+D40+D41+D42+D43+D44+D46+D47+D48+D49+D50</f>
        <v>6091600</v>
      </c>
      <c r="E57" s="35">
        <f>E7+E8+E10+E11+E13+E14+E16+E17+E21+E22+E23+E24+E31+E32+E34+E35+E36+E38+E39+E40+E41+E42+E43+E44+E46+E47+E48+E49+E50</f>
        <v>6076600</v>
      </c>
    </row>
    <row r="58" spans="1:23" x14ac:dyDescent="0.2">
      <c r="A58" s="16" t="s">
        <v>85</v>
      </c>
      <c r="B58" s="16" t="s">
        <v>499</v>
      </c>
      <c r="C58" s="16" t="s">
        <v>502</v>
      </c>
      <c r="D58" s="35">
        <f>D30</f>
        <v>798400</v>
      </c>
      <c r="E58" s="35">
        <f>E30</f>
        <v>798400</v>
      </c>
    </row>
    <row r="59" spans="1:23" x14ac:dyDescent="0.2">
      <c r="A59" s="16" t="s">
        <v>29</v>
      </c>
      <c r="B59" s="16" t="s">
        <v>499</v>
      </c>
      <c r="C59" s="16" t="s">
        <v>503</v>
      </c>
      <c r="D59" s="56">
        <f>D27</f>
        <v>2359400</v>
      </c>
      <c r="E59" s="56">
        <f>E27</f>
        <v>1500000</v>
      </c>
    </row>
    <row r="60" spans="1:23" x14ac:dyDescent="0.2">
      <c r="A60" s="16" t="s">
        <v>531</v>
      </c>
      <c r="D60" s="93"/>
      <c r="E60" s="93">
        <f>E29</f>
        <v>1000000</v>
      </c>
    </row>
    <row r="61" spans="1:23" x14ac:dyDescent="0.2">
      <c r="D61" s="37">
        <f>SUM(D56:D59)</f>
        <v>24606700</v>
      </c>
      <c r="E61" s="37">
        <f>SUM(E56:E59)</f>
        <v>24027600</v>
      </c>
    </row>
  </sheetData>
  <mergeCells count="1">
    <mergeCell ref="M3:N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workbookViewId="0">
      <selection activeCell="C25" sqref="C25:C26"/>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36.7109375" style="16" bestFit="1" customWidth="1"/>
    <col min="5" max="5" width="17.28515625" style="16" bestFit="1" customWidth="1"/>
    <col min="6" max="6" width="16.710937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45</v>
      </c>
      <c r="B3" s="35">
        <v>9312300</v>
      </c>
      <c r="C3" s="35">
        <f>ROUND(B3/132*141.9,-2)</f>
        <v>10010700</v>
      </c>
      <c r="D3" s="63" t="s">
        <v>46</v>
      </c>
      <c r="E3" s="16" t="s">
        <v>47</v>
      </c>
      <c r="F3" s="17" t="s">
        <v>48</v>
      </c>
      <c r="G3" s="70">
        <v>43255</v>
      </c>
      <c r="H3" s="18">
        <v>45447</v>
      </c>
      <c r="I3" s="16" t="s">
        <v>49</v>
      </c>
      <c r="J3" s="98" t="s">
        <v>50</v>
      </c>
    </row>
    <row r="4" spans="1:23" x14ac:dyDescent="0.2">
      <c r="A4" s="99"/>
      <c r="B4" s="35">
        <v>231200</v>
      </c>
      <c r="C4" s="35">
        <f>ROUND(B4/132*141.9,-2)</f>
        <v>248500</v>
      </c>
      <c r="D4" s="63" t="s">
        <v>46</v>
      </c>
      <c r="E4" s="16" t="s">
        <v>47</v>
      </c>
      <c r="F4" s="17" t="s">
        <v>48</v>
      </c>
      <c r="G4" s="70">
        <v>43255</v>
      </c>
      <c r="H4" s="18">
        <v>45447</v>
      </c>
      <c r="I4" s="16" t="s">
        <v>49</v>
      </c>
      <c r="J4" s="16" t="s">
        <v>51</v>
      </c>
      <c r="L4" s="17"/>
      <c r="M4" s="17"/>
    </row>
    <row r="5" spans="1:23" x14ac:dyDescent="0.2">
      <c r="B5" s="35">
        <v>36000</v>
      </c>
      <c r="C5" s="35">
        <f>ROUND(B5/132*141.9,-2)</f>
        <v>38700</v>
      </c>
      <c r="D5" s="71" t="s">
        <v>46</v>
      </c>
      <c r="E5" s="16" t="s">
        <v>47</v>
      </c>
      <c r="F5" s="17" t="s">
        <v>48</v>
      </c>
      <c r="G5" s="70">
        <v>43255</v>
      </c>
      <c r="H5" s="18">
        <v>45447</v>
      </c>
      <c r="I5" s="16" t="s">
        <v>49</v>
      </c>
      <c r="J5" s="16" t="s">
        <v>52</v>
      </c>
      <c r="L5" s="17"/>
      <c r="M5" s="17"/>
    </row>
    <row r="6" spans="1:23" x14ac:dyDescent="0.2">
      <c r="A6" s="69"/>
      <c r="B6" s="35">
        <v>1902000</v>
      </c>
      <c r="C6" s="35">
        <f>B6</f>
        <v>1902000</v>
      </c>
      <c r="D6" s="63" t="s">
        <v>16</v>
      </c>
      <c r="E6" s="16" t="s">
        <v>47</v>
      </c>
      <c r="F6" s="17" t="s">
        <v>53</v>
      </c>
      <c r="G6" s="70"/>
      <c r="H6" s="18"/>
      <c r="I6" s="16" t="s">
        <v>49</v>
      </c>
    </row>
    <row r="7" spans="1:23" x14ac:dyDescent="0.2">
      <c r="B7" s="35">
        <v>275000</v>
      </c>
      <c r="C7" s="35">
        <f t="shared" ref="C7:C19" si="0">B7</f>
        <v>275000</v>
      </c>
      <c r="D7" s="71" t="s">
        <v>16</v>
      </c>
      <c r="E7" s="16" t="s">
        <v>47</v>
      </c>
      <c r="F7" s="17" t="s">
        <v>53</v>
      </c>
      <c r="G7" s="70"/>
      <c r="H7" s="18"/>
      <c r="I7" s="16" t="s">
        <v>54</v>
      </c>
    </row>
    <row r="8" spans="1:23" x14ac:dyDescent="0.2">
      <c r="B8" s="35">
        <v>11793</v>
      </c>
      <c r="C8" s="35">
        <f t="shared" si="0"/>
        <v>11793</v>
      </c>
      <c r="D8" s="63" t="s">
        <v>16</v>
      </c>
      <c r="G8" s="70"/>
      <c r="H8" s="18"/>
      <c r="I8" s="16" t="s">
        <v>54</v>
      </c>
      <c r="J8" s="16" t="s">
        <v>55</v>
      </c>
    </row>
    <row r="9" spans="1:23" x14ac:dyDescent="0.2">
      <c r="B9" s="35">
        <v>2947</v>
      </c>
      <c r="C9" s="35">
        <f t="shared" si="0"/>
        <v>2947</v>
      </c>
      <c r="D9" s="63" t="s">
        <v>16</v>
      </c>
      <c r="G9" s="70"/>
      <c r="H9" s="18"/>
      <c r="I9" s="16" t="s">
        <v>54</v>
      </c>
      <c r="J9" s="16" t="s">
        <v>55</v>
      </c>
    </row>
    <row r="10" spans="1:23" x14ac:dyDescent="0.2">
      <c r="B10" s="35">
        <v>20928</v>
      </c>
      <c r="C10" s="35">
        <f t="shared" si="0"/>
        <v>20928</v>
      </c>
      <c r="D10" s="63" t="s">
        <v>16</v>
      </c>
      <c r="G10" s="70"/>
      <c r="H10" s="18"/>
      <c r="I10" s="16" t="s">
        <v>54</v>
      </c>
      <c r="J10" s="16" t="s">
        <v>55</v>
      </c>
    </row>
    <row r="11" spans="1:23" x14ac:dyDescent="0.2">
      <c r="A11" s="16" t="s">
        <v>56</v>
      </c>
      <c r="B11" s="35">
        <v>1230000</v>
      </c>
      <c r="C11" s="35">
        <f t="shared" si="0"/>
        <v>1230000</v>
      </c>
      <c r="D11" s="63" t="s">
        <v>16</v>
      </c>
      <c r="E11" s="16" t="s">
        <v>47</v>
      </c>
      <c r="F11" s="17" t="s">
        <v>57</v>
      </c>
      <c r="G11" s="70"/>
      <c r="H11" s="18"/>
      <c r="I11" s="16" t="s">
        <v>49</v>
      </c>
      <c r="J11" s="16" t="s">
        <v>58</v>
      </c>
    </row>
    <row r="12" spans="1:23" x14ac:dyDescent="0.2">
      <c r="B12" s="35">
        <v>125000</v>
      </c>
      <c r="C12" s="35">
        <f t="shared" si="0"/>
        <v>125000</v>
      </c>
      <c r="D12" s="63" t="s">
        <v>16</v>
      </c>
      <c r="E12" s="16" t="s">
        <v>47</v>
      </c>
      <c r="F12" s="17" t="s">
        <v>57</v>
      </c>
      <c r="G12" s="70"/>
      <c r="H12" s="18"/>
      <c r="I12" s="16" t="s">
        <v>54</v>
      </c>
      <c r="J12" s="16" t="s">
        <v>58</v>
      </c>
    </row>
    <row r="13" spans="1:23" x14ac:dyDescent="0.2">
      <c r="B13" s="35"/>
      <c r="C13" s="14">
        <v>0</v>
      </c>
      <c r="D13" s="13" t="s">
        <v>20</v>
      </c>
      <c r="E13" s="13"/>
      <c r="J13" s="16" t="s">
        <v>21</v>
      </c>
    </row>
    <row r="14" spans="1:23" x14ac:dyDescent="0.2">
      <c r="B14" s="35"/>
      <c r="C14" s="14">
        <v>0</v>
      </c>
      <c r="D14" s="13" t="s">
        <v>22</v>
      </c>
      <c r="E14" s="13"/>
    </row>
    <row r="15" spans="1:23" x14ac:dyDescent="0.2">
      <c r="B15" s="35">
        <v>1600000</v>
      </c>
      <c r="C15" s="14">
        <v>0</v>
      </c>
      <c r="D15" s="13" t="s">
        <v>23</v>
      </c>
      <c r="E15" s="13"/>
      <c r="J15" s="16" t="s">
        <v>21</v>
      </c>
    </row>
    <row r="16" spans="1:23" x14ac:dyDescent="0.2">
      <c r="B16" s="35"/>
      <c r="C16" s="14">
        <v>0</v>
      </c>
      <c r="D16" s="13" t="s">
        <v>25</v>
      </c>
      <c r="E16" s="13"/>
    </row>
    <row r="17" spans="1:23" x14ac:dyDescent="0.2">
      <c r="B17" s="35">
        <v>1083385</v>
      </c>
      <c r="C17" s="14">
        <v>0</v>
      </c>
      <c r="D17" s="13" t="s">
        <v>26</v>
      </c>
      <c r="E17" s="13"/>
    </row>
    <row r="18" spans="1:23" x14ac:dyDescent="0.2">
      <c r="A18" s="16" t="s">
        <v>59</v>
      </c>
      <c r="B18" s="35">
        <v>25000</v>
      </c>
      <c r="C18" s="35">
        <f t="shared" si="0"/>
        <v>25000</v>
      </c>
      <c r="D18" s="63" t="s">
        <v>16</v>
      </c>
      <c r="G18" s="70"/>
      <c r="H18" s="18"/>
      <c r="I18" s="16" t="s">
        <v>54</v>
      </c>
    </row>
    <row r="19" spans="1:23" x14ac:dyDescent="0.2">
      <c r="A19" s="16" t="s">
        <v>60</v>
      </c>
      <c r="B19" s="35">
        <v>25000</v>
      </c>
      <c r="C19" s="35">
        <f t="shared" si="0"/>
        <v>25000</v>
      </c>
      <c r="D19" s="63" t="s">
        <v>16</v>
      </c>
      <c r="G19" s="70"/>
      <c r="H19" s="18"/>
      <c r="I19" s="16" t="s">
        <v>54</v>
      </c>
    </row>
    <row r="20" spans="1:23" ht="13.5" thickBot="1" x14ac:dyDescent="0.25">
      <c r="A20" s="13"/>
      <c r="B20" s="28"/>
      <c r="C20" s="28"/>
      <c r="E20" s="13"/>
    </row>
    <row r="21" spans="1:23" s="4" customFormat="1" ht="13.5" thickBot="1" x14ac:dyDescent="0.25">
      <c r="A21" s="4" t="s">
        <v>27</v>
      </c>
      <c r="B21" s="47">
        <f>SUM(B3:B19)</f>
        <v>15880553</v>
      </c>
      <c r="C21" s="47">
        <f>SUM(C3:C19)</f>
        <v>13915568</v>
      </c>
      <c r="E21" s="32"/>
      <c r="F21" s="33"/>
      <c r="G21" s="33"/>
      <c r="H21" s="33"/>
      <c r="J21" s="16" t="s">
        <v>61</v>
      </c>
      <c r="W21" s="5"/>
    </row>
    <row r="22" spans="1:23" x14ac:dyDescent="0.2">
      <c r="B22" s="34"/>
      <c r="C22" s="34"/>
      <c r="E22" s="13"/>
      <c r="J22" s="16" t="s">
        <v>62</v>
      </c>
    </row>
    <row r="23" spans="1:23" x14ac:dyDescent="0.2">
      <c r="B23" s="35"/>
      <c r="C23" s="35"/>
      <c r="J23" s="16" t="s">
        <v>63</v>
      </c>
    </row>
    <row r="24" spans="1:23" x14ac:dyDescent="0.2">
      <c r="A24" s="36" t="s">
        <v>28</v>
      </c>
      <c r="B24" s="35"/>
      <c r="C24" s="35"/>
      <c r="J24" s="16" t="s">
        <v>64</v>
      </c>
    </row>
    <row r="25" spans="1:23" x14ac:dyDescent="0.2">
      <c r="A25" s="63" t="s">
        <v>13</v>
      </c>
      <c r="B25" s="35">
        <f>B3+B4+B5</f>
        <v>9579500</v>
      </c>
      <c r="C25" s="35">
        <f>C3+C4+C5</f>
        <v>10297900</v>
      </c>
      <c r="D25" s="35"/>
      <c r="E25" s="19"/>
      <c r="J25" s="16" t="s">
        <v>65</v>
      </c>
    </row>
    <row r="26" spans="1:23" x14ac:dyDescent="0.2">
      <c r="A26" s="16" t="s">
        <v>16</v>
      </c>
      <c r="B26" s="35">
        <f>B6+B7+B8+B9+B10+B11+B12+B18+B19</f>
        <v>3617668</v>
      </c>
      <c r="C26" s="35">
        <f>C6+C7+C8+C9+C10+C11+C12+C18+C19</f>
        <v>3617668</v>
      </c>
      <c r="D26" s="35"/>
      <c r="E26" s="19"/>
      <c r="J26" s="16" t="s">
        <v>66</v>
      </c>
    </row>
    <row r="27" spans="1:23" x14ac:dyDescent="0.2">
      <c r="B27" s="35"/>
      <c r="C27" s="35"/>
      <c r="D27" s="35"/>
      <c r="J27" s="16" t="s">
        <v>67</v>
      </c>
    </row>
    <row r="28" spans="1:23" x14ac:dyDescent="0.2">
      <c r="A28" s="63" t="s">
        <v>29</v>
      </c>
      <c r="B28" s="35">
        <f>B15</f>
        <v>1600000</v>
      </c>
      <c r="C28" s="35">
        <f>C15</f>
        <v>0</v>
      </c>
      <c r="D28" s="35"/>
    </row>
    <row r="29" spans="1:23" x14ac:dyDescent="0.2">
      <c r="B29" s="35"/>
      <c r="C29" s="35"/>
      <c r="D29" s="35"/>
    </row>
    <row r="30" spans="1:23" x14ac:dyDescent="0.2">
      <c r="A30" s="13" t="s">
        <v>68</v>
      </c>
      <c r="B30" s="35">
        <f>B17</f>
        <v>1083385</v>
      </c>
      <c r="C30" s="35">
        <f>C17</f>
        <v>0</v>
      </c>
      <c r="D30" s="35"/>
    </row>
    <row r="31" spans="1:23" x14ac:dyDescent="0.2">
      <c r="B31" s="35"/>
      <c r="C31" s="35"/>
    </row>
    <row r="32" spans="1:23" ht="13.5" thickBot="1" x14ac:dyDescent="0.25">
      <c r="B32" s="72">
        <f>SUM(B25:B31)</f>
        <v>15880553</v>
      </c>
      <c r="C32" s="72">
        <f>SUM(C25:C31)</f>
        <v>13915568</v>
      </c>
    </row>
    <row r="33" spans="1:6" ht="13.5" thickTop="1" x14ac:dyDescent="0.2">
      <c r="B33" s="58"/>
      <c r="C33" s="58"/>
    </row>
    <row r="34" spans="1:6" x14ac:dyDescent="0.2">
      <c r="A34" s="36" t="s">
        <v>30</v>
      </c>
      <c r="D34" s="19"/>
      <c r="E34" s="19"/>
      <c r="F34" s="19"/>
    </row>
    <row r="35" spans="1:6" x14ac:dyDescent="0.2">
      <c r="A35" s="16" t="s">
        <v>31</v>
      </c>
      <c r="C35" s="19" t="s">
        <v>74</v>
      </c>
      <c r="D35" s="19"/>
      <c r="F35" s="19"/>
    </row>
    <row r="36" spans="1:6" x14ac:dyDescent="0.2">
      <c r="A36" s="16" t="s">
        <v>33</v>
      </c>
      <c r="C36" s="19" t="s">
        <v>71</v>
      </c>
      <c r="D36" s="19"/>
      <c r="F36" s="19"/>
    </row>
    <row r="37" spans="1:6" x14ac:dyDescent="0.2">
      <c r="A37" s="16" t="s">
        <v>35</v>
      </c>
      <c r="C37" s="19" t="s">
        <v>34</v>
      </c>
      <c r="D37" s="19"/>
      <c r="F37" s="19"/>
    </row>
    <row r="38" spans="1:6" x14ac:dyDescent="0.2">
      <c r="A38" s="16" t="s">
        <v>36</v>
      </c>
      <c r="C38" s="19" t="s">
        <v>70</v>
      </c>
      <c r="D38" s="19"/>
      <c r="F38" s="19"/>
    </row>
    <row r="39" spans="1:6" x14ac:dyDescent="0.2">
      <c r="A39" s="16" t="s">
        <v>38</v>
      </c>
      <c r="C39" s="19" t="s">
        <v>72</v>
      </c>
      <c r="D39" s="19"/>
      <c r="F39" s="19"/>
    </row>
    <row r="40" spans="1:6" x14ac:dyDescent="0.2">
      <c r="A40" s="16" t="s">
        <v>39</v>
      </c>
      <c r="C40" s="19" t="s">
        <v>69</v>
      </c>
      <c r="D40" s="19"/>
      <c r="F40" s="19"/>
    </row>
    <row r="41" spans="1:6" x14ac:dyDescent="0.2">
      <c r="A41" s="16" t="s">
        <v>41</v>
      </c>
      <c r="C41" s="19" t="s">
        <v>42</v>
      </c>
      <c r="D41" s="19"/>
      <c r="F41" s="19"/>
    </row>
    <row r="42" spans="1:6" x14ac:dyDescent="0.2">
      <c r="D42" s="19"/>
      <c r="F42" s="19"/>
    </row>
    <row r="43" spans="1:6" x14ac:dyDescent="0.2">
      <c r="D43" s="19"/>
      <c r="F43" s="19"/>
    </row>
    <row r="44" spans="1:6" x14ac:dyDescent="0.2">
      <c r="D44" s="19"/>
      <c r="F44" s="19"/>
    </row>
  </sheetData>
  <mergeCells count="2">
    <mergeCell ref="F1:H1"/>
    <mergeCell ref="L1:M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workbookViewId="0">
      <selection activeCell="C24" sqref="C24"/>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36.7109375" style="16" bestFit="1" customWidth="1"/>
    <col min="5" max="5" width="17.28515625" style="16" bestFit="1" customWidth="1"/>
    <col min="6" max="6" width="16.2851562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75</v>
      </c>
      <c r="B3" s="73">
        <v>9951500</v>
      </c>
      <c r="C3" s="35">
        <f>ROUND(B3/132*141.9,-2)</f>
        <v>10697900</v>
      </c>
      <c r="D3" s="63" t="s">
        <v>13</v>
      </c>
      <c r="E3" s="16" t="s">
        <v>76</v>
      </c>
      <c r="F3" s="17" t="s">
        <v>77</v>
      </c>
      <c r="G3" s="70">
        <v>41962</v>
      </c>
      <c r="H3" s="18">
        <v>44154</v>
      </c>
      <c r="I3" s="16" t="s">
        <v>49</v>
      </c>
    </row>
    <row r="4" spans="1:23" x14ac:dyDescent="0.2">
      <c r="A4" s="99"/>
      <c r="B4" s="35">
        <v>4028000</v>
      </c>
      <c r="C4" s="35">
        <f>B4</f>
        <v>4028000</v>
      </c>
      <c r="D4" s="63" t="s">
        <v>16</v>
      </c>
      <c r="E4" s="16" t="s">
        <v>76</v>
      </c>
      <c r="F4" s="17" t="s">
        <v>78</v>
      </c>
      <c r="G4" s="70">
        <v>43034</v>
      </c>
      <c r="H4" s="18">
        <v>44130</v>
      </c>
      <c r="I4" s="16" t="s">
        <v>49</v>
      </c>
      <c r="J4" s="16" t="s">
        <v>79</v>
      </c>
      <c r="L4" s="17"/>
      <c r="M4" s="17"/>
    </row>
    <row r="5" spans="1:23" x14ac:dyDescent="0.2">
      <c r="B5" s="35">
        <v>726890</v>
      </c>
      <c r="C5" s="35">
        <f t="shared" ref="C5:C12" si="0">B5</f>
        <v>726890</v>
      </c>
      <c r="D5" s="71" t="s">
        <v>80</v>
      </c>
      <c r="G5" s="70"/>
      <c r="H5" s="18"/>
      <c r="I5" s="16" t="s">
        <v>54</v>
      </c>
      <c r="J5" s="16" t="s">
        <v>81</v>
      </c>
      <c r="L5" s="17"/>
      <c r="M5" s="17"/>
    </row>
    <row r="6" spans="1:23" x14ac:dyDescent="0.2">
      <c r="A6" s="78"/>
      <c r="B6" s="35"/>
      <c r="C6" s="35">
        <v>0</v>
      </c>
      <c r="D6" s="71" t="s">
        <v>20</v>
      </c>
      <c r="G6" s="70"/>
      <c r="H6" s="18"/>
      <c r="J6" s="16" t="s">
        <v>21</v>
      </c>
      <c r="L6" s="17"/>
      <c r="M6" s="17"/>
    </row>
    <row r="7" spans="1:23" x14ac:dyDescent="0.2">
      <c r="A7" s="78"/>
      <c r="B7" s="35"/>
      <c r="C7" s="35">
        <v>1700000</v>
      </c>
      <c r="D7" s="71" t="s">
        <v>22</v>
      </c>
      <c r="G7" s="70"/>
      <c r="H7" s="18"/>
      <c r="L7" s="17"/>
      <c r="M7" s="17"/>
    </row>
    <row r="8" spans="1:23" x14ac:dyDescent="0.2">
      <c r="A8" s="69"/>
      <c r="B8" s="35">
        <v>8000000</v>
      </c>
      <c r="C8" s="35">
        <v>3000000</v>
      </c>
      <c r="D8" s="63" t="s">
        <v>23</v>
      </c>
      <c r="G8" s="70"/>
      <c r="H8" s="18"/>
      <c r="J8" s="16" t="s">
        <v>24</v>
      </c>
    </row>
    <row r="9" spans="1:23" x14ac:dyDescent="0.2">
      <c r="A9" s="69"/>
      <c r="B9" s="35"/>
      <c r="C9" s="35">
        <v>0</v>
      </c>
      <c r="D9" s="63" t="s">
        <v>25</v>
      </c>
      <c r="G9" s="70"/>
      <c r="H9" s="18"/>
    </row>
    <row r="10" spans="1:23" x14ac:dyDescent="0.2">
      <c r="B10" s="35">
        <v>272268</v>
      </c>
      <c r="C10" s="35">
        <v>0</v>
      </c>
      <c r="D10" s="71" t="s">
        <v>26</v>
      </c>
      <c r="G10" s="70"/>
      <c r="H10" s="18"/>
    </row>
    <row r="11" spans="1:23" x14ac:dyDescent="0.2">
      <c r="B11" s="35">
        <v>150000</v>
      </c>
      <c r="C11" s="35">
        <f t="shared" si="0"/>
        <v>150000</v>
      </c>
      <c r="D11" s="63" t="s">
        <v>82</v>
      </c>
      <c r="G11" s="70"/>
      <c r="H11" s="18"/>
      <c r="I11" s="16" t="s">
        <v>54</v>
      </c>
      <c r="J11" s="16" t="s">
        <v>83</v>
      </c>
    </row>
    <row r="12" spans="1:23" x14ac:dyDescent="0.2">
      <c r="B12" s="35">
        <v>382000</v>
      </c>
      <c r="C12" s="35">
        <f t="shared" si="0"/>
        <v>382000</v>
      </c>
      <c r="D12" s="63" t="s">
        <v>16</v>
      </c>
      <c r="G12" s="70"/>
      <c r="H12" s="18"/>
      <c r="I12" s="16" t="s">
        <v>54</v>
      </c>
      <c r="J12" s="16" t="s">
        <v>84</v>
      </c>
    </row>
    <row r="13" spans="1:23" x14ac:dyDescent="0.2">
      <c r="B13" s="35"/>
      <c r="C13" s="35"/>
      <c r="D13" s="71"/>
      <c r="G13" s="70"/>
    </row>
    <row r="14" spans="1:23" x14ac:dyDescent="0.2">
      <c r="A14" s="13"/>
      <c r="B14" s="14"/>
      <c r="C14" s="14"/>
      <c r="D14" s="13"/>
      <c r="E14" s="13"/>
    </row>
    <row r="15" spans="1:23" ht="13.5" thickBot="1" x14ac:dyDescent="0.25">
      <c r="A15" s="13"/>
      <c r="B15" s="28"/>
      <c r="C15" s="28"/>
      <c r="E15" s="13"/>
    </row>
    <row r="16" spans="1:23" s="4" customFormat="1" ht="13.5" thickBot="1" x14ac:dyDescent="0.25">
      <c r="A16" s="4" t="s">
        <v>27</v>
      </c>
      <c r="B16" s="47">
        <f>SUM(B3:B14)</f>
        <v>23510658</v>
      </c>
      <c r="C16" s="47">
        <f>SUM(C3:C14)</f>
        <v>20684790</v>
      </c>
      <c r="E16" s="32"/>
      <c r="F16" s="33"/>
      <c r="G16" s="33"/>
      <c r="H16" s="33"/>
      <c r="W16" s="5"/>
    </row>
    <row r="17" spans="1:5" x14ac:dyDescent="0.2">
      <c r="B17" s="34"/>
      <c r="C17" s="34"/>
      <c r="E17" s="13"/>
    </row>
    <row r="18" spans="1:5" x14ac:dyDescent="0.2">
      <c r="B18" s="35"/>
      <c r="C18" s="35"/>
    </row>
    <row r="19" spans="1:5" x14ac:dyDescent="0.2">
      <c r="A19" s="36" t="s">
        <v>28</v>
      </c>
      <c r="B19" s="35"/>
      <c r="C19" s="35"/>
    </row>
    <row r="20" spans="1:5" x14ac:dyDescent="0.2">
      <c r="A20" s="16" t="s">
        <v>13</v>
      </c>
      <c r="B20" s="35">
        <f>B3</f>
        <v>9951500</v>
      </c>
      <c r="C20" s="35">
        <f>C3</f>
        <v>10697900</v>
      </c>
      <c r="E20" s="19"/>
    </row>
    <row r="21" spans="1:5" x14ac:dyDescent="0.2">
      <c r="A21" s="16" t="s">
        <v>16</v>
      </c>
      <c r="B21" s="35">
        <f>B4+B12</f>
        <v>4410000</v>
      </c>
      <c r="C21" s="35">
        <f>C4+C12</f>
        <v>4410000</v>
      </c>
      <c r="E21" s="19"/>
    </row>
    <row r="22" spans="1:5" x14ac:dyDescent="0.2">
      <c r="A22" s="16" t="s">
        <v>85</v>
      </c>
      <c r="B22" s="35">
        <f>B5</f>
        <v>726890</v>
      </c>
      <c r="C22" s="35">
        <f>C5</f>
        <v>726890</v>
      </c>
    </row>
    <row r="23" spans="1:5" x14ac:dyDescent="0.2">
      <c r="A23" s="63" t="s">
        <v>29</v>
      </c>
      <c r="B23" s="35">
        <f>B8</f>
        <v>8000000</v>
      </c>
      <c r="C23" s="35">
        <f>SUM(C6:C9)</f>
        <v>4700000</v>
      </c>
    </row>
    <row r="24" spans="1:5" x14ac:dyDescent="0.2">
      <c r="A24" s="16" t="s">
        <v>82</v>
      </c>
      <c r="B24" s="35">
        <f t="shared" ref="B24" si="1">B10</f>
        <v>272268</v>
      </c>
      <c r="C24" s="35">
        <f>C11</f>
        <v>150000</v>
      </c>
    </row>
    <row r="25" spans="1:5" ht="13.5" thickBot="1" x14ac:dyDescent="0.25">
      <c r="B25" s="72">
        <f>SUM(B20:B24)</f>
        <v>23360658</v>
      </c>
      <c r="C25" s="72">
        <f>SUM(C20:C24)</f>
        <v>20684790</v>
      </c>
    </row>
    <row r="26" spans="1:5" ht="13.5" thickTop="1" x14ac:dyDescent="0.2">
      <c r="B26" s="58"/>
      <c r="C26" s="58"/>
    </row>
    <row r="27" spans="1:5" x14ac:dyDescent="0.2">
      <c r="A27" s="36" t="s">
        <v>30</v>
      </c>
    </row>
    <row r="28" spans="1:5" x14ac:dyDescent="0.2">
      <c r="A28" s="16" t="s">
        <v>31</v>
      </c>
      <c r="C28" s="19" t="s">
        <v>74</v>
      </c>
    </row>
    <row r="29" spans="1:5" x14ac:dyDescent="0.2">
      <c r="A29" s="16" t="s">
        <v>33</v>
      </c>
      <c r="C29" s="19" t="s">
        <v>74</v>
      </c>
    </row>
    <row r="30" spans="1:5" x14ac:dyDescent="0.2">
      <c r="A30" s="16" t="s">
        <v>35</v>
      </c>
    </row>
    <row r="31" spans="1:5" x14ac:dyDescent="0.2">
      <c r="A31" s="16" t="s">
        <v>36</v>
      </c>
      <c r="C31" s="100" t="s">
        <v>87</v>
      </c>
    </row>
    <row r="32" spans="1:5" x14ac:dyDescent="0.2">
      <c r="A32" s="16" t="s">
        <v>38</v>
      </c>
      <c r="C32" s="19" t="s">
        <v>88</v>
      </c>
    </row>
    <row r="33" spans="1:3" x14ac:dyDescent="0.2">
      <c r="A33" s="16" t="s">
        <v>39</v>
      </c>
      <c r="C33" s="19" t="s">
        <v>86</v>
      </c>
    </row>
  </sheetData>
  <mergeCells count="2">
    <mergeCell ref="F1:H1"/>
    <mergeCell ref="L1:M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7"/>
  <sheetViews>
    <sheetView topLeftCell="A4" workbookViewId="0">
      <selection activeCell="G29" sqref="G29"/>
    </sheetView>
  </sheetViews>
  <sheetFormatPr defaultRowHeight="12.75" x14ac:dyDescent="0.2"/>
  <cols>
    <col min="1" max="1" width="48.7109375" style="16" bestFit="1" customWidth="1"/>
    <col min="2" max="2" width="18.28515625" style="19" hidden="1" customWidth="1"/>
    <col min="3" max="3" width="10.5703125" style="19" hidden="1" customWidth="1"/>
    <col min="4" max="4" width="20.28515625" style="19" hidden="1" customWidth="1"/>
    <col min="5" max="5" width="10.5703125" style="19" bestFit="1" customWidth="1"/>
    <col min="6" max="6" width="21.85546875" style="19" bestFit="1" customWidth="1"/>
    <col min="7" max="7" width="19" style="16" bestFit="1" customWidth="1"/>
    <col min="8" max="8" width="13.28515625" style="16" bestFit="1" customWidth="1"/>
    <col min="9" max="9" width="16.42578125" style="16" bestFit="1" customWidth="1"/>
    <col min="10" max="10" width="10.85546875" style="16" customWidth="1"/>
    <col min="11" max="11" width="13.140625" style="16" bestFit="1" customWidth="1"/>
    <col min="12" max="12" width="12.7109375" style="16" bestFit="1" customWidth="1"/>
    <col min="13" max="13" width="51.42578125" style="16" customWidth="1"/>
    <col min="14" max="14" width="2.42578125" style="16" customWidth="1"/>
    <col min="15" max="15" width="9.140625" style="16"/>
    <col min="16" max="16" width="9.5703125" style="16" bestFit="1" customWidth="1"/>
    <col min="17"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74" t="s">
        <v>0</v>
      </c>
      <c r="B1" s="75" t="s">
        <v>1</v>
      </c>
      <c r="C1" s="2" t="s">
        <v>2</v>
      </c>
      <c r="D1" s="75" t="s">
        <v>1</v>
      </c>
      <c r="E1" s="3" t="s">
        <v>2</v>
      </c>
      <c r="F1" s="3" t="s">
        <v>1</v>
      </c>
      <c r="G1" s="74" t="s">
        <v>3</v>
      </c>
      <c r="H1" s="74" t="s">
        <v>4</v>
      </c>
      <c r="I1" s="76" t="s">
        <v>5</v>
      </c>
      <c r="J1" s="76" t="s">
        <v>5</v>
      </c>
      <c r="K1" s="74" t="s">
        <v>89</v>
      </c>
      <c r="L1" s="74" t="s">
        <v>6</v>
      </c>
      <c r="M1" s="74" t="s">
        <v>7</v>
      </c>
      <c r="W1" s="5"/>
    </row>
    <row r="2" spans="1:23" s="4" customFormat="1" x14ac:dyDescent="0.2">
      <c r="A2" s="74"/>
      <c r="B2" s="77">
        <v>2018</v>
      </c>
      <c r="C2" s="7">
        <v>43466</v>
      </c>
      <c r="D2" s="77">
        <v>2019</v>
      </c>
      <c r="E2" s="9">
        <v>43831</v>
      </c>
      <c r="F2" s="10">
        <v>2020</v>
      </c>
      <c r="G2" s="74"/>
      <c r="H2" s="74"/>
      <c r="I2" s="11" t="s">
        <v>90</v>
      </c>
      <c r="J2" s="11" t="s">
        <v>91</v>
      </c>
      <c r="K2" s="74" t="s">
        <v>92</v>
      </c>
      <c r="L2" s="74"/>
      <c r="M2" s="74"/>
      <c r="W2" s="5"/>
    </row>
    <row r="4" spans="1:23" x14ac:dyDescent="0.2">
      <c r="A4" s="16" t="s">
        <v>93</v>
      </c>
      <c r="B4" s="35">
        <v>16360000</v>
      </c>
      <c r="C4" s="42">
        <v>132</v>
      </c>
      <c r="D4" s="35">
        <v>16806200</v>
      </c>
      <c r="E4" s="43">
        <v>141.9</v>
      </c>
      <c r="F4" s="14">
        <f>ROUND(D4/C4*E4,-2)</f>
        <v>18066700</v>
      </c>
      <c r="G4" s="16" t="s">
        <v>13</v>
      </c>
      <c r="H4" s="16" t="s">
        <v>94</v>
      </c>
      <c r="I4" s="16" t="s">
        <v>95</v>
      </c>
      <c r="J4" s="81">
        <v>42683</v>
      </c>
      <c r="K4" s="18">
        <v>44509</v>
      </c>
      <c r="L4" s="16" t="s">
        <v>96</v>
      </c>
    </row>
    <row r="5" spans="1:23" x14ac:dyDescent="0.2">
      <c r="B5" s="35">
        <v>250000</v>
      </c>
      <c r="C5" s="42">
        <v>132</v>
      </c>
      <c r="D5" s="35">
        <v>256900</v>
      </c>
      <c r="E5" s="43">
        <v>141.9</v>
      </c>
      <c r="F5" s="14">
        <f t="shared" ref="F5:F6" si="0">ROUND(D5/C5*E5,-2)</f>
        <v>276200</v>
      </c>
      <c r="G5" s="16" t="s">
        <v>13</v>
      </c>
      <c r="H5" s="16" t="s">
        <v>94</v>
      </c>
      <c r="I5" s="16" t="s">
        <v>95</v>
      </c>
      <c r="J5" s="81">
        <v>42683</v>
      </c>
      <c r="K5" s="18">
        <v>44509</v>
      </c>
      <c r="L5" s="16" t="s">
        <v>96</v>
      </c>
      <c r="M5" s="16" t="s">
        <v>97</v>
      </c>
    </row>
    <row r="6" spans="1:23" x14ac:dyDescent="0.2">
      <c r="B6" s="35">
        <v>160000</v>
      </c>
      <c r="C6" s="42">
        <v>132</v>
      </c>
      <c r="D6" s="35">
        <v>164400</v>
      </c>
      <c r="E6" s="43">
        <v>141.9</v>
      </c>
      <c r="F6" s="14">
        <f t="shared" si="0"/>
        <v>176700</v>
      </c>
      <c r="G6" s="16" t="s">
        <v>13</v>
      </c>
      <c r="H6" s="16" t="s">
        <v>94</v>
      </c>
      <c r="I6" s="16" t="s">
        <v>95</v>
      </c>
      <c r="J6" s="81">
        <v>42683</v>
      </c>
      <c r="K6" s="18">
        <v>44509</v>
      </c>
      <c r="L6" s="16" t="s">
        <v>96</v>
      </c>
      <c r="M6" s="16" t="s">
        <v>98</v>
      </c>
    </row>
    <row r="7" spans="1:23" x14ac:dyDescent="0.2">
      <c r="B7" s="35">
        <v>3223000</v>
      </c>
      <c r="C7" s="42"/>
      <c r="D7" s="35">
        <v>3223000</v>
      </c>
      <c r="E7" s="43"/>
      <c r="F7" s="14">
        <f t="shared" ref="F7:F8" si="1">D7</f>
        <v>3223000</v>
      </c>
      <c r="G7" s="16" t="s">
        <v>16</v>
      </c>
      <c r="H7" s="16" t="s">
        <v>94</v>
      </c>
      <c r="I7" s="16" t="s">
        <v>99</v>
      </c>
      <c r="J7" s="81">
        <v>43255</v>
      </c>
      <c r="K7" s="18">
        <v>44351</v>
      </c>
      <c r="L7" s="16" t="s">
        <v>96</v>
      </c>
      <c r="M7" s="16" t="s">
        <v>100</v>
      </c>
    </row>
    <row r="8" spans="1:23" x14ac:dyDescent="0.2">
      <c r="B8" s="35">
        <v>200000</v>
      </c>
      <c r="C8" s="42"/>
      <c r="D8" s="35">
        <v>200000</v>
      </c>
      <c r="E8" s="43"/>
      <c r="F8" s="14">
        <f t="shared" si="1"/>
        <v>200000</v>
      </c>
      <c r="G8" s="16" t="s">
        <v>16</v>
      </c>
      <c r="H8" s="16" t="s">
        <v>94</v>
      </c>
      <c r="I8" s="16" t="s">
        <v>99</v>
      </c>
      <c r="J8" s="81">
        <v>43255</v>
      </c>
      <c r="K8" s="18">
        <v>44351</v>
      </c>
      <c r="L8" s="16" t="s">
        <v>101</v>
      </c>
    </row>
    <row r="9" spans="1:23" x14ac:dyDescent="0.2">
      <c r="A9" s="16" t="s">
        <v>102</v>
      </c>
      <c r="B9" s="35">
        <v>191346</v>
      </c>
      <c r="C9" s="42">
        <v>132</v>
      </c>
      <c r="D9" s="35">
        <v>196600</v>
      </c>
      <c r="E9" s="43">
        <v>141.9</v>
      </c>
      <c r="F9" s="14">
        <f t="shared" ref="F9:F11" si="2">ROUND(D9/C9*E9,-2)</f>
        <v>211300</v>
      </c>
      <c r="G9" s="16" t="s">
        <v>13</v>
      </c>
      <c r="H9" s="16" t="s">
        <v>94</v>
      </c>
      <c r="I9" s="16" t="s">
        <v>103</v>
      </c>
      <c r="J9" s="81">
        <v>42107</v>
      </c>
      <c r="K9" s="18">
        <v>44299</v>
      </c>
      <c r="L9" s="16" t="s">
        <v>96</v>
      </c>
    </row>
    <row r="10" spans="1:23" x14ac:dyDescent="0.2">
      <c r="B10" s="35">
        <v>20142</v>
      </c>
      <c r="C10" s="42">
        <v>132</v>
      </c>
      <c r="D10" s="35">
        <v>20700</v>
      </c>
      <c r="E10" s="43">
        <v>141.9</v>
      </c>
      <c r="F10" s="14">
        <f t="shared" si="2"/>
        <v>22300</v>
      </c>
      <c r="G10" s="16" t="s">
        <v>13</v>
      </c>
      <c r="H10" s="16" t="s">
        <v>94</v>
      </c>
      <c r="I10" s="16" t="s">
        <v>103</v>
      </c>
      <c r="J10" s="81">
        <v>42107</v>
      </c>
      <c r="K10" s="18">
        <v>44299</v>
      </c>
      <c r="L10" s="16" t="s">
        <v>96</v>
      </c>
      <c r="M10" s="16" t="s">
        <v>97</v>
      </c>
    </row>
    <row r="11" spans="1:23" x14ac:dyDescent="0.2">
      <c r="B11" s="35">
        <v>13092</v>
      </c>
      <c r="C11" s="42">
        <v>132</v>
      </c>
      <c r="D11" s="35">
        <v>13500</v>
      </c>
      <c r="E11" s="43">
        <v>141.9</v>
      </c>
      <c r="F11" s="14">
        <f t="shared" si="2"/>
        <v>14500</v>
      </c>
      <c r="G11" s="16" t="s">
        <v>13</v>
      </c>
      <c r="H11" s="16" t="s">
        <v>94</v>
      </c>
      <c r="I11" s="16" t="s">
        <v>103</v>
      </c>
      <c r="J11" s="81">
        <v>42107</v>
      </c>
      <c r="K11" s="18">
        <v>44299</v>
      </c>
      <c r="L11" s="16" t="s">
        <v>96</v>
      </c>
      <c r="M11" s="16" t="s">
        <v>98</v>
      </c>
    </row>
    <row r="12" spans="1:23" x14ac:dyDescent="0.2">
      <c r="B12" s="35">
        <v>70000</v>
      </c>
      <c r="C12" s="85"/>
      <c r="D12" s="35">
        <f>B12</f>
        <v>70000</v>
      </c>
      <c r="E12" s="43"/>
      <c r="F12" s="35">
        <f>D12</f>
        <v>70000</v>
      </c>
      <c r="G12" s="16" t="s">
        <v>16</v>
      </c>
      <c r="H12" s="16" t="s">
        <v>94</v>
      </c>
      <c r="I12" s="16" t="s">
        <v>104</v>
      </c>
      <c r="J12" s="81">
        <v>43255</v>
      </c>
      <c r="K12" s="18">
        <v>44351</v>
      </c>
      <c r="L12" s="16" t="s">
        <v>96</v>
      </c>
      <c r="M12" s="16" t="s">
        <v>100</v>
      </c>
    </row>
    <row r="13" spans="1:23" x14ac:dyDescent="0.2">
      <c r="B13" s="35">
        <v>25000</v>
      </c>
      <c r="C13" s="85"/>
      <c r="D13" s="35">
        <f>B13</f>
        <v>25000</v>
      </c>
      <c r="E13" s="43"/>
      <c r="F13" s="35">
        <f>D13</f>
        <v>25000</v>
      </c>
      <c r="G13" s="16" t="s">
        <v>16</v>
      </c>
      <c r="H13" s="16" t="s">
        <v>94</v>
      </c>
      <c r="I13" s="16" t="s">
        <v>104</v>
      </c>
      <c r="J13" s="81">
        <v>43255</v>
      </c>
      <c r="K13" s="18">
        <v>44351</v>
      </c>
      <c r="L13" s="16" t="s">
        <v>101</v>
      </c>
    </row>
    <row r="14" spans="1:23" x14ac:dyDescent="0.2">
      <c r="A14" s="16" t="s">
        <v>105</v>
      </c>
      <c r="B14" s="35">
        <v>20142</v>
      </c>
      <c r="C14" s="42">
        <v>132</v>
      </c>
      <c r="D14" s="35">
        <v>20700</v>
      </c>
      <c r="E14" s="43">
        <v>141.9</v>
      </c>
      <c r="F14" s="14">
        <f t="shared" ref="F14:F16" si="3">ROUND(D14/C14*E14,-2)</f>
        <v>22300</v>
      </c>
      <c r="G14" s="16" t="s">
        <v>13</v>
      </c>
      <c r="H14" s="16" t="s">
        <v>94</v>
      </c>
      <c r="I14" s="16" t="s">
        <v>106</v>
      </c>
      <c r="J14" s="81">
        <v>42107</v>
      </c>
      <c r="K14" s="18">
        <v>44299</v>
      </c>
      <c r="L14" s="16" t="s">
        <v>96</v>
      </c>
    </row>
    <row r="15" spans="1:23" x14ac:dyDescent="0.2">
      <c r="B15" s="35">
        <v>10071</v>
      </c>
      <c r="C15" s="42">
        <v>132</v>
      </c>
      <c r="D15" s="35">
        <v>10400</v>
      </c>
      <c r="E15" s="43">
        <v>141.9</v>
      </c>
      <c r="F15" s="14">
        <f t="shared" si="3"/>
        <v>11200</v>
      </c>
      <c r="G15" s="16" t="s">
        <v>13</v>
      </c>
      <c r="H15" s="16" t="s">
        <v>94</v>
      </c>
      <c r="I15" s="16" t="s">
        <v>106</v>
      </c>
      <c r="J15" s="81">
        <v>42107</v>
      </c>
      <c r="K15" s="18">
        <v>44299</v>
      </c>
      <c r="L15" s="16" t="s">
        <v>96</v>
      </c>
      <c r="M15" s="16" t="s">
        <v>97</v>
      </c>
    </row>
    <row r="16" spans="1:23" x14ac:dyDescent="0.2">
      <c r="B16" s="35">
        <v>12085</v>
      </c>
      <c r="C16" s="42">
        <v>132</v>
      </c>
      <c r="D16" s="35">
        <v>12500</v>
      </c>
      <c r="E16" s="43">
        <v>141.9</v>
      </c>
      <c r="F16" s="14">
        <f t="shared" si="3"/>
        <v>13400</v>
      </c>
      <c r="G16" s="16" t="s">
        <v>13</v>
      </c>
      <c r="H16" s="16" t="s">
        <v>94</v>
      </c>
      <c r="I16" s="16" t="s">
        <v>106</v>
      </c>
      <c r="J16" s="81">
        <v>42107</v>
      </c>
      <c r="K16" s="18">
        <v>44299</v>
      </c>
      <c r="L16" s="16" t="s">
        <v>96</v>
      </c>
      <c r="M16" s="16" t="s">
        <v>98</v>
      </c>
    </row>
    <row r="17" spans="1:13" x14ac:dyDescent="0.2">
      <c r="B17" s="35">
        <v>82430</v>
      </c>
      <c r="C17" s="42"/>
      <c r="D17" s="35">
        <f>B17</f>
        <v>82430</v>
      </c>
      <c r="E17" s="43"/>
      <c r="F17" s="14">
        <f>D17</f>
        <v>82430</v>
      </c>
      <c r="G17" s="16" t="s">
        <v>16</v>
      </c>
      <c r="H17" s="16" t="s">
        <v>94</v>
      </c>
      <c r="I17" s="16" t="s">
        <v>107</v>
      </c>
      <c r="J17" s="81">
        <v>43255</v>
      </c>
      <c r="K17" s="18">
        <v>44351</v>
      </c>
      <c r="L17" s="16" t="s">
        <v>96</v>
      </c>
      <c r="M17" s="16" t="s">
        <v>100</v>
      </c>
    </row>
    <row r="18" spans="1:13" x14ac:dyDescent="0.2">
      <c r="B18" s="35">
        <v>80000</v>
      </c>
      <c r="C18" s="42">
        <v>132</v>
      </c>
      <c r="D18" s="35">
        <v>82200</v>
      </c>
      <c r="E18" s="43">
        <v>141.9</v>
      </c>
      <c r="F18" s="14">
        <f t="shared" ref="F18" si="4">ROUND(D18/C18*E18,-2)</f>
        <v>88400</v>
      </c>
      <c r="G18" s="16" t="s">
        <v>108</v>
      </c>
      <c r="H18" s="16" t="s">
        <v>94</v>
      </c>
      <c r="I18" s="16" t="s">
        <v>107</v>
      </c>
      <c r="J18" s="81">
        <v>43255</v>
      </c>
      <c r="K18" s="18">
        <v>44351</v>
      </c>
      <c r="L18" s="16" t="s">
        <v>96</v>
      </c>
    </row>
    <row r="19" spans="1:13" x14ac:dyDescent="0.2">
      <c r="B19" s="35">
        <v>30000</v>
      </c>
      <c r="C19" s="42"/>
      <c r="D19" s="35">
        <f>B19</f>
        <v>30000</v>
      </c>
      <c r="E19" s="43"/>
      <c r="F19" s="35">
        <f>D19</f>
        <v>30000</v>
      </c>
      <c r="G19" s="16" t="s">
        <v>16</v>
      </c>
      <c r="H19" s="16" t="s">
        <v>94</v>
      </c>
      <c r="I19" s="16" t="s">
        <v>107</v>
      </c>
      <c r="J19" s="81">
        <v>43255</v>
      </c>
      <c r="K19" s="18">
        <v>44351</v>
      </c>
      <c r="L19" s="16" t="s">
        <v>101</v>
      </c>
    </row>
    <row r="20" spans="1:13" x14ac:dyDescent="0.2">
      <c r="A20" s="16" t="s">
        <v>109</v>
      </c>
      <c r="B20" s="35">
        <v>141000</v>
      </c>
      <c r="C20" s="42"/>
      <c r="D20" s="35">
        <f t="shared" ref="D20:D23" si="5">B20</f>
        <v>141000</v>
      </c>
      <c r="E20" s="43"/>
      <c r="F20" s="35">
        <f t="shared" ref="F20:F23" si="6">D20</f>
        <v>141000</v>
      </c>
      <c r="G20" s="16" t="s">
        <v>16</v>
      </c>
      <c r="H20" s="16" t="s">
        <v>94</v>
      </c>
      <c r="I20" s="16" t="s">
        <v>110</v>
      </c>
      <c r="J20" s="81">
        <v>43255</v>
      </c>
      <c r="K20" s="18">
        <v>44351</v>
      </c>
      <c r="L20" s="16" t="s">
        <v>96</v>
      </c>
      <c r="M20" s="16" t="s">
        <v>100</v>
      </c>
    </row>
    <row r="21" spans="1:13" x14ac:dyDescent="0.2">
      <c r="B21" s="35">
        <v>30000</v>
      </c>
      <c r="C21" s="42"/>
      <c r="D21" s="35">
        <f t="shared" si="5"/>
        <v>30000</v>
      </c>
      <c r="E21" s="43"/>
      <c r="F21" s="35">
        <f t="shared" si="6"/>
        <v>30000</v>
      </c>
      <c r="G21" s="16" t="s">
        <v>16</v>
      </c>
      <c r="H21" s="16" t="s">
        <v>94</v>
      </c>
      <c r="I21" s="16" t="s">
        <v>110</v>
      </c>
      <c r="J21" s="81">
        <v>43255</v>
      </c>
      <c r="K21" s="18">
        <v>44351</v>
      </c>
      <c r="L21" s="16" t="s">
        <v>101</v>
      </c>
    </row>
    <row r="22" spans="1:13" x14ac:dyDescent="0.2">
      <c r="A22" s="16" t="s">
        <v>111</v>
      </c>
      <c r="B22" s="35">
        <v>7009</v>
      </c>
      <c r="C22" s="42"/>
      <c r="D22" s="35">
        <f t="shared" si="5"/>
        <v>7009</v>
      </c>
      <c r="E22" s="43"/>
      <c r="F22" s="35">
        <f t="shared" si="6"/>
        <v>7009</v>
      </c>
      <c r="G22" s="16" t="s">
        <v>16</v>
      </c>
      <c r="J22" s="81"/>
      <c r="K22" s="17"/>
      <c r="L22" s="16" t="s">
        <v>96</v>
      </c>
      <c r="M22" s="16" t="s">
        <v>112</v>
      </c>
    </row>
    <row r="23" spans="1:13" x14ac:dyDescent="0.2">
      <c r="B23" s="35">
        <v>10014</v>
      </c>
      <c r="C23" s="42"/>
      <c r="D23" s="35">
        <f t="shared" si="5"/>
        <v>10014</v>
      </c>
      <c r="E23" s="43"/>
      <c r="F23" s="35">
        <f t="shared" si="6"/>
        <v>10014</v>
      </c>
      <c r="G23" s="16" t="s">
        <v>16</v>
      </c>
      <c r="J23" s="81"/>
      <c r="K23" s="17"/>
      <c r="L23" s="16" t="s">
        <v>101</v>
      </c>
      <c r="M23" s="16" t="s">
        <v>112</v>
      </c>
    </row>
    <row r="24" spans="1:13" x14ac:dyDescent="0.2">
      <c r="A24" s="16" t="s">
        <v>113</v>
      </c>
      <c r="B24" s="35">
        <v>136101</v>
      </c>
      <c r="C24" s="35"/>
      <c r="D24" s="35">
        <f>B24</f>
        <v>136101</v>
      </c>
      <c r="E24" s="35"/>
      <c r="F24" s="14">
        <f>D24</f>
        <v>136101</v>
      </c>
      <c r="G24" s="16" t="s">
        <v>16</v>
      </c>
      <c r="J24" s="81"/>
      <c r="K24" s="17"/>
      <c r="L24" s="16" t="s">
        <v>101</v>
      </c>
    </row>
    <row r="25" spans="1:13" x14ac:dyDescent="0.2">
      <c r="B25" s="35"/>
      <c r="C25" s="35"/>
      <c r="D25" s="35"/>
      <c r="E25" s="35"/>
      <c r="F25" s="14">
        <v>0</v>
      </c>
      <c r="G25" s="13" t="s">
        <v>20</v>
      </c>
      <c r="H25" s="13"/>
      <c r="I25" s="17"/>
      <c r="J25" s="17"/>
      <c r="K25" s="17"/>
      <c r="M25" s="16" t="s">
        <v>21</v>
      </c>
    </row>
    <row r="26" spans="1:13" x14ac:dyDescent="0.2">
      <c r="B26" s="35"/>
      <c r="C26" s="35"/>
      <c r="D26" s="35"/>
      <c r="E26" s="35"/>
      <c r="F26" s="14">
        <v>0</v>
      </c>
      <c r="G26" s="13" t="s">
        <v>22</v>
      </c>
      <c r="H26" s="13"/>
      <c r="I26" s="17"/>
      <c r="J26" s="17"/>
      <c r="K26" s="17"/>
    </row>
    <row r="27" spans="1:13" x14ac:dyDescent="0.2">
      <c r="A27" s="16" t="s">
        <v>21</v>
      </c>
      <c r="B27" s="35">
        <v>8500000</v>
      </c>
      <c r="C27" s="35"/>
      <c r="D27" s="35">
        <f t="shared" ref="D27:D34" si="7">B27</f>
        <v>8500000</v>
      </c>
      <c r="E27" s="35"/>
      <c r="F27" s="14">
        <v>250000</v>
      </c>
      <c r="G27" s="13" t="s">
        <v>23</v>
      </c>
      <c r="H27" s="13"/>
      <c r="I27" s="17"/>
      <c r="J27" s="17"/>
      <c r="K27" s="17"/>
      <c r="M27" s="16" t="s">
        <v>24</v>
      </c>
    </row>
    <row r="28" spans="1:13" x14ac:dyDescent="0.2">
      <c r="B28" s="35"/>
      <c r="C28" s="35"/>
      <c r="D28" s="35"/>
      <c r="E28" s="35"/>
      <c r="F28" s="14">
        <v>0</v>
      </c>
      <c r="G28" s="13" t="s">
        <v>25</v>
      </c>
      <c r="H28" s="13"/>
      <c r="I28" s="17"/>
      <c r="J28" s="17"/>
      <c r="K28" s="17"/>
    </row>
    <row r="29" spans="1:13" x14ac:dyDescent="0.2">
      <c r="B29" s="35"/>
      <c r="C29" s="35"/>
      <c r="D29" s="35"/>
      <c r="E29" s="35"/>
      <c r="F29" s="14">
        <v>0</v>
      </c>
      <c r="G29" s="13" t="s">
        <v>26</v>
      </c>
      <c r="H29" s="13"/>
      <c r="I29" s="17"/>
      <c r="J29" s="17"/>
      <c r="K29" s="17"/>
    </row>
    <row r="30" spans="1:13" x14ac:dyDescent="0.2">
      <c r="B30" s="35">
        <v>500000</v>
      </c>
      <c r="C30" s="35"/>
      <c r="D30" s="35">
        <f t="shared" si="7"/>
        <v>500000</v>
      </c>
      <c r="E30" s="35"/>
      <c r="F30" s="35">
        <f>D30</f>
        <v>500000</v>
      </c>
      <c r="G30" s="16" t="s">
        <v>85</v>
      </c>
      <c r="L30" s="16" t="s">
        <v>101</v>
      </c>
    </row>
    <row r="31" spans="1:13" x14ac:dyDescent="0.2">
      <c r="B31" s="35">
        <v>977000</v>
      </c>
      <c r="C31" s="35"/>
      <c r="D31" s="35">
        <f t="shared" si="7"/>
        <v>977000</v>
      </c>
      <c r="E31" s="35"/>
      <c r="F31" s="35">
        <f>D31</f>
        <v>977000</v>
      </c>
      <c r="G31" s="16" t="s">
        <v>16</v>
      </c>
      <c r="H31" s="16" t="s">
        <v>94</v>
      </c>
      <c r="I31" s="16" t="s">
        <v>114</v>
      </c>
      <c r="J31" s="81">
        <v>43255</v>
      </c>
      <c r="K31" s="18">
        <v>44351</v>
      </c>
      <c r="L31" s="16" t="s">
        <v>96</v>
      </c>
      <c r="M31" s="16" t="s">
        <v>115</v>
      </c>
    </row>
    <row r="32" spans="1:13" x14ac:dyDescent="0.2">
      <c r="A32" s="16" t="s">
        <v>116</v>
      </c>
      <c r="B32" s="35">
        <v>454000</v>
      </c>
      <c r="C32" s="35"/>
      <c r="D32" s="35">
        <f t="shared" si="7"/>
        <v>454000</v>
      </c>
      <c r="E32" s="35"/>
      <c r="F32" s="35">
        <f>D32</f>
        <v>454000</v>
      </c>
      <c r="G32" s="16" t="s">
        <v>16</v>
      </c>
      <c r="H32" s="16" t="s">
        <v>94</v>
      </c>
      <c r="I32" s="16" t="s">
        <v>117</v>
      </c>
      <c r="J32" s="81">
        <v>43255</v>
      </c>
      <c r="K32" s="18">
        <v>44351</v>
      </c>
      <c r="L32" s="16" t="s">
        <v>96</v>
      </c>
      <c r="M32" s="16" t="s">
        <v>100</v>
      </c>
    </row>
    <row r="33" spans="1:23" x14ac:dyDescent="0.2">
      <c r="B33" s="35">
        <v>255000</v>
      </c>
      <c r="C33" s="42">
        <v>132</v>
      </c>
      <c r="D33" s="35">
        <v>262000</v>
      </c>
      <c r="E33" s="43">
        <v>141.9</v>
      </c>
      <c r="F33" s="14">
        <f t="shared" ref="F33" si="8">ROUND(D33/C33*E33,-2)</f>
        <v>281700</v>
      </c>
      <c r="G33" s="16" t="s">
        <v>108</v>
      </c>
      <c r="H33" s="16" t="s">
        <v>94</v>
      </c>
      <c r="I33" s="16" t="s">
        <v>117</v>
      </c>
      <c r="J33" s="81">
        <v>43255</v>
      </c>
      <c r="K33" s="18">
        <v>44351</v>
      </c>
      <c r="L33" s="16" t="s">
        <v>96</v>
      </c>
    </row>
    <row r="34" spans="1:23" x14ac:dyDescent="0.2">
      <c r="B34" s="35">
        <v>100000</v>
      </c>
      <c r="C34" s="35"/>
      <c r="D34" s="35">
        <f t="shared" si="7"/>
        <v>100000</v>
      </c>
      <c r="E34" s="35"/>
      <c r="F34" s="35">
        <f>D34</f>
        <v>100000</v>
      </c>
      <c r="G34" s="16" t="s">
        <v>16</v>
      </c>
      <c r="H34" s="16" t="s">
        <v>94</v>
      </c>
      <c r="I34" s="16" t="s">
        <v>117</v>
      </c>
      <c r="J34" s="81">
        <v>43255</v>
      </c>
      <c r="K34" s="18">
        <v>44351</v>
      </c>
      <c r="L34" s="16" t="s">
        <v>101</v>
      </c>
    </row>
    <row r="35" spans="1:23" x14ac:dyDescent="0.2">
      <c r="B35" s="56"/>
      <c r="C35" s="56"/>
      <c r="D35" s="56"/>
      <c r="E35" s="56"/>
      <c r="F35" s="56"/>
    </row>
    <row r="36" spans="1:23" s="4" customFormat="1" x14ac:dyDescent="0.2">
      <c r="A36" s="4" t="s">
        <v>27</v>
      </c>
      <c r="B36" s="89">
        <f>SUM(B4:B34)</f>
        <v>31857432</v>
      </c>
      <c r="C36" s="89"/>
      <c r="D36" s="90">
        <f>SUM(D4:D34)</f>
        <v>32331654</v>
      </c>
      <c r="E36" s="31"/>
      <c r="F36" s="90">
        <f>SUM(F4:F34)</f>
        <v>25420254</v>
      </c>
      <c r="G36" s="101"/>
      <c r="K36" s="16"/>
      <c r="W36" s="5"/>
    </row>
    <row r="37" spans="1:23" x14ac:dyDescent="0.2">
      <c r="B37" s="34"/>
      <c r="C37" s="34"/>
      <c r="D37" s="34"/>
      <c r="E37" s="34"/>
      <c r="F37" s="34"/>
    </row>
    <row r="38" spans="1:23" x14ac:dyDescent="0.2">
      <c r="A38" s="91" t="s">
        <v>28</v>
      </c>
    </row>
    <row r="39" spans="1:23" x14ac:dyDescent="0.2">
      <c r="A39" s="16" t="s">
        <v>13</v>
      </c>
      <c r="B39" s="35">
        <f>B4+B5+B6+B9+B10+B11+B14+B15+B16</f>
        <v>17036878</v>
      </c>
      <c r="C39" s="35"/>
      <c r="D39" s="35">
        <f>D4+D5+D6+D9+D10+D11+D14+D15+D16</f>
        <v>17501900</v>
      </c>
      <c r="E39" s="35"/>
      <c r="F39" s="35">
        <f>F4+F5+F6+F9+F10+F11+F14+F15+F16</f>
        <v>18814600</v>
      </c>
    </row>
    <row r="40" spans="1:23" x14ac:dyDescent="0.2">
      <c r="A40" s="16" t="s">
        <v>108</v>
      </c>
      <c r="B40" s="35">
        <f>B18+B33</f>
        <v>335000</v>
      </c>
      <c r="C40" s="35"/>
      <c r="D40" s="35">
        <f>D18+D33</f>
        <v>344200</v>
      </c>
      <c r="E40" s="35"/>
      <c r="F40" s="35">
        <f>F18+F33</f>
        <v>370100</v>
      </c>
    </row>
    <row r="41" spans="1:23" x14ac:dyDescent="0.2">
      <c r="A41" s="16" t="s">
        <v>16</v>
      </c>
      <c r="B41" s="35">
        <f>B7+B8+B12+B13+B17+B19+B20+B21+B22+B23+B24+B31+B32+B34</f>
        <v>5485554</v>
      </c>
      <c r="C41" s="35"/>
      <c r="D41" s="35">
        <f>D7+D8+D12+D13+D17+D19+D20+D21+D22+D23+D24+D31+D32+D34</f>
        <v>5485554</v>
      </c>
      <c r="E41" s="35"/>
      <c r="F41" s="35">
        <f>F7+F8+F12+F13+F17+F19+F20+F21+F22+F23+F24+F31+F32+F34</f>
        <v>5485554</v>
      </c>
    </row>
    <row r="42" spans="1:23" x14ac:dyDescent="0.2">
      <c r="A42" s="16" t="s">
        <v>85</v>
      </c>
      <c r="B42" s="35">
        <f>B30</f>
        <v>500000</v>
      </c>
      <c r="C42" s="35"/>
      <c r="D42" s="35">
        <f>D30</f>
        <v>500000</v>
      </c>
      <c r="E42" s="35"/>
      <c r="F42" s="35">
        <f>F30</f>
        <v>500000</v>
      </c>
    </row>
    <row r="43" spans="1:23" x14ac:dyDescent="0.2">
      <c r="A43" s="16" t="s">
        <v>29</v>
      </c>
      <c r="B43" s="35">
        <f>B27</f>
        <v>8500000</v>
      </c>
      <c r="C43" s="35"/>
      <c r="D43" s="35">
        <f>D27</f>
        <v>8500000</v>
      </c>
      <c r="E43" s="35"/>
      <c r="F43" s="35">
        <f>F27</f>
        <v>250000</v>
      </c>
    </row>
    <row r="44" spans="1:23" x14ac:dyDescent="0.2">
      <c r="B44" s="37">
        <f>SUM(B39:B43)</f>
        <v>31857432</v>
      </c>
      <c r="C44" s="37"/>
      <c r="D44" s="38">
        <f>SUM(D39:D43)</f>
        <v>32331654</v>
      </c>
      <c r="E44" s="39"/>
      <c r="F44" s="38">
        <f>SUM(F39:F43)</f>
        <v>25420254</v>
      </c>
      <c r="G44" s="101"/>
      <c r="H44" s="4"/>
    </row>
    <row r="45" spans="1:23" hidden="1" x14ac:dyDescent="0.2">
      <c r="B45" s="35">
        <f>B44-B36</f>
        <v>0</v>
      </c>
      <c r="C45" s="35"/>
      <c r="D45" s="35">
        <f>D44-D36</f>
        <v>0</v>
      </c>
      <c r="E45" s="35"/>
      <c r="F45" s="35"/>
    </row>
    <row r="47" spans="1:23" x14ac:dyDescent="0.2">
      <c r="A47" s="36" t="s">
        <v>30</v>
      </c>
    </row>
    <row r="48" spans="1:23" x14ac:dyDescent="0.2">
      <c r="A48" s="16" t="s">
        <v>31</v>
      </c>
      <c r="E48" s="19" t="s">
        <v>74</v>
      </c>
      <c r="F48" s="16"/>
    </row>
    <row r="49" spans="1:19" x14ac:dyDescent="0.2">
      <c r="A49" s="16" t="s">
        <v>33</v>
      </c>
      <c r="E49" s="19" t="s">
        <v>74</v>
      </c>
      <c r="F49" s="16"/>
    </row>
    <row r="50" spans="1:19" x14ac:dyDescent="0.2">
      <c r="A50" s="16" t="s">
        <v>35</v>
      </c>
      <c r="E50" s="19" t="s">
        <v>118</v>
      </c>
      <c r="F50" s="16"/>
    </row>
    <row r="51" spans="1:19" x14ac:dyDescent="0.2">
      <c r="A51" s="16" t="s">
        <v>36</v>
      </c>
      <c r="E51" s="67" t="s">
        <v>119</v>
      </c>
      <c r="F51" s="63"/>
      <c r="G51" s="63"/>
      <c r="H51" s="63"/>
      <c r="I51" s="63"/>
      <c r="J51" s="63"/>
      <c r="K51" s="63"/>
      <c r="L51" s="63"/>
      <c r="M51" s="63"/>
      <c r="N51" s="63"/>
      <c r="O51" s="63"/>
      <c r="P51" s="63"/>
      <c r="Q51" s="63"/>
      <c r="R51" s="63"/>
      <c r="S51" s="63"/>
    </row>
    <row r="52" spans="1:19" x14ac:dyDescent="0.2">
      <c r="A52" s="16" t="s">
        <v>38</v>
      </c>
      <c r="E52" s="67" t="s">
        <v>505</v>
      </c>
      <c r="F52" s="63"/>
      <c r="G52" s="63"/>
      <c r="H52" s="63"/>
      <c r="I52" s="63"/>
      <c r="J52" s="63"/>
      <c r="K52" s="63"/>
      <c r="L52" s="63"/>
      <c r="M52" s="63"/>
      <c r="N52" s="63"/>
      <c r="O52" s="63"/>
      <c r="P52" s="63"/>
      <c r="Q52" s="63"/>
      <c r="R52" s="63"/>
      <c r="S52" s="63"/>
    </row>
    <row r="53" spans="1:19" x14ac:dyDescent="0.2">
      <c r="A53" s="16" t="s">
        <v>39</v>
      </c>
      <c r="E53" s="67" t="s">
        <v>120</v>
      </c>
      <c r="F53" s="63"/>
      <c r="G53" s="63"/>
      <c r="H53" s="63"/>
      <c r="I53" s="63"/>
      <c r="J53" s="63"/>
      <c r="K53" s="63"/>
      <c r="L53" s="63"/>
      <c r="M53" s="63"/>
      <c r="N53" s="63"/>
      <c r="O53" s="63"/>
      <c r="P53" s="63"/>
      <c r="Q53" s="63"/>
      <c r="R53" s="63"/>
      <c r="S53" s="63"/>
    </row>
    <row r="54" spans="1:19" x14ac:dyDescent="0.2">
      <c r="E54" s="67"/>
      <c r="F54" s="67"/>
      <c r="G54" s="63"/>
      <c r="H54" s="63"/>
      <c r="I54" s="63"/>
      <c r="J54" s="63"/>
      <c r="K54" s="63"/>
      <c r="L54" s="63"/>
      <c r="M54" s="63"/>
      <c r="N54" s="63"/>
      <c r="O54" s="63"/>
      <c r="P54" s="63"/>
      <c r="Q54" s="63"/>
      <c r="R54" s="63"/>
      <c r="S54" s="63"/>
    </row>
    <row r="55" spans="1:19" x14ac:dyDescent="0.2">
      <c r="E55" s="67"/>
      <c r="F55" s="67"/>
      <c r="G55" s="63"/>
      <c r="H55" s="63"/>
      <c r="I55" s="63"/>
      <c r="J55" s="63"/>
      <c r="K55" s="63"/>
      <c r="L55" s="63"/>
      <c r="M55" s="63"/>
      <c r="N55" s="63"/>
      <c r="O55" s="63"/>
      <c r="P55" s="63"/>
      <c r="Q55" s="63"/>
      <c r="R55" s="63"/>
      <c r="S55" s="63"/>
    </row>
    <row r="56" spans="1:19" x14ac:dyDescent="0.2">
      <c r="E56" s="67"/>
      <c r="F56" s="67"/>
      <c r="G56" s="63"/>
      <c r="H56" s="63"/>
      <c r="I56" s="63"/>
      <c r="J56" s="63"/>
      <c r="K56" s="63"/>
      <c r="L56" s="63"/>
      <c r="M56" s="63"/>
      <c r="N56" s="63"/>
      <c r="O56" s="63"/>
      <c r="P56" s="63"/>
      <c r="Q56" s="63"/>
      <c r="R56" s="63"/>
      <c r="S56" s="63"/>
    </row>
    <row r="57" spans="1:19" x14ac:dyDescent="0.2">
      <c r="E57" s="67"/>
      <c r="F57" s="67"/>
      <c r="G57" s="63"/>
      <c r="H57" s="63"/>
      <c r="I57" s="63"/>
      <c r="J57" s="63"/>
      <c r="K57" s="63"/>
      <c r="L57" s="63"/>
      <c r="M57" s="63"/>
      <c r="N57" s="63"/>
      <c r="O57" s="63"/>
      <c r="P57" s="63"/>
      <c r="Q57" s="63"/>
      <c r="R57" s="63"/>
      <c r="S57" s="6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workbookViewId="0">
      <selection activeCell="E30" sqref="E30"/>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0.7109375" style="16" bestFit="1" customWidth="1"/>
    <col min="6" max="6" width="16.710937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122</v>
      </c>
      <c r="B3" s="35">
        <v>2886100</v>
      </c>
      <c r="C3" s="35">
        <f>ROUND(B3/132*141.9,-2)</f>
        <v>3102600</v>
      </c>
      <c r="D3" s="63" t="s">
        <v>108</v>
      </c>
      <c r="G3" s="70"/>
      <c r="H3" s="18"/>
      <c r="I3" s="16" t="s">
        <v>54</v>
      </c>
    </row>
    <row r="4" spans="1:23" x14ac:dyDescent="0.2">
      <c r="A4" s="99"/>
      <c r="B4" s="35">
        <v>1731000</v>
      </c>
      <c r="C4" s="35">
        <v>1731000</v>
      </c>
      <c r="D4" s="63" t="s">
        <v>16</v>
      </c>
      <c r="E4" s="16" t="s">
        <v>47</v>
      </c>
      <c r="F4" s="17" t="s">
        <v>123</v>
      </c>
      <c r="G4" s="70">
        <v>42493</v>
      </c>
      <c r="H4" s="18">
        <v>43588</v>
      </c>
      <c r="I4" s="16" t="s">
        <v>49</v>
      </c>
      <c r="J4" s="16" t="s">
        <v>124</v>
      </c>
      <c r="L4" s="17"/>
      <c r="M4" s="17"/>
    </row>
    <row r="5" spans="1:23" x14ac:dyDescent="0.2">
      <c r="B5" s="35">
        <v>550000</v>
      </c>
      <c r="C5" s="35">
        <v>550000</v>
      </c>
      <c r="D5" s="71" t="s">
        <v>16</v>
      </c>
      <c r="E5" s="16" t="s">
        <v>47</v>
      </c>
      <c r="F5" s="17" t="s">
        <v>123</v>
      </c>
      <c r="G5" s="70">
        <v>42493</v>
      </c>
      <c r="H5" s="18">
        <v>43588</v>
      </c>
      <c r="I5" s="16" t="s">
        <v>54</v>
      </c>
      <c r="L5" s="17"/>
      <c r="M5" s="17"/>
    </row>
    <row r="6" spans="1:23" x14ac:dyDescent="0.2">
      <c r="A6" s="69"/>
      <c r="B6" s="35">
        <v>6580</v>
      </c>
      <c r="C6" s="35">
        <v>6580</v>
      </c>
      <c r="D6" s="63" t="s">
        <v>16</v>
      </c>
      <c r="G6" s="70"/>
      <c r="H6" s="18"/>
      <c r="I6" s="16" t="s">
        <v>54</v>
      </c>
      <c r="J6" s="16" t="s">
        <v>125</v>
      </c>
    </row>
    <row r="7" spans="1:23" x14ac:dyDescent="0.2">
      <c r="A7" s="16" t="s">
        <v>126</v>
      </c>
      <c r="B7" s="35">
        <v>603070</v>
      </c>
      <c r="C7" s="35">
        <v>603070</v>
      </c>
      <c r="D7" s="63" t="s">
        <v>85</v>
      </c>
      <c r="G7" s="70"/>
      <c r="H7" s="18"/>
      <c r="I7" s="16" t="s">
        <v>54</v>
      </c>
      <c r="J7" s="16" t="s">
        <v>127</v>
      </c>
    </row>
    <row r="8" spans="1:23" x14ac:dyDescent="0.2">
      <c r="B8" s="35"/>
      <c r="C8" s="14">
        <v>0</v>
      </c>
      <c r="D8" s="13" t="s">
        <v>20</v>
      </c>
      <c r="E8" s="13"/>
      <c r="J8" s="16" t="s">
        <v>21</v>
      </c>
    </row>
    <row r="9" spans="1:23" x14ac:dyDescent="0.2">
      <c r="B9" s="35"/>
      <c r="C9" s="14">
        <v>0</v>
      </c>
      <c r="D9" s="13" t="s">
        <v>22</v>
      </c>
      <c r="E9" s="13"/>
    </row>
    <row r="10" spans="1:23" x14ac:dyDescent="0.2">
      <c r="B10" s="35">
        <v>4502770</v>
      </c>
      <c r="C10" s="14">
        <v>500000</v>
      </c>
      <c r="D10" s="13" t="s">
        <v>23</v>
      </c>
      <c r="E10" s="13"/>
      <c r="J10" s="16" t="s">
        <v>24</v>
      </c>
    </row>
    <row r="11" spans="1:23" x14ac:dyDescent="0.2">
      <c r="B11" s="35"/>
      <c r="C11" s="14">
        <v>0</v>
      </c>
      <c r="D11" s="13" t="s">
        <v>25</v>
      </c>
      <c r="E11" s="13"/>
    </row>
    <row r="12" spans="1:23" x14ac:dyDescent="0.2">
      <c r="B12" s="35"/>
      <c r="C12" s="14">
        <v>0</v>
      </c>
      <c r="D12" s="13" t="s">
        <v>26</v>
      </c>
      <c r="E12" s="13"/>
    </row>
    <row r="13" spans="1:23" x14ac:dyDescent="0.2">
      <c r="A13" s="16" t="s">
        <v>128</v>
      </c>
      <c r="B13" s="35">
        <v>15000</v>
      </c>
      <c r="C13" s="35">
        <v>15000</v>
      </c>
      <c r="D13" s="71" t="s">
        <v>16</v>
      </c>
      <c r="G13" s="70"/>
      <c r="I13" s="16" t="s">
        <v>54</v>
      </c>
    </row>
    <row r="14" spans="1:23" x14ac:dyDescent="0.2">
      <c r="B14" s="35">
        <v>57000</v>
      </c>
      <c r="C14" s="35">
        <v>57000</v>
      </c>
      <c r="D14" s="71" t="s">
        <v>16</v>
      </c>
      <c r="E14" s="16" t="s">
        <v>47</v>
      </c>
      <c r="F14" s="17" t="s">
        <v>129</v>
      </c>
      <c r="G14" s="70">
        <v>42493</v>
      </c>
      <c r="H14" s="18">
        <v>43588</v>
      </c>
      <c r="I14" s="16" t="s">
        <v>49</v>
      </c>
    </row>
    <row r="15" spans="1:23" x14ac:dyDescent="0.2">
      <c r="B15" s="35">
        <v>6000</v>
      </c>
      <c r="C15" s="35">
        <v>6000</v>
      </c>
      <c r="D15" s="63" t="s">
        <v>16</v>
      </c>
      <c r="E15" s="16" t="s">
        <v>47</v>
      </c>
      <c r="F15" s="17" t="s">
        <v>129</v>
      </c>
      <c r="G15" s="70">
        <v>42493</v>
      </c>
      <c r="H15" s="18">
        <v>43588</v>
      </c>
      <c r="I15" s="16" t="s">
        <v>54</v>
      </c>
    </row>
    <row r="16" spans="1:23" x14ac:dyDescent="0.2">
      <c r="A16" s="13"/>
      <c r="B16" s="14"/>
      <c r="C16" s="14"/>
      <c r="D16" s="13"/>
      <c r="E16" s="13"/>
    </row>
    <row r="17" spans="1:23" ht="13.5" thickBot="1" x14ac:dyDescent="0.25">
      <c r="A17" s="13"/>
      <c r="B17" s="28"/>
      <c r="C17" s="28"/>
      <c r="E17" s="13"/>
    </row>
    <row r="18" spans="1:23" s="4" customFormat="1" ht="13.5" thickBot="1" x14ac:dyDescent="0.25">
      <c r="A18" s="4" t="s">
        <v>27</v>
      </c>
      <c r="B18" s="47">
        <f>SUM(B3:B16)</f>
        <v>10357520</v>
      </c>
      <c r="C18" s="47">
        <f>SUM(C3:C16)</f>
        <v>6571250</v>
      </c>
      <c r="E18" s="32"/>
      <c r="F18" s="33"/>
      <c r="G18" s="33"/>
      <c r="H18" s="33"/>
      <c r="W18" s="5"/>
    </row>
    <row r="19" spans="1:23" x14ac:dyDescent="0.2">
      <c r="B19" s="34"/>
      <c r="C19" s="34"/>
      <c r="E19" s="13"/>
    </row>
    <row r="20" spans="1:23" x14ac:dyDescent="0.2">
      <c r="B20" s="35"/>
      <c r="C20" s="35"/>
      <c r="F20" s="16"/>
      <c r="G20" s="16"/>
      <c r="H20" s="16"/>
      <c r="W20" s="16"/>
    </row>
    <row r="21" spans="1:23" x14ac:dyDescent="0.2">
      <c r="A21" s="36" t="s">
        <v>28</v>
      </c>
      <c r="B21" s="35"/>
      <c r="C21" s="35"/>
      <c r="F21" s="16"/>
      <c r="G21" s="16"/>
      <c r="H21" s="16"/>
      <c r="W21" s="16"/>
    </row>
    <row r="22" spans="1:23" x14ac:dyDescent="0.2">
      <c r="A22" s="63" t="s">
        <v>108</v>
      </c>
      <c r="B22" s="35">
        <f>B3</f>
        <v>2886100</v>
      </c>
      <c r="C22" s="35">
        <f>C3</f>
        <v>3102600</v>
      </c>
      <c r="D22" s="35"/>
      <c r="E22" s="19"/>
      <c r="F22" s="16"/>
      <c r="G22" s="16"/>
      <c r="H22" s="16"/>
      <c r="W22" s="16"/>
    </row>
    <row r="23" spans="1:23" x14ac:dyDescent="0.2">
      <c r="A23" s="16" t="s">
        <v>16</v>
      </c>
      <c r="B23" s="35">
        <f>B4+B5+B6+B14+B15+B13</f>
        <v>2365580</v>
      </c>
      <c r="C23" s="35">
        <f>C4+C5+C6+C14+C15+C13</f>
        <v>2365580</v>
      </c>
      <c r="D23" s="35"/>
      <c r="E23" s="19"/>
      <c r="F23" s="16"/>
      <c r="G23" s="16"/>
      <c r="H23" s="16"/>
      <c r="W23" s="16"/>
    </row>
    <row r="24" spans="1:23" x14ac:dyDescent="0.2">
      <c r="A24" s="16" t="s">
        <v>85</v>
      </c>
      <c r="B24" s="35">
        <f>B7</f>
        <v>603070</v>
      </c>
      <c r="C24" s="35">
        <f>C7</f>
        <v>603070</v>
      </c>
      <c r="D24" s="35"/>
      <c r="F24" s="16"/>
      <c r="G24" s="16"/>
      <c r="H24" s="16"/>
      <c r="W24" s="16"/>
    </row>
    <row r="25" spans="1:23" x14ac:dyDescent="0.2">
      <c r="A25" s="63" t="s">
        <v>29</v>
      </c>
      <c r="B25" s="35">
        <f>B10</f>
        <v>4502770</v>
      </c>
      <c r="C25" s="35">
        <f>C10</f>
        <v>500000</v>
      </c>
      <c r="D25" s="35"/>
      <c r="F25" s="16"/>
      <c r="G25" s="16"/>
      <c r="H25" s="16"/>
      <c r="W25" s="16"/>
    </row>
    <row r="26" spans="1:23" hidden="1" x14ac:dyDescent="0.2">
      <c r="A26" s="16" t="s">
        <v>130</v>
      </c>
      <c r="B26" s="35" t="e">
        <f>#REF!</f>
        <v>#REF!</v>
      </c>
      <c r="C26" s="35"/>
      <c r="D26" s="35"/>
      <c r="F26" s="16"/>
      <c r="G26" s="16"/>
      <c r="H26" s="16"/>
      <c r="W26" s="16"/>
    </row>
    <row r="27" spans="1:23" x14ac:dyDescent="0.2">
      <c r="B27" s="35"/>
      <c r="C27" s="35"/>
      <c r="F27" s="16"/>
      <c r="G27" s="16"/>
      <c r="H27" s="16"/>
      <c r="W27" s="16"/>
    </row>
    <row r="28" spans="1:23" ht="13.5" thickBot="1" x14ac:dyDescent="0.25">
      <c r="B28" s="72" t="e">
        <f>SUM(B22:B27)</f>
        <v>#REF!</v>
      </c>
      <c r="C28" s="72">
        <f>SUM(C22:C27)</f>
        <v>6571250</v>
      </c>
      <c r="F28" s="16"/>
      <c r="G28" s="16"/>
      <c r="H28" s="16"/>
      <c r="W28" s="16"/>
    </row>
    <row r="29" spans="1:23" ht="13.5" thickTop="1" x14ac:dyDescent="0.2">
      <c r="B29" s="58"/>
      <c r="C29" s="58"/>
      <c r="F29" s="16"/>
      <c r="G29" s="16"/>
      <c r="H29" s="16"/>
      <c r="W29" s="16"/>
    </row>
    <row r="30" spans="1:23" x14ac:dyDescent="0.2">
      <c r="A30" s="36" t="s">
        <v>30</v>
      </c>
    </row>
    <row r="31" spans="1:23" x14ac:dyDescent="0.2">
      <c r="A31" s="16" t="s">
        <v>31</v>
      </c>
      <c r="C31" s="19" t="s">
        <v>74</v>
      </c>
    </row>
    <row r="32" spans="1:23" x14ac:dyDescent="0.2">
      <c r="A32" s="16" t="s">
        <v>33</v>
      </c>
      <c r="C32" s="19" t="s">
        <v>131</v>
      </c>
    </row>
    <row r="33" spans="1:3" x14ac:dyDescent="0.2">
      <c r="A33" s="16" t="s">
        <v>35</v>
      </c>
    </row>
    <row r="34" spans="1:3" x14ac:dyDescent="0.2">
      <c r="A34" s="16" t="s">
        <v>36</v>
      </c>
      <c r="C34" s="19" t="s">
        <v>132</v>
      </c>
    </row>
    <row r="35" spans="1:3" x14ac:dyDescent="0.2">
      <c r="A35" s="16" t="s">
        <v>38</v>
      </c>
      <c r="C35" s="19" t="s">
        <v>132</v>
      </c>
    </row>
    <row r="36" spans="1:3" x14ac:dyDescent="0.2">
      <c r="A36" s="16" t="s">
        <v>39</v>
      </c>
      <c r="C36" s="19" t="s">
        <v>132</v>
      </c>
    </row>
  </sheetData>
  <mergeCells count="2">
    <mergeCell ref="F1:H1"/>
    <mergeCell ref="L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workbookViewId="0">
      <selection activeCell="E35" sqref="E35"/>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6.2851562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133</v>
      </c>
      <c r="B3" s="73">
        <v>643100</v>
      </c>
      <c r="C3" s="35">
        <f>ROUND(B3/132*141.9,-2)</f>
        <v>691300</v>
      </c>
      <c r="D3" s="63" t="s">
        <v>108</v>
      </c>
      <c r="G3" s="70"/>
      <c r="H3" s="18"/>
      <c r="I3" s="16" t="s">
        <v>54</v>
      </c>
    </row>
    <row r="4" spans="1:23" x14ac:dyDescent="0.2">
      <c r="A4" s="99"/>
      <c r="B4" s="35">
        <v>2553000</v>
      </c>
      <c r="C4" s="35">
        <f>B4</f>
        <v>2553000</v>
      </c>
      <c r="D4" s="63" t="s">
        <v>16</v>
      </c>
      <c r="E4" s="16" t="s">
        <v>134</v>
      </c>
      <c r="F4" s="17" t="s">
        <v>135</v>
      </c>
      <c r="G4" s="70">
        <v>43712</v>
      </c>
      <c r="H4" s="18">
        <v>44808</v>
      </c>
      <c r="I4" s="16" t="s">
        <v>49</v>
      </c>
      <c r="J4" s="16" t="s">
        <v>136</v>
      </c>
      <c r="L4" s="17"/>
      <c r="M4" s="17"/>
    </row>
    <row r="5" spans="1:23" x14ac:dyDescent="0.2">
      <c r="B5" s="35">
        <v>275000</v>
      </c>
      <c r="C5" s="35">
        <f t="shared" ref="C5:C11" si="0">B5</f>
        <v>275000</v>
      </c>
      <c r="D5" s="71" t="s">
        <v>16</v>
      </c>
      <c r="E5" s="16" t="s">
        <v>134</v>
      </c>
      <c r="F5" s="17" t="s">
        <v>135</v>
      </c>
      <c r="G5" s="70">
        <v>43712</v>
      </c>
      <c r="H5" s="18">
        <v>44808</v>
      </c>
      <c r="I5" s="16" t="s">
        <v>54</v>
      </c>
      <c r="L5" s="17"/>
      <c r="M5" s="17"/>
    </row>
    <row r="6" spans="1:23" x14ac:dyDescent="0.2">
      <c r="A6" s="69" t="s">
        <v>137</v>
      </c>
      <c r="B6" s="35">
        <v>197000</v>
      </c>
      <c r="C6" s="35">
        <f t="shared" si="0"/>
        <v>197000</v>
      </c>
      <c r="D6" s="63" t="s">
        <v>16</v>
      </c>
      <c r="E6" s="16" t="s">
        <v>134</v>
      </c>
      <c r="F6" s="17" t="s">
        <v>138</v>
      </c>
      <c r="G6" s="70">
        <v>43712</v>
      </c>
      <c r="H6" s="18">
        <v>44808</v>
      </c>
      <c r="I6" s="16" t="s">
        <v>49</v>
      </c>
      <c r="J6" s="16" t="s">
        <v>139</v>
      </c>
    </row>
    <row r="7" spans="1:23" x14ac:dyDescent="0.2">
      <c r="B7" s="35">
        <v>25000</v>
      </c>
      <c r="C7" s="35">
        <f t="shared" si="0"/>
        <v>25000</v>
      </c>
      <c r="D7" s="71" t="s">
        <v>16</v>
      </c>
      <c r="E7" s="16" t="s">
        <v>134</v>
      </c>
      <c r="F7" s="17" t="s">
        <v>138</v>
      </c>
      <c r="G7" s="70">
        <v>43712</v>
      </c>
      <c r="H7" s="18">
        <v>44808</v>
      </c>
      <c r="I7" s="16" t="s">
        <v>54</v>
      </c>
    </row>
    <row r="8" spans="1:23" x14ac:dyDescent="0.2">
      <c r="A8" s="16" t="s">
        <v>140</v>
      </c>
      <c r="B8" s="35">
        <v>356000</v>
      </c>
      <c r="C8" s="35">
        <f t="shared" si="0"/>
        <v>356000</v>
      </c>
      <c r="D8" s="63" t="s">
        <v>16</v>
      </c>
      <c r="E8" s="16" t="s">
        <v>134</v>
      </c>
      <c r="F8" s="17" t="s">
        <v>141</v>
      </c>
      <c r="G8" s="70">
        <v>43712</v>
      </c>
      <c r="H8" s="18">
        <v>44808</v>
      </c>
      <c r="I8" s="16" t="s">
        <v>49</v>
      </c>
      <c r="J8" s="16" t="s">
        <v>142</v>
      </c>
    </row>
    <row r="9" spans="1:23" x14ac:dyDescent="0.2">
      <c r="B9" s="35">
        <v>75000</v>
      </c>
      <c r="C9" s="35">
        <f t="shared" si="0"/>
        <v>75000</v>
      </c>
      <c r="D9" s="63" t="s">
        <v>16</v>
      </c>
      <c r="E9" s="16" t="s">
        <v>134</v>
      </c>
      <c r="F9" s="17" t="s">
        <v>141</v>
      </c>
      <c r="G9" s="70">
        <v>43712</v>
      </c>
      <c r="H9" s="18">
        <v>44808</v>
      </c>
      <c r="I9" s="16" t="s">
        <v>54</v>
      </c>
    </row>
    <row r="10" spans="1:23" x14ac:dyDescent="0.2">
      <c r="B10" s="35">
        <v>125000</v>
      </c>
      <c r="C10" s="35">
        <f t="shared" si="0"/>
        <v>125000</v>
      </c>
      <c r="D10" s="71" t="s">
        <v>85</v>
      </c>
      <c r="G10" s="70"/>
      <c r="I10" s="16" t="s">
        <v>54</v>
      </c>
      <c r="J10" s="16" t="s">
        <v>127</v>
      </c>
    </row>
    <row r="11" spans="1:23" x14ac:dyDescent="0.2">
      <c r="A11" s="16" t="s">
        <v>143</v>
      </c>
      <c r="B11" s="35">
        <v>91140</v>
      </c>
      <c r="C11" s="35">
        <f t="shared" si="0"/>
        <v>91140</v>
      </c>
      <c r="D11" s="71" t="s">
        <v>16</v>
      </c>
      <c r="G11" s="70"/>
      <c r="H11" s="18"/>
      <c r="I11" s="16" t="s">
        <v>54</v>
      </c>
      <c r="J11" s="16" t="s">
        <v>144</v>
      </c>
    </row>
    <row r="12" spans="1:23" x14ac:dyDescent="0.2">
      <c r="B12" s="35"/>
      <c r="C12" s="14">
        <v>0</v>
      </c>
      <c r="D12" s="13" t="s">
        <v>20</v>
      </c>
      <c r="E12" s="13"/>
      <c r="J12" s="16" t="s">
        <v>21</v>
      </c>
    </row>
    <row r="13" spans="1:23" x14ac:dyDescent="0.2">
      <c r="B13" s="35"/>
      <c r="C13" s="14">
        <v>0</v>
      </c>
      <c r="D13" s="13" t="s">
        <v>22</v>
      </c>
      <c r="E13" s="13"/>
    </row>
    <row r="14" spans="1:23" x14ac:dyDescent="0.2">
      <c r="A14" s="16" t="s">
        <v>21</v>
      </c>
      <c r="B14" s="35">
        <v>1397421</v>
      </c>
      <c r="C14" s="14">
        <v>1250000</v>
      </c>
      <c r="D14" s="13" t="s">
        <v>23</v>
      </c>
      <c r="E14" s="13"/>
      <c r="J14" s="16" t="s">
        <v>24</v>
      </c>
    </row>
    <row r="15" spans="1:23" x14ac:dyDescent="0.2">
      <c r="B15" s="35">
        <v>375000</v>
      </c>
      <c r="C15" s="14">
        <v>0</v>
      </c>
      <c r="D15" s="13" t="s">
        <v>25</v>
      </c>
      <c r="E15" s="13"/>
    </row>
    <row r="16" spans="1:23" x14ac:dyDescent="0.2">
      <c r="B16" s="35"/>
      <c r="C16" s="14">
        <v>500000</v>
      </c>
      <c r="D16" s="13" t="s">
        <v>26</v>
      </c>
      <c r="E16" s="13"/>
    </row>
    <row r="17" spans="1:23" x14ac:dyDescent="0.2">
      <c r="B17" s="102"/>
      <c r="C17" s="103"/>
      <c r="D17" s="13"/>
      <c r="E17" s="13"/>
    </row>
    <row r="18" spans="1:23" ht="13.5" thickBot="1" x14ac:dyDescent="0.25">
      <c r="B18" s="102"/>
      <c r="C18" s="103"/>
      <c r="D18" s="13"/>
      <c r="E18" s="13"/>
    </row>
    <row r="19" spans="1:23" s="4" customFormat="1" ht="13.5" thickBot="1" x14ac:dyDescent="0.25">
      <c r="A19" s="4" t="s">
        <v>27</v>
      </c>
      <c r="B19" s="47">
        <f>SUM(B3:B16)</f>
        <v>6112661</v>
      </c>
      <c r="C19" s="47">
        <f>SUM(C3:C16)</f>
        <v>6138440</v>
      </c>
      <c r="E19" s="32"/>
      <c r="F19" s="33"/>
      <c r="G19" s="33"/>
      <c r="H19" s="33"/>
      <c r="W19" s="5"/>
    </row>
    <row r="20" spans="1:23" x14ac:dyDescent="0.2">
      <c r="B20" s="34"/>
      <c r="C20" s="34"/>
      <c r="E20" s="13"/>
    </row>
    <row r="21" spans="1:23" x14ac:dyDescent="0.2">
      <c r="B21" s="35"/>
      <c r="C21" s="35"/>
    </row>
    <row r="22" spans="1:23" x14ac:dyDescent="0.2">
      <c r="A22" s="36" t="s">
        <v>28</v>
      </c>
      <c r="B22" s="35"/>
      <c r="C22" s="35"/>
    </row>
    <row r="23" spans="1:23" x14ac:dyDescent="0.2">
      <c r="A23" s="16" t="s">
        <v>13</v>
      </c>
      <c r="B23" s="35"/>
      <c r="C23" s="35"/>
      <c r="E23" s="19"/>
    </row>
    <row r="24" spans="1:23" x14ac:dyDescent="0.2">
      <c r="A24" s="16" t="s">
        <v>16</v>
      </c>
      <c r="B24" s="35">
        <f>B4+B5+B6+B7+B8+B9+B11</f>
        <v>3572140</v>
      </c>
      <c r="C24" s="35">
        <f>C4+C5+C6+C7+C8+C9+C11</f>
        <v>3572140</v>
      </c>
      <c r="E24" s="19"/>
    </row>
    <row r="25" spans="1:23" x14ac:dyDescent="0.2">
      <c r="A25" s="16" t="s">
        <v>85</v>
      </c>
      <c r="B25" s="35">
        <f>B10</f>
        <v>125000</v>
      </c>
      <c r="C25" s="35">
        <f>C10</f>
        <v>125000</v>
      </c>
    </row>
    <row r="26" spans="1:23" x14ac:dyDescent="0.2">
      <c r="A26" s="16" t="s">
        <v>108</v>
      </c>
      <c r="B26" s="35">
        <f>B3</f>
        <v>643100</v>
      </c>
      <c r="C26" s="35">
        <f>C3</f>
        <v>691300</v>
      </c>
    </row>
    <row r="27" spans="1:23" x14ac:dyDescent="0.2">
      <c r="A27" s="16" t="s">
        <v>29</v>
      </c>
      <c r="B27" s="35">
        <f>B14</f>
        <v>1397421</v>
      </c>
      <c r="C27" s="35">
        <f>C14</f>
        <v>1250000</v>
      </c>
    </row>
    <row r="28" spans="1:23" x14ac:dyDescent="0.2">
      <c r="A28" s="13" t="s">
        <v>145</v>
      </c>
      <c r="B28" s="35">
        <f>B15</f>
        <v>375000</v>
      </c>
      <c r="C28" s="35">
        <v>500000</v>
      </c>
    </row>
    <row r="29" spans="1:23" ht="13.5" thickBot="1" x14ac:dyDescent="0.25">
      <c r="B29" s="72">
        <f>SUM(B23:B28)</f>
        <v>6112661</v>
      </c>
      <c r="C29" s="72">
        <f>SUM(C23:C28)</f>
        <v>6138440</v>
      </c>
    </row>
    <row r="30" spans="1:23" ht="13.5" thickTop="1" x14ac:dyDescent="0.2">
      <c r="B30" s="58"/>
      <c r="C30" s="58"/>
    </row>
    <row r="31" spans="1:23" x14ac:dyDescent="0.2">
      <c r="A31" s="36" t="s">
        <v>30</v>
      </c>
    </row>
    <row r="32" spans="1:23" x14ac:dyDescent="0.2">
      <c r="A32" s="16" t="s">
        <v>31</v>
      </c>
      <c r="C32" s="19" t="s">
        <v>74</v>
      </c>
    </row>
    <row r="33" spans="1:3" x14ac:dyDescent="0.2">
      <c r="A33" s="16" t="s">
        <v>33</v>
      </c>
      <c r="C33" s="19" t="s">
        <v>71</v>
      </c>
    </row>
    <row r="34" spans="1:3" x14ac:dyDescent="0.2">
      <c r="A34" s="16" t="s">
        <v>35</v>
      </c>
      <c r="C34" s="19" t="s">
        <v>34</v>
      </c>
    </row>
    <row r="35" spans="1:3" x14ac:dyDescent="0.2">
      <c r="A35" s="16" t="s">
        <v>36</v>
      </c>
    </row>
    <row r="36" spans="1:3" x14ac:dyDescent="0.2">
      <c r="A36" s="16" t="s">
        <v>38</v>
      </c>
      <c r="C36" s="19" t="s">
        <v>121</v>
      </c>
    </row>
    <row r="37" spans="1:3" x14ac:dyDescent="0.2">
      <c r="A37" s="16" t="s">
        <v>39</v>
      </c>
    </row>
  </sheetData>
  <mergeCells count="2">
    <mergeCell ref="F1:H1"/>
    <mergeCell ref="L1:M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workbookViewId="0">
      <selection activeCell="G28" sqref="G28"/>
    </sheetView>
  </sheetViews>
  <sheetFormatPr defaultColWidth="9.140625" defaultRowHeight="12.75" x14ac:dyDescent="0.2"/>
  <cols>
    <col min="1" max="1" width="51" style="16" bestFit="1" customWidth="1"/>
    <col min="2" max="2" width="19.42578125" style="19" hidden="1" customWidth="1"/>
    <col min="3" max="3" width="10.5703125" style="19" hidden="1" customWidth="1"/>
    <col min="4" max="4" width="21.85546875" style="19" hidden="1" customWidth="1"/>
    <col min="5" max="5" width="14.42578125" style="19" bestFit="1" customWidth="1"/>
    <col min="6" max="6" width="21.85546875" style="19" customWidth="1"/>
    <col min="7" max="7" width="36.7109375" style="16" bestFit="1" customWidth="1"/>
    <col min="8" max="8" width="22.7109375" style="16" hidden="1" customWidth="1"/>
    <col min="9" max="10" width="13.28515625" style="17" hidden="1" customWidth="1"/>
    <col min="11" max="11" width="11.85546875" style="17" hidden="1" customWidth="1"/>
    <col min="12" max="12" width="14.140625" style="16" hidden="1" customWidth="1"/>
    <col min="13" max="13" width="35.5703125" style="16" bestFit="1" customWidth="1"/>
    <col min="14" max="14" width="9" style="16" bestFit="1" customWidth="1"/>
    <col min="15" max="15" width="9.5703125" style="16" bestFit="1" customWidth="1"/>
    <col min="16" max="16" width="9.140625" style="16"/>
    <col min="17" max="18" width="9.5703125" style="16" bestFit="1" customWidth="1"/>
    <col min="19" max="19" width="9.140625" style="16"/>
    <col min="20" max="20" width="10.140625" style="16" bestFit="1" customWidth="1"/>
    <col min="21" max="23" width="9.140625" style="16"/>
    <col min="24" max="24" width="11.5703125" style="19" bestFit="1" customWidth="1"/>
    <col min="25" max="16384" width="9.140625" style="16"/>
  </cols>
  <sheetData>
    <row r="1" spans="1:24" s="4" customFormat="1" x14ac:dyDescent="0.2">
      <c r="A1" s="1" t="s">
        <v>0</v>
      </c>
      <c r="B1" s="2" t="s">
        <v>1</v>
      </c>
      <c r="C1" s="2" t="s">
        <v>2</v>
      </c>
      <c r="D1" s="3" t="s">
        <v>1</v>
      </c>
      <c r="E1" s="3" t="s">
        <v>2</v>
      </c>
      <c r="F1" s="3" t="s">
        <v>1</v>
      </c>
      <c r="G1" s="1" t="s">
        <v>3</v>
      </c>
      <c r="H1" s="1" t="s">
        <v>4</v>
      </c>
      <c r="I1" s="143" t="s">
        <v>5</v>
      </c>
      <c r="J1" s="144"/>
      <c r="K1" s="145"/>
      <c r="L1" s="1" t="s">
        <v>6</v>
      </c>
      <c r="M1" s="1" t="s">
        <v>7</v>
      </c>
      <c r="X1" s="5"/>
    </row>
    <row r="2" spans="1:24" s="4" customFormat="1" x14ac:dyDescent="0.2">
      <c r="A2" s="1"/>
      <c r="B2" s="6">
        <v>2018</v>
      </c>
      <c r="C2" s="7">
        <v>43466</v>
      </c>
      <c r="D2" s="8" t="s">
        <v>8</v>
      </c>
      <c r="E2" s="9">
        <v>43831</v>
      </c>
      <c r="F2" s="10">
        <v>2020</v>
      </c>
      <c r="G2" s="1"/>
      <c r="H2" s="1"/>
      <c r="I2" s="11" t="s">
        <v>9</v>
      </c>
      <c r="J2" s="12" t="s">
        <v>10</v>
      </c>
      <c r="K2" s="12" t="s">
        <v>11</v>
      </c>
      <c r="L2" s="1"/>
      <c r="M2" s="1"/>
      <c r="X2" s="5"/>
    </row>
    <row r="4" spans="1:24" x14ac:dyDescent="0.2">
      <c r="A4" s="13" t="s">
        <v>146</v>
      </c>
      <c r="B4" s="14"/>
      <c r="C4" s="15">
        <v>132</v>
      </c>
      <c r="D4" s="14">
        <v>104800</v>
      </c>
      <c r="E4" s="15">
        <v>141.9</v>
      </c>
      <c r="F4" s="14">
        <f>ROUND(D4/C4*E4,-2)</f>
        <v>112700</v>
      </c>
      <c r="G4" s="13" t="s">
        <v>108</v>
      </c>
      <c r="J4" s="18"/>
      <c r="K4" s="18"/>
    </row>
    <row r="5" spans="1:24" x14ac:dyDescent="0.2">
      <c r="A5" s="13" t="s">
        <v>146</v>
      </c>
      <c r="B5" s="14"/>
      <c r="C5" s="15"/>
      <c r="D5" s="14">
        <v>28000</v>
      </c>
      <c r="E5" s="15"/>
      <c r="F5" s="14">
        <f>D5</f>
        <v>28000</v>
      </c>
      <c r="G5" s="13" t="s">
        <v>16</v>
      </c>
      <c r="J5" s="18"/>
      <c r="K5" s="18"/>
      <c r="M5" s="16" t="s">
        <v>147</v>
      </c>
    </row>
    <row r="6" spans="1:24" x14ac:dyDescent="0.2">
      <c r="A6" s="13" t="s">
        <v>146</v>
      </c>
      <c r="B6" s="14"/>
      <c r="C6" s="15"/>
      <c r="D6" s="14">
        <v>75000</v>
      </c>
      <c r="E6" s="15"/>
      <c r="F6" s="14">
        <f>D6</f>
        <v>75000</v>
      </c>
      <c r="G6" s="13" t="s">
        <v>16</v>
      </c>
      <c r="H6" s="13"/>
      <c r="J6" s="18"/>
      <c r="K6" s="18"/>
    </row>
    <row r="7" spans="1:24" x14ac:dyDescent="0.2">
      <c r="A7" s="13" t="s">
        <v>148</v>
      </c>
      <c r="B7" s="14"/>
      <c r="C7" s="15"/>
      <c r="D7" s="14">
        <v>386000</v>
      </c>
      <c r="E7" s="15"/>
      <c r="F7" s="14">
        <f>D7</f>
        <v>386000</v>
      </c>
      <c r="G7" s="13" t="s">
        <v>16</v>
      </c>
      <c r="J7" s="18"/>
      <c r="K7" s="18"/>
      <c r="M7" s="16" t="s">
        <v>149</v>
      </c>
    </row>
    <row r="8" spans="1:24" x14ac:dyDescent="0.2">
      <c r="A8" s="13"/>
      <c r="B8" s="14"/>
      <c r="C8" s="15"/>
      <c r="D8" s="14"/>
      <c r="E8" s="15"/>
      <c r="F8" s="14">
        <v>0</v>
      </c>
      <c r="G8" s="13" t="s">
        <v>20</v>
      </c>
      <c r="H8" s="13"/>
      <c r="M8" s="16" t="s">
        <v>21</v>
      </c>
    </row>
    <row r="9" spans="1:24" x14ac:dyDescent="0.2">
      <c r="A9" s="13"/>
      <c r="B9" s="14"/>
      <c r="C9" s="15"/>
      <c r="D9" s="14"/>
      <c r="E9" s="15"/>
      <c r="F9" s="14">
        <v>0</v>
      </c>
      <c r="G9" s="13" t="s">
        <v>22</v>
      </c>
      <c r="H9" s="13"/>
    </row>
    <row r="10" spans="1:24" x14ac:dyDescent="0.2">
      <c r="A10" s="13"/>
      <c r="B10" s="14"/>
      <c r="C10" s="14"/>
      <c r="D10" s="14">
        <v>2500000</v>
      </c>
      <c r="E10" s="14"/>
      <c r="F10" s="14">
        <v>0</v>
      </c>
      <c r="G10" s="13" t="s">
        <v>23</v>
      </c>
      <c r="H10" s="13"/>
      <c r="M10" s="16" t="s">
        <v>21</v>
      </c>
    </row>
    <row r="11" spans="1:24" x14ac:dyDescent="0.2">
      <c r="A11" s="13"/>
      <c r="B11" s="28"/>
      <c r="C11" s="28"/>
      <c r="D11" s="28"/>
      <c r="E11" s="28"/>
      <c r="F11" s="14">
        <v>0</v>
      </c>
      <c r="G11" s="13" t="s">
        <v>25</v>
      </c>
      <c r="H11" s="13"/>
    </row>
    <row r="12" spans="1:24" x14ac:dyDescent="0.2">
      <c r="A12" s="13"/>
      <c r="B12" s="28"/>
      <c r="C12" s="28"/>
      <c r="D12" s="28"/>
      <c r="E12" s="28"/>
      <c r="F12" s="14">
        <v>600000</v>
      </c>
      <c r="G12" s="13" t="s">
        <v>26</v>
      </c>
      <c r="H12" s="13"/>
    </row>
    <row r="13" spans="1:24" x14ac:dyDescent="0.2">
      <c r="A13" s="13"/>
      <c r="B13" s="28"/>
      <c r="C13" s="28"/>
      <c r="D13" s="28"/>
      <c r="E13" s="28"/>
      <c r="F13" s="28"/>
      <c r="G13" s="13"/>
      <c r="H13" s="13"/>
    </row>
    <row r="14" spans="1:24" ht="13.5" thickBot="1" x14ac:dyDescent="0.25">
      <c r="A14" s="13"/>
      <c r="B14" s="28"/>
      <c r="C14" s="28"/>
      <c r="D14" s="28"/>
      <c r="E14" s="28"/>
      <c r="F14" s="28"/>
      <c r="H14" s="13"/>
    </row>
    <row r="15" spans="1:24" s="4" customFormat="1" ht="13.5" thickBot="1" x14ac:dyDescent="0.25">
      <c r="A15" s="4" t="s">
        <v>27</v>
      </c>
      <c r="B15" s="29">
        <f>SUM(B4:B10)</f>
        <v>0</v>
      </c>
      <c r="C15" s="29"/>
      <c r="D15" s="30">
        <f>SUM(D4:D10)</f>
        <v>3093800</v>
      </c>
      <c r="E15" s="41"/>
      <c r="F15" s="30">
        <f>SUM(F4:F14)</f>
        <v>1201700</v>
      </c>
      <c r="H15" s="32"/>
      <c r="I15" s="33"/>
      <c r="J15" s="33"/>
      <c r="K15" s="33"/>
      <c r="X15" s="5"/>
    </row>
    <row r="16" spans="1:24" x14ac:dyDescent="0.2">
      <c r="B16" s="34"/>
      <c r="C16" s="34"/>
      <c r="D16" s="34"/>
      <c r="E16" s="34"/>
      <c r="F16" s="34"/>
      <c r="H16" s="13"/>
    </row>
    <row r="17" spans="1:11" x14ac:dyDescent="0.2">
      <c r="B17" s="35"/>
      <c r="C17" s="35"/>
      <c r="D17" s="35"/>
      <c r="E17" s="35"/>
      <c r="F17" s="35"/>
    </row>
    <row r="18" spans="1:11" x14ac:dyDescent="0.2">
      <c r="A18" s="36" t="s">
        <v>28</v>
      </c>
      <c r="B18" s="35"/>
      <c r="C18" s="35"/>
      <c r="D18" s="35"/>
      <c r="E18" s="35"/>
      <c r="F18" s="35"/>
    </row>
    <row r="19" spans="1:11" x14ac:dyDescent="0.2">
      <c r="A19" s="16" t="s">
        <v>108</v>
      </c>
      <c r="B19" s="35">
        <f>B4</f>
        <v>0</v>
      </c>
      <c r="C19" s="35"/>
      <c r="D19" s="35">
        <f>D4</f>
        <v>104800</v>
      </c>
      <c r="E19" s="35"/>
      <c r="F19" s="35">
        <f>F4</f>
        <v>112700</v>
      </c>
    </row>
    <row r="20" spans="1:11" x14ac:dyDescent="0.2">
      <c r="A20" s="16" t="s">
        <v>16</v>
      </c>
      <c r="B20" s="35">
        <f>B7+B5+B6</f>
        <v>0</v>
      </c>
      <c r="C20" s="35"/>
      <c r="D20" s="35">
        <f>D7+D5+D6</f>
        <v>489000</v>
      </c>
      <c r="E20" s="35"/>
      <c r="F20" s="35">
        <f>F7+F5+F6</f>
        <v>489000</v>
      </c>
    </row>
    <row r="21" spans="1:11" x14ac:dyDescent="0.2">
      <c r="A21" s="16" t="s">
        <v>29</v>
      </c>
      <c r="B21" s="35">
        <f>B10</f>
        <v>0</v>
      </c>
      <c r="C21" s="35"/>
      <c r="D21" s="35">
        <f>D10</f>
        <v>2500000</v>
      </c>
      <c r="E21" s="35"/>
      <c r="F21" s="35">
        <f>F10</f>
        <v>0</v>
      </c>
    </row>
    <row r="22" spans="1:11" x14ac:dyDescent="0.2">
      <c r="A22" s="16" t="s">
        <v>150</v>
      </c>
      <c r="B22" s="34"/>
      <c r="C22" s="34"/>
      <c r="D22" s="34"/>
      <c r="E22" s="34"/>
      <c r="F22" s="35">
        <f>F12</f>
        <v>600000</v>
      </c>
    </row>
    <row r="23" spans="1:11" x14ac:dyDescent="0.2">
      <c r="B23" s="37">
        <f>SUM(B19:B21)</f>
        <v>0</v>
      </c>
      <c r="C23" s="37"/>
      <c r="D23" s="38">
        <f>SUM(D19:D21)</f>
        <v>3093800</v>
      </c>
      <c r="E23" s="39"/>
      <c r="F23" s="38">
        <f>SUM(F19:F22)</f>
        <v>1201700</v>
      </c>
    </row>
    <row r="25" spans="1:11" x14ac:dyDescent="0.2">
      <c r="A25" s="36" t="s">
        <v>30</v>
      </c>
    </row>
    <row r="26" spans="1:11" x14ac:dyDescent="0.2">
      <c r="A26" s="16" t="s">
        <v>31</v>
      </c>
      <c r="E26" s="19" t="s">
        <v>151</v>
      </c>
      <c r="J26" s="18"/>
      <c r="K26" s="18"/>
    </row>
    <row r="27" spans="1:11" x14ac:dyDescent="0.2">
      <c r="A27" s="16" t="s">
        <v>33</v>
      </c>
      <c r="E27" s="19" t="s">
        <v>132</v>
      </c>
    </row>
    <row r="28" spans="1:11" x14ac:dyDescent="0.2">
      <c r="A28" s="16" t="s">
        <v>35</v>
      </c>
    </row>
    <row r="29" spans="1:11" x14ac:dyDescent="0.2">
      <c r="A29" s="16" t="s">
        <v>36</v>
      </c>
      <c r="E29" s="19" t="s">
        <v>132</v>
      </c>
    </row>
    <row r="30" spans="1:11" x14ac:dyDescent="0.2">
      <c r="A30" s="16" t="s">
        <v>38</v>
      </c>
      <c r="E30" s="19" t="s">
        <v>132</v>
      </c>
    </row>
    <row r="31" spans="1:11" x14ac:dyDescent="0.2">
      <c r="A31" s="16" t="s">
        <v>39</v>
      </c>
    </row>
  </sheetData>
  <mergeCells count="1">
    <mergeCell ref="I1:K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workbookViewId="0">
      <selection activeCell="A24" sqref="A24:C31"/>
    </sheetView>
  </sheetViews>
  <sheetFormatPr defaultColWidth="9.140625" defaultRowHeight="12.75" x14ac:dyDescent="0.2"/>
  <cols>
    <col min="1" max="1" width="51" style="16" bestFit="1" customWidth="1"/>
    <col min="2" max="2" width="21.85546875" style="19" hidden="1" customWidth="1"/>
    <col min="3" max="3" width="21.85546875" style="19" customWidth="1"/>
    <col min="4" max="4" width="24" style="16" bestFit="1" customWidth="1"/>
    <col min="5" max="5" width="17.28515625" style="16" bestFit="1" customWidth="1"/>
    <col min="6" max="6" width="16.7109375" style="17" bestFit="1" customWidth="1"/>
    <col min="7" max="7" width="13.28515625" style="17" customWidth="1"/>
    <col min="8" max="8" width="11.85546875" style="17" customWidth="1"/>
    <col min="9" max="9" width="10.42578125" style="16" bestFit="1" customWidth="1"/>
    <col min="10" max="10" width="125.85546875" style="16" bestFit="1" customWidth="1"/>
    <col min="11" max="11" width="9" style="16" bestFit="1" customWidth="1"/>
    <col min="12" max="12" width="11.42578125" style="16" customWidth="1"/>
    <col min="13" max="13" width="13.28515625" style="16" bestFit="1" customWidth="1"/>
    <col min="14" max="14" width="9.5703125" style="16" bestFit="1" customWidth="1"/>
    <col min="15" max="15" width="9.140625" style="16"/>
    <col min="16" max="17" width="9.5703125" style="16" bestFit="1" customWidth="1"/>
    <col min="18" max="18" width="9.140625" style="16"/>
    <col min="19" max="19" width="10.140625" style="16" bestFit="1" customWidth="1"/>
    <col min="20" max="22" width="9.140625" style="16"/>
    <col min="23" max="23" width="11.5703125" style="19" bestFit="1" customWidth="1"/>
    <col min="24" max="16384" width="9.140625" style="16"/>
  </cols>
  <sheetData>
    <row r="1" spans="1:23" s="4" customFormat="1" x14ac:dyDescent="0.2">
      <c r="A1" s="1" t="s">
        <v>0</v>
      </c>
      <c r="B1" s="3" t="s">
        <v>1</v>
      </c>
      <c r="C1" s="3" t="s">
        <v>1</v>
      </c>
      <c r="D1" s="1" t="s">
        <v>3</v>
      </c>
      <c r="E1" s="1" t="s">
        <v>4</v>
      </c>
      <c r="F1" s="143" t="s">
        <v>5</v>
      </c>
      <c r="G1" s="144"/>
      <c r="H1" s="145"/>
      <c r="I1" s="1" t="s">
        <v>6</v>
      </c>
      <c r="J1" s="1" t="s">
        <v>7</v>
      </c>
      <c r="L1" s="146" t="s">
        <v>43</v>
      </c>
      <c r="M1" s="147"/>
      <c r="W1" s="5"/>
    </row>
    <row r="2" spans="1:23" s="4" customFormat="1" x14ac:dyDescent="0.2">
      <c r="A2" s="1"/>
      <c r="B2" s="8" t="s">
        <v>8</v>
      </c>
      <c r="C2" s="10">
        <v>2020</v>
      </c>
      <c r="D2" s="1"/>
      <c r="E2" s="1"/>
      <c r="F2" s="11" t="s">
        <v>9</v>
      </c>
      <c r="G2" s="12" t="s">
        <v>10</v>
      </c>
      <c r="H2" s="12" t="s">
        <v>11</v>
      </c>
      <c r="I2" s="1"/>
      <c r="J2" s="1"/>
      <c r="L2" s="59" t="s">
        <v>44</v>
      </c>
      <c r="M2" s="59" t="s">
        <v>13</v>
      </c>
      <c r="W2" s="5"/>
    </row>
    <row r="3" spans="1:23" x14ac:dyDescent="0.2">
      <c r="A3" s="69" t="s">
        <v>152</v>
      </c>
      <c r="B3" s="35">
        <v>2300500</v>
      </c>
      <c r="C3" s="35">
        <f>ROUND(B3/132*141.9,-2)</f>
        <v>2473000</v>
      </c>
      <c r="D3" s="63" t="s">
        <v>46</v>
      </c>
      <c r="G3" s="70"/>
      <c r="H3" s="18"/>
      <c r="I3" s="16" t="s">
        <v>54</v>
      </c>
    </row>
    <row r="4" spans="1:23" x14ac:dyDescent="0.2">
      <c r="A4" s="99"/>
      <c r="B4" s="35">
        <v>700964</v>
      </c>
      <c r="C4" s="35">
        <f>B4</f>
        <v>700964</v>
      </c>
      <c r="D4" s="63" t="s">
        <v>16</v>
      </c>
      <c r="G4" s="70"/>
      <c r="H4" s="18"/>
      <c r="I4" s="16" t="s">
        <v>54</v>
      </c>
      <c r="L4" s="17"/>
      <c r="M4" s="17"/>
    </row>
    <row r="5" spans="1:23" x14ac:dyDescent="0.2">
      <c r="A5" s="16" t="s">
        <v>153</v>
      </c>
      <c r="B5" s="35">
        <v>525661</v>
      </c>
      <c r="C5" s="35">
        <f>B5</f>
        <v>525661</v>
      </c>
      <c r="D5" s="71" t="s">
        <v>16</v>
      </c>
      <c r="G5" s="70"/>
      <c r="H5" s="18"/>
      <c r="I5" s="16" t="s">
        <v>54</v>
      </c>
      <c r="J5" s="16" t="s">
        <v>154</v>
      </c>
      <c r="L5" s="17"/>
      <c r="M5" s="17"/>
    </row>
    <row r="6" spans="1:23" x14ac:dyDescent="0.2">
      <c r="A6" s="69" t="s">
        <v>155</v>
      </c>
      <c r="B6" s="35">
        <v>156900</v>
      </c>
      <c r="C6" s="35">
        <f>ROUND(B6/132*141.9,-2)</f>
        <v>168700</v>
      </c>
      <c r="D6" s="63" t="s">
        <v>46</v>
      </c>
      <c r="G6" s="70"/>
      <c r="H6" s="18"/>
      <c r="I6" s="16" t="s">
        <v>54</v>
      </c>
    </row>
    <row r="7" spans="1:23" x14ac:dyDescent="0.2">
      <c r="B7" s="35">
        <v>35048</v>
      </c>
      <c r="C7" s="35">
        <f>B7</f>
        <v>35048</v>
      </c>
      <c r="D7" s="71" t="s">
        <v>16</v>
      </c>
      <c r="G7" s="70"/>
      <c r="H7" s="18"/>
      <c r="I7" s="16" t="s">
        <v>54</v>
      </c>
    </row>
    <row r="8" spans="1:23" x14ac:dyDescent="0.2">
      <c r="A8" s="16" t="s">
        <v>156</v>
      </c>
      <c r="B8" s="35">
        <v>10000</v>
      </c>
      <c r="C8" s="35">
        <f>B8</f>
        <v>10000</v>
      </c>
      <c r="D8" s="63" t="s">
        <v>16</v>
      </c>
      <c r="G8" s="70"/>
      <c r="H8" s="18"/>
      <c r="I8" s="16" t="s">
        <v>54</v>
      </c>
      <c r="J8" s="16" t="s">
        <v>157</v>
      </c>
    </row>
    <row r="9" spans="1:23" x14ac:dyDescent="0.2">
      <c r="A9" s="16" t="s">
        <v>158</v>
      </c>
      <c r="B9" s="35">
        <v>188300</v>
      </c>
      <c r="C9" s="35">
        <f>ROUND(B9/132*141.9,-2)</f>
        <v>202400</v>
      </c>
      <c r="D9" s="63" t="s">
        <v>46</v>
      </c>
      <c r="G9" s="70"/>
      <c r="H9" s="18"/>
      <c r="I9" s="16" t="s">
        <v>54</v>
      </c>
      <c r="J9" s="16" t="s">
        <v>159</v>
      </c>
    </row>
    <row r="10" spans="1:23" x14ac:dyDescent="0.2">
      <c r="B10" s="35">
        <v>50069</v>
      </c>
      <c r="C10" s="35">
        <f t="shared" ref="C10:C17" si="0">B10</f>
        <v>50069</v>
      </c>
      <c r="D10" s="63" t="s">
        <v>16</v>
      </c>
      <c r="G10" s="70"/>
      <c r="H10" s="18"/>
      <c r="I10" s="16" t="s">
        <v>54</v>
      </c>
    </row>
    <row r="11" spans="1:23" x14ac:dyDescent="0.2">
      <c r="A11" s="16" t="s">
        <v>160</v>
      </c>
      <c r="B11" s="35">
        <v>2013800</v>
      </c>
      <c r="C11" s="35">
        <f t="shared" si="0"/>
        <v>2013800</v>
      </c>
      <c r="D11" s="63" t="s">
        <v>16</v>
      </c>
      <c r="G11" s="70"/>
      <c r="H11" s="18"/>
      <c r="I11" s="16" t="s">
        <v>54</v>
      </c>
      <c r="J11" s="16" t="s">
        <v>161</v>
      </c>
    </row>
    <row r="12" spans="1:23" x14ac:dyDescent="0.2">
      <c r="B12" s="35">
        <v>250000</v>
      </c>
      <c r="C12" s="35">
        <f t="shared" si="0"/>
        <v>250000</v>
      </c>
      <c r="D12" s="63" t="s">
        <v>80</v>
      </c>
      <c r="G12" s="70"/>
      <c r="H12" s="18"/>
      <c r="I12" s="16" t="s">
        <v>54</v>
      </c>
      <c r="J12" s="16" t="s">
        <v>162</v>
      </c>
    </row>
    <row r="13" spans="1:23" x14ac:dyDescent="0.2">
      <c r="A13" s="16" t="s">
        <v>163</v>
      </c>
      <c r="B13" s="35">
        <v>35627</v>
      </c>
      <c r="C13" s="35">
        <f t="shared" si="0"/>
        <v>35627</v>
      </c>
      <c r="D13" s="71" t="s">
        <v>16</v>
      </c>
      <c r="G13" s="70"/>
      <c r="I13" s="16" t="s">
        <v>54</v>
      </c>
    </row>
    <row r="14" spans="1:23" x14ac:dyDescent="0.2">
      <c r="A14" s="16" t="s">
        <v>164</v>
      </c>
      <c r="B14" s="35">
        <v>167220</v>
      </c>
      <c r="C14" s="35">
        <f t="shared" si="0"/>
        <v>167220</v>
      </c>
      <c r="D14" s="71" t="s">
        <v>16</v>
      </c>
      <c r="G14" s="70"/>
      <c r="I14" s="16" t="s">
        <v>54</v>
      </c>
    </row>
    <row r="15" spans="1:23" x14ac:dyDescent="0.2">
      <c r="A15" s="16" t="s">
        <v>165</v>
      </c>
      <c r="B15" s="35">
        <v>3000000</v>
      </c>
      <c r="C15" s="35">
        <v>275000</v>
      </c>
      <c r="D15" s="71" t="s">
        <v>29</v>
      </c>
      <c r="G15" s="70"/>
      <c r="I15" s="16" t="s">
        <v>54</v>
      </c>
      <c r="J15" s="16" t="s">
        <v>166</v>
      </c>
    </row>
    <row r="16" spans="1:23" x14ac:dyDescent="0.2">
      <c r="B16" s="35">
        <v>1000000</v>
      </c>
      <c r="C16" s="35">
        <f t="shared" si="0"/>
        <v>1000000</v>
      </c>
      <c r="D16" s="71" t="s">
        <v>167</v>
      </c>
      <c r="G16" s="70"/>
      <c r="I16" s="16" t="s">
        <v>54</v>
      </c>
      <c r="J16" s="16" t="s">
        <v>168</v>
      </c>
    </row>
    <row r="17" spans="1:23" x14ac:dyDescent="0.2">
      <c r="B17" s="35">
        <v>100000</v>
      </c>
      <c r="C17" s="35">
        <f t="shared" si="0"/>
        <v>100000</v>
      </c>
      <c r="D17" s="71" t="s">
        <v>169</v>
      </c>
      <c r="G17" s="70"/>
      <c r="I17" s="16" t="s">
        <v>54</v>
      </c>
    </row>
    <row r="18" spans="1:23" x14ac:dyDescent="0.2">
      <c r="A18" s="13"/>
      <c r="B18" s="14"/>
      <c r="C18" s="35"/>
      <c r="D18" s="13"/>
      <c r="E18" s="13"/>
    </row>
    <row r="19" spans="1:23" ht="13.5" thickBot="1" x14ac:dyDescent="0.25">
      <c r="A19" s="13"/>
      <c r="B19" s="28"/>
      <c r="C19" s="28"/>
      <c r="E19" s="13"/>
    </row>
    <row r="20" spans="1:23" s="4" customFormat="1" ht="13.5" thickBot="1" x14ac:dyDescent="0.25">
      <c r="A20" s="4" t="s">
        <v>27</v>
      </c>
      <c r="B20" s="47">
        <f>SUM(B3:B18)</f>
        <v>10534089</v>
      </c>
      <c r="C20" s="47">
        <f>SUM(C3:C18)</f>
        <v>8007489</v>
      </c>
      <c r="E20" s="32"/>
      <c r="F20" s="33"/>
      <c r="G20" s="33"/>
      <c r="H20" s="33"/>
      <c r="W20" s="5"/>
    </row>
    <row r="21" spans="1:23" x14ac:dyDescent="0.2">
      <c r="B21" s="34"/>
      <c r="C21" s="34"/>
      <c r="E21" s="13"/>
    </row>
    <row r="22" spans="1:23" x14ac:dyDescent="0.2">
      <c r="B22" s="35"/>
      <c r="C22" s="35"/>
    </row>
    <row r="23" spans="1:23" x14ac:dyDescent="0.2">
      <c r="A23" s="36" t="s">
        <v>28</v>
      </c>
      <c r="B23" s="35"/>
      <c r="C23" s="35"/>
    </row>
    <row r="24" spans="1:23" x14ac:dyDescent="0.2">
      <c r="A24" s="63" t="s">
        <v>13</v>
      </c>
      <c r="B24" s="35">
        <f>B3+B6+B9</f>
        <v>2645700</v>
      </c>
      <c r="C24" s="35">
        <f>C3+C6+C9</f>
        <v>2844100</v>
      </c>
      <c r="D24" s="35"/>
      <c r="E24" s="19"/>
    </row>
    <row r="25" spans="1:23" x14ac:dyDescent="0.2">
      <c r="A25" s="16" t="s">
        <v>16</v>
      </c>
      <c r="B25" s="35">
        <f>B4+B5+B7+B8+B10+B11+B13+B14</f>
        <v>3538389</v>
      </c>
      <c r="C25" s="35">
        <f>C4+C5+C7+C8+C10+C11+C13+C14</f>
        <v>3538389</v>
      </c>
      <c r="D25" s="35"/>
      <c r="E25" s="19"/>
    </row>
    <row r="26" spans="1:23" x14ac:dyDescent="0.2">
      <c r="A26" s="16" t="s">
        <v>85</v>
      </c>
      <c r="B26" s="35">
        <f>B12</f>
        <v>250000</v>
      </c>
      <c r="C26" s="35">
        <f>C12</f>
        <v>250000</v>
      </c>
      <c r="D26" s="35"/>
    </row>
    <row r="27" spans="1:23" x14ac:dyDescent="0.2">
      <c r="A27" s="63" t="s">
        <v>29</v>
      </c>
      <c r="B27" s="35">
        <f>B15</f>
        <v>3000000</v>
      </c>
      <c r="C27" s="35">
        <v>275000</v>
      </c>
      <c r="D27" s="35"/>
    </row>
    <row r="28" spans="1:23" x14ac:dyDescent="0.2">
      <c r="A28" s="16" t="s">
        <v>130</v>
      </c>
      <c r="B28" s="35"/>
      <c r="C28" s="35"/>
      <c r="D28" s="35"/>
    </row>
    <row r="29" spans="1:23" x14ac:dyDescent="0.2">
      <c r="A29" s="13" t="s">
        <v>68</v>
      </c>
      <c r="B29" s="35">
        <f>B16</f>
        <v>1000000</v>
      </c>
      <c r="C29" s="35">
        <f>C16</f>
        <v>1000000</v>
      </c>
      <c r="D29" s="35"/>
    </row>
    <row r="30" spans="1:23" x14ac:dyDescent="0.2">
      <c r="A30" s="16" t="s">
        <v>170</v>
      </c>
      <c r="B30" s="35">
        <f>B17</f>
        <v>100000</v>
      </c>
      <c r="C30" s="35">
        <f>C17</f>
        <v>100000</v>
      </c>
    </row>
    <row r="31" spans="1:23" ht="13.5" thickBot="1" x14ac:dyDescent="0.25">
      <c r="B31" s="72">
        <f>SUM(B24:B30)</f>
        <v>10534089</v>
      </c>
      <c r="C31" s="72">
        <f>SUM(C24:C30)</f>
        <v>8007489</v>
      </c>
    </row>
    <row r="32" spans="1:23" ht="13.5" thickTop="1" x14ac:dyDescent="0.2">
      <c r="B32" s="58"/>
      <c r="C32" s="58"/>
    </row>
    <row r="33" spans="1:3" x14ac:dyDescent="0.2">
      <c r="A33" s="36" t="s">
        <v>30</v>
      </c>
    </row>
    <row r="34" spans="1:3" x14ac:dyDescent="0.2">
      <c r="A34" s="16" t="s">
        <v>31</v>
      </c>
      <c r="C34" s="19" t="s">
        <v>71</v>
      </c>
    </row>
    <row r="35" spans="1:3" x14ac:dyDescent="0.2">
      <c r="A35" s="16" t="s">
        <v>33</v>
      </c>
      <c r="C35" s="19" t="s">
        <v>71</v>
      </c>
    </row>
    <row r="36" spans="1:3" x14ac:dyDescent="0.2">
      <c r="A36" s="16" t="s">
        <v>35</v>
      </c>
      <c r="C36" s="19" t="s">
        <v>34</v>
      </c>
    </row>
    <row r="37" spans="1:3" x14ac:dyDescent="0.2">
      <c r="A37" s="16" t="s">
        <v>36</v>
      </c>
      <c r="C37" s="19" t="s">
        <v>171</v>
      </c>
    </row>
    <row r="38" spans="1:3" x14ac:dyDescent="0.2">
      <c r="A38" s="16" t="s">
        <v>38</v>
      </c>
      <c r="C38" s="19" t="s">
        <v>121</v>
      </c>
    </row>
    <row r="39" spans="1:3" x14ac:dyDescent="0.2">
      <c r="A39" s="16" t="s">
        <v>39</v>
      </c>
      <c r="C39" s="19" t="s">
        <v>40</v>
      </c>
    </row>
  </sheetData>
  <mergeCells count="2">
    <mergeCell ref="F1:H1"/>
    <mergeCell ref="L1:M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24</vt:i4>
      </vt:variant>
    </vt:vector>
  </HeadingPairs>
  <TitlesOfParts>
    <vt:vector size="24" baseType="lpstr">
      <vt:lpstr>Totaaloverzicht</vt:lpstr>
      <vt:lpstr>Baanbrekers</vt:lpstr>
      <vt:lpstr>Biga Groep</vt:lpstr>
      <vt:lpstr>De Zuidhoek</vt:lpstr>
      <vt:lpstr>Drechtwerk</vt:lpstr>
      <vt:lpstr>DSW Rijswijk</vt:lpstr>
      <vt:lpstr>Ferm Werk</vt:lpstr>
      <vt:lpstr>Fris Facilitair</vt:lpstr>
      <vt:lpstr>IJmond werkt</vt:lpstr>
      <vt:lpstr>Impact</vt:lpstr>
      <vt:lpstr>Inclusief Groep</vt:lpstr>
      <vt:lpstr>Kempen Plus</vt:lpstr>
      <vt:lpstr>Laborijn</vt:lpstr>
      <vt:lpstr>Lucrato</vt:lpstr>
      <vt:lpstr>MidZuid</vt:lpstr>
      <vt:lpstr>Pantar</vt:lpstr>
      <vt:lpstr>Promen</vt:lpstr>
      <vt:lpstr>Senzer</vt:lpstr>
      <vt:lpstr>Stroomopwaarts</vt:lpstr>
      <vt:lpstr>UW Werkmaatschappij</vt:lpstr>
      <vt:lpstr>Werkom</vt:lpstr>
      <vt:lpstr>Werksaam</vt:lpstr>
      <vt:lpstr>WNK</vt:lpstr>
      <vt:lpstr>WSD Groep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 Lensen</dc:creator>
  <cp:lastModifiedBy>Tessa Feller</cp:lastModifiedBy>
  <dcterms:created xsi:type="dcterms:W3CDTF">2020-08-24T09:37:22Z</dcterms:created>
  <dcterms:modified xsi:type="dcterms:W3CDTF">2020-09-01T06:37:53Z</dcterms:modified>
</cp:coreProperties>
</file>