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95" windowWidth="24240" windowHeight="13740" tabRatio="977" firstSheet="1" activeTab="1"/>
  </bookViews>
  <sheets>
    <sheet name="obv begroting" sheetId="1" state="hidden" r:id="rId1"/>
    <sheet name="producten &amp; tarieven" sheetId="12" r:id="rId2"/>
    <sheet name="Declarabiliteit &amp; soc lasten" sheetId="13" r:id="rId3"/>
    <sheet name="Salarissen" sheetId="14" r:id="rId4"/>
    <sheet name="Tarief HH" sheetId="36" r:id="rId5"/>
    <sheet name="Declarabiliteit &amp; soc lasten HH" sheetId="35" r:id="rId6"/>
    <sheet name="Denkrichting transformatie" sheetId="6" state="hidden" r:id="rId7"/>
    <sheet name="klantgroepen" sheetId="3" state="hidden" r:id="rId8"/>
    <sheet name="Blad2" sheetId="4" state="hidden" r:id="rId9"/>
    <sheet name="Per maatregel" sheetId="7" state="hidden" r:id="rId10"/>
  </sheets>
  <externalReferences>
    <externalReference r:id="rId11"/>
  </externalReferences>
  <definedNames>
    <definedName name="_xlnm.Print_Area" localSheetId="6">'Denkrichting transformatie'!$A$1:$BQ$63</definedName>
    <definedName name="_xlnm.Print_Area" localSheetId="0">'obv begroting'!$B$1:$Y$13</definedName>
    <definedName name="_xlnm.Print_Area" localSheetId="9">'Per maatregel'!$A$1:$BQ$63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35" l="1"/>
  <c r="E23" i="35"/>
  <c r="C23" i="35"/>
  <c r="C12" i="36" l="1"/>
  <c r="C2" i="36"/>
  <c r="C3" i="36" s="1"/>
  <c r="C26" i="35"/>
  <c r="C27" i="35" s="1"/>
  <c r="B20" i="35"/>
  <c r="C5" i="35"/>
  <c r="C6" i="35" s="1"/>
  <c r="C11" i="35" s="1"/>
  <c r="C14" i="35" s="1"/>
  <c r="C28" i="35" l="1"/>
  <c r="C29" i="35" s="1"/>
  <c r="C30" i="35" s="1"/>
  <c r="C31" i="35" s="1"/>
  <c r="B7" i="36" s="1"/>
  <c r="C5" i="36"/>
  <c r="C4" i="36"/>
  <c r="C6" i="36" s="1"/>
  <c r="C7" i="36" l="1"/>
  <c r="C8" i="36" s="1"/>
  <c r="C9" i="36" l="1"/>
  <c r="C10" i="36" l="1"/>
  <c r="C11" i="36" s="1"/>
  <c r="C14" i="36" l="1"/>
  <c r="C13" i="36"/>
  <c r="C24" i="12" l="1"/>
  <c r="C23" i="12"/>
  <c r="B24" i="12"/>
  <c r="B23" i="12"/>
  <c r="E5" i="13" l="1"/>
  <c r="F5" i="13"/>
  <c r="D5" i="13"/>
  <c r="C5" i="13"/>
  <c r="D11" i="12" l="1"/>
  <c r="E23" i="13" l="1"/>
  <c r="K4" i="12" l="1"/>
  <c r="L4" i="12"/>
  <c r="C6" i="13" l="1"/>
  <c r="C11" i="13" s="1"/>
  <c r="C14" i="13" s="1"/>
  <c r="H19" i="14" l="1"/>
  <c r="I17" i="12" l="1"/>
  <c r="I3" i="12"/>
  <c r="I20" i="12" l="1"/>
  <c r="I4" i="12"/>
  <c r="I5" i="12"/>
  <c r="I6" i="12"/>
  <c r="I7" i="12" l="1"/>
  <c r="H22" i="14" l="1"/>
  <c r="F22" i="14"/>
  <c r="D22" i="14"/>
  <c r="H21" i="14"/>
  <c r="F21" i="14"/>
  <c r="H20" i="14"/>
  <c r="F20" i="14"/>
  <c r="F19" i="14"/>
  <c r="K12" i="14"/>
  <c r="J22" i="14" s="1"/>
  <c r="K6" i="14"/>
  <c r="B20" i="13"/>
  <c r="F6" i="13"/>
  <c r="F11" i="13" s="1"/>
  <c r="F14" i="13" s="1"/>
  <c r="J13" i="12" s="1"/>
  <c r="E6" i="13"/>
  <c r="E11" i="13" s="1"/>
  <c r="E14" i="13" s="1"/>
  <c r="F13" i="12" s="1"/>
  <c r="L13" i="12" s="1"/>
  <c r="D6" i="13"/>
  <c r="C23" i="13" l="1"/>
  <c r="C24" i="13" s="1"/>
  <c r="E13" i="12"/>
  <c r="K13" i="12" s="1"/>
  <c r="C13" i="12"/>
  <c r="D11" i="13"/>
  <c r="D14" i="13" s="1"/>
  <c r="D19" i="14"/>
  <c r="D20" i="14"/>
  <c r="J19" i="14"/>
  <c r="D21" i="14"/>
  <c r="F24" i="14"/>
  <c r="J21" i="14"/>
  <c r="H24" i="14"/>
  <c r="J20" i="14"/>
  <c r="G13" i="12" l="1"/>
  <c r="H13" i="12"/>
  <c r="D24" i="14"/>
  <c r="J24" i="14"/>
  <c r="G28" i="14" l="1"/>
  <c r="G32" i="14"/>
  <c r="H2" i="12" s="1"/>
  <c r="H3" i="12" s="1"/>
  <c r="H5" i="12" s="1"/>
  <c r="G33" i="14"/>
  <c r="G31" i="14"/>
  <c r="G2" i="12" s="1"/>
  <c r="G3" i="12" s="1"/>
  <c r="G30" i="14"/>
  <c r="F2" i="12" s="1"/>
  <c r="G29" i="14"/>
  <c r="J2" i="12"/>
  <c r="J3" i="12" s="1"/>
  <c r="J4" i="12" s="1"/>
  <c r="E2" i="12" l="1"/>
  <c r="K2" i="12" s="1"/>
  <c r="C2" i="12"/>
  <c r="C3" i="12" s="1"/>
  <c r="F3" i="12"/>
  <c r="F6" i="12" s="1"/>
  <c r="L6" i="12" s="1"/>
  <c r="L2" i="12"/>
  <c r="H6" i="12"/>
  <c r="H7" i="12" s="1"/>
  <c r="G6" i="12"/>
  <c r="G5" i="12"/>
  <c r="J5" i="12"/>
  <c r="J6" i="12"/>
  <c r="C6" i="12" l="1"/>
  <c r="C5" i="12"/>
  <c r="E3" i="12"/>
  <c r="F5" i="12"/>
  <c r="L3" i="12"/>
  <c r="G7" i="12"/>
  <c r="J7" i="12"/>
  <c r="E27" i="13" s="1"/>
  <c r="C7" i="12" l="1"/>
  <c r="K3" i="12"/>
  <c r="E6" i="12"/>
  <c r="K6" i="12" s="1"/>
  <c r="E5" i="12"/>
  <c r="E29" i="13"/>
  <c r="E28" i="13"/>
  <c r="E30" i="13" s="1"/>
  <c r="E31" i="13" s="1"/>
  <c r="E32" i="13" s="1"/>
  <c r="M8" i="12" s="1"/>
  <c r="J8" i="12" s="1"/>
  <c r="L5" i="12"/>
  <c r="F7" i="12"/>
  <c r="C27" i="13" l="1"/>
  <c r="C28" i="13" s="1"/>
  <c r="K5" i="12"/>
  <c r="E7" i="12"/>
  <c r="J9" i="12"/>
  <c r="L7" i="12"/>
  <c r="C29" i="13" l="1"/>
  <c r="C30" i="13" s="1"/>
  <c r="C31" i="13" s="1"/>
  <c r="C32" i="13" s="1"/>
  <c r="B8" i="12" s="1"/>
  <c r="D27" i="13"/>
  <c r="K7" i="12"/>
  <c r="C8" i="12"/>
  <c r="C9" i="12" s="1"/>
  <c r="J10" i="12"/>
  <c r="J11" i="12" s="1"/>
  <c r="C10" i="12" l="1"/>
  <c r="C11" i="12" s="1"/>
  <c r="D28" i="13"/>
  <c r="D29" i="13"/>
  <c r="J12" i="12"/>
  <c r="J17" i="12" s="1"/>
  <c r="C12" i="12" l="1"/>
  <c r="D30" i="13"/>
  <c r="D31" i="13" s="1"/>
  <c r="D32" i="13" s="1"/>
  <c r="D8" i="12" s="1"/>
  <c r="J20" i="12"/>
  <c r="H8" i="12" l="1"/>
  <c r="H9" i="12" s="1"/>
  <c r="E8" i="12"/>
  <c r="G8" i="12"/>
  <c r="G9" i="12" s="1"/>
  <c r="G10" i="12" s="1"/>
  <c r="G11" i="12" s="1"/>
  <c r="G12" i="12" s="1"/>
  <c r="G17" i="12" s="1"/>
  <c r="F8" i="12"/>
  <c r="I8" i="12"/>
  <c r="I9" i="12" s="1"/>
  <c r="I10" i="12" s="1"/>
  <c r="I11" i="12" s="1"/>
  <c r="I12" i="12" s="1"/>
  <c r="F9" i="12" l="1"/>
  <c r="L8" i="12"/>
  <c r="E9" i="12"/>
  <c r="K8" i="12"/>
  <c r="G34" i="12"/>
  <c r="G35" i="12"/>
  <c r="G33" i="12"/>
  <c r="H10" i="12"/>
  <c r="H11" i="12" s="1"/>
  <c r="H12" i="12" s="1"/>
  <c r="H17" i="12" s="1"/>
  <c r="C35" i="12" l="1"/>
  <c r="C36" i="12"/>
  <c r="C34" i="12"/>
  <c r="C37" i="12"/>
  <c r="C33" i="12"/>
  <c r="K9" i="12"/>
  <c r="E10" i="12"/>
  <c r="K10" i="12" s="1"/>
  <c r="E11" i="12"/>
  <c r="L9" i="12"/>
  <c r="F10" i="12"/>
  <c r="L10" i="12" s="1"/>
  <c r="F11" i="12"/>
  <c r="F12" i="12" s="1"/>
  <c r="F17" i="12" l="1"/>
  <c r="F20" i="12" s="1"/>
  <c r="L12" i="12"/>
  <c r="L17" i="12" s="1"/>
  <c r="L20" i="12" s="1"/>
  <c r="K11" i="12"/>
  <c r="L11" i="12"/>
  <c r="E12" i="12"/>
  <c r="Q14" i="6"/>
  <c r="Q20" i="6"/>
  <c r="Q26" i="6"/>
  <c r="Q29" i="6"/>
  <c r="Q34" i="6"/>
  <c r="Q35" i="6"/>
  <c r="Q36" i="6"/>
  <c r="Q37" i="6"/>
  <c r="Q38" i="6"/>
  <c r="Q40" i="6"/>
  <c r="Q41" i="6"/>
  <c r="Q42" i="6"/>
  <c r="Q43" i="6"/>
  <c r="Q44" i="6"/>
  <c r="Q46" i="6"/>
  <c r="Q47" i="6"/>
  <c r="Q48" i="6"/>
  <c r="Q49" i="6"/>
  <c r="Q50" i="6"/>
  <c r="Q52" i="6"/>
  <c r="Q53" i="6"/>
  <c r="Q54" i="6"/>
  <c r="Q55" i="6"/>
  <c r="Q56" i="6"/>
  <c r="Q57" i="6"/>
  <c r="Q58" i="6"/>
  <c r="Q59" i="6"/>
  <c r="Q60" i="6"/>
  <c r="Q61" i="6"/>
  <c r="Q62" i="6"/>
  <c r="BK67" i="7"/>
  <c r="BG67" i="7"/>
  <c r="AR67" i="7"/>
  <c r="BL3" i="7"/>
  <c r="BM3" i="7"/>
  <c r="C3" i="7" s="1"/>
  <c r="E3" i="7"/>
  <c r="F3" i="7"/>
  <c r="G3" i="7"/>
  <c r="H3" i="7"/>
  <c r="N3" i="7" s="1"/>
  <c r="BL9" i="7"/>
  <c r="BM9" i="7" s="1"/>
  <c r="AB9" i="7" s="1"/>
  <c r="C9" i="7"/>
  <c r="BL15" i="7"/>
  <c r="BM15" i="7" s="1"/>
  <c r="BL21" i="7"/>
  <c r="BM21" i="7" s="1"/>
  <c r="BP21" i="7"/>
  <c r="AN21" i="7" s="1"/>
  <c r="BL27" i="7"/>
  <c r="BM27" i="7" s="1"/>
  <c r="BP27" i="7"/>
  <c r="AP27" i="7" s="1"/>
  <c r="BL33" i="7"/>
  <c r="BM33" i="7" s="1"/>
  <c r="BP33" i="7"/>
  <c r="BL39" i="7"/>
  <c r="BM39" i="7" s="1"/>
  <c r="C39" i="7" s="1"/>
  <c r="BL45" i="7"/>
  <c r="BM45" i="7" s="1"/>
  <c r="BL51" i="7"/>
  <c r="BM51" i="7" s="1"/>
  <c r="L51" i="7" s="1"/>
  <c r="BL4" i="7"/>
  <c r="BM4" i="7"/>
  <c r="AA4" i="7" s="1"/>
  <c r="BL5" i="7"/>
  <c r="BM5" i="7" s="1"/>
  <c r="C5" i="7"/>
  <c r="BL6" i="7"/>
  <c r="BM6" i="7" s="1"/>
  <c r="BL7" i="7"/>
  <c r="BM7" i="7" s="1"/>
  <c r="BL8" i="7"/>
  <c r="BM8" i="7" s="1"/>
  <c r="C8" i="7" s="1"/>
  <c r="BK63" i="7"/>
  <c r="Z3" i="7"/>
  <c r="AA3" i="7"/>
  <c r="AN3" i="7"/>
  <c r="AO3" i="7"/>
  <c r="AP3" i="7"/>
  <c r="BC3" i="7"/>
  <c r="BD3" i="7"/>
  <c r="AN9" i="7"/>
  <c r="BE9" i="7"/>
  <c r="AB21" i="7"/>
  <c r="BC27" i="7"/>
  <c r="AB33" i="7"/>
  <c r="Z39" i="7"/>
  <c r="BC5" i="7"/>
  <c r="BE7" i="7"/>
  <c r="BL10" i="7"/>
  <c r="BM10" i="7"/>
  <c r="BD10" i="7" s="1"/>
  <c r="BL11" i="7"/>
  <c r="BM11" i="7" s="1"/>
  <c r="BC11" i="7" s="1"/>
  <c r="BL12" i="7"/>
  <c r="BM12" i="7" s="1"/>
  <c r="BD12" i="7" s="1"/>
  <c r="BL13" i="7"/>
  <c r="BM13" i="7" s="1"/>
  <c r="BL16" i="7"/>
  <c r="BM16" i="7" s="1"/>
  <c r="AO16" i="7" s="1"/>
  <c r="BL17" i="7"/>
  <c r="BM17" i="7" s="1"/>
  <c r="BL18" i="7"/>
  <c r="BM18" i="7" s="1"/>
  <c r="BL19" i="7"/>
  <c r="BM19" i="7" s="1"/>
  <c r="BL22" i="7"/>
  <c r="BM22" i="7" s="1"/>
  <c r="BP22" i="7"/>
  <c r="BL23" i="7"/>
  <c r="BM23" i="7" s="1"/>
  <c r="BP23" i="7"/>
  <c r="BL24" i="7"/>
  <c r="BM24" i="7" s="1"/>
  <c r="BP24" i="7"/>
  <c r="BL25" i="7"/>
  <c r="BM25" i="7" s="1"/>
  <c r="BP25" i="7"/>
  <c r="BL28" i="7"/>
  <c r="BM28" i="7" s="1"/>
  <c r="BP28" i="7"/>
  <c r="BL30" i="7"/>
  <c r="BM30" i="7" s="1"/>
  <c r="BP30" i="7"/>
  <c r="BL31" i="7"/>
  <c r="BM31" i="7" s="1"/>
  <c r="BP31" i="7"/>
  <c r="BL32" i="7"/>
  <c r="BM32" i="7" s="1"/>
  <c r="BP32" i="7"/>
  <c r="BG57" i="7"/>
  <c r="BL62" i="7"/>
  <c r="BL61" i="7"/>
  <c r="BL60" i="7"/>
  <c r="BL59" i="7"/>
  <c r="BL58" i="7"/>
  <c r="BL57" i="7"/>
  <c r="BL56" i="7"/>
  <c r="BM56" i="7" s="1"/>
  <c r="BL55" i="7"/>
  <c r="BM55" i="7" s="1"/>
  <c r="BL54" i="7"/>
  <c r="BM54" i="7" s="1"/>
  <c r="BL53" i="7"/>
  <c r="BM53" i="7" s="1"/>
  <c r="BL52" i="7"/>
  <c r="BM52" i="7" s="1"/>
  <c r="BL50" i="7"/>
  <c r="BM50" i="7" s="1"/>
  <c r="BL49" i="7"/>
  <c r="BM49" i="7" s="1"/>
  <c r="BL48" i="7"/>
  <c r="BM48" i="7" s="1"/>
  <c r="BL47" i="7"/>
  <c r="BM47" i="7" s="1"/>
  <c r="BL46" i="7"/>
  <c r="BM46" i="7" s="1"/>
  <c r="BL44" i="7"/>
  <c r="BM44" i="7" s="1"/>
  <c r="BL43" i="7"/>
  <c r="BM43" i="7" s="1"/>
  <c r="BL42" i="7"/>
  <c r="BM42" i="7" s="1"/>
  <c r="BL41" i="7"/>
  <c r="BM41" i="7" s="1"/>
  <c r="BL40" i="7"/>
  <c r="BM40" i="7" s="1"/>
  <c r="BP38" i="7"/>
  <c r="BL38" i="7"/>
  <c r="BM38" i="7"/>
  <c r="BP37" i="7"/>
  <c r="BL37" i="7"/>
  <c r="BM37" i="7" s="1"/>
  <c r="BP36" i="7"/>
  <c r="BL36" i="7"/>
  <c r="BM36" i="7" s="1"/>
  <c r="BP35" i="7"/>
  <c r="BL35" i="7"/>
  <c r="BM35" i="7" s="1"/>
  <c r="BP34" i="7"/>
  <c r="BL34" i="7"/>
  <c r="BM34" i="7"/>
  <c r="P32" i="7"/>
  <c r="P31" i="7"/>
  <c r="P30" i="7"/>
  <c r="BP29" i="7"/>
  <c r="BL29" i="7"/>
  <c r="BM29" i="7"/>
  <c r="P28" i="7"/>
  <c r="BP26" i="7"/>
  <c r="BL26" i="7"/>
  <c r="BM26" i="7" s="1"/>
  <c r="P25" i="7"/>
  <c r="P24" i="7"/>
  <c r="P23" i="7"/>
  <c r="P22" i="7"/>
  <c r="BL20" i="7"/>
  <c r="BM20" i="7"/>
  <c r="P19" i="7"/>
  <c r="P18" i="7"/>
  <c r="P17" i="7"/>
  <c r="AM16" i="7"/>
  <c r="AB16" i="7"/>
  <c r="P16" i="7"/>
  <c r="BL14" i="7"/>
  <c r="BM14" i="7"/>
  <c r="P13" i="7"/>
  <c r="AN12" i="7"/>
  <c r="AO12" i="7"/>
  <c r="AP12" i="7"/>
  <c r="Z12" i="7"/>
  <c r="AA12" i="7"/>
  <c r="P12" i="7"/>
  <c r="AM11" i="7"/>
  <c r="AN11" i="7"/>
  <c r="AO11" i="7"/>
  <c r="Y11" i="7"/>
  <c r="Z11" i="7"/>
  <c r="P11" i="7"/>
  <c r="AM10" i="7"/>
  <c r="AO10" i="7"/>
  <c r="AP10" i="7"/>
  <c r="AA10" i="7"/>
  <c r="AB10" i="7"/>
  <c r="P10" i="7"/>
  <c r="AM7" i="7"/>
  <c r="AN7" i="7"/>
  <c r="AO7" i="7"/>
  <c r="AP7" i="7"/>
  <c r="Y7" i="7"/>
  <c r="Z7" i="7"/>
  <c r="AD7" i="7" s="1"/>
  <c r="AA7" i="7"/>
  <c r="AB7" i="7"/>
  <c r="P7" i="7"/>
  <c r="P6" i="7"/>
  <c r="AM5" i="7"/>
  <c r="AN5" i="7"/>
  <c r="AO5" i="7"/>
  <c r="AP5" i="7"/>
  <c r="Y5" i="7"/>
  <c r="AD5" i="7" s="1"/>
  <c r="Z5" i="7"/>
  <c r="AA5" i="7"/>
  <c r="AB5" i="7"/>
  <c r="P5" i="7"/>
  <c r="AM4" i="7"/>
  <c r="AN4" i="7"/>
  <c r="AO4" i="7"/>
  <c r="Y4" i="7"/>
  <c r="Z4" i="7"/>
  <c r="P4" i="7"/>
  <c r="BR3" i="7"/>
  <c r="BS3" i="7"/>
  <c r="BL28" i="6"/>
  <c r="BL29" i="6"/>
  <c r="BM29" i="6" s="1"/>
  <c r="BL30" i="6"/>
  <c r="BL31" i="6"/>
  <c r="BL32" i="6"/>
  <c r="BL22" i="6"/>
  <c r="BL23" i="6"/>
  <c r="BL24" i="6"/>
  <c r="BL25" i="6"/>
  <c r="BL26" i="6"/>
  <c r="BL16" i="6"/>
  <c r="BL17" i="6"/>
  <c r="BL18" i="6"/>
  <c r="BL19" i="6"/>
  <c r="BM19" i="6" s="1"/>
  <c r="BL20" i="6"/>
  <c r="BL10" i="6"/>
  <c r="BM10" i="6" s="1"/>
  <c r="BL11" i="6"/>
  <c r="BL12" i="6"/>
  <c r="BL13" i="6"/>
  <c r="BL14" i="6"/>
  <c r="BR3" i="6"/>
  <c r="BS3" i="6"/>
  <c r="BL58" i="6"/>
  <c r="BL59" i="6"/>
  <c r="BL60" i="6"/>
  <c r="BL61" i="6"/>
  <c r="BL62" i="6"/>
  <c r="BL52" i="6"/>
  <c r="BM52" i="6" s="1"/>
  <c r="BL53" i="6"/>
  <c r="BM53" i="6" s="1"/>
  <c r="BL54" i="6"/>
  <c r="BM54" i="6" s="1"/>
  <c r="BL55" i="6"/>
  <c r="BM55" i="6" s="1"/>
  <c r="BL56" i="6"/>
  <c r="BM56" i="6" s="1"/>
  <c r="BL46" i="6"/>
  <c r="BM46" i="6" s="1"/>
  <c r="BL47" i="6"/>
  <c r="BM47" i="6" s="1"/>
  <c r="BL48" i="6"/>
  <c r="BM48" i="6" s="1"/>
  <c r="BL49" i="6"/>
  <c r="BM49" i="6" s="1"/>
  <c r="BL50" i="6"/>
  <c r="BM50" i="6" s="1"/>
  <c r="BL40" i="6"/>
  <c r="BM40" i="6" s="1"/>
  <c r="BL41" i="6"/>
  <c r="BM41" i="6" s="1"/>
  <c r="BL42" i="6"/>
  <c r="BM42" i="6" s="1"/>
  <c r="BL43" i="6"/>
  <c r="BM43" i="6" s="1"/>
  <c r="BL44" i="6"/>
  <c r="BM44" i="6" s="1"/>
  <c r="BP34" i="6"/>
  <c r="BP35" i="6"/>
  <c r="BP36" i="6"/>
  <c r="BP37" i="6"/>
  <c r="BP38" i="6"/>
  <c r="BP28" i="6"/>
  <c r="BP29" i="6"/>
  <c r="BP30" i="6"/>
  <c r="BP31" i="6"/>
  <c r="BP32" i="6"/>
  <c r="BP22" i="6"/>
  <c r="BP23" i="6"/>
  <c r="BP24" i="6"/>
  <c r="BP25" i="6"/>
  <c r="BP26" i="6"/>
  <c r="BM26" i="6"/>
  <c r="BM25" i="6"/>
  <c r="AN25" i="6" s="1"/>
  <c r="BD25" i="6"/>
  <c r="AP25" i="6"/>
  <c r="AA25" i="6"/>
  <c r="P25" i="6"/>
  <c r="Q25" i="6" s="1"/>
  <c r="BM24" i="6"/>
  <c r="BD24" i="6" s="1"/>
  <c r="BE24" i="6"/>
  <c r="AO24" i="6"/>
  <c r="AB24" i="6"/>
  <c r="P24" i="6"/>
  <c r="Q24" i="6" s="1"/>
  <c r="BM23" i="6"/>
  <c r="BD23" i="6" s="1"/>
  <c r="AP23" i="6"/>
  <c r="AA23" i="6"/>
  <c r="P23" i="6"/>
  <c r="Q23" i="6" s="1"/>
  <c r="BM22" i="6"/>
  <c r="BB22" i="6" s="1"/>
  <c r="AO22" i="6"/>
  <c r="AB22" i="6"/>
  <c r="P22" i="6"/>
  <c r="Q22" i="6" s="1"/>
  <c r="BM20" i="6"/>
  <c r="P19" i="6"/>
  <c r="Q19" i="6" s="1"/>
  <c r="BM18" i="6"/>
  <c r="BB18" i="6"/>
  <c r="BC18" i="6"/>
  <c r="BD18" i="6"/>
  <c r="BG18" i="6" s="1"/>
  <c r="BE18" i="6"/>
  <c r="AM18" i="6"/>
  <c r="AN18" i="6"/>
  <c r="AR18" i="6" s="1"/>
  <c r="AO18" i="6"/>
  <c r="AP18" i="6"/>
  <c r="Y18" i="6"/>
  <c r="Z18" i="6"/>
  <c r="AA18" i="6"/>
  <c r="AB18" i="6"/>
  <c r="P18" i="6"/>
  <c r="Q18" i="6" s="1"/>
  <c r="BM17" i="6"/>
  <c r="BB17" i="6" s="1"/>
  <c r="AB17" i="6"/>
  <c r="P17" i="6"/>
  <c r="Q17" i="6" s="1"/>
  <c r="BM16" i="6"/>
  <c r="BE16" i="6" s="1"/>
  <c r="BC16" i="6"/>
  <c r="AN16" i="6"/>
  <c r="AP16" i="6"/>
  <c r="Z16" i="6"/>
  <c r="P16" i="6"/>
  <c r="Q16" i="6" s="1"/>
  <c r="BM14" i="6"/>
  <c r="BM13" i="6"/>
  <c r="AA13" i="6" s="1"/>
  <c r="BC13" i="6"/>
  <c r="AM13" i="6"/>
  <c r="AO13" i="6"/>
  <c r="Y13" i="6"/>
  <c r="P13" i="6"/>
  <c r="Q13" i="6" s="1"/>
  <c r="BM12" i="6"/>
  <c r="BC12" i="6" s="1"/>
  <c r="AO12" i="6"/>
  <c r="P12" i="6"/>
  <c r="Q12" i="6" s="1"/>
  <c r="BM11" i="6"/>
  <c r="BC11" i="6" s="1"/>
  <c r="BB11" i="6"/>
  <c r="BE11" i="6"/>
  <c r="AN11" i="6"/>
  <c r="AP11" i="6"/>
  <c r="Y11" i="6"/>
  <c r="Z11" i="6"/>
  <c r="AB11" i="6"/>
  <c r="P11" i="6"/>
  <c r="Q11" i="6" s="1"/>
  <c r="P10" i="6"/>
  <c r="Q10" i="6" s="1"/>
  <c r="P28" i="6"/>
  <c r="Q28" i="6" s="1"/>
  <c r="BM28" i="6"/>
  <c r="Z28" i="6" s="1"/>
  <c r="AO28" i="6"/>
  <c r="P30" i="6"/>
  <c r="Q30" i="6" s="1"/>
  <c r="BM30" i="6"/>
  <c r="Z30" i="6" s="1"/>
  <c r="AB30" i="6"/>
  <c r="BC30" i="6"/>
  <c r="P31" i="6"/>
  <c r="Q31" i="6" s="1"/>
  <c r="BM31" i="6"/>
  <c r="Z31" i="6" s="1"/>
  <c r="AB31" i="6"/>
  <c r="AO31" i="6"/>
  <c r="BD31" i="6"/>
  <c r="P32" i="6"/>
  <c r="Q32" i="6" s="1"/>
  <c r="BM32" i="6"/>
  <c r="AM32" i="6" s="1"/>
  <c r="Z32" i="6"/>
  <c r="AO32" i="6"/>
  <c r="BE32" i="6"/>
  <c r="BL34" i="6"/>
  <c r="BM34" i="6" s="1"/>
  <c r="BL35" i="6"/>
  <c r="BM35" i="6" s="1"/>
  <c r="BL36" i="6"/>
  <c r="BM36" i="6" s="1"/>
  <c r="BL37" i="6"/>
  <c r="BM37" i="6" s="1"/>
  <c r="BL38" i="6"/>
  <c r="BM38" i="6" s="1"/>
  <c r="BL3" i="6"/>
  <c r="BM3" i="6" s="1"/>
  <c r="C3" i="6" s="1"/>
  <c r="BL9" i="6"/>
  <c r="BM9" i="6"/>
  <c r="Y9" i="6" s="1"/>
  <c r="BL15" i="6"/>
  <c r="BM15" i="6" s="1"/>
  <c r="C15" i="6" s="1"/>
  <c r="BL21" i="6"/>
  <c r="BM21" i="6"/>
  <c r="L21" i="6" s="1"/>
  <c r="BP21" i="6"/>
  <c r="BL27" i="6"/>
  <c r="BM27" i="6" s="1"/>
  <c r="BP27" i="6"/>
  <c r="BL33" i="6"/>
  <c r="BM33" i="6"/>
  <c r="AN33" i="6" s="1"/>
  <c r="BP33" i="6"/>
  <c r="BL39" i="6"/>
  <c r="BM39" i="6" s="1"/>
  <c r="BL45" i="6"/>
  <c r="BM45" i="6" s="1"/>
  <c r="C45" i="6" s="1"/>
  <c r="BL51" i="6"/>
  <c r="BM51" i="6"/>
  <c r="M51" i="6" s="1"/>
  <c r="N9" i="6"/>
  <c r="M15" i="6"/>
  <c r="N21" i="6"/>
  <c r="K51" i="6"/>
  <c r="BK67" i="6"/>
  <c r="BG67" i="6"/>
  <c r="AR67" i="6"/>
  <c r="BK63" i="6"/>
  <c r="AB3" i="6"/>
  <c r="AO3" i="6"/>
  <c r="BC3" i="6"/>
  <c r="AM9" i="6"/>
  <c r="AO9" i="6"/>
  <c r="BB9" i="6"/>
  <c r="BD15" i="6"/>
  <c r="AA21" i="6"/>
  <c r="AN21" i="6"/>
  <c r="AO21" i="6"/>
  <c r="BC21" i="6"/>
  <c r="BE21" i="6"/>
  <c r="AO33" i="6"/>
  <c r="AN45" i="6"/>
  <c r="Y51" i="6"/>
  <c r="AA51" i="6"/>
  <c r="AB51" i="6"/>
  <c r="AM51" i="6"/>
  <c r="AO51" i="6"/>
  <c r="AP51" i="6"/>
  <c r="BB51" i="6"/>
  <c r="BD51" i="6"/>
  <c r="BE51" i="6"/>
  <c r="BL4" i="6"/>
  <c r="BM4" i="6" s="1"/>
  <c r="BD4" i="6" s="1"/>
  <c r="BL5" i="6"/>
  <c r="BM5" i="6" s="1"/>
  <c r="AB5" i="6" s="1"/>
  <c r="BL6" i="6"/>
  <c r="BM6" i="6" s="1"/>
  <c r="BB6" i="6"/>
  <c r="BD6" i="6"/>
  <c r="BE6" i="6"/>
  <c r="BL7" i="6"/>
  <c r="BM7" i="6" s="1"/>
  <c r="BB7" i="6"/>
  <c r="BC7" i="6"/>
  <c r="BD7" i="6"/>
  <c r="BE7" i="6"/>
  <c r="BG57" i="6"/>
  <c r="BL57" i="6"/>
  <c r="BL8" i="6"/>
  <c r="BM8" i="6" s="1"/>
  <c r="AM7" i="6"/>
  <c r="AN7" i="6"/>
  <c r="AO7" i="6"/>
  <c r="AP7" i="6"/>
  <c r="Y7" i="6"/>
  <c r="AD7" i="6" s="1"/>
  <c r="Z7" i="6"/>
  <c r="AA7" i="6"/>
  <c r="AB7" i="6"/>
  <c r="AN6" i="6"/>
  <c r="AO6" i="6"/>
  <c r="AP6" i="6"/>
  <c r="Y6" i="6"/>
  <c r="Z6" i="6"/>
  <c r="AA6" i="6"/>
  <c r="Y4" i="6"/>
  <c r="P13" i="1"/>
  <c r="S8" i="1"/>
  <c r="S7" i="1"/>
  <c r="X6" i="1"/>
  <c r="Q7" i="1"/>
  <c r="R7" i="1" s="1"/>
  <c r="Q6" i="1"/>
  <c r="R6" i="1" s="1"/>
  <c r="Q8" i="1"/>
  <c r="R8" i="1"/>
  <c r="C8" i="1" s="1"/>
  <c r="Q3" i="1"/>
  <c r="R3" i="1" s="1"/>
  <c r="Q4" i="1"/>
  <c r="R4" i="1" s="1"/>
  <c r="Q5" i="1"/>
  <c r="R5" i="1" s="1"/>
  <c r="Q9" i="1"/>
  <c r="R9" i="1" s="1"/>
  <c r="Q10" i="1"/>
  <c r="R10" i="1"/>
  <c r="F10" i="1" s="1"/>
  <c r="Q11" i="1"/>
  <c r="R11" i="1" s="1"/>
  <c r="Q12" i="1"/>
  <c r="C10" i="1"/>
  <c r="F16" i="1"/>
  <c r="AB10" i="1"/>
  <c r="AB12" i="1"/>
  <c r="AA12" i="1"/>
  <c r="Z12" i="1"/>
  <c r="AB15" i="1"/>
  <c r="AB16" i="1"/>
  <c r="AB17" i="1"/>
  <c r="AB18" i="1"/>
  <c r="AA15" i="1"/>
  <c r="AA16" i="1"/>
  <c r="AA17" i="1"/>
  <c r="AA18" i="1"/>
  <c r="Z15" i="1"/>
  <c r="Z16" i="1"/>
  <c r="Z17" i="1"/>
  <c r="Z18" i="1"/>
  <c r="C15" i="1"/>
  <c r="C16" i="1"/>
  <c r="C17" i="1"/>
  <c r="C18" i="1"/>
  <c r="AD67" i="6"/>
  <c r="E17" i="12" l="1"/>
  <c r="E20" i="12" s="1"/>
  <c r="K12" i="12"/>
  <c r="K17" i="12" s="1"/>
  <c r="K20" i="12" s="1"/>
  <c r="AB7" i="1"/>
  <c r="I7" i="1"/>
  <c r="C7" i="1"/>
  <c r="BC10" i="6"/>
  <c r="BE10" i="6"/>
  <c r="AO10" i="6"/>
  <c r="Z10" i="6"/>
  <c r="M45" i="7"/>
  <c r="AN45" i="7"/>
  <c r="BE45" i="7"/>
  <c r="BC15" i="7"/>
  <c r="M15" i="7"/>
  <c r="Z15" i="7"/>
  <c r="AP15" i="7"/>
  <c r="BB17" i="7"/>
  <c r="BE17" i="7"/>
  <c r="AP17" i="7"/>
  <c r="Y17" i="7"/>
  <c r="AA17" i="7"/>
  <c r="AN17" i="7"/>
  <c r="BD19" i="6"/>
  <c r="BC19" i="6"/>
  <c r="BE19" i="6"/>
  <c r="AO19" i="6"/>
  <c r="Z19" i="6"/>
  <c r="AM19" i="6"/>
  <c r="AB19" i="6"/>
  <c r="C6" i="7"/>
  <c r="BE6" i="7"/>
  <c r="AB6" i="7"/>
  <c r="AM6" i="7"/>
  <c r="AN6" i="7"/>
  <c r="AO6" i="7"/>
  <c r="AP6" i="7"/>
  <c r="BB6" i="7"/>
  <c r="Y6" i="7"/>
  <c r="BC6" i="7"/>
  <c r="Z6" i="7"/>
  <c r="BD6" i="7"/>
  <c r="AA6" i="7"/>
  <c r="AP27" i="6"/>
  <c r="BC27" i="6"/>
  <c r="Z27" i="6"/>
  <c r="BE27" i="6"/>
  <c r="AA27" i="6"/>
  <c r="K27" i="6"/>
  <c r="AB27" i="6"/>
  <c r="AM27" i="6"/>
  <c r="BD27" i="6"/>
  <c r="AN27" i="6"/>
  <c r="H5" i="1"/>
  <c r="C5" i="1"/>
  <c r="G5" i="1"/>
  <c r="I5" i="1"/>
  <c r="Z5" i="1"/>
  <c r="AB5" i="1"/>
  <c r="AB13" i="7"/>
  <c r="AM13" i="7"/>
  <c r="AN13" i="7"/>
  <c r="AO13" i="7"/>
  <c r="BE13" i="7"/>
  <c r="AP13" i="7"/>
  <c r="Y13" i="7"/>
  <c r="AD13" i="7" s="1"/>
  <c r="Z13" i="7"/>
  <c r="AA13" i="7"/>
  <c r="M39" i="6"/>
  <c r="Z39" i="6"/>
  <c r="BC39" i="6"/>
  <c r="BD39" i="6"/>
  <c r="AB39" i="6"/>
  <c r="BE39" i="6"/>
  <c r="AM39" i="6"/>
  <c r="AA39" i="6"/>
  <c r="AN39" i="6"/>
  <c r="AO39" i="6"/>
  <c r="AP39" i="6"/>
  <c r="Y39" i="6"/>
  <c r="BB39" i="6"/>
  <c r="BD19" i="7"/>
  <c r="AN19" i="7"/>
  <c r="AP19" i="7"/>
  <c r="Y19" i="7"/>
  <c r="BC19" i="7"/>
  <c r="AA19" i="7"/>
  <c r="BE19" i="7"/>
  <c r="C6" i="1"/>
  <c r="I6" i="1"/>
  <c r="AM5" i="6"/>
  <c r="AB4" i="6"/>
  <c r="I8" i="1"/>
  <c r="AA4" i="6"/>
  <c r="AA5" i="6"/>
  <c r="AM33" i="6"/>
  <c r="AR33" i="6" s="1"/>
  <c r="BB21" i="6"/>
  <c r="AA15" i="6"/>
  <c r="BE13" i="6"/>
  <c r="Z4" i="6"/>
  <c r="AD4" i="6" s="1"/>
  <c r="Z5" i="6"/>
  <c r="BB4" i="6"/>
  <c r="AN51" i="6"/>
  <c r="AR51" i="6" s="1"/>
  <c r="AP45" i="6"/>
  <c r="BE33" i="6"/>
  <c r="AB33" i="6"/>
  <c r="AP21" i="6"/>
  <c r="BD9" i="6"/>
  <c r="N33" i="6"/>
  <c r="AP31" i="6"/>
  <c r="Y31" i="6"/>
  <c r="AD31" i="6" s="1"/>
  <c r="AO11" i="6"/>
  <c r="Z12" i="6"/>
  <c r="Z13" i="6"/>
  <c r="BD13" i="6"/>
  <c r="AA16" i="6"/>
  <c r="BD16" i="6"/>
  <c r="BE17" i="6"/>
  <c r="BC22" i="6"/>
  <c r="BB23" i="6"/>
  <c r="BC24" i="6"/>
  <c r="BB25" i="6"/>
  <c r="AP4" i="7"/>
  <c r="AR4" i="7" s="1"/>
  <c r="AN10" i="7"/>
  <c r="AP11" i="7"/>
  <c r="Y12" i="7"/>
  <c r="BE10" i="7"/>
  <c r="AP39" i="7"/>
  <c r="BB3" i="7"/>
  <c r="Y3" i="7"/>
  <c r="AN33" i="7"/>
  <c r="N9" i="7"/>
  <c r="BD33" i="6"/>
  <c r="AA33" i="6"/>
  <c r="L33" i="6"/>
  <c r="BC10" i="7"/>
  <c r="AP4" i="6"/>
  <c r="AP5" i="6"/>
  <c r="BD5" i="6"/>
  <c r="AB45" i="6"/>
  <c r="BC33" i="6"/>
  <c r="Z33" i="6"/>
  <c r="AN31" i="6"/>
  <c r="AM11" i="6"/>
  <c r="BE12" i="6"/>
  <c r="AP13" i="6"/>
  <c r="BB13" i="6"/>
  <c r="BG13" i="6" s="1"/>
  <c r="Y16" i="6"/>
  <c r="AD16" i="6" s="1"/>
  <c r="BB16" i="6"/>
  <c r="BB10" i="7"/>
  <c r="M27" i="7"/>
  <c r="Y5" i="6"/>
  <c r="BG7" i="6"/>
  <c r="Z45" i="6"/>
  <c r="BB33" i="6"/>
  <c r="Y33" i="6"/>
  <c r="AM31" i="6"/>
  <c r="BE5" i="6"/>
  <c r="AO4" i="6"/>
  <c r="AO5" i="6"/>
  <c r="AR7" i="6"/>
  <c r="BC5" i="6"/>
  <c r="AN4" i="6"/>
  <c r="AN5" i="6"/>
  <c r="AR5" i="6" s="1"/>
  <c r="BB5" i="6"/>
  <c r="BC51" i="6"/>
  <c r="BG51" i="6" s="1"/>
  <c r="Z51" i="6"/>
  <c r="AD51" i="6" s="1"/>
  <c r="AP33" i="6"/>
  <c r="Y21" i="6"/>
  <c r="BE31" i="6"/>
  <c r="AO30" i="6"/>
  <c r="AA11" i="6"/>
  <c r="AD11" i="6" s="1"/>
  <c r="BD11" i="6"/>
  <c r="AN13" i="6"/>
  <c r="AO16" i="6"/>
  <c r="AD18" i="6"/>
  <c r="Z22" i="6"/>
  <c r="Y23" i="6"/>
  <c r="Z24" i="6"/>
  <c r="Y25" i="6"/>
  <c r="BE25" i="6"/>
  <c r="AB4" i="7"/>
  <c r="Z10" i="7"/>
  <c r="AB11" i="7"/>
  <c r="AM12" i="7"/>
  <c r="AR12" i="7" s="1"/>
  <c r="BD4" i="7"/>
  <c r="BE21" i="7"/>
  <c r="AM3" i="7"/>
  <c r="K21" i="7"/>
  <c r="M3" i="7"/>
  <c r="Y10" i="7"/>
  <c r="AA11" i="7"/>
  <c r="AD11" i="7" s="1"/>
  <c r="AB12" i="7"/>
  <c r="BC51" i="7"/>
  <c r="BE3" i="7"/>
  <c r="BG3" i="7" s="1"/>
  <c r="AB3" i="7"/>
  <c r="AD3" i="7" s="1"/>
  <c r="BE4" i="6"/>
  <c r="BE45" i="6"/>
  <c r="AM15" i="6"/>
  <c r="L45" i="6"/>
  <c r="BC31" i="6"/>
  <c r="AA31" i="6"/>
  <c r="AB13" i="6"/>
  <c r="AM16" i="6"/>
  <c r="AR16" i="6" s="1"/>
  <c r="Z17" i="6"/>
  <c r="AM22" i="6"/>
  <c r="AN23" i="6"/>
  <c r="AM24" i="6"/>
  <c r="BC23" i="6"/>
  <c r="AD4" i="7"/>
  <c r="K3" i="7"/>
  <c r="BG11" i="6"/>
  <c r="BC45" i="6"/>
  <c r="BB31" i="6"/>
  <c r="BG31" i="6" s="1"/>
  <c r="AB16" i="6"/>
  <c r="AO17" i="6"/>
  <c r="BE22" i="6"/>
  <c r="AR10" i="7"/>
  <c r="AD12" i="7"/>
  <c r="I9" i="1"/>
  <c r="Z9" i="1"/>
  <c r="F9" i="1"/>
  <c r="C9" i="1"/>
  <c r="AA9" i="1"/>
  <c r="G9" i="1"/>
  <c r="AB9" i="1"/>
  <c r="H9" i="1"/>
  <c r="F3" i="1"/>
  <c r="G3" i="1"/>
  <c r="H3" i="1"/>
  <c r="AB3" i="1"/>
  <c r="Z3" i="1"/>
  <c r="I3" i="1"/>
  <c r="C3" i="1"/>
  <c r="AA3" i="1"/>
  <c r="G11" i="1"/>
  <c r="AB11" i="1"/>
  <c r="H11" i="1"/>
  <c r="C11" i="1"/>
  <c r="AA11" i="1"/>
  <c r="Z11" i="1"/>
  <c r="F11" i="1"/>
  <c r="I11" i="1"/>
  <c r="AA4" i="1"/>
  <c r="G4" i="1"/>
  <c r="Z4" i="1"/>
  <c r="H4" i="1"/>
  <c r="C4" i="1"/>
  <c r="F4" i="1"/>
  <c r="D4" i="1" s="1"/>
  <c r="I4" i="1"/>
  <c r="AB4" i="1"/>
  <c r="H10" i="1"/>
  <c r="F5" i="1"/>
  <c r="D5" i="1" s="1"/>
  <c r="E5" i="1" s="1"/>
  <c r="H8" i="1"/>
  <c r="F6" i="1"/>
  <c r="Z6" i="1"/>
  <c r="F7" i="1"/>
  <c r="Z7" i="1"/>
  <c r="BC63" i="6"/>
  <c r="M6" i="6"/>
  <c r="L6" i="6"/>
  <c r="K6" i="6"/>
  <c r="N6" i="6"/>
  <c r="C6" i="6"/>
  <c r="M4" i="6"/>
  <c r="L4" i="6"/>
  <c r="K4" i="6"/>
  <c r="N4" i="6"/>
  <c r="C4" i="6"/>
  <c r="BB45" i="6"/>
  <c r="AO45" i="6"/>
  <c r="Y45" i="6"/>
  <c r="BB15" i="6"/>
  <c r="BE3" i="6"/>
  <c r="AM3" i="6"/>
  <c r="K15" i="6"/>
  <c r="L51" i="6"/>
  <c r="C51" i="6"/>
  <c r="N51" i="6"/>
  <c r="C39" i="6"/>
  <c r="N39" i="6"/>
  <c r="L39" i="6"/>
  <c r="K33" i="6"/>
  <c r="M33" i="6"/>
  <c r="L27" i="6"/>
  <c r="N27" i="6"/>
  <c r="M21" i="6"/>
  <c r="Z21" i="6"/>
  <c r="AD21" i="6" s="1"/>
  <c r="K21" i="6"/>
  <c r="AB21" i="6"/>
  <c r="K9" i="6"/>
  <c r="Z9" i="6"/>
  <c r="AP9" i="6"/>
  <c r="BC9" i="6"/>
  <c r="C9" i="6"/>
  <c r="M9" i="6"/>
  <c r="AB9" i="6"/>
  <c r="AN9" i="6"/>
  <c r="AR9" i="6" s="1"/>
  <c r="BE9" i="6"/>
  <c r="Y32" i="6"/>
  <c r="AP32" i="6"/>
  <c r="BD32" i="6"/>
  <c r="AA32" i="6"/>
  <c r="AN32" i="6"/>
  <c r="BB32" i="6"/>
  <c r="BE28" i="6"/>
  <c r="AM28" i="6"/>
  <c r="I10" i="1"/>
  <c r="G8" i="1"/>
  <c r="AA7" i="1"/>
  <c r="M8" i="6"/>
  <c r="L8" i="6"/>
  <c r="K8" i="6"/>
  <c r="P8" i="6" s="1"/>
  <c r="N8" i="6"/>
  <c r="C8" i="6"/>
  <c r="AR31" i="6"/>
  <c r="AA30" i="6"/>
  <c r="AN30" i="6"/>
  <c r="BB30" i="6"/>
  <c r="Y30" i="6"/>
  <c r="AP30" i="6"/>
  <c r="BD30" i="6"/>
  <c r="BC28" i="6"/>
  <c r="AB28" i="6"/>
  <c r="BD10" i="6"/>
  <c r="AN10" i="6"/>
  <c r="Y10" i="6"/>
  <c r="BB10" i="6"/>
  <c r="AP10" i="6"/>
  <c r="AA10" i="6"/>
  <c r="BB12" i="6"/>
  <c r="AP12" i="6"/>
  <c r="AA12" i="6"/>
  <c r="BD12" i="6"/>
  <c r="AN12" i="6"/>
  <c r="Y12" i="6"/>
  <c r="Z8" i="1"/>
  <c r="Z10" i="1"/>
  <c r="AA8" i="1"/>
  <c r="G10" i="1"/>
  <c r="D10" i="1" s="1"/>
  <c r="E10" i="1" s="1"/>
  <c r="G6" i="1"/>
  <c r="AA6" i="1"/>
  <c r="G7" i="1"/>
  <c r="AA5" i="1"/>
  <c r="AA10" i="1"/>
  <c r="AB8" i="1"/>
  <c r="F8" i="1"/>
  <c r="H6" i="1"/>
  <c r="AB6" i="1"/>
  <c r="H7" i="1"/>
  <c r="AM4" i="6"/>
  <c r="AB6" i="6"/>
  <c r="AD6" i="6" s="1"/>
  <c r="AM6" i="6"/>
  <c r="AR6" i="6" s="1"/>
  <c r="M7" i="6"/>
  <c r="L7" i="6"/>
  <c r="K7" i="6"/>
  <c r="N7" i="6"/>
  <c r="C7" i="6"/>
  <c r="BC6" i="6"/>
  <c r="BG6" i="6" s="1"/>
  <c r="M5" i="6"/>
  <c r="L5" i="6"/>
  <c r="K5" i="6"/>
  <c r="N5" i="6"/>
  <c r="C5" i="6"/>
  <c r="BC4" i="6"/>
  <c r="BG4" i="6" s="1"/>
  <c r="BD45" i="6"/>
  <c r="BD63" i="6" s="1"/>
  <c r="AM45" i="6"/>
  <c r="AR45" i="6" s="1"/>
  <c r="AA45" i="6"/>
  <c r="BB27" i="6"/>
  <c r="BG27" i="6" s="1"/>
  <c r="AO27" i="6"/>
  <c r="AR27" i="6" s="1"/>
  <c r="Y27" i="6"/>
  <c r="AD27" i="6" s="1"/>
  <c r="BD21" i="6"/>
  <c r="BG21" i="6" s="1"/>
  <c r="AM21" i="6"/>
  <c r="AR21" i="6" s="1"/>
  <c r="AO15" i="6"/>
  <c r="Y15" i="6"/>
  <c r="AA9" i="6"/>
  <c r="Z3" i="6"/>
  <c r="N45" i="6"/>
  <c r="K39" i="6"/>
  <c r="M27" i="6"/>
  <c r="L9" i="6"/>
  <c r="C33" i="6"/>
  <c r="C27" i="6"/>
  <c r="C21" i="6"/>
  <c r="BC32" i="6"/>
  <c r="AB32" i="6"/>
  <c r="BE30" i="6"/>
  <c r="AM30" i="6"/>
  <c r="AB10" i="6"/>
  <c r="AM10" i="6"/>
  <c r="AR11" i="6"/>
  <c r="AB12" i="6"/>
  <c r="AM12" i="6"/>
  <c r="AR12" i="6" s="1"/>
  <c r="AR13" i="6"/>
  <c r="M45" i="6"/>
  <c r="K45" i="6"/>
  <c r="P45" i="6" s="1"/>
  <c r="Q45" i="6" s="1"/>
  <c r="N15" i="6"/>
  <c r="AB15" i="6"/>
  <c r="AN15" i="6"/>
  <c r="BE15" i="6"/>
  <c r="L15" i="6"/>
  <c r="Z15" i="6"/>
  <c r="AP15" i="6"/>
  <c r="BC15" i="6"/>
  <c r="Y3" i="6"/>
  <c r="AP3" i="6"/>
  <c r="BD3" i="6"/>
  <c r="AA3" i="6"/>
  <c r="AN3" i="6"/>
  <c r="BB3" i="6"/>
  <c r="BG3" i="6" s="1"/>
  <c r="Y28" i="6"/>
  <c r="AP28" i="6"/>
  <c r="BD28" i="6"/>
  <c r="AA28" i="6"/>
  <c r="AN28" i="6"/>
  <c r="BB28" i="6"/>
  <c r="BG28" i="6" s="1"/>
  <c r="Y17" i="6"/>
  <c r="AN17" i="6"/>
  <c r="BD17" i="6"/>
  <c r="AA19" i="6"/>
  <c r="AP19" i="6"/>
  <c r="BB19" i="6"/>
  <c r="BG19" i="6" s="1"/>
  <c r="Y22" i="6"/>
  <c r="AN22" i="6"/>
  <c r="BD22" i="6"/>
  <c r="BG22" i="6" s="1"/>
  <c r="Z23" i="6"/>
  <c r="AO23" i="6"/>
  <c r="BE23" i="6"/>
  <c r="BG23" i="6" s="1"/>
  <c r="AA24" i="6"/>
  <c r="AP24" i="6"/>
  <c r="BB24" i="6"/>
  <c r="BG24" i="6" s="1"/>
  <c r="AB25" i="6"/>
  <c r="AM25" i="6"/>
  <c r="BC25" i="6"/>
  <c r="BG25" i="6" s="1"/>
  <c r="AR5" i="7"/>
  <c r="AR7" i="7"/>
  <c r="AR11" i="7"/>
  <c r="AR13" i="7"/>
  <c r="BC31" i="7"/>
  <c r="AM31" i="7"/>
  <c r="AB31" i="7"/>
  <c r="BD31" i="7"/>
  <c r="AN31" i="7"/>
  <c r="Y31" i="7"/>
  <c r="BE31" i="7"/>
  <c r="AO31" i="7"/>
  <c r="Z31" i="7"/>
  <c r="BB31" i="7"/>
  <c r="BG31" i="7" s="1"/>
  <c r="AP31" i="7"/>
  <c r="AA31" i="7"/>
  <c r="BC28" i="7"/>
  <c r="AP28" i="7"/>
  <c r="AA28" i="7"/>
  <c r="BD28" i="7"/>
  <c r="AM28" i="7"/>
  <c r="AB28" i="7"/>
  <c r="BE28" i="7"/>
  <c r="AN28" i="7"/>
  <c r="Y28" i="7"/>
  <c r="BB28" i="7"/>
  <c r="AO28" i="7"/>
  <c r="Z28" i="7"/>
  <c r="BC24" i="7"/>
  <c r="AO24" i="7"/>
  <c r="Z24" i="7"/>
  <c r="BD24" i="7"/>
  <c r="AP24" i="7"/>
  <c r="AA24" i="7"/>
  <c r="BE24" i="7"/>
  <c r="AM24" i="7"/>
  <c r="AB24" i="7"/>
  <c r="BB24" i="7"/>
  <c r="BG24" i="7" s="1"/>
  <c r="AN24" i="7"/>
  <c r="Y24" i="7"/>
  <c r="BC22" i="7"/>
  <c r="AM22" i="7"/>
  <c r="AB22" i="7"/>
  <c r="BD22" i="7"/>
  <c r="AN22" i="7"/>
  <c r="Y22" i="7"/>
  <c r="AD22" i="7" s="1"/>
  <c r="BE22" i="7"/>
  <c r="AO22" i="7"/>
  <c r="Z22" i="7"/>
  <c r="BB22" i="7"/>
  <c r="AP22" i="7"/>
  <c r="AA22" i="7"/>
  <c r="AM17" i="6"/>
  <c r="BC17" i="6"/>
  <c r="BG17" i="6" s="1"/>
  <c r="BB18" i="7"/>
  <c r="AM18" i="7"/>
  <c r="AB18" i="7"/>
  <c r="BC18" i="7"/>
  <c r="AN18" i="7"/>
  <c r="Y18" i="7"/>
  <c r="BD18" i="7"/>
  <c r="AO18" i="7"/>
  <c r="Z18" i="7"/>
  <c r="BE18" i="7"/>
  <c r="AP18" i="7"/>
  <c r="AA18" i="7"/>
  <c r="BD16" i="7"/>
  <c r="BE16" i="7"/>
  <c r="AP16" i="7"/>
  <c r="AA16" i="7"/>
  <c r="BB16" i="7"/>
  <c r="BC16" i="7"/>
  <c r="AN16" i="7"/>
  <c r="Y16" i="7"/>
  <c r="AA17" i="6"/>
  <c r="AP17" i="6"/>
  <c r="Y19" i="6"/>
  <c r="AD19" i="6" s="1"/>
  <c r="AN19" i="6"/>
  <c r="AR19" i="6" s="1"/>
  <c r="AA22" i="6"/>
  <c r="AP22" i="6"/>
  <c r="AB23" i="6"/>
  <c r="AM23" i="6"/>
  <c r="AR23" i="6" s="1"/>
  <c r="Y24" i="6"/>
  <c r="AD24" i="6" s="1"/>
  <c r="AN24" i="6"/>
  <c r="AR24" i="6" s="1"/>
  <c r="Z25" i="6"/>
  <c r="AO25" i="6"/>
  <c r="Z16" i="7"/>
  <c r="BC32" i="7"/>
  <c r="AP32" i="7"/>
  <c r="AA32" i="7"/>
  <c r="BD32" i="7"/>
  <c r="AM32" i="7"/>
  <c r="AB32" i="7"/>
  <c r="BE32" i="7"/>
  <c r="AN32" i="7"/>
  <c r="Y32" i="7"/>
  <c r="BB32" i="7"/>
  <c r="AO32" i="7"/>
  <c r="Z32" i="7"/>
  <c r="BC30" i="7"/>
  <c r="AN30" i="7"/>
  <c r="Y30" i="7"/>
  <c r="BD30" i="7"/>
  <c r="AO30" i="7"/>
  <c r="Z30" i="7"/>
  <c r="BE30" i="7"/>
  <c r="AP30" i="7"/>
  <c r="AA30" i="7"/>
  <c r="BB30" i="7"/>
  <c r="AM30" i="7"/>
  <c r="AB30" i="7"/>
  <c r="BC25" i="7"/>
  <c r="AN25" i="7"/>
  <c r="Y25" i="7"/>
  <c r="BD25" i="7"/>
  <c r="AO25" i="7"/>
  <c r="Z25" i="7"/>
  <c r="BE25" i="7"/>
  <c r="AP25" i="7"/>
  <c r="AA25" i="7"/>
  <c r="BB25" i="7"/>
  <c r="AM25" i="7"/>
  <c r="AB25" i="7"/>
  <c r="BC23" i="7"/>
  <c r="AP23" i="7"/>
  <c r="AA23" i="7"/>
  <c r="BD23" i="7"/>
  <c r="AM23" i="7"/>
  <c r="AB23" i="7"/>
  <c r="BE23" i="7"/>
  <c r="AN23" i="7"/>
  <c r="Y23" i="7"/>
  <c r="BB23" i="7"/>
  <c r="AO23" i="7"/>
  <c r="Z23" i="7"/>
  <c r="AB17" i="7"/>
  <c r="AM17" i="7"/>
  <c r="Z19" i="7"/>
  <c r="AO19" i="7"/>
  <c r="BB19" i="7"/>
  <c r="BG19" i="7" s="1"/>
  <c r="BD17" i="7"/>
  <c r="AP51" i="7"/>
  <c r="BC39" i="7"/>
  <c r="BE33" i="7"/>
  <c r="Z27" i="7"/>
  <c r="BD7" i="7"/>
  <c r="BB7" i="7"/>
  <c r="C7" i="7"/>
  <c r="BC7" i="7"/>
  <c r="BB5" i="7"/>
  <c r="BG5" i="7" s="1"/>
  <c r="BD5" i="7"/>
  <c r="BE5" i="7"/>
  <c r="L15" i="7"/>
  <c r="Y15" i="7"/>
  <c r="AO15" i="7"/>
  <c r="BB15" i="7"/>
  <c r="C15" i="7"/>
  <c r="N15" i="7"/>
  <c r="AA15" i="7"/>
  <c r="AM15" i="7"/>
  <c r="BD15" i="7"/>
  <c r="K15" i="7"/>
  <c r="AB15" i="7"/>
  <c r="AN15" i="7"/>
  <c r="BE15" i="7"/>
  <c r="M9" i="7"/>
  <c r="AA9" i="7"/>
  <c r="AM9" i="7"/>
  <c r="BD9" i="7"/>
  <c r="K9" i="7"/>
  <c r="Y9" i="7"/>
  <c r="AO9" i="7"/>
  <c r="BB9" i="7"/>
  <c r="L9" i="7"/>
  <c r="Z9" i="7"/>
  <c r="AP9" i="7"/>
  <c r="BC9" i="7"/>
  <c r="L3" i="7"/>
  <c r="P3" i="7" s="1"/>
  <c r="BC17" i="7"/>
  <c r="BG17" i="7" s="1"/>
  <c r="BC12" i="7"/>
  <c r="BE12" i="7"/>
  <c r="BB12" i="7"/>
  <c r="BG12" i="7" s="1"/>
  <c r="AR3" i="7"/>
  <c r="BC4" i="7"/>
  <c r="C4" i="7"/>
  <c r="BE4" i="7"/>
  <c r="BB4" i="7"/>
  <c r="K51" i="7"/>
  <c r="Y51" i="7"/>
  <c r="AO51" i="7"/>
  <c r="BB51" i="7"/>
  <c r="M51" i="7"/>
  <c r="AA51" i="7"/>
  <c r="AM51" i="7"/>
  <c r="BD51" i="7"/>
  <c r="C51" i="7"/>
  <c r="N51" i="7"/>
  <c r="AB51" i="7"/>
  <c r="AN51" i="7"/>
  <c r="BE51" i="7"/>
  <c r="N39" i="7"/>
  <c r="K33" i="7"/>
  <c r="Z17" i="7"/>
  <c r="AD17" i="7" s="1"/>
  <c r="AO17" i="7"/>
  <c r="AB19" i="7"/>
  <c r="AM19" i="7"/>
  <c r="AR19" i="7" s="1"/>
  <c r="BD13" i="7"/>
  <c r="BB13" i="7"/>
  <c r="BC13" i="7"/>
  <c r="Z51" i="7"/>
  <c r="AB45" i="7"/>
  <c r="L27" i="7"/>
  <c r="Y27" i="7"/>
  <c r="AO27" i="7"/>
  <c r="BB27" i="7"/>
  <c r="C27" i="7"/>
  <c r="N27" i="7"/>
  <c r="AA27" i="7"/>
  <c r="AM27" i="7"/>
  <c r="BD27" i="7"/>
  <c r="K27" i="7"/>
  <c r="AB27" i="7"/>
  <c r="AN27" i="7"/>
  <c r="BE27" i="7"/>
  <c r="C21" i="7"/>
  <c r="N21" i="7"/>
  <c r="AA21" i="7"/>
  <c r="AM21" i="7"/>
  <c r="BD21" i="7"/>
  <c r="L21" i="7"/>
  <c r="P21" i="7" s="1"/>
  <c r="Y21" i="7"/>
  <c r="AO21" i="7"/>
  <c r="BB21" i="7"/>
  <c r="M21" i="7"/>
  <c r="Z21" i="7"/>
  <c r="AP21" i="7"/>
  <c r="BC21" i="7"/>
  <c r="Q3" i="7"/>
  <c r="BB11" i="7"/>
  <c r="BD11" i="7"/>
  <c r="BE11" i="7"/>
  <c r="L45" i="7"/>
  <c r="AA45" i="7"/>
  <c r="AM45" i="7"/>
  <c r="BD45" i="7"/>
  <c r="C45" i="7"/>
  <c r="N45" i="7"/>
  <c r="Y45" i="7"/>
  <c r="AO45" i="7"/>
  <c r="BB45" i="7"/>
  <c r="K45" i="7"/>
  <c r="P45" i="7" s="1"/>
  <c r="Z45" i="7"/>
  <c r="AP45" i="7"/>
  <c r="BC45" i="7"/>
  <c r="M39" i="7"/>
  <c r="Y39" i="7"/>
  <c r="AO39" i="7"/>
  <c r="BB39" i="7"/>
  <c r="K39" i="7"/>
  <c r="P39" i="7" s="1"/>
  <c r="Q39" i="7" s="1"/>
  <c r="AA39" i="7"/>
  <c r="AM39" i="7"/>
  <c r="BD39" i="7"/>
  <c r="L39" i="7"/>
  <c r="AB39" i="7"/>
  <c r="AN39" i="7"/>
  <c r="BE39" i="7"/>
  <c r="BE63" i="7" s="1"/>
  <c r="C33" i="7"/>
  <c r="N33" i="7"/>
  <c r="AA33" i="7"/>
  <c r="AM33" i="7"/>
  <c r="BD33" i="7"/>
  <c r="L33" i="7"/>
  <c r="Y33" i="7"/>
  <c r="AO33" i="7"/>
  <c r="BB33" i="7"/>
  <c r="M33" i="7"/>
  <c r="Z33" i="7"/>
  <c r="AP33" i="7"/>
  <c r="BC33" i="7"/>
  <c r="BG15" i="7" l="1"/>
  <c r="BG23" i="7"/>
  <c r="BG30" i="7"/>
  <c r="AD25" i="6"/>
  <c r="AR15" i="6"/>
  <c r="AR4" i="6"/>
  <c r="BG16" i="6"/>
  <c r="BG39" i="6"/>
  <c r="AD6" i="7"/>
  <c r="AR10" i="6"/>
  <c r="AD5" i="6"/>
  <c r="AD39" i="6"/>
  <c r="P33" i="7"/>
  <c r="Q33" i="7" s="1"/>
  <c r="AR51" i="7"/>
  <c r="P15" i="7"/>
  <c r="AD15" i="7"/>
  <c r="AD19" i="7"/>
  <c r="P27" i="6"/>
  <c r="C63" i="6"/>
  <c r="AD10" i="7"/>
  <c r="AR39" i="6"/>
  <c r="BG22" i="7"/>
  <c r="AR22" i="7"/>
  <c r="BG28" i="7"/>
  <c r="AR30" i="6"/>
  <c r="P7" i="6"/>
  <c r="AD9" i="6"/>
  <c r="BG10" i="7"/>
  <c r="AD13" i="6"/>
  <c r="BG6" i="7"/>
  <c r="BG13" i="7"/>
  <c r="BG25" i="7"/>
  <c r="BG32" i="7"/>
  <c r="AR16" i="7"/>
  <c r="P39" i="6"/>
  <c r="BG12" i="6"/>
  <c r="P33" i="6"/>
  <c r="Q33" i="6" s="1"/>
  <c r="AE33" i="6" s="1"/>
  <c r="AS33" i="6" s="1"/>
  <c r="BI33" i="6" s="1"/>
  <c r="H13" i="1"/>
  <c r="BG5" i="6"/>
  <c r="AD33" i="6"/>
  <c r="AD24" i="7"/>
  <c r="BG33" i="6"/>
  <c r="BE63" i="6"/>
  <c r="AR6" i="7"/>
  <c r="AR39" i="7"/>
  <c r="AE3" i="7"/>
  <c r="AS3" i="7" s="1"/>
  <c r="BI3" i="7" s="1"/>
  <c r="AD39" i="7"/>
  <c r="AE39" i="7" s="1"/>
  <c r="AD45" i="7"/>
  <c r="AR45" i="7"/>
  <c r="BG21" i="7"/>
  <c r="Q21" i="7"/>
  <c r="P27" i="7"/>
  <c r="AD27" i="7"/>
  <c r="AD51" i="7"/>
  <c r="BG9" i="7"/>
  <c r="Q15" i="7"/>
  <c r="AE15" i="7" s="1"/>
  <c r="AR17" i="7"/>
  <c r="AD23" i="7"/>
  <c r="AR23" i="7"/>
  <c r="AD32" i="7"/>
  <c r="AR32" i="7"/>
  <c r="AR17" i="6"/>
  <c r="AD28" i="7"/>
  <c r="AR28" i="7"/>
  <c r="AD22" i="6"/>
  <c r="AD28" i="6"/>
  <c r="Q27" i="6"/>
  <c r="AE27" i="6" s="1"/>
  <c r="AS27" i="6" s="1"/>
  <c r="BI27" i="6" s="1"/>
  <c r="AD15" i="6"/>
  <c r="D8" i="1"/>
  <c r="E8" i="1" s="1"/>
  <c r="AD12" i="6"/>
  <c r="BG10" i="6"/>
  <c r="AD30" i="6"/>
  <c r="BG9" i="6"/>
  <c r="BB63" i="6"/>
  <c r="BG45" i="6"/>
  <c r="L3" i="6"/>
  <c r="F3" i="6" s="1"/>
  <c r="P6" i="6"/>
  <c r="D11" i="1"/>
  <c r="AB13" i="1"/>
  <c r="D9" i="1"/>
  <c r="F13" i="1"/>
  <c r="BG11" i="7"/>
  <c r="AR21" i="7"/>
  <c r="Q27" i="7"/>
  <c r="AE27" i="7" s="1"/>
  <c r="P51" i="7"/>
  <c r="Q51" i="7" s="1"/>
  <c r="AE51" i="7" s="1"/>
  <c r="AS51" i="7" s="1"/>
  <c r="AR9" i="7"/>
  <c r="AR15" i="7"/>
  <c r="AD18" i="7"/>
  <c r="AR18" i="7"/>
  <c r="AR24" i="7"/>
  <c r="AD23" i="6"/>
  <c r="P5" i="6"/>
  <c r="Q7" i="6"/>
  <c r="AD10" i="6"/>
  <c r="BG30" i="6"/>
  <c r="Q8" i="6"/>
  <c r="BG32" i="6"/>
  <c r="P21" i="6"/>
  <c r="P51" i="6"/>
  <c r="Q51" i="6" s="1"/>
  <c r="AE51" i="6" s="1"/>
  <c r="AS51" i="6" s="1"/>
  <c r="BI51" i="6" s="1"/>
  <c r="BG15" i="6"/>
  <c r="M3" i="6"/>
  <c r="G3" i="6" s="1"/>
  <c r="D7" i="1"/>
  <c r="E7" i="1" s="1"/>
  <c r="C13" i="1"/>
  <c r="G13" i="1"/>
  <c r="Z13" i="1"/>
  <c r="BG33" i="7"/>
  <c r="AR33" i="7"/>
  <c r="BD63" i="7"/>
  <c r="BG39" i="7"/>
  <c r="BB63" i="7"/>
  <c r="BG45" i="7"/>
  <c r="Q45" i="7"/>
  <c r="AE45" i="7" s="1"/>
  <c r="AS45" i="7" s="1"/>
  <c r="C63" i="7"/>
  <c r="AD21" i="7"/>
  <c r="AR27" i="7"/>
  <c r="BG27" i="7"/>
  <c r="BG51" i="7"/>
  <c r="BG4" i="7"/>
  <c r="AD9" i="7"/>
  <c r="BG7" i="7"/>
  <c r="BC63" i="7"/>
  <c r="AR25" i="7"/>
  <c r="AD25" i="7"/>
  <c r="AR30" i="7"/>
  <c r="AD30" i="7"/>
  <c r="BG16" i="7"/>
  <c r="BG18" i="7"/>
  <c r="AR25" i="6"/>
  <c r="AD17" i="6"/>
  <c r="AD3" i="6"/>
  <c r="AR32" i="6"/>
  <c r="AD32" i="6"/>
  <c r="Q39" i="6"/>
  <c r="AE39" i="6" s="1"/>
  <c r="AS39" i="6" s="1"/>
  <c r="BI39" i="6" s="1"/>
  <c r="P15" i="6"/>
  <c r="Q15" i="6" s="1"/>
  <c r="AE15" i="6" s="1"/>
  <c r="AS15" i="6" s="1"/>
  <c r="BI15" i="6" s="1"/>
  <c r="AD45" i="6"/>
  <c r="AE45" i="6" s="1"/>
  <c r="AS45" i="6" s="1"/>
  <c r="BI45" i="6" s="1"/>
  <c r="N3" i="6"/>
  <c r="H3" i="6" s="1"/>
  <c r="Q6" i="6"/>
  <c r="E4" i="1"/>
  <c r="AA13" i="1"/>
  <c r="I13" i="1"/>
  <c r="AD33" i="7"/>
  <c r="P9" i="7"/>
  <c r="Q9" i="7" s="1"/>
  <c r="AD16" i="7"/>
  <c r="AD31" i="7"/>
  <c r="AR31" i="7"/>
  <c r="AR22" i="6"/>
  <c r="Q21" i="6"/>
  <c r="AE21" i="6" s="1"/>
  <c r="AS21" i="6" s="1"/>
  <c r="BI21" i="6" s="1"/>
  <c r="Q5" i="6"/>
  <c r="AR28" i="6"/>
  <c r="P9" i="6"/>
  <c r="Q9" i="6" s="1"/>
  <c r="AE9" i="6" s="1"/>
  <c r="AS9" i="6" s="1"/>
  <c r="BI9" i="6" s="1"/>
  <c r="AR3" i="6"/>
  <c r="K3" i="6"/>
  <c r="P4" i="6"/>
  <c r="Q4" i="6" s="1"/>
  <c r="D6" i="1"/>
  <c r="E6" i="1" s="1"/>
  <c r="E11" i="1"/>
  <c r="D3" i="1"/>
  <c r="D13" i="1" s="1"/>
  <c r="E9" i="1"/>
  <c r="AE9" i="7" l="1"/>
  <c r="AS9" i="7" s="1"/>
  <c r="BI9" i="7" s="1"/>
  <c r="AE33" i="7"/>
  <c r="AS33" i="7" s="1"/>
  <c r="BI33" i="7" s="1"/>
  <c r="BI51" i="7"/>
  <c r="BG63" i="6"/>
  <c r="BI45" i="7"/>
  <c r="AS39" i="7"/>
  <c r="BI39" i="7" s="1"/>
  <c r="E3" i="1"/>
  <c r="E13" i="1" s="1"/>
  <c r="Q63" i="7"/>
  <c r="AD67" i="7" s="1"/>
  <c r="BG63" i="7"/>
  <c r="AS15" i="7"/>
  <c r="BI15" i="7" s="1"/>
  <c r="E3" i="6"/>
  <c r="P3" i="6"/>
  <c r="Q3" i="6" s="1"/>
  <c r="AE3" i="6" s="1"/>
  <c r="AS3" i="6" s="1"/>
  <c r="BI3" i="6" s="1"/>
  <c r="BI63" i="6" s="1"/>
  <c r="P67" i="7"/>
  <c r="P66" i="7" s="1"/>
  <c r="C66" i="7"/>
  <c r="AE21" i="7"/>
  <c r="AS21" i="7" s="1"/>
  <c r="BI21" i="7" s="1"/>
  <c r="AS27" i="7"/>
  <c r="BI27" i="7" s="1"/>
  <c r="BI63" i="7" s="1"/>
  <c r="C17" i="12" l="1"/>
  <c r="C20" i="12" l="1"/>
</calcChain>
</file>

<file path=xl/comments1.xml><?xml version="1.0" encoding="utf-8"?>
<comments xmlns="http://schemas.openxmlformats.org/spreadsheetml/2006/main">
  <authors>
    <author>Mike Koers</author>
  </authors>
  <commentList>
    <comment ref="S3" authorId="0">
      <text>
        <r>
          <rPr>
            <sz val="9"/>
            <color indexed="81"/>
            <rFont val="Tahoma"/>
            <family val="2"/>
          </rPr>
          <t>Is huidige tarief, kan nog worden aangepast ivm oordeel reele prijs</t>
        </r>
      </text>
    </comment>
  </commentList>
</comments>
</file>

<file path=xl/comments2.xml><?xml version="1.0" encoding="utf-8"?>
<comments xmlns="http://schemas.openxmlformats.org/spreadsheetml/2006/main">
  <authors>
    <author>Nico Dam</author>
  </authors>
  <commentList>
    <comment ref="F13" authorId="0">
      <text>
        <r>
          <rPr>
            <b/>
            <sz val="10"/>
            <color rgb="FF000000"/>
            <rFont val="Tahoma"/>
            <family val="2"/>
          </rPr>
          <t>Nico Dam: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minus 2% No Show!</t>
        </r>
      </text>
    </comment>
  </commentList>
</comments>
</file>

<file path=xl/sharedStrings.xml><?xml version="1.0" encoding="utf-8"?>
<sst xmlns="http://schemas.openxmlformats.org/spreadsheetml/2006/main" count="934" uniqueCount="248">
  <si>
    <t>Zorgvorm</t>
  </si>
  <si>
    <t xml:space="preserve">Beschermd wonen  Laag Intensief excl. dagbesteding </t>
  </si>
  <si>
    <t xml:space="preserve">Beschermd wonen  Hoog Intensief excl. dagbesteding </t>
  </si>
  <si>
    <t xml:space="preserve">Beschermd wonen  Laag Intensief incl. dagbesteding </t>
  </si>
  <si>
    <t xml:space="preserve">Beschermd wonen  Hoog Intensief incl. dagbesteding </t>
  </si>
  <si>
    <t>tarief Groningen</t>
  </si>
  <si>
    <t>reeel tarief HHM</t>
  </si>
  <si>
    <t>Advies Berenschot 1</t>
  </si>
  <si>
    <t>Advies Berenschot 2</t>
  </si>
  <si>
    <t>eenheid</t>
  </si>
  <si>
    <t>uur</t>
  </si>
  <si>
    <t>dagdeel</t>
  </si>
  <si>
    <t xml:space="preserve">dag </t>
  </si>
  <si>
    <t>gem duur in weken</t>
  </si>
  <si>
    <t>Kortdurend Verblijf</t>
  </si>
  <si>
    <t>dag</t>
  </si>
  <si>
    <t>PM</t>
  </si>
  <si>
    <t>aandeel ZIN tov PGB</t>
  </si>
  <si>
    <t>aantal clienten totaal</t>
  </si>
  <si>
    <t>aantal clienten ZIN</t>
  </si>
  <si>
    <t>kosten per jaar obv Berenschot2</t>
  </si>
  <si>
    <t>kosten per jaar obv Berenschot1</t>
  </si>
  <si>
    <t>kosten per jaar obv HHM</t>
  </si>
  <si>
    <t>lichtere ondersteuning</t>
  </si>
  <si>
    <t>besparing na daling clienten</t>
  </si>
  <si>
    <t>besparing na daling duur</t>
  </si>
  <si>
    <t>besparing na lichtere ondersteuning clienten</t>
  </si>
  <si>
    <t>Begrote kosten na maatregelen</t>
  </si>
  <si>
    <t>gem aantal eenheden per week</t>
  </si>
  <si>
    <t>besparing na daling gem aantal eenheden per week</t>
  </si>
  <si>
    <t>Maatregelen</t>
  </si>
  <si>
    <t>Dagactiviteit met lichte begeleiding</t>
  </si>
  <si>
    <t>Dagactiviteit met middelzware begeleiding</t>
  </si>
  <si>
    <t>Dagactiviteit met zware begeleiding</t>
  </si>
  <si>
    <t>Vervoer bij Dagactiviteit met lichte begeleiding</t>
  </si>
  <si>
    <t>Vervoer bij Dagactiviteit met middelzware begeleiding</t>
  </si>
  <si>
    <t>Vervoer bij met zware begeleiding</t>
  </si>
  <si>
    <t xml:space="preserve">Lichte individuele ondersteuning </t>
  </si>
  <si>
    <t xml:space="preserve">Middelzware individuele ondersteuning </t>
  </si>
  <si>
    <t xml:space="preserve">Zware individuele ondersteuning </t>
  </si>
  <si>
    <t>verlaging aantal clienten</t>
  </si>
  <si>
    <t>verlaging aantal eenheden per week</t>
  </si>
  <si>
    <t>verlaging duur</t>
  </si>
  <si>
    <t>Begroting 2018</t>
  </si>
  <si>
    <t>Besparing</t>
  </si>
  <si>
    <t>Ouderen met somatische of psychogeriatrische problematiek (SOM 65+/PG 65+)</t>
  </si>
  <si>
    <t>ind ond</t>
  </si>
  <si>
    <t>dagact</t>
  </si>
  <si>
    <t>kortdurend VB</t>
  </si>
  <si>
    <t>1.1</t>
  </si>
  <si>
    <t>Door lichamelijke achteruitgang beperkt in zelfredzaamheid</t>
  </si>
  <si>
    <t>1.2</t>
  </si>
  <si>
    <t xml:space="preserve">Door cognitieve achteruitgang beperkt in zelfredzaamheid </t>
  </si>
  <si>
    <t>licht</t>
  </si>
  <si>
    <t>middel</t>
  </si>
  <si>
    <t xml:space="preserve">Volwassenen met psychiatrische problematiek (PSY/PS &gt;18jr); </t>
  </si>
  <si>
    <t>zwaar</t>
  </si>
  <si>
    <t xml:space="preserve"> </t>
  </si>
  <si>
    <t>Volwassenen met een verstandelijke beperking (VG)</t>
  </si>
  <si>
    <t>3.1</t>
  </si>
  <si>
    <t>Verstandelijk beperkt met enkelvoudige problematiek</t>
  </si>
  <si>
    <t>3.2</t>
  </si>
  <si>
    <t xml:space="preserve">Ernstig meervoudige complexe beperking </t>
  </si>
  <si>
    <t>3.3</t>
  </si>
  <si>
    <t xml:space="preserve">Probleemgedrag </t>
  </si>
  <si>
    <t>Volwassenen met een lichamelijke beperking of chronische ziekte (SOM 0-64, LG)</t>
  </si>
  <si>
    <t>4.1</t>
  </si>
  <si>
    <t>Ernstige fysieke/motorische beperkingen en meervoudige problemen op (bijna) alle levensgebieden</t>
  </si>
  <si>
    <t>4.2</t>
  </si>
  <si>
    <t>Progressief verlopende aandoeningen meervoudige problemen op (vrijwel) alle levensgebieden</t>
  </si>
  <si>
    <t>4.3</t>
  </si>
  <si>
    <t xml:space="preserve">Niet aangeboren hersenletsel met meervoudige problemen op alle levensgebieden die van tijd tot tijd zeer wisselend kan verlopen  </t>
  </si>
  <si>
    <t xml:space="preserve">Multiprobleemgezinnen </t>
  </si>
  <si>
    <t>Besparing 2019</t>
  </si>
  <si>
    <t>Begrote kosten 2019 na maatregelen</t>
  </si>
  <si>
    <t>Besparing 2020</t>
  </si>
  <si>
    <t>Begrote kosten 2020 na maatregelen</t>
  </si>
  <si>
    <t>Besparing 2021</t>
  </si>
  <si>
    <t>Begrote kosten 2021 na maatregelen</t>
  </si>
  <si>
    <t>Besparing 2022</t>
  </si>
  <si>
    <t>Begrote kosten 2022 na maatregelen</t>
  </si>
  <si>
    <t>Besparing 2019 totaal</t>
  </si>
  <si>
    <t>Besparing 2020 totaal</t>
  </si>
  <si>
    <t>Besparing 2021 totaal</t>
  </si>
  <si>
    <t>Besparing 2022 totaal</t>
  </si>
  <si>
    <t>aantal clienten 2018</t>
  </si>
  <si>
    <t xml:space="preserve">tarief </t>
  </si>
  <si>
    <t>A</t>
  </si>
  <si>
    <t>B</t>
  </si>
  <si>
    <t>C</t>
  </si>
  <si>
    <t>D</t>
  </si>
  <si>
    <t>E</t>
  </si>
  <si>
    <t>?</t>
  </si>
  <si>
    <t>Vervoer bij Dagactiviteit met zware begeleiding</t>
  </si>
  <si>
    <t>1. Sociaal netwerk/eigen kracht/zelforganiserend vermogen</t>
  </si>
  <si>
    <t>2. Informele Ondersteuning</t>
  </si>
  <si>
    <t>3. Algemene voorziningen</t>
  </si>
  <si>
    <t>4.  Overig (incl. Technologie)</t>
  </si>
  <si>
    <t>denkrichting transformatie 2019</t>
  </si>
  <si>
    <t>denkrichting transformatie 2020</t>
  </si>
  <si>
    <t>denkrichting transformatie 2021</t>
  </si>
  <si>
    <t>3. Algemene voorzieningen</t>
  </si>
  <si>
    <t xml:space="preserve">Totale kosten </t>
  </si>
  <si>
    <t>Persoonlijke verzorging</t>
  </si>
  <si>
    <t>Individuele begeleiding Basis</t>
  </si>
  <si>
    <t>Product</t>
  </si>
  <si>
    <t>parameterwaarden</t>
  </si>
  <si>
    <t>Begeleiding Groep Basis</t>
  </si>
  <si>
    <t>Begeleiding Groep Plus</t>
  </si>
  <si>
    <t>Max maandsalaris opleidingsmix</t>
  </si>
  <si>
    <t>Inschaling als % van max</t>
  </si>
  <si>
    <t>ORT</t>
  </si>
  <si>
    <t xml:space="preserve">Vakantiegeld </t>
  </si>
  <si>
    <t>Eindejaarsuitkering</t>
  </si>
  <si>
    <t>Bruto loonkosten</t>
  </si>
  <si>
    <t>Werkgeverslasten</t>
  </si>
  <si>
    <t>Bruto loonkosten incl werkgeverslasten</t>
  </si>
  <si>
    <t>Opslag overhead</t>
  </si>
  <si>
    <t>Risico-opslag</t>
  </si>
  <si>
    <t>Declarabele uren</t>
  </si>
  <si>
    <t>Groepsgrootte</t>
  </si>
  <si>
    <t>Uren per dagdeel</t>
  </si>
  <si>
    <t>Opslag locatiekosten per dagdeel</t>
  </si>
  <si>
    <t>Productiviteit</t>
  </si>
  <si>
    <t>BIJ DE AANBIEDER</t>
  </si>
  <si>
    <t>BIJ DE CLIËNT</t>
  </si>
  <si>
    <t>Kort verblijf</t>
  </si>
  <si>
    <t>bruto</t>
  </si>
  <si>
    <t>feestdagen</t>
  </si>
  <si>
    <t>verlof &amp; vitaliteit/PBL + bovenwettelijk</t>
  </si>
  <si>
    <t>ziekteverzuim obv vierjarig gemiddelde</t>
  </si>
  <si>
    <t>werkbaar</t>
  </si>
  <si>
    <t>niet cliëntgebonden</t>
  </si>
  <si>
    <t>opleiding intervisie</t>
  </si>
  <si>
    <t>overleg, administratie</t>
  </si>
  <si>
    <t>overig (pauze, pv, etc)</t>
  </si>
  <si>
    <t>cliëntgebonden tijd</t>
  </si>
  <si>
    <t>niet declarabele reistijd</t>
  </si>
  <si>
    <t>indirect cliëntgebonden</t>
  </si>
  <si>
    <t>direct cliëntgebonden</t>
  </si>
  <si>
    <t>Sociale Lasten</t>
  </si>
  <si>
    <t>WAO/IVA/WGA basispremie (Aof) incl. toeslag kinderopvang</t>
  </si>
  <si>
    <t>WW premie (Awf) laag (aanstelling voor onbepaalde tijd)</t>
  </si>
  <si>
    <t>WW premie (Awf) hoog (overige dienstbetrekkingen)</t>
  </si>
  <si>
    <t>ZVW premie werkgever</t>
  </si>
  <si>
    <t>Werkhervattingskas (gezondheidszorg)</t>
  </si>
  <si>
    <t>TOTAAL</t>
  </si>
  <si>
    <t>maximale maandsalarisbedragen per cao</t>
  </si>
  <si>
    <t>VVT</t>
  </si>
  <si>
    <t>GGZ</t>
  </si>
  <si>
    <t>GHZ</t>
  </si>
  <si>
    <t>WMD</t>
  </si>
  <si>
    <t>MBO 2</t>
  </si>
  <si>
    <t>FWG20</t>
  </si>
  <si>
    <t>FWG25</t>
  </si>
  <si>
    <t>schaal 3</t>
  </si>
  <si>
    <t>MBO 3</t>
  </si>
  <si>
    <t>FWG30</t>
  </si>
  <si>
    <t>schaal 4</t>
  </si>
  <si>
    <t>FWG35</t>
  </si>
  <si>
    <t>schaal 5</t>
  </si>
  <si>
    <t>MBO 4</t>
  </si>
  <si>
    <t>FWG40</t>
  </si>
  <si>
    <t>schaal 6</t>
  </si>
  <si>
    <t>FWG45</t>
  </si>
  <si>
    <t>schaal 7</t>
  </si>
  <si>
    <t>HBO</t>
  </si>
  <si>
    <t>FWG50</t>
  </si>
  <si>
    <t>schaal 8</t>
  </si>
  <si>
    <t>FWG55</t>
  </si>
  <si>
    <t>schaal 9</t>
  </si>
  <si>
    <t xml:space="preserve">gelijk gewicht </t>
  </si>
  <si>
    <t>Pers. Verzorging</t>
  </si>
  <si>
    <t>Kort Verblijf      Alleen verblijf</t>
  </si>
  <si>
    <t>Kort Verblijf        All-in</t>
  </si>
  <si>
    <t>Individuele begeleiding Plus</t>
  </si>
  <si>
    <t>Buitengebied</t>
  </si>
  <si>
    <t>Oorspronkelijk (gem) tarief 2019</t>
  </si>
  <si>
    <t>Begeleiding groep basis</t>
  </si>
  <si>
    <t>Oud tarief 2019</t>
  </si>
  <si>
    <t>% afwijking nieuw tarief</t>
  </si>
  <si>
    <t>langdurige psychische stoornis</t>
  </si>
  <si>
    <t>LG licht</t>
  </si>
  <si>
    <t>o.a. ouderen, VG licht</t>
  </si>
  <si>
    <t>LG midden</t>
  </si>
  <si>
    <t>LG zwaar</t>
  </si>
  <si>
    <t>ouderen</t>
  </si>
  <si>
    <t>VG midden</t>
  </si>
  <si>
    <t>VG zwaar</t>
  </si>
  <si>
    <t>Begeleiding groep Plus</t>
  </si>
  <si>
    <t>Eenheid</t>
  </si>
  <si>
    <t>Dagdeel</t>
  </si>
  <si>
    <t>Uur</t>
  </si>
  <si>
    <t>Kort verblijf all-in</t>
  </si>
  <si>
    <t>Individuele       Begeleiding basis</t>
  </si>
  <si>
    <t>Individuele       Begeleiding plus</t>
  </si>
  <si>
    <t>Etmaal</t>
  </si>
  <si>
    <t>Dagbesteding Basis</t>
  </si>
  <si>
    <t>Dagbesteding Plus</t>
  </si>
  <si>
    <t>met 10 uren bijzonder verlof, ziekteverlof, seniorendagen, etc.</t>
  </si>
  <si>
    <t>verschil per doelgroep</t>
  </si>
  <si>
    <t>HbH</t>
  </si>
  <si>
    <t>Individuele       Begeleiding basis Buitengebied</t>
  </si>
  <si>
    <t>Individuele       Begeleiding plus Buitengebied</t>
  </si>
  <si>
    <t>* 190 uur voor het buitengebied ivm langere reistijd (van 20 mijn per rit naar 30 min)</t>
  </si>
  <si>
    <t>0-4 km</t>
  </si>
  <si>
    <t>5-9 km</t>
  </si>
  <si>
    <t>10-19 km</t>
  </si>
  <si>
    <t>20-29 km</t>
  </si>
  <si>
    <t>30-39 km</t>
  </si>
  <si>
    <t>&gt; 40 km</t>
  </si>
  <si>
    <t>Eigen vervoer aanbieder</t>
  </si>
  <si>
    <t>Volwassenen; rolstoel</t>
  </si>
  <si>
    <t>Individueel vervoer</t>
  </si>
  <si>
    <t>3 gebieden</t>
  </si>
  <si>
    <t>Vervoer dagbesteding rolstoel</t>
  </si>
  <si>
    <t>Doelgroep Vervoer</t>
  </si>
  <si>
    <t>Vervoer dagbesteding basis</t>
  </si>
  <si>
    <t>Volwassenen; basis</t>
  </si>
  <si>
    <t xml:space="preserve">Tarief vervoer dagbesteding </t>
  </si>
  <si>
    <t>pensioenparameters</t>
  </si>
  <si>
    <t>werkgeversdeel OP (50% van 25%)</t>
  </si>
  <si>
    <t>aow franchise (bedrag 2020!)</t>
  </si>
  <si>
    <t>werkgeversdeel AP (50% van 0,5%)</t>
  </si>
  <si>
    <t>AP franchise (bedrag 2020!)</t>
  </si>
  <si>
    <t>pensioen</t>
  </si>
  <si>
    <t>rekensalaris (werkgeverslasten)</t>
  </si>
  <si>
    <t>OP</t>
  </si>
  <si>
    <t>AP</t>
  </si>
  <si>
    <t>gemiddeld pensioenpercentage</t>
  </si>
  <si>
    <t>totaal sociale lasten</t>
  </si>
  <si>
    <t>Pensioen</t>
  </si>
  <si>
    <t>Begeleiding</t>
  </si>
  <si>
    <t>afwijkende waarden</t>
  </si>
  <si>
    <t>Pers Verzorging</t>
  </si>
  <si>
    <t>Logeren</t>
  </si>
  <si>
    <t>afwijkende parameters HbH</t>
  </si>
  <si>
    <t>sociale lasten bij logeren</t>
  </si>
  <si>
    <t>transitievergoeding</t>
  </si>
  <si>
    <t>EENHEIDSTARIEF prijspeil 1 jan 2021</t>
  </si>
  <si>
    <t>geldig op 10-12-2020</t>
  </si>
  <si>
    <t>SUBTOTAAL</t>
  </si>
  <si>
    <t xml:space="preserve">Hulp bij het huishouden </t>
  </si>
  <si>
    <t>salaris 1-1-2021</t>
  </si>
  <si>
    <t>salaris 1-7-2021</t>
  </si>
  <si>
    <t>minimum ex cao</t>
  </si>
  <si>
    <t xml:space="preserve">Eenheidstarief prijspeil heel 2021 </t>
  </si>
  <si>
    <t>EENHEIDSTARIEF prijspeil heel 2021 incl reistijd (€0,35 p/u)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</si>
</sst>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);[Red]\(&quot;€&quot;\ #,##0.00\)"/>
    <numFmt numFmtId="165" formatCode="_(&quot;€&quot;\ * #,##0.00_);_(&quot;€&quot;\ * \(#,##0.00\);_(&quot;€&quot;\ * &quot;-&quot;??_);_(@_)"/>
    <numFmt numFmtId="166" formatCode="_ * #,##0_ ;_ * \-#,##0_ ;_ * &quot;-&quot;??_ ;_ @_ "/>
    <numFmt numFmtId="167" formatCode="_ &quot;€&quot;\ * #,##0_ ;_ &quot;€&quot;\ * \-#,##0_ ;_ &quot;€&quot;\ * &quot;-&quot;??_ ;_ @_ "/>
    <numFmt numFmtId="168" formatCode="0.0"/>
    <numFmt numFmtId="169" formatCode="0.0%"/>
    <numFmt numFmtId="170" formatCode="_(* #,##0_);_(* \(#,##0\);_(* &quot;-&quot;??_);_(@_)"/>
    <numFmt numFmtId="171" formatCode="_(&quot;€&quot;\ * #,##0_);_(&quot;€&quot;\ * \(#,##0\);_(&quot;€&quot;\ * &quot;-&quot;??_);_(@_)"/>
  </numFmts>
  <fonts count="4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color theme="1"/>
      <name val="Trebuchet MS"/>
      <family val="2"/>
    </font>
    <font>
      <sz val="9"/>
      <color theme="1"/>
      <name val="Trebuchet MS"/>
      <family val="2"/>
    </font>
    <font>
      <b/>
      <sz val="9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/>
      <name val="Trebuchet MS"/>
      <family val="2"/>
    </font>
    <font>
      <sz val="10"/>
      <color theme="2" tint="-0.749992370372631"/>
      <name val="Trebuchet MS"/>
      <family val="2"/>
    </font>
    <font>
      <b/>
      <sz val="8"/>
      <color theme="2" tint="-0.749992370372631"/>
      <name val="Trebuchet MS"/>
      <family val="2"/>
    </font>
    <font>
      <b/>
      <sz val="9"/>
      <color theme="2" tint="-0.749992370372631"/>
      <name val="Trebuchet MS"/>
      <family val="2"/>
    </font>
    <font>
      <b/>
      <sz val="10"/>
      <color theme="2" tint="-0.749992370372631"/>
      <name val="Trebuchet MS"/>
      <family val="2"/>
    </font>
    <font>
      <sz val="8"/>
      <color theme="2" tint="-0.749992370372631"/>
      <name val="Trebuchet MS"/>
      <family val="2"/>
    </font>
    <font>
      <sz val="9"/>
      <color theme="2" tint="-0.749992370372631"/>
      <name val="Trebuchet MS"/>
      <family val="2"/>
    </font>
    <font>
      <sz val="6"/>
      <color theme="1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Times New Roman"/>
      <family val="1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8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i/>
      <sz val="10"/>
      <color theme="3"/>
      <name val="Trebuchet MS"/>
      <family val="2"/>
    </font>
    <font>
      <sz val="9"/>
      <color theme="1" tint="0.499984740745262"/>
      <name val="Trebuchet MS"/>
      <family val="2"/>
    </font>
    <font>
      <b/>
      <sz val="11"/>
      <color theme="1" tint="0.499984740745262"/>
      <name val="Trebuchet MS"/>
      <family val="2"/>
    </font>
    <font>
      <sz val="10"/>
      <color theme="1" tint="0.499984740745262"/>
      <name val="Trebuchet MS"/>
      <family val="2"/>
    </font>
    <font>
      <sz val="8"/>
      <color theme="1" tint="0.499984740745262"/>
      <name val="Trebuchet MS"/>
      <family val="2"/>
    </font>
    <font>
      <b/>
      <sz val="8"/>
      <color theme="1" tint="0.499984740745262"/>
      <name val="Trebuchet MS"/>
      <family val="2"/>
    </font>
    <font>
      <sz val="7"/>
      <color theme="1" tint="0.499984740745262"/>
      <name val="Trebuchet MS"/>
      <family val="2"/>
    </font>
    <font>
      <b/>
      <sz val="9"/>
      <color theme="1" tint="0.499984740745262"/>
      <name val="Trebuchet MS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6"/>
      <name val="Calibri"/>
      <family val="2"/>
      <scheme val="minor"/>
    </font>
    <font>
      <b/>
      <sz val="12"/>
      <color theme="6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0">
    <xf numFmtId="0" fontId="0" fillId="0" borderId="0" xfId="0"/>
    <xf numFmtId="167" fontId="5" fillId="6" borderId="1" xfId="2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5" fillId="8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6" fillId="0" borderId="0" xfId="0" applyFont="1"/>
    <xf numFmtId="167" fontId="6" fillId="0" borderId="0" xfId="2" applyNumberFormat="1" applyFont="1" applyAlignment="1">
      <alignment wrapText="1"/>
    </xf>
    <xf numFmtId="0" fontId="8" fillId="0" borderId="0" xfId="0" applyFont="1"/>
    <xf numFmtId="167" fontId="8" fillId="0" borderId="0" xfId="2" applyNumberFormat="1" applyFont="1"/>
    <xf numFmtId="167" fontId="8" fillId="0" borderId="1" xfId="2" applyNumberFormat="1" applyFont="1" applyBorder="1" applyAlignment="1">
      <alignment horizontal="right"/>
    </xf>
    <xf numFmtId="9" fontId="8" fillId="9" borderId="1" xfId="0" applyNumberFormat="1" applyFont="1" applyFill="1" applyBorder="1"/>
    <xf numFmtId="9" fontId="8" fillId="3" borderId="1" xfId="3" applyFont="1" applyFill="1" applyBorder="1"/>
    <xf numFmtId="166" fontId="8" fillId="3" borderId="1" xfId="1" applyNumberFormat="1" applyFont="1" applyFill="1" applyBorder="1"/>
    <xf numFmtId="44" fontId="8" fillId="0" borderId="1" xfId="2" applyFont="1" applyBorder="1"/>
    <xf numFmtId="167" fontId="8" fillId="0" borderId="0" xfId="2" applyNumberFormat="1" applyFont="1" applyAlignment="1">
      <alignment horizontal="right"/>
    </xf>
    <xf numFmtId="44" fontId="8" fillId="0" borderId="1" xfId="2" applyFont="1" applyBorder="1" applyAlignment="1">
      <alignment horizontal="right"/>
    </xf>
    <xf numFmtId="167" fontId="10" fillId="6" borderId="1" xfId="2" applyNumberFormat="1" applyFont="1" applyFill="1" applyBorder="1" applyAlignment="1">
      <alignment wrapText="1"/>
    </xf>
    <xf numFmtId="0" fontId="9" fillId="3" borderId="0" xfId="0" applyFont="1" applyFill="1"/>
    <xf numFmtId="0" fontId="8" fillId="3" borderId="0" xfId="0" applyFont="1" applyFill="1"/>
    <xf numFmtId="167" fontId="8" fillId="3" borderId="0" xfId="2" applyNumberFormat="1" applyFont="1" applyFill="1"/>
    <xf numFmtId="167" fontId="9" fillId="3" borderId="0" xfId="2" applyNumberFormat="1" applyFont="1" applyFill="1" applyAlignment="1">
      <alignment horizontal="right"/>
    </xf>
    <xf numFmtId="167" fontId="8" fillId="3" borderId="0" xfId="2" applyNumberFormat="1" applyFont="1" applyFill="1" applyAlignment="1">
      <alignment horizontal="right"/>
    </xf>
    <xf numFmtId="44" fontId="8" fillId="3" borderId="1" xfId="2" applyFont="1" applyFill="1" applyBorder="1"/>
    <xf numFmtId="166" fontId="8" fillId="3" borderId="1" xfId="1" applyNumberFormat="1" applyFont="1" applyFill="1" applyBorder="1" applyAlignment="1">
      <alignment horizontal="right" vertical="center"/>
    </xf>
    <xf numFmtId="43" fontId="8" fillId="3" borderId="0" xfId="1" applyFont="1" applyFill="1" applyAlignment="1">
      <alignment horizontal="right"/>
    </xf>
    <xf numFmtId="167" fontId="11" fillId="0" borderId="3" xfId="2" applyNumberFormat="1" applyFont="1" applyBorder="1" applyAlignment="1">
      <alignment horizontal="right"/>
    </xf>
    <xf numFmtId="166" fontId="8" fillId="3" borderId="0" xfId="0" applyNumberFormat="1" applyFont="1" applyFill="1"/>
    <xf numFmtId="0" fontId="8" fillId="0" borderId="0" xfId="0" applyFont="1" applyAlignment="1">
      <alignment horizontal="right"/>
    </xf>
    <xf numFmtId="9" fontId="8" fillId="3" borderId="1" xfId="3" applyFont="1" applyFill="1" applyBorder="1" applyAlignment="1">
      <alignment horizontal="right"/>
    </xf>
    <xf numFmtId="166" fontId="8" fillId="3" borderId="1" xfId="1" applyNumberFormat="1" applyFont="1" applyFill="1" applyBorder="1" applyAlignment="1">
      <alignment horizontal="right"/>
    </xf>
    <xf numFmtId="167" fontId="14" fillId="3" borderId="2" xfId="2" applyNumberFormat="1" applyFont="1" applyFill="1" applyBorder="1"/>
    <xf numFmtId="0" fontId="7" fillId="0" borderId="0" xfId="0" applyFont="1"/>
    <xf numFmtId="0" fontId="7" fillId="3" borderId="0" xfId="0" applyFont="1" applyFill="1"/>
    <xf numFmtId="9" fontId="8" fillId="2" borderId="1" xfId="0" applyNumberFormat="1" applyFont="1" applyFill="1" applyBorder="1"/>
    <xf numFmtId="9" fontId="8" fillId="2" borderId="1" xfId="0" applyNumberFormat="1" applyFont="1" applyFill="1" applyBorder="1" applyAlignment="1">
      <alignment horizontal="right"/>
    </xf>
    <xf numFmtId="167" fontId="7" fillId="6" borderId="1" xfId="2" applyNumberFormat="1" applyFont="1" applyFill="1" applyBorder="1" applyAlignment="1">
      <alignment wrapText="1"/>
    </xf>
    <xf numFmtId="167" fontId="13" fillId="6" borderId="1" xfId="2" applyNumberFormat="1" applyFont="1" applyFill="1" applyBorder="1" applyAlignment="1">
      <alignment wrapText="1"/>
    </xf>
    <xf numFmtId="167" fontId="7" fillId="3" borderId="2" xfId="2" applyNumberFormat="1" applyFont="1" applyFill="1" applyBorder="1"/>
    <xf numFmtId="0" fontId="6" fillId="3" borderId="0" xfId="0" applyFont="1" applyFill="1"/>
    <xf numFmtId="0" fontId="8" fillId="3" borderId="0" xfId="0" applyFont="1" applyFill="1" applyAlignment="1">
      <alignment horizontal="right"/>
    </xf>
    <xf numFmtId="167" fontId="15" fillId="3" borderId="3" xfId="2" applyNumberFormat="1" applyFont="1" applyFill="1" applyBorder="1" applyAlignment="1">
      <alignment horizontal="right"/>
    </xf>
    <xf numFmtId="167" fontId="12" fillId="5" borderId="1" xfId="2" applyNumberFormat="1" applyFont="1" applyFill="1" applyBorder="1" applyAlignment="1">
      <alignment horizontal="right" wrapText="1"/>
    </xf>
    <xf numFmtId="167" fontId="16" fillId="3" borderId="2" xfId="2" applyNumberFormat="1" applyFont="1" applyFill="1" applyBorder="1"/>
    <xf numFmtId="44" fontId="5" fillId="3" borderId="1" xfId="2" applyFont="1" applyFill="1" applyBorder="1"/>
    <xf numFmtId="44" fontId="5" fillId="3" borderId="1" xfId="2" applyFont="1" applyFill="1" applyBorder="1" applyAlignment="1">
      <alignment horizontal="right"/>
    </xf>
    <xf numFmtId="166" fontId="7" fillId="3" borderId="1" xfId="1" applyNumberFormat="1" applyFont="1" applyFill="1" applyBorder="1"/>
    <xf numFmtId="166" fontId="7" fillId="3" borderId="1" xfId="1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wrapText="1"/>
    </xf>
    <xf numFmtId="168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10" fillId="0" borderId="1" xfId="0" applyFont="1" applyBorder="1" applyAlignment="1">
      <alignment horizontal="left"/>
    </xf>
    <xf numFmtId="167" fontId="7" fillId="7" borderId="1" xfId="2" applyNumberFormat="1" applyFont="1" applyFill="1" applyBorder="1" applyAlignment="1">
      <alignment wrapText="1"/>
    </xf>
    <xf numFmtId="167" fontId="7" fillId="8" borderId="1" xfId="2" applyNumberFormat="1" applyFont="1" applyFill="1" applyBorder="1" applyAlignment="1">
      <alignment wrapText="1"/>
    </xf>
    <xf numFmtId="167" fontId="7" fillId="4" borderId="1" xfId="2" applyNumberFormat="1" applyFont="1" applyFill="1" applyBorder="1" applyAlignment="1">
      <alignment wrapText="1"/>
    </xf>
    <xf numFmtId="167" fontId="7" fillId="5" borderId="1" xfId="2" applyNumberFormat="1" applyFont="1" applyFill="1" applyBorder="1" applyAlignment="1">
      <alignment horizontal="right" wrapText="1"/>
    </xf>
    <xf numFmtId="167" fontId="17" fillId="6" borderId="1" xfId="2" applyNumberFormat="1" applyFont="1" applyFill="1" applyBorder="1" applyAlignment="1">
      <alignment wrapText="1"/>
    </xf>
    <xf numFmtId="168" fontId="7" fillId="2" borderId="1" xfId="0" applyNumberFormat="1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68" fontId="7" fillId="2" borderId="1" xfId="0" applyNumberFormat="1" applyFont="1" applyFill="1" applyBorder="1" applyAlignment="1">
      <alignment horizontal="right" wrapText="1"/>
    </xf>
    <xf numFmtId="167" fontId="15" fillId="3" borderId="2" xfId="2" applyNumberFormat="1" applyFont="1" applyFill="1" applyBorder="1"/>
    <xf numFmtId="10" fontId="8" fillId="3" borderId="0" xfId="0" applyNumberFormat="1" applyFont="1" applyFill="1"/>
    <xf numFmtId="0" fontId="18" fillId="3" borderId="0" xfId="0" applyFont="1" applyFill="1" applyAlignment="1">
      <alignment horizontal="right"/>
    </xf>
    <xf numFmtId="0" fontId="19" fillId="2" borderId="0" xfId="0" applyFont="1" applyFill="1"/>
    <xf numFmtId="0" fontId="18" fillId="3" borderId="0" xfId="0" applyFont="1" applyFill="1"/>
    <xf numFmtId="0" fontId="20" fillId="0" borderId="4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1" fillId="0" borderId="0" xfId="0" applyFont="1" applyAlignment="1">
      <alignment wrapText="1"/>
    </xf>
    <xf numFmtId="0" fontId="20" fillId="0" borderId="6" xfId="0" applyFont="1" applyBorder="1" applyAlignment="1">
      <alignment vertical="center" wrapText="1"/>
    </xf>
    <xf numFmtId="0" fontId="22" fillId="3" borderId="0" xfId="0" applyFont="1" applyFill="1" applyAlignment="1">
      <alignment horizontal="right"/>
    </xf>
    <xf numFmtId="0" fontId="22" fillId="3" borderId="0" xfId="0" applyFont="1" applyFill="1"/>
    <xf numFmtId="0" fontId="23" fillId="0" borderId="7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4" fillId="0" borderId="0" xfId="0" applyFont="1"/>
    <xf numFmtId="0" fontId="23" fillId="0" borderId="0" xfId="0" applyFont="1" applyAlignment="1">
      <alignment vertical="center"/>
    </xf>
    <xf numFmtId="0" fontId="0" fillId="3" borderId="0" xfId="0" applyFill="1" applyAlignment="1">
      <alignment horizontal="right"/>
    </xf>
    <xf numFmtId="0" fontId="0" fillId="3" borderId="0" xfId="0" applyFill="1"/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167" fontId="5" fillId="3" borderId="0" xfId="2" applyNumberFormat="1" applyFont="1" applyFill="1"/>
    <xf numFmtId="167" fontId="25" fillId="6" borderId="1" xfId="2" applyNumberFormat="1" applyFont="1" applyFill="1" applyBorder="1" applyAlignment="1">
      <alignment wrapText="1"/>
    </xf>
    <xf numFmtId="167" fontId="25" fillId="7" borderId="1" xfId="2" applyNumberFormat="1" applyFont="1" applyFill="1" applyBorder="1" applyAlignment="1">
      <alignment wrapText="1"/>
    </xf>
    <xf numFmtId="167" fontId="25" fillId="8" borderId="1" xfId="2" applyNumberFormat="1" applyFont="1" applyFill="1" applyBorder="1" applyAlignment="1">
      <alignment wrapText="1"/>
    </xf>
    <xf numFmtId="167" fontId="25" fillId="4" borderId="1" xfId="2" applyNumberFormat="1" applyFont="1" applyFill="1" applyBorder="1" applyAlignment="1">
      <alignment wrapText="1"/>
    </xf>
    <xf numFmtId="167" fontId="25" fillId="5" borderId="1" xfId="2" applyNumberFormat="1" applyFont="1" applyFill="1" applyBorder="1" applyAlignment="1">
      <alignment horizontal="right" wrapText="1"/>
    </xf>
    <xf numFmtId="167" fontId="25" fillId="3" borderId="2" xfId="2" applyNumberFormat="1" applyFont="1" applyFill="1" applyBorder="1"/>
    <xf numFmtId="167" fontId="5" fillId="3" borderId="0" xfId="2" applyNumberFormat="1" applyFont="1" applyFill="1" applyAlignment="1">
      <alignment horizontal="right"/>
    </xf>
    <xf numFmtId="167" fontId="5" fillId="0" borderId="0" xfId="2" applyNumberFormat="1" applyFont="1"/>
    <xf numFmtId="167" fontId="25" fillId="3" borderId="0" xfId="2" applyNumberFormat="1" applyFont="1" applyFill="1"/>
    <xf numFmtId="167" fontId="25" fillId="3" borderId="0" xfId="2" applyNumberFormat="1" applyFont="1" applyFill="1" applyAlignment="1">
      <alignment horizontal="right"/>
    </xf>
    <xf numFmtId="167" fontId="25" fillId="0" borderId="0" xfId="2" applyNumberFormat="1" applyFont="1"/>
    <xf numFmtId="167" fontId="26" fillId="3" borderId="0" xfId="2" applyNumberFormat="1" applyFont="1" applyFill="1"/>
    <xf numFmtId="167" fontId="27" fillId="6" borderId="1" xfId="2" applyNumberFormat="1" applyFont="1" applyFill="1" applyBorder="1" applyAlignment="1">
      <alignment wrapText="1"/>
    </xf>
    <xf numFmtId="167" fontId="26" fillId="0" borderId="1" xfId="2" applyNumberFormat="1" applyFont="1" applyBorder="1" applyAlignment="1">
      <alignment horizontal="right"/>
    </xf>
    <xf numFmtId="167" fontId="27" fillId="3" borderId="2" xfId="2" applyNumberFormat="1" applyFont="1" applyFill="1" applyBorder="1"/>
    <xf numFmtId="167" fontId="26" fillId="3" borderId="0" xfId="2" applyNumberFormat="1" applyFont="1" applyFill="1" applyAlignment="1">
      <alignment horizontal="right"/>
    </xf>
    <xf numFmtId="167" fontId="26" fillId="0" borderId="0" xfId="2" applyNumberFormat="1" applyFont="1"/>
    <xf numFmtId="167" fontId="27" fillId="3" borderId="0" xfId="2" applyNumberFormat="1" applyFont="1" applyFill="1"/>
    <xf numFmtId="167" fontId="25" fillId="3" borderId="0" xfId="2" applyNumberFormat="1" applyFont="1" applyFill="1" applyBorder="1"/>
    <xf numFmtId="44" fontId="5" fillId="10" borderId="1" xfId="2" applyFont="1" applyFill="1" applyBorder="1"/>
    <xf numFmtId="44" fontId="5" fillId="10" borderId="1" xfId="2" applyFont="1" applyFill="1" applyBorder="1" applyAlignment="1">
      <alignment horizontal="right"/>
    </xf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167" fontId="9" fillId="3" borderId="0" xfId="2" applyNumberFormat="1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0" fontId="10" fillId="3" borderId="1" xfId="0" applyFont="1" applyFill="1" applyBorder="1" applyAlignment="1">
      <alignment wrapText="1"/>
    </xf>
    <xf numFmtId="167" fontId="25" fillId="3" borderId="0" xfId="2" applyNumberFormat="1" applyFont="1" applyFill="1" applyBorder="1" applyAlignment="1">
      <alignment wrapText="1"/>
    </xf>
    <xf numFmtId="167" fontId="25" fillId="3" borderId="0" xfId="2" applyNumberFormat="1" applyFont="1" applyFill="1" applyBorder="1" applyAlignment="1">
      <alignment horizontal="right" wrapText="1"/>
    </xf>
    <xf numFmtId="9" fontId="8" fillId="3" borderId="0" xfId="3" applyFont="1" applyFill="1"/>
    <xf numFmtId="0" fontId="9" fillId="4" borderId="1" xfId="0" applyFont="1" applyFill="1" applyBorder="1" applyAlignment="1">
      <alignment wrapText="1"/>
    </xf>
    <xf numFmtId="0" fontId="9" fillId="8" borderId="1" xfId="0" applyFont="1" applyFill="1" applyBorder="1" applyAlignment="1">
      <alignment wrapText="1"/>
    </xf>
    <xf numFmtId="0" fontId="9" fillId="7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167" fontId="6" fillId="6" borderId="1" xfId="2" applyNumberFormat="1" applyFont="1" applyFill="1" applyBorder="1" applyAlignment="1">
      <alignment wrapText="1"/>
    </xf>
    <xf numFmtId="167" fontId="27" fillId="0" borderId="1" xfId="2" applyNumberFormat="1" applyFont="1" applyBorder="1" applyAlignment="1">
      <alignment horizontal="right"/>
    </xf>
    <xf numFmtId="167" fontId="29" fillId="0" borderId="1" xfId="2" applyNumberFormat="1" applyFont="1" applyBorder="1" applyAlignment="1">
      <alignment horizontal="right"/>
    </xf>
    <xf numFmtId="167" fontId="30" fillId="3" borderId="0" xfId="2" applyNumberFormat="1" applyFont="1" applyFill="1"/>
    <xf numFmtId="9" fontId="31" fillId="2" borderId="1" xfId="0" applyNumberFormat="1" applyFont="1" applyFill="1" applyBorder="1"/>
    <xf numFmtId="0" fontId="31" fillId="3" borderId="0" xfId="0" applyFont="1" applyFill="1"/>
    <xf numFmtId="167" fontId="32" fillId="3" borderId="3" xfId="2" applyNumberFormat="1" applyFont="1" applyFill="1" applyBorder="1" applyAlignment="1">
      <alignment horizontal="right"/>
    </xf>
    <xf numFmtId="167" fontId="31" fillId="3" borderId="0" xfId="2" applyNumberFormat="1" applyFont="1" applyFill="1"/>
    <xf numFmtId="167" fontId="31" fillId="0" borderId="3" xfId="2" applyNumberFormat="1" applyFont="1" applyBorder="1" applyAlignment="1">
      <alignment horizontal="right"/>
    </xf>
    <xf numFmtId="167" fontId="33" fillId="7" borderId="1" xfId="2" applyNumberFormat="1" applyFont="1" applyFill="1" applyBorder="1" applyAlignment="1">
      <alignment wrapText="1"/>
    </xf>
    <xf numFmtId="0" fontId="31" fillId="0" borderId="0" xfId="0" applyFont="1"/>
    <xf numFmtId="167" fontId="33" fillId="3" borderId="0" xfId="2" applyNumberFormat="1" applyFont="1" applyFill="1" applyBorder="1" applyAlignment="1">
      <alignment wrapText="1"/>
    </xf>
    <xf numFmtId="166" fontId="29" fillId="3" borderId="1" xfId="1" applyNumberFormat="1" applyFont="1" applyFill="1" applyBorder="1"/>
    <xf numFmtId="9" fontId="31" fillId="3" borderId="1" xfId="3" applyFont="1" applyFill="1" applyBorder="1"/>
    <xf numFmtId="166" fontId="31" fillId="3" borderId="1" xfId="1" applyNumberFormat="1" applyFont="1" applyFill="1" applyBorder="1"/>
    <xf numFmtId="44" fontId="32" fillId="10" borderId="1" xfId="2" applyFont="1" applyFill="1" applyBorder="1"/>
    <xf numFmtId="0" fontId="34" fillId="0" borderId="1" xfId="0" applyFont="1" applyBorder="1" applyAlignment="1">
      <alignment horizontal="left"/>
    </xf>
    <xf numFmtId="168" fontId="35" fillId="2" borderId="1" xfId="0" applyNumberFormat="1" applyFont="1" applyFill="1" applyBorder="1" applyAlignment="1">
      <alignment wrapText="1"/>
    </xf>
    <xf numFmtId="0" fontId="35" fillId="2" borderId="1" xfId="0" applyFont="1" applyFill="1" applyBorder="1" applyAlignment="1">
      <alignment wrapText="1"/>
    </xf>
    <xf numFmtId="9" fontId="27" fillId="3" borderId="12" xfId="0" applyNumberFormat="1" applyFont="1" applyFill="1" applyBorder="1"/>
    <xf numFmtId="167" fontId="14" fillId="0" borderId="12" xfId="2" applyNumberFormat="1" applyFont="1" applyBorder="1" applyAlignment="1">
      <alignment horizontal="right"/>
    </xf>
    <xf numFmtId="167" fontId="5" fillId="7" borderId="1" xfId="2" applyNumberFormat="1" applyFont="1" applyFill="1" applyBorder="1" applyAlignment="1">
      <alignment wrapText="1"/>
    </xf>
    <xf numFmtId="167" fontId="25" fillId="7" borderId="12" xfId="2" applyNumberFormat="1" applyFont="1" applyFill="1" applyBorder="1" applyAlignment="1">
      <alignment wrapText="1"/>
    </xf>
    <xf numFmtId="167" fontId="12" fillId="3" borderId="12" xfId="2" applyNumberFormat="1" applyFont="1" applyFill="1" applyBorder="1" applyAlignment="1">
      <alignment horizontal="right"/>
    </xf>
    <xf numFmtId="167" fontId="5" fillId="7" borderId="3" xfId="2" applyNumberFormat="1" applyFont="1" applyFill="1" applyBorder="1" applyAlignment="1">
      <alignment wrapText="1"/>
    </xf>
    <xf numFmtId="0" fontId="18" fillId="0" borderId="0" xfId="0" applyFont="1"/>
    <xf numFmtId="3" fontId="0" fillId="0" borderId="0" xfId="0" applyNumberFormat="1"/>
    <xf numFmtId="3" fontId="18" fillId="0" borderId="0" xfId="0" applyNumberFormat="1" applyFont="1"/>
    <xf numFmtId="0" fontId="36" fillId="0" borderId="0" xfId="0" applyFont="1" applyAlignment="1">
      <alignment vertical="center" wrapText="1"/>
    </xf>
    <xf numFmtId="9" fontId="36" fillId="0" borderId="0" xfId="0" applyNumberFormat="1" applyFont="1" applyAlignment="1">
      <alignment vertical="center"/>
    </xf>
    <xf numFmtId="0" fontId="36" fillId="5" borderId="1" xfId="0" applyFont="1" applyFill="1" applyBorder="1" applyAlignment="1">
      <alignment vertical="center" wrapText="1"/>
    </xf>
    <xf numFmtId="0" fontId="37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167" fontId="36" fillId="4" borderId="16" xfId="2" applyNumberFormat="1" applyFont="1" applyFill="1" applyBorder="1" applyAlignment="1">
      <alignment vertical="center"/>
    </xf>
    <xf numFmtId="9" fontId="36" fillId="8" borderId="0" xfId="0" applyNumberFormat="1" applyFont="1" applyFill="1" applyAlignment="1">
      <alignment vertical="center"/>
    </xf>
    <xf numFmtId="167" fontId="37" fillId="0" borderId="16" xfId="2" applyNumberFormat="1" applyFont="1" applyBorder="1" applyAlignment="1">
      <alignment vertical="center"/>
    </xf>
    <xf numFmtId="10" fontId="36" fillId="0" borderId="0" xfId="0" applyNumberFormat="1" applyFont="1" applyAlignment="1">
      <alignment vertical="center"/>
    </xf>
    <xf numFmtId="10" fontId="36" fillId="4" borderId="0" xfId="0" applyNumberFormat="1" applyFont="1" applyFill="1" applyAlignment="1">
      <alignment vertical="center"/>
    </xf>
    <xf numFmtId="167" fontId="36" fillId="0" borderId="16" xfId="2" applyNumberFormat="1" applyFont="1" applyBorder="1" applyAlignment="1">
      <alignment vertical="center"/>
    </xf>
    <xf numFmtId="3" fontId="36" fillId="0" borderId="0" xfId="0" applyNumberFormat="1" applyFont="1" applyAlignment="1">
      <alignment vertical="center"/>
    </xf>
    <xf numFmtId="170" fontId="37" fillId="4" borderId="16" xfId="1" applyNumberFormat="1" applyFont="1" applyFill="1" applyBorder="1" applyAlignment="1">
      <alignment vertical="center"/>
    </xf>
    <xf numFmtId="0" fontId="37" fillId="0" borderId="16" xfId="0" applyFont="1" applyBorder="1" applyAlignment="1">
      <alignment vertical="center"/>
    </xf>
    <xf numFmtId="0" fontId="37" fillId="8" borderId="16" xfId="0" applyFont="1" applyFill="1" applyBorder="1" applyAlignment="1">
      <alignment vertical="center"/>
    </xf>
    <xf numFmtId="44" fontId="37" fillId="8" borderId="16" xfId="2" applyFont="1" applyFill="1" applyBorder="1" applyAlignment="1">
      <alignment vertical="center"/>
    </xf>
    <xf numFmtId="44" fontId="36" fillId="2" borderId="3" xfId="2" applyFont="1" applyFill="1" applyBorder="1" applyAlignment="1">
      <alignment vertical="center"/>
    </xf>
    <xf numFmtId="0" fontId="37" fillId="0" borderId="0" xfId="0" applyFont="1" applyAlignment="1">
      <alignment horizontal="center" vertical="center"/>
    </xf>
    <xf numFmtId="168" fontId="37" fillId="0" borderId="0" xfId="0" applyNumberFormat="1" applyFont="1" applyAlignment="1">
      <alignment horizontal="center" vertical="center"/>
    </xf>
    <xf numFmtId="9" fontId="36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19" fillId="0" borderId="0" xfId="0" applyFont="1"/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10" fontId="18" fillId="8" borderId="0" xfId="0" applyNumberFormat="1" applyFont="1" applyFill="1"/>
    <xf numFmtId="3" fontId="38" fillId="0" borderId="0" xfId="0" applyNumberFormat="1" applyFont="1"/>
    <xf numFmtId="168" fontId="0" fillId="0" borderId="0" xfId="0" applyNumberFormat="1"/>
    <xf numFmtId="0" fontId="39" fillId="0" borderId="0" xfId="0" applyFont="1" applyAlignment="1">
      <alignment horizontal="right"/>
    </xf>
    <xf numFmtId="9" fontId="18" fillId="0" borderId="0" xfId="0" applyNumberFormat="1" applyFont="1"/>
    <xf numFmtId="9" fontId="0" fillId="0" borderId="0" xfId="0" applyNumberFormat="1"/>
    <xf numFmtId="3" fontId="18" fillId="2" borderId="0" xfId="0" applyNumberFormat="1" applyFont="1" applyFill="1"/>
    <xf numFmtId="10" fontId="0" fillId="0" borderId="0" xfId="3" applyNumberFormat="1" applyFont="1" applyAlignment="1">
      <alignment horizontal="right"/>
    </xf>
    <xf numFmtId="9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20" xfId="0" applyBorder="1" applyAlignment="1">
      <alignment horizontal="left" vertical="center"/>
    </xf>
    <xf numFmtId="44" fontId="0" fillId="0" borderId="22" xfId="2" applyFont="1" applyBorder="1" applyAlignment="1">
      <alignment horizontal="left" vertical="center"/>
    </xf>
    <xf numFmtId="9" fontId="0" fillId="11" borderId="0" xfId="0" applyNumberFormat="1" applyFill="1" applyAlignment="1">
      <alignment vertical="center"/>
    </xf>
    <xf numFmtId="10" fontId="0" fillId="0" borderId="0" xfId="3" applyNumberFormat="1" applyFont="1" applyAlignment="1">
      <alignment vertical="center"/>
    </xf>
    <xf numFmtId="0" fontId="0" fillId="0" borderId="19" xfId="0" applyBorder="1" applyAlignment="1">
      <alignment horizontal="left" vertical="center"/>
    </xf>
    <xf numFmtId="44" fontId="0" fillId="0" borderId="23" xfId="2" applyFont="1" applyBorder="1" applyAlignment="1">
      <alignment horizontal="left" vertical="center"/>
    </xf>
    <xf numFmtId="9" fontId="0" fillId="0" borderId="0" xfId="0" applyNumberFormat="1" applyAlignment="1">
      <alignment vertical="center"/>
    </xf>
    <xf numFmtId="0" fontId="0" fillId="0" borderId="17" xfId="0" applyBorder="1" applyAlignment="1">
      <alignment vertical="center"/>
    </xf>
    <xf numFmtId="44" fontId="0" fillId="0" borderId="24" xfId="2" applyFont="1" applyBorder="1" applyAlignment="1">
      <alignment vertical="center"/>
    </xf>
    <xf numFmtId="0" fontId="0" fillId="0" borderId="19" xfId="0" applyBorder="1" applyAlignment="1">
      <alignment vertical="center"/>
    </xf>
    <xf numFmtId="44" fontId="0" fillId="0" borderId="23" xfId="2" applyFont="1" applyBorder="1" applyAlignment="1">
      <alignment vertical="center"/>
    </xf>
    <xf numFmtId="0" fontId="0" fillId="0" borderId="20" xfId="0" applyBorder="1" applyAlignment="1">
      <alignment vertical="center"/>
    </xf>
    <xf numFmtId="44" fontId="0" fillId="0" borderId="22" xfId="2" applyFont="1" applyBorder="1" applyAlignment="1">
      <alignment vertical="center"/>
    </xf>
    <xf numFmtId="0" fontId="0" fillId="0" borderId="22" xfId="0" applyBorder="1" applyAlignment="1">
      <alignment vertical="center"/>
    </xf>
    <xf numFmtId="14" fontId="0" fillId="0" borderId="17" xfId="0" applyNumberFormat="1" applyBorder="1" applyAlignment="1">
      <alignment vertical="center"/>
    </xf>
    <xf numFmtId="0" fontId="0" fillId="0" borderId="24" xfId="0" quotePrefix="1" applyBorder="1" applyAlignment="1">
      <alignment vertical="center"/>
    </xf>
    <xf numFmtId="0" fontId="0" fillId="0" borderId="24" xfId="0" applyBorder="1" applyAlignment="1">
      <alignment vertical="center"/>
    </xf>
    <xf numFmtId="14" fontId="0" fillId="0" borderId="19" xfId="0" applyNumberFormat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23" xfId="0" applyBorder="1" applyAlignment="1">
      <alignment vertical="center"/>
    </xf>
    <xf numFmtId="9" fontId="0" fillId="0" borderId="20" xfId="0" applyNumberFormat="1" applyBorder="1" applyAlignment="1">
      <alignment vertical="center"/>
    </xf>
    <xf numFmtId="44" fontId="0" fillId="0" borderId="15" xfId="0" applyNumberFormat="1" applyBorder="1" applyAlignment="1">
      <alignment vertical="center"/>
    </xf>
    <xf numFmtId="9" fontId="0" fillId="0" borderId="21" xfId="0" applyNumberFormat="1" applyBorder="1" applyAlignment="1">
      <alignment vertical="center"/>
    </xf>
    <xf numFmtId="44" fontId="0" fillId="0" borderId="22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9" fontId="0" fillId="0" borderId="17" xfId="0" applyNumberFormat="1" applyBorder="1" applyAlignment="1">
      <alignment vertical="center"/>
    </xf>
    <xf numFmtId="44" fontId="0" fillId="0" borderId="16" xfId="0" applyNumberFormat="1" applyBorder="1" applyAlignment="1">
      <alignment vertical="center"/>
    </xf>
    <xf numFmtId="44" fontId="0" fillId="0" borderId="24" xfId="0" applyNumberFormat="1" applyBorder="1" applyAlignment="1">
      <alignment vertical="center"/>
    </xf>
    <xf numFmtId="9" fontId="0" fillId="0" borderId="19" xfId="0" applyNumberFormat="1" applyBorder="1" applyAlignment="1">
      <alignment vertical="center"/>
    </xf>
    <xf numFmtId="44" fontId="0" fillId="0" borderId="3" xfId="0" applyNumberFormat="1" applyBorder="1" applyAlignment="1">
      <alignment vertical="center"/>
    </xf>
    <xf numFmtId="9" fontId="0" fillId="0" borderId="18" xfId="0" applyNumberFormat="1" applyBorder="1" applyAlignment="1">
      <alignment vertical="center"/>
    </xf>
    <xf numFmtId="44" fontId="0" fillId="0" borderId="23" xfId="0" applyNumberForma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3" xfId="0" applyFont="1" applyBorder="1" applyAlignment="1">
      <alignment vertical="center"/>
    </xf>
    <xf numFmtId="167" fontId="18" fillId="0" borderId="14" xfId="0" applyNumberFormat="1" applyFont="1" applyBorder="1" applyAlignment="1">
      <alignment vertical="center"/>
    </xf>
    <xf numFmtId="167" fontId="18" fillId="0" borderId="13" xfId="0" applyNumberFormat="1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67" fontId="18" fillId="8" borderId="0" xfId="0" applyNumberFormat="1" applyFont="1" applyFill="1" applyAlignment="1">
      <alignment vertical="center"/>
    </xf>
    <xf numFmtId="9" fontId="0" fillId="0" borderId="0" xfId="3" applyFont="1" applyAlignment="1">
      <alignment horizontal="right" vertical="center"/>
    </xf>
    <xf numFmtId="9" fontId="3" fillId="0" borderId="0" xfId="3" applyFont="1" applyAlignment="1">
      <alignment vertical="center"/>
    </xf>
    <xf numFmtId="0" fontId="0" fillId="0" borderId="0" xfId="0" applyFill="1"/>
    <xf numFmtId="0" fontId="19" fillId="0" borderId="0" xfId="0" applyNumberFormat="1" applyFont="1" applyAlignment="1">
      <alignment horizontal="right"/>
    </xf>
    <xf numFmtId="0" fontId="36" fillId="0" borderId="0" xfId="0" applyFont="1" applyFill="1" applyAlignment="1">
      <alignment vertical="center" wrapText="1"/>
    </xf>
    <xf numFmtId="44" fontId="37" fillId="0" borderId="0" xfId="0" applyNumberFormat="1" applyFont="1" applyFill="1" applyAlignment="1">
      <alignment vertical="center"/>
    </xf>
    <xf numFmtId="169" fontId="37" fillId="0" borderId="0" xfId="0" applyNumberFormat="1" applyFont="1" applyFill="1" applyAlignment="1">
      <alignment vertical="center"/>
    </xf>
    <xf numFmtId="0" fontId="36" fillId="0" borderId="0" xfId="0" applyFont="1" applyFill="1" applyAlignment="1">
      <alignment vertical="center"/>
    </xf>
    <xf numFmtId="44" fontId="36" fillId="3" borderId="15" xfId="2" applyFont="1" applyFill="1" applyBorder="1" applyAlignment="1">
      <alignment horizontal="right" vertical="center"/>
    </xf>
    <xf numFmtId="169" fontId="37" fillId="3" borderId="3" xfId="0" applyNumberFormat="1" applyFont="1" applyFill="1" applyBorder="1" applyAlignment="1">
      <alignment vertical="center"/>
    </xf>
    <xf numFmtId="44" fontId="36" fillId="3" borderId="22" xfId="2" applyFont="1" applyFill="1" applyBorder="1" applyAlignment="1">
      <alignment horizontal="right" vertical="center"/>
    </xf>
    <xf numFmtId="169" fontId="37" fillId="3" borderId="23" xfId="0" applyNumberFormat="1" applyFont="1" applyFill="1" applyBorder="1" applyAlignment="1">
      <alignment vertical="center"/>
    </xf>
    <xf numFmtId="44" fontId="36" fillId="0" borderId="0" xfId="2" applyFont="1" applyFill="1" applyBorder="1" applyAlignment="1">
      <alignment vertical="center"/>
    </xf>
    <xf numFmtId="0" fontId="36" fillId="3" borderId="0" xfId="0" applyFont="1" applyFill="1" applyBorder="1" applyAlignment="1">
      <alignment vertical="center"/>
    </xf>
    <xf numFmtId="9" fontId="36" fillId="3" borderId="0" xfId="0" applyNumberFormat="1" applyFont="1" applyFill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7" fillId="3" borderId="0" xfId="0" applyFont="1" applyFill="1" applyBorder="1" applyAlignment="1">
      <alignment vertical="center"/>
    </xf>
    <xf numFmtId="0" fontId="37" fillId="3" borderId="0" xfId="0" applyFont="1" applyFill="1" applyBorder="1" applyAlignment="1">
      <alignment horizontal="right" vertical="center"/>
    </xf>
    <xf numFmtId="167" fontId="36" fillId="4" borderId="15" xfId="2" applyNumberFormat="1" applyFont="1" applyFill="1" applyBorder="1" applyAlignment="1">
      <alignment vertical="center"/>
    </xf>
    <xf numFmtId="44" fontId="2" fillId="4" borderId="0" xfId="2" applyFont="1" applyFill="1" applyAlignment="1">
      <alignment vertical="center"/>
    </xf>
    <xf numFmtId="9" fontId="37" fillId="4" borderId="0" xfId="0" applyNumberFormat="1" applyFont="1" applyFill="1" applyAlignment="1">
      <alignment vertical="center"/>
    </xf>
    <xf numFmtId="3" fontId="0" fillId="3" borderId="0" xfId="0" applyNumberFormat="1" applyFill="1"/>
    <xf numFmtId="170" fontId="37" fillId="12" borderId="16" xfId="1" applyNumberFormat="1" applyFont="1" applyFill="1" applyBorder="1" applyAlignment="1">
      <alignment vertical="center"/>
    </xf>
    <xf numFmtId="44" fontId="2" fillId="0" borderId="0" xfId="2" applyFont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164" fontId="44" fillId="0" borderId="0" xfId="0" applyNumberFormat="1" applyFont="1" applyAlignment="1">
      <alignment horizontal="center" vertical="center"/>
    </xf>
    <xf numFmtId="164" fontId="0" fillId="0" borderId="0" xfId="0" applyNumberFormat="1"/>
    <xf numFmtId="44" fontId="4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45" fillId="0" borderId="0" xfId="0" applyNumberFormat="1" applyFont="1" applyAlignment="1">
      <alignment vertical="center"/>
    </xf>
    <xf numFmtId="44" fontId="45" fillId="0" borderId="0" xfId="2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46" fillId="0" borderId="0" xfId="0" applyFont="1" applyAlignment="1">
      <alignment vertical="center"/>
    </xf>
    <xf numFmtId="164" fontId="45" fillId="0" borderId="0" xfId="0" applyNumberFormat="1" applyFont="1" applyAlignment="1">
      <alignment horizontal="center" vertical="center"/>
    </xf>
    <xf numFmtId="44" fontId="45" fillId="0" borderId="0" xfId="0" applyNumberFormat="1" applyFont="1" applyAlignment="1">
      <alignment horizontal="center" vertical="center"/>
    </xf>
    <xf numFmtId="0" fontId="36" fillId="13" borderId="25" xfId="0" applyFont="1" applyFill="1" applyBorder="1"/>
    <xf numFmtId="0" fontId="36" fillId="13" borderId="26" xfId="0" applyFont="1" applyFill="1" applyBorder="1"/>
    <xf numFmtId="0" fontId="2" fillId="5" borderId="25" xfId="0" applyFont="1" applyFill="1" applyBorder="1" applyAlignment="1">
      <alignment horizontal="right"/>
    </xf>
    <xf numFmtId="164" fontId="2" fillId="2" borderId="26" xfId="0" applyNumberFormat="1" applyFont="1" applyFill="1" applyBorder="1"/>
    <xf numFmtId="0" fontId="2" fillId="5" borderId="27" xfId="0" applyFont="1" applyFill="1" applyBorder="1" applyAlignment="1">
      <alignment horizontal="right"/>
    </xf>
    <xf numFmtId="164" fontId="2" fillId="2" borderId="28" xfId="0" applyNumberFormat="1" applyFont="1" applyFill="1" applyBorder="1"/>
    <xf numFmtId="0" fontId="2" fillId="3" borderId="0" xfId="0" applyFont="1" applyFill="1" applyBorder="1" applyAlignment="1">
      <alignment horizontal="right"/>
    </xf>
    <xf numFmtId="164" fontId="2" fillId="3" borderId="0" xfId="0" applyNumberFormat="1" applyFont="1" applyFill="1" applyBorder="1"/>
    <xf numFmtId="10" fontId="0" fillId="0" borderId="0" xfId="0" applyNumberFormat="1"/>
    <xf numFmtId="167" fontId="0" fillId="0" borderId="0" xfId="2" applyNumberFormat="1" applyFont="1"/>
    <xf numFmtId="9" fontId="18" fillId="8" borderId="0" xfId="0" applyNumberFormat="1" applyFont="1" applyFill="1" applyAlignment="1">
      <alignment horizontal="right"/>
    </xf>
    <xf numFmtId="167" fontId="18" fillId="8" borderId="0" xfId="2" applyNumberFormat="1" applyFont="1" applyFill="1"/>
    <xf numFmtId="0" fontId="1" fillId="0" borderId="0" xfId="0" applyFont="1" applyAlignment="1">
      <alignment horizontal="right"/>
    </xf>
    <xf numFmtId="171" fontId="0" fillId="0" borderId="0" xfId="0" applyNumberFormat="1"/>
    <xf numFmtId="165" fontId="0" fillId="0" borderId="0" xfId="0" applyNumberFormat="1"/>
    <xf numFmtId="10" fontId="0" fillId="0" borderId="0" xfId="3" applyNumberFormat="1" applyFont="1"/>
    <xf numFmtId="0" fontId="1" fillId="0" borderId="0" xfId="0" applyFont="1" applyAlignment="1">
      <alignment vertical="center"/>
    </xf>
    <xf numFmtId="10" fontId="36" fillId="4" borderId="16" xfId="3" applyNumberFormat="1" applyFont="1" applyFill="1" applyBorder="1" applyAlignment="1">
      <alignment vertical="center"/>
    </xf>
    <xf numFmtId="10" fontId="0" fillId="0" borderId="0" xfId="0" applyNumberFormat="1" applyAlignment="1">
      <alignment horizontal="right"/>
    </xf>
    <xf numFmtId="10" fontId="18" fillId="0" borderId="0" xfId="3" applyNumberFormat="1" applyFont="1" applyFill="1" applyAlignment="1">
      <alignment horizontal="right"/>
    </xf>
    <xf numFmtId="0" fontId="36" fillId="0" borderId="0" xfId="0" applyFont="1" applyAlignment="1">
      <alignment horizontal="right"/>
    </xf>
    <xf numFmtId="10" fontId="18" fillId="2" borderId="1" xfId="0" applyNumberFormat="1" applyFont="1" applyFill="1" applyBorder="1"/>
    <xf numFmtId="0" fontId="1" fillId="0" borderId="17" xfId="0" applyFont="1" applyBorder="1"/>
    <xf numFmtId="44" fontId="1" fillId="3" borderId="16" xfId="2" applyFont="1" applyFill="1" applyBorder="1" applyAlignment="1">
      <alignment vertical="center"/>
    </xf>
    <xf numFmtId="0" fontId="1" fillId="0" borderId="0" xfId="0" applyFont="1"/>
    <xf numFmtId="0" fontId="18" fillId="0" borderId="15" xfId="0" applyFont="1" applyBorder="1"/>
    <xf numFmtId="3" fontId="18" fillId="0" borderId="16" xfId="0" applyNumberFormat="1" applyFont="1" applyBorder="1"/>
    <xf numFmtId="3" fontId="0" fillId="0" borderId="16" xfId="0" applyNumberFormat="1" applyBorder="1"/>
    <xf numFmtId="3" fontId="38" fillId="0" borderId="16" xfId="0" applyNumberFormat="1" applyFont="1" applyBorder="1"/>
    <xf numFmtId="3" fontId="18" fillId="2" borderId="3" xfId="0" applyNumberFormat="1" applyFont="1" applyFill="1" applyBorder="1"/>
    <xf numFmtId="0" fontId="19" fillId="0" borderId="0" xfId="0" applyFont="1" applyAlignment="1">
      <alignment horizontal="right"/>
    </xf>
    <xf numFmtId="10" fontId="18" fillId="2" borderId="0" xfId="0" applyNumberFormat="1" applyFont="1" applyFill="1"/>
    <xf numFmtId="0" fontId="36" fillId="0" borderId="0" xfId="0" applyFont="1" applyAlignment="1">
      <alignment wrapText="1"/>
    </xf>
    <xf numFmtId="44" fontId="1" fillId="0" borderId="0" xfId="2" applyFont="1" applyAlignment="1">
      <alignment vertical="center"/>
    </xf>
    <xf numFmtId="167" fontId="1" fillId="0" borderId="16" xfId="2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4" fontId="1" fillId="4" borderId="0" xfId="2" applyFont="1" applyFill="1" applyAlignment="1">
      <alignment vertical="center"/>
    </xf>
    <xf numFmtId="10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170" fontId="1" fillId="0" borderId="16" xfId="1" applyNumberFormat="1" applyFont="1" applyFill="1" applyBorder="1" applyAlignment="1">
      <alignment vertical="center"/>
    </xf>
    <xf numFmtId="44" fontId="1" fillId="0" borderId="16" xfId="1" applyNumberFormat="1" applyFont="1" applyFill="1" applyBorder="1" applyAlignment="1">
      <alignment vertical="center"/>
    </xf>
    <xf numFmtId="44" fontId="36" fillId="2" borderId="1" xfId="2" applyFont="1" applyFill="1" applyBorder="1" applyAlignment="1">
      <alignment vertical="center"/>
    </xf>
    <xf numFmtId="44" fontId="36" fillId="0" borderId="15" xfId="2" applyFont="1" applyFill="1" applyBorder="1" applyAlignment="1">
      <alignment horizontal="right" vertical="center"/>
    </xf>
    <xf numFmtId="0" fontId="1" fillId="0" borderId="16" xfId="0" applyFont="1" applyBorder="1" applyAlignment="1">
      <alignment vertical="center"/>
    </xf>
    <xf numFmtId="44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18" fillId="0" borderId="20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3" fontId="0" fillId="0" borderId="16" xfId="0" applyNumberFormat="1" applyBorder="1" applyAlignment="1">
      <alignment horizontal="right"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9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9" formatCode="0.0%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9" formatCode="0.0%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numFmt numFmtId="34" formatCode="_ &quot;€&quot;\ * #,##0.00_ ;_ &quot;€&quot;\ * \-#,##0.00_ ;_ &quot;€&quot;\ * &quot;-&quot;??_ ;_ @_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projecten\tarswfr\PK202103%20Rekenmodel%20S&#250;dwest-Frysl&#226;n%20H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v begroting"/>
      <sheetName val="Inhoud"/>
      <sheetName val="Doorrekening over jaren"/>
      <sheetName val="Bolsward eo REKENMODEL"/>
      <sheetName val="Buitengebied REKENMODEL"/>
      <sheetName val="Sneek Noord REKENMODEL"/>
      <sheetName val="Sneek Zuid REKENMODEL"/>
      <sheetName val="Eenheden 2019"/>
      <sheetName val="producten &amp; tarieven"/>
      <sheetName val="Declarabiliteit &amp; soc lasten"/>
      <sheetName val="T-effecten"/>
      <sheetName val="Denkrichting transformatie"/>
      <sheetName val="klantgroepen"/>
      <sheetName val="Blad2"/>
      <sheetName val="Per maatreg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>
            <v>27956.018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id="1" name="Tabel1" displayName="Tabel1" ref="A26:G30" totalsRowShown="0" headerRowDxfId="20" dataDxfId="19" dataCellStyle="Valuta">
  <autoFilter ref="A26:G30"/>
  <tableColumns count="7">
    <tableColumn id="1" name="Doelgroep Vervoer" dataDxfId="18"/>
    <tableColumn id="2" name="0-4 km"/>
    <tableColumn id="7" name="5-9 km" dataDxfId="17"/>
    <tableColumn id="3" name="10-19 km" dataDxfId="16"/>
    <tableColumn id="4" name="20-29 km" dataDxfId="15" dataCellStyle="Valuta"/>
    <tableColumn id="5" name="30-39 km" dataDxfId="14" dataCellStyle="Valuta"/>
    <tableColumn id="6" name="&gt; 40 km" dataDxfId="13" dataCellStyle="Valuta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E32:G35" totalsRowShown="0" headerRowDxfId="12" dataDxfId="11">
  <autoFilter ref="E32:G35"/>
  <tableColumns count="3">
    <tableColumn id="1" name="Begeleiding groep basis" dataDxfId="10"/>
    <tableColumn id="2" name="Oud tarief 2019" dataDxfId="9"/>
    <tableColumn id="3" name="% afwijking nieuw tarief" dataDxfId="8">
      <calculatedColumnFormula>($G$17-F33)/F33</calculatedColumnFormula>
    </tableColumn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5" name="Tabel26" displayName="Tabel26" ref="A32:C38" totalsRowCount="1" headerRowDxfId="7" dataDxfId="6">
  <autoFilter ref="A32:C37"/>
  <tableColumns count="3">
    <tableColumn id="1" name="Begeleiding groep Plus" dataDxfId="5" totalsRowDxfId="4"/>
    <tableColumn id="2" name="Oud tarief 2019" dataDxfId="3" totalsRowDxfId="2"/>
    <tableColumn id="3" name="% afwijking nieuw tarief" dataDxfId="1" totalsRowDxfId="0">
      <calculatedColumnFormula>($H$17-B33)/B33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68"/>
  <sheetViews>
    <sheetView workbookViewId="0"/>
  </sheetViews>
  <sheetFormatPr defaultColWidth="9.42578125" defaultRowHeight="15" x14ac:dyDescent="0.3"/>
  <cols>
    <col min="1" max="1" width="3.42578125" style="18" customWidth="1"/>
    <col min="2" max="2" width="39.42578125" style="8" customWidth="1"/>
    <col min="3" max="3" width="13.42578125" style="9" customWidth="1"/>
    <col min="4" max="5" width="14.42578125" style="9" customWidth="1"/>
    <col min="6" max="9" width="9.42578125" style="9" customWidth="1"/>
    <col min="10" max="10" width="0.42578125" style="8" customWidth="1"/>
    <col min="11" max="14" width="7.42578125" style="8" customWidth="1"/>
    <col min="15" max="15" width="1" style="19" customWidth="1"/>
    <col min="16" max="16" width="6.42578125" style="8" customWidth="1"/>
    <col min="17" max="17" width="9" style="8" hidden="1" customWidth="1"/>
    <col min="18" max="18" width="11.42578125" style="8" hidden="1" customWidth="1"/>
    <col min="19" max="19" width="8" style="8" customWidth="1"/>
    <col min="20" max="20" width="5.42578125" style="8" customWidth="1"/>
    <col min="21" max="22" width="14.42578125" style="8" hidden="1" customWidth="1"/>
    <col min="23" max="23" width="11.42578125" style="8" hidden="1" customWidth="1"/>
    <col min="24" max="24" width="5.42578125" style="8" customWidth="1" collapsed="1"/>
    <col min="25" max="25" width="5" style="8" customWidth="1"/>
    <col min="26" max="26" width="14.42578125" style="9" hidden="1" customWidth="1"/>
    <col min="27" max="27" width="16.42578125" style="9" hidden="1" customWidth="1"/>
    <col min="28" max="28" width="12.42578125" style="9" hidden="1" customWidth="1"/>
    <col min="29" max="58" width="9.42578125" style="19"/>
    <col min="59" max="16384" width="9.42578125" style="8"/>
  </cols>
  <sheetData>
    <row r="1" spans="1:58" s="19" customFormat="1" ht="18.75" customHeight="1" x14ac:dyDescent="0.15">
      <c r="A1" s="18"/>
      <c r="C1" s="20"/>
      <c r="D1" s="20"/>
      <c r="E1" s="20"/>
      <c r="F1" s="20"/>
      <c r="G1" s="20"/>
      <c r="H1" s="20"/>
      <c r="I1" s="20"/>
      <c r="K1" s="18" t="s">
        <v>30</v>
      </c>
      <c r="Z1" s="20"/>
      <c r="AA1" s="20"/>
      <c r="AB1" s="20"/>
    </row>
    <row r="2" spans="1:58" s="6" customFormat="1" ht="33" customHeight="1" x14ac:dyDescent="0.15">
      <c r="A2" s="33"/>
      <c r="B2" s="36" t="s">
        <v>0</v>
      </c>
      <c r="C2" s="36" t="s">
        <v>43</v>
      </c>
      <c r="D2" s="37" t="s">
        <v>44</v>
      </c>
      <c r="E2" s="36" t="s">
        <v>27</v>
      </c>
      <c r="F2" s="17" t="s">
        <v>24</v>
      </c>
      <c r="G2" s="17" t="s">
        <v>29</v>
      </c>
      <c r="H2" s="17" t="s">
        <v>25</v>
      </c>
      <c r="I2" s="17" t="s">
        <v>26</v>
      </c>
      <c r="J2" s="32"/>
      <c r="K2" s="17" t="s">
        <v>40</v>
      </c>
      <c r="L2" s="17" t="s">
        <v>41</v>
      </c>
      <c r="M2" s="17" t="s">
        <v>42</v>
      </c>
      <c r="N2" s="17" t="s">
        <v>23</v>
      </c>
      <c r="O2" s="33"/>
      <c r="P2" s="1" t="s">
        <v>18</v>
      </c>
      <c r="Q2" s="1" t="s">
        <v>17</v>
      </c>
      <c r="R2" s="1" t="s">
        <v>19</v>
      </c>
      <c r="S2" s="1" t="s">
        <v>5</v>
      </c>
      <c r="T2" s="17" t="s">
        <v>9</v>
      </c>
      <c r="U2" s="1" t="s">
        <v>7</v>
      </c>
      <c r="V2" s="1" t="s">
        <v>8</v>
      </c>
      <c r="W2" s="1" t="s">
        <v>6</v>
      </c>
      <c r="X2" s="57" t="s">
        <v>28</v>
      </c>
      <c r="Y2" s="17" t="s">
        <v>13</v>
      </c>
      <c r="Z2" s="7" t="s">
        <v>21</v>
      </c>
      <c r="AA2" s="7" t="s">
        <v>20</v>
      </c>
      <c r="AB2" s="7" t="s">
        <v>22</v>
      </c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</row>
    <row r="3" spans="1:58" ht="24" customHeight="1" x14ac:dyDescent="0.15">
      <c r="A3" s="18">
        <v>1</v>
      </c>
      <c r="B3" s="3" t="s">
        <v>31</v>
      </c>
      <c r="C3" s="10">
        <f t="shared" ref="C3:C11" si="0">ROUND(+R3*Y3*X3*S3,-4)</f>
        <v>1030000</v>
      </c>
      <c r="D3" s="26">
        <f t="shared" ref="D3:D9" si="1">SUM(F3:I3)</f>
        <v>0</v>
      </c>
      <c r="E3" s="53">
        <f t="shared" ref="E3:E9" si="2">+C3+D3</f>
        <v>1030000</v>
      </c>
      <c r="F3" s="41">
        <f t="shared" ref="F3:F11" si="3">ROUND((K3*$R3)*$S3*$X3*$Y3,-4)</f>
        <v>0</v>
      </c>
      <c r="G3" s="41">
        <f t="shared" ref="G3:G11" si="4">ROUND((L3*$R3)*$S3*$X3*$Y3,-4)</f>
        <v>0</v>
      </c>
      <c r="H3" s="41">
        <f t="shared" ref="H3:H11" si="5">ROUND((M3*$R3)*$S3*$X3*$Y3,-4)</f>
        <v>0</v>
      </c>
      <c r="I3" s="41">
        <f t="shared" ref="I3:I11" si="6">ROUND((N3*$R3)*$S3*$X3*$Y3,-4)</f>
        <v>0</v>
      </c>
      <c r="K3" s="34"/>
      <c r="L3" s="34"/>
      <c r="M3" s="34"/>
      <c r="N3" s="11">
        <v>0</v>
      </c>
      <c r="P3" s="46">
        <v>214</v>
      </c>
      <c r="Q3" s="12">
        <f>1030/1310</f>
        <v>0.7862595419847328</v>
      </c>
      <c r="R3" s="13">
        <f t="shared" ref="R3:R11" si="7">+Q3*P3</f>
        <v>168.25954198473281</v>
      </c>
      <c r="S3" s="44">
        <v>32.5</v>
      </c>
      <c r="T3" s="52" t="s">
        <v>11</v>
      </c>
      <c r="U3" s="14">
        <v>32.5</v>
      </c>
      <c r="V3" s="14">
        <v>32.5</v>
      </c>
      <c r="W3" s="14"/>
      <c r="X3" s="48">
        <v>3.91</v>
      </c>
      <c r="Y3" s="50">
        <v>48</v>
      </c>
      <c r="Z3" s="15">
        <f t="shared" ref="Z3:Z9" si="8">ROUND(+R3*U3*X3*Y3,-4)</f>
        <v>1030000</v>
      </c>
      <c r="AA3" s="15">
        <f t="shared" ref="AA3:AA9" si="9">ROUND(+R3*V3*X3*Y3,-4)</f>
        <v>1030000</v>
      </c>
      <c r="AB3" s="15">
        <f t="shared" ref="AB3:AB9" si="10">+R3*W3*X3*Y3</f>
        <v>0</v>
      </c>
    </row>
    <row r="4" spans="1:58" ht="24" customHeight="1" x14ac:dyDescent="0.15">
      <c r="A4" s="18">
        <v>2</v>
      </c>
      <c r="B4" s="3" t="s">
        <v>32</v>
      </c>
      <c r="C4" s="10">
        <f t="shared" si="0"/>
        <v>4650000</v>
      </c>
      <c r="D4" s="26">
        <f t="shared" si="1"/>
        <v>0</v>
      </c>
      <c r="E4" s="53">
        <f t="shared" si="2"/>
        <v>4650000</v>
      </c>
      <c r="F4" s="41">
        <f t="shared" si="3"/>
        <v>0</v>
      </c>
      <c r="G4" s="41">
        <f t="shared" si="4"/>
        <v>0</v>
      </c>
      <c r="H4" s="41">
        <f t="shared" si="5"/>
        <v>0</v>
      </c>
      <c r="I4" s="41">
        <f t="shared" si="6"/>
        <v>0</v>
      </c>
      <c r="K4" s="34"/>
      <c r="L4" s="34"/>
      <c r="M4" s="34"/>
      <c r="N4" s="34"/>
      <c r="P4" s="46">
        <v>772</v>
      </c>
      <c r="Q4" s="12">
        <f>4650/5650</f>
        <v>0.82300884955752207</v>
      </c>
      <c r="R4" s="13">
        <f t="shared" si="7"/>
        <v>635.36283185840705</v>
      </c>
      <c r="S4" s="44">
        <v>46</v>
      </c>
      <c r="T4" s="52" t="s">
        <v>11</v>
      </c>
      <c r="U4" s="14">
        <v>38.4</v>
      </c>
      <c r="V4" s="14">
        <v>37</v>
      </c>
      <c r="W4" s="14"/>
      <c r="X4" s="48">
        <v>3.3149999999999999</v>
      </c>
      <c r="Y4" s="50">
        <v>48</v>
      </c>
      <c r="Z4" s="15">
        <f t="shared" si="8"/>
        <v>3880000</v>
      </c>
      <c r="AA4" s="15">
        <f t="shared" si="9"/>
        <v>3740000</v>
      </c>
      <c r="AB4" s="15">
        <f t="shared" si="10"/>
        <v>0</v>
      </c>
    </row>
    <row r="5" spans="1:58" ht="24" customHeight="1" x14ac:dyDescent="0.15">
      <c r="A5" s="18">
        <v>3</v>
      </c>
      <c r="B5" s="3" t="s">
        <v>33</v>
      </c>
      <c r="C5" s="10">
        <f t="shared" si="0"/>
        <v>700000</v>
      </c>
      <c r="D5" s="26">
        <f t="shared" si="1"/>
        <v>0</v>
      </c>
      <c r="E5" s="53">
        <f t="shared" si="2"/>
        <v>700000</v>
      </c>
      <c r="F5" s="41">
        <f t="shared" si="3"/>
        <v>0</v>
      </c>
      <c r="G5" s="41">
        <f t="shared" si="4"/>
        <v>0</v>
      </c>
      <c r="H5" s="41">
        <f t="shared" si="5"/>
        <v>0</v>
      </c>
      <c r="I5" s="41">
        <f t="shared" si="6"/>
        <v>0</v>
      </c>
      <c r="K5" s="34"/>
      <c r="L5" s="34"/>
      <c r="M5" s="34"/>
      <c r="N5" s="34"/>
      <c r="P5" s="46">
        <v>75</v>
      </c>
      <c r="Q5" s="12">
        <f>700/740</f>
        <v>0.94594594594594594</v>
      </c>
      <c r="R5" s="13">
        <f t="shared" si="7"/>
        <v>70.945945945945951</v>
      </c>
      <c r="S5" s="44">
        <v>57.5</v>
      </c>
      <c r="T5" s="52" t="s">
        <v>11</v>
      </c>
      <c r="U5" s="14">
        <v>49.4</v>
      </c>
      <c r="V5" s="14">
        <v>45.2</v>
      </c>
      <c r="W5" s="14"/>
      <c r="X5" s="48">
        <v>3.6</v>
      </c>
      <c r="Y5" s="50">
        <v>48</v>
      </c>
      <c r="Z5" s="15">
        <f t="shared" si="8"/>
        <v>610000</v>
      </c>
      <c r="AA5" s="15">
        <f t="shared" si="9"/>
        <v>550000</v>
      </c>
      <c r="AB5" s="15">
        <f t="shared" si="10"/>
        <v>0</v>
      </c>
    </row>
    <row r="6" spans="1:58" ht="24" customHeight="1" x14ac:dyDescent="0.15">
      <c r="A6" s="18">
        <v>5</v>
      </c>
      <c r="B6" s="4" t="s">
        <v>34</v>
      </c>
      <c r="C6" s="10">
        <f t="shared" si="0"/>
        <v>50000</v>
      </c>
      <c r="D6" s="26">
        <f t="shared" si="1"/>
        <v>0</v>
      </c>
      <c r="E6" s="54">
        <f t="shared" si="2"/>
        <v>50000</v>
      </c>
      <c r="F6" s="41">
        <f t="shared" si="3"/>
        <v>0</v>
      </c>
      <c r="G6" s="41">
        <f t="shared" si="4"/>
        <v>0</v>
      </c>
      <c r="H6" s="41">
        <f t="shared" si="5"/>
        <v>0</v>
      </c>
      <c r="I6" s="41">
        <f t="shared" si="6"/>
        <v>0</v>
      </c>
      <c r="K6" s="34"/>
      <c r="L6" s="34"/>
      <c r="M6" s="34"/>
      <c r="N6" s="34"/>
      <c r="P6" s="46">
        <v>71</v>
      </c>
      <c r="Q6" s="12">
        <f>50/60</f>
        <v>0.83333333333333337</v>
      </c>
      <c r="R6" s="13">
        <f t="shared" si="7"/>
        <v>59.166666666666671</v>
      </c>
      <c r="S6" s="45">
        <v>9</v>
      </c>
      <c r="T6" s="52" t="s">
        <v>15</v>
      </c>
      <c r="U6" s="14">
        <v>50.8</v>
      </c>
      <c r="V6" s="14">
        <v>50.3</v>
      </c>
      <c r="W6" s="14"/>
      <c r="X6" s="48">
        <f>+X3/2</f>
        <v>1.9550000000000001</v>
      </c>
      <c r="Y6" s="50">
        <v>48</v>
      </c>
      <c r="Z6" s="15">
        <f t="shared" si="8"/>
        <v>280000</v>
      </c>
      <c r="AA6" s="15">
        <f t="shared" si="9"/>
        <v>280000</v>
      </c>
      <c r="AB6" s="15">
        <f t="shared" si="10"/>
        <v>0</v>
      </c>
    </row>
    <row r="7" spans="1:58" ht="24" customHeight="1" x14ac:dyDescent="0.15">
      <c r="A7" s="18">
        <v>6</v>
      </c>
      <c r="B7" s="4" t="s">
        <v>35</v>
      </c>
      <c r="C7" s="10">
        <f t="shared" si="0"/>
        <v>130000</v>
      </c>
      <c r="D7" s="26">
        <f t="shared" si="1"/>
        <v>0</v>
      </c>
      <c r="E7" s="54">
        <f t="shared" si="2"/>
        <v>130000</v>
      </c>
      <c r="F7" s="41">
        <f t="shared" si="3"/>
        <v>0</v>
      </c>
      <c r="G7" s="41">
        <f t="shared" si="4"/>
        <v>0</v>
      </c>
      <c r="H7" s="41">
        <f t="shared" si="5"/>
        <v>0</v>
      </c>
      <c r="I7" s="41">
        <f t="shared" si="6"/>
        <v>0</v>
      </c>
      <c r="K7" s="34"/>
      <c r="L7" s="34"/>
      <c r="M7" s="34"/>
      <c r="N7" s="34"/>
      <c r="P7" s="46">
        <v>195</v>
      </c>
      <c r="Q7" s="12">
        <f>50/60</f>
        <v>0.83333333333333337</v>
      </c>
      <c r="R7" s="13">
        <f t="shared" si="7"/>
        <v>162.5</v>
      </c>
      <c r="S7" s="45">
        <f>+S6</f>
        <v>9</v>
      </c>
      <c r="T7" s="52" t="s">
        <v>15</v>
      </c>
      <c r="U7" s="14">
        <v>50.8</v>
      </c>
      <c r="V7" s="14">
        <v>50.3</v>
      </c>
      <c r="W7" s="14"/>
      <c r="X7" s="48">
        <v>1.8</v>
      </c>
      <c r="Y7" s="50">
        <v>48</v>
      </c>
      <c r="Z7" s="15">
        <f t="shared" si="8"/>
        <v>710000</v>
      </c>
      <c r="AA7" s="15">
        <f t="shared" si="9"/>
        <v>710000</v>
      </c>
      <c r="AB7" s="15">
        <f t="shared" si="10"/>
        <v>0</v>
      </c>
    </row>
    <row r="8" spans="1:58" ht="24" customHeight="1" x14ac:dyDescent="0.15">
      <c r="A8" s="18">
        <v>7</v>
      </c>
      <c r="B8" s="4" t="s">
        <v>36</v>
      </c>
      <c r="C8" s="10">
        <f t="shared" si="0"/>
        <v>20000</v>
      </c>
      <c r="D8" s="26">
        <f t="shared" si="1"/>
        <v>0</v>
      </c>
      <c r="E8" s="54">
        <f t="shared" si="2"/>
        <v>20000</v>
      </c>
      <c r="F8" s="41">
        <f t="shared" si="3"/>
        <v>0</v>
      </c>
      <c r="G8" s="41">
        <f t="shared" si="4"/>
        <v>0</v>
      </c>
      <c r="H8" s="41">
        <f t="shared" si="5"/>
        <v>0</v>
      </c>
      <c r="I8" s="41">
        <f t="shared" si="6"/>
        <v>0</v>
      </c>
      <c r="K8" s="34"/>
      <c r="L8" s="34"/>
      <c r="M8" s="34"/>
      <c r="N8" s="34"/>
      <c r="P8" s="46">
        <v>22</v>
      </c>
      <c r="Q8" s="12">
        <f>50/60</f>
        <v>0.83333333333333337</v>
      </c>
      <c r="R8" s="13">
        <f t="shared" si="7"/>
        <v>18.333333333333336</v>
      </c>
      <c r="S8" s="45">
        <f>+S6</f>
        <v>9</v>
      </c>
      <c r="T8" s="52" t="s">
        <v>15</v>
      </c>
      <c r="U8" s="14">
        <v>50.8</v>
      </c>
      <c r="V8" s="14">
        <v>50.3</v>
      </c>
      <c r="W8" s="14"/>
      <c r="X8" s="48">
        <v>2</v>
      </c>
      <c r="Y8" s="50">
        <v>48</v>
      </c>
      <c r="Z8" s="15">
        <f t="shared" si="8"/>
        <v>90000</v>
      </c>
      <c r="AA8" s="15">
        <f t="shared" si="9"/>
        <v>90000</v>
      </c>
      <c r="AB8" s="15">
        <f t="shared" si="10"/>
        <v>0</v>
      </c>
    </row>
    <row r="9" spans="1:58" ht="24" customHeight="1" x14ac:dyDescent="0.15">
      <c r="A9" s="18">
        <v>8</v>
      </c>
      <c r="B9" s="2" t="s">
        <v>37</v>
      </c>
      <c r="C9" s="10">
        <f t="shared" si="0"/>
        <v>180000</v>
      </c>
      <c r="D9" s="26">
        <f t="shared" si="1"/>
        <v>0</v>
      </c>
      <c r="E9" s="55">
        <f t="shared" si="2"/>
        <v>180000</v>
      </c>
      <c r="F9" s="41">
        <f t="shared" si="3"/>
        <v>0</v>
      </c>
      <c r="G9" s="41">
        <f t="shared" si="4"/>
        <v>0</v>
      </c>
      <c r="H9" s="41">
        <f t="shared" si="5"/>
        <v>0</v>
      </c>
      <c r="I9" s="41">
        <f t="shared" si="6"/>
        <v>0</v>
      </c>
      <c r="K9" s="34"/>
      <c r="L9" s="34"/>
      <c r="M9" s="34"/>
      <c r="N9" s="11">
        <v>0</v>
      </c>
      <c r="P9" s="46">
        <v>175</v>
      </c>
      <c r="Q9" s="12">
        <f>180/580</f>
        <v>0.31034482758620691</v>
      </c>
      <c r="R9" s="13">
        <f t="shared" si="7"/>
        <v>54.310344827586206</v>
      </c>
      <c r="S9" s="44">
        <v>25</v>
      </c>
      <c r="T9" s="52" t="s">
        <v>10</v>
      </c>
      <c r="U9" s="14">
        <v>38.200000000000003</v>
      </c>
      <c r="V9" s="14">
        <v>35.799999999999997</v>
      </c>
      <c r="W9" s="14"/>
      <c r="X9" s="48">
        <v>2.7</v>
      </c>
      <c r="Y9" s="50">
        <v>48</v>
      </c>
      <c r="Z9" s="15">
        <f t="shared" si="8"/>
        <v>270000</v>
      </c>
      <c r="AA9" s="15">
        <f t="shared" si="9"/>
        <v>250000</v>
      </c>
      <c r="AB9" s="15">
        <f t="shared" si="10"/>
        <v>0</v>
      </c>
    </row>
    <row r="10" spans="1:58" ht="24" customHeight="1" x14ac:dyDescent="0.15">
      <c r="A10" s="18">
        <v>9</v>
      </c>
      <c r="B10" s="2" t="s">
        <v>38</v>
      </c>
      <c r="C10" s="10">
        <f t="shared" si="0"/>
        <v>6330000</v>
      </c>
      <c r="D10" s="26">
        <f t="shared" ref="D10:D11" si="11">SUM(F10:I10)</f>
        <v>0</v>
      </c>
      <c r="E10" s="55">
        <f t="shared" ref="E10:E11" si="12">+C10+D10</f>
        <v>6330000</v>
      </c>
      <c r="F10" s="41">
        <f t="shared" si="3"/>
        <v>0</v>
      </c>
      <c r="G10" s="41">
        <f t="shared" si="4"/>
        <v>0</v>
      </c>
      <c r="H10" s="41">
        <f t="shared" si="5"/>
        <v>0</v>
      </c>
      <c r="I10" s="41">
        <f t="shared" si="6"/>
        <v>0</v>
      </c>
      <c r="K10" s="34"/>
      <c r="L10" s="34"/>
      <c r="M10" s="34"/>
      <c r="N10" s="34"/>
      <c r="P10" s="46">
        <v>1739</v>
      </c>
      <c r="Q10" s="12">
        <f>6330/8760</f>
        <v>0.7226027397260274</v>
      </c>
      <c r="R10" s="13">
        <f t="shared" si="7"/>
        <v>1256.6061643835617</v>
      </c>
      <c r="S10" s="44">
        <v>47.5</v>
      </c>
      <c r="T10" s="52" t="s">
        <v>10</v>
      </c>
      <c r="U10" s="14">
        <v>42.5</v>
      </c>
      <c r="V10" s="14">
        <v>42.7</v>
      </c>
      <c r="W10" s="14"/>
      <c r="X10" s="48">
        <v>2.21</v>
      </c>
      <c r="Y10" s="50">
        <v>48</v>
      </c>
      <c r="Z10" s="15">
        <f t="shared" ref="Z10:Z18" si="13">ROUND(+R10*U10*X10*Y10,-4)</f>
        <v>5670000</v>
      </c>
      <c r="AA10" s="15">
        <f t="shared" ref="AA10:AA18" si="14">ROUND(+R10*V10*X10*Y10,-4)</f>
        <v>5690000</v>
      </c>
      <c r="AB10" s="15">
        <f t="shared" ref="AB10:AB18" si="15">+R10*W10*X10*Y10</f>
        <v>0</v>
      </c>
    </row>
    <row r="11" spans="1:58" ht="24" customHeight="1" x14ac:dyDescent="0.15">
      <c r="A11" s="18">
        <v>10</v>
      </c>
      <c r="B11" s="2" t="s">
        <v>39</v>
      </c>
      <c r="C11" s="10">
        <f t="shared" si="0"/>
        <v>3510000</v>
      </c>
      <c r="D11" s="26">
        <f t="shared" si="11"/>
        <v>0</v>
      </c>
      <c r="E11" s="55">
        <f t="shared" si="12"/>
        <v>3510000</v>
      </c>
      <c r="F11" s="41">
        <f t="shared" si="3"/>
        <v>0</v>
      </c>
      <c r="G11" s="41">
        <f t="shared" si="4"/>
        <v>0</v>
      </c>
      <c r="H11" s="41">
        <f t="shared" si="5"/>
        <v>0</v>
      </c>
      <c r="I11" s="41">
        <f t="shared" si="6"/>
        <v>0</v>
      </c>
      <c r="K11" s="34"/>
      <c r="L11" s="34"/>
      <c r="M11" s="34"/>
      <c r="N11" s="34"/>
      <c r="P11" s="46">
        <v>526</v>
      </c>
      <c r="Q11" s="12">
        <f>3510/3870</f>
        <v>0.90697674418604646</v>
      </c>
      <c r="R11" s="13">
        <f t="shared" si="7"/>
        <v>477.06976744186045</v>
      </c>
      <c r="S11" s="44">
        <v>69</v>
      </c>
      <c r="T11" s="52" t="s">
        <v>10</v>
      </c>
      <c r="U11" s="14">
        <v>50.8</v>
      </c>
      <c r="V11" s="14">
        <v>50.3</v>
      </c>
      <c r="W11" s="14"/>
      <c r="X11" s="48">
        <v>2.2200000000000002</v>
      </c>
      <c r="Y11" s="50">
        <v>48</v>
      </c>
      <c r="Z11" s="15">
        <f t="shared" si="13"/>
        <v>2580000</v>
      </c>
      <c r="AA11" s="15">
        <f t="shared" si="14"/>
        <v>2560000</v>
      </c>
      <c r="AB11" s="15">
        <f t="shared" si="15"/>
        <v>0</v>
      </c>
    </row>
    <row r="12" spans="1:58" ht="24" customHeight="1" x14ac:dyDescent="0.15">
      <c r="A12" s="18">
        <v>11</v>
      </c>
      <c r="B12" s="5" t="s">
        <v>14</v>
      </c>
      <c r="C12" s="10" t="s">
        <v>16</v>
      </c>
      <c r="D12" s="26" t="s">
        <v>16</v>
      </c>
      <c r="E12" s="56" t="s">
        <v>16</v>
      </c>
      <c r="F12" s="42" t="s">
        <v>16</v>
      </c>
      <c r="G12" s="42" t="s">
        <v>16</v>
      </c>
      <c r="H12" s="42" t="s">
        <v>16</v>
      </c>
      <c r="I12" s="42" t="s">
        <v>16</v>
      </c>
      <c r="J12" s="28"/>
      <c r="K12" s="35"/>
      <c r="L12" s="35"/>
      <c r="M12" s="35"/>
      <c r="N12" s="35"/>
      <c r="O12" s="40"/>
      <c r="P12" s="47" t="s">
        <v>16</v>
      </c>
      <c r="Q12" s="29">
        <f>40/50</f>
        <v>0.8</v>
      </c>
      <c r="R12" s="30" t="s">
        <v>16</v>
      </c>
      <c r="S12" s="45" t="s">
        <v>16</v>
      </c>
      <c r="T12" s="52" t="s">
        <v>15</v>
      </c>
      <c r="U12" s="16"/>
      <c r="V12" s="16"/>
      <c r="W12" s="16"/>
      <c r="X12" s="49" t="s">
        <v>16</v>
      </c>
      <c r="Y12" s="51" t="s">
        <v>16</v>
      </c>
      <c r="Z12" s="15" t="e">
        <f t="shared" si="13"/>
        <v>#VALUE!</v>
      </c>
      <c r="AA12" s="15" t="e">
        <f t="shared" si="14"/>
        <v>#VALUE!</v>
      </c>
      <c r="AB12" s="15" t="e">
        <f t="shared" si="15"/>
        <v>#VALUE!</v>
      </c>
    </row>
    <row r="13" spans="1:58" s="19" customFormat="1" ht="14.1" thickBot="1" x14ac:dyDescent="0.2">
      <c r="A13" s="18"/>
      <c r="C13" s="38">
        <f>SUM(C3:C12)</f>
        <v>16600000</v>
      </c>
      <c r="D13" s="31">
        <f>SUM(D3:D12)</f>
        <v>0</v>
      </c>
      <c r="E13" s="38">
        <f>SUM(E3:E12)</f>
        <v>16600000</v>
      </c>
      <c r="F13" s="43">
        <f>SUM(F9:F12)</f>
        <v>0</v>
      </c>
      <c r="G13" s="43">
        <f>SUM(G9:G12)</f>
        <v>0</v>
      </c>
      <c r="H13" s="43">
        <f>SUM(H9:H12)</f>
        <v>0</v>
      </c>
      <c r="I13" s="43">
        <f>SUM(I9:I12)</f>
        <v>0</v>
      </c>
      <c r="P13" s="27">
        <f>SUM(P3:P12)</f>
        <v>3789</v>
      </c>
      <c r="Z13" s="20" t="e">
        <f>SUM(Z9:Z12)</f>
        <v>#VALUE!</v>
      </c>
      <c r="AA13" s="20" t="e">
        <f>SUM(AA9:AA12)</f>
        <v>#VALUE!</v>
      </c>
      <c r="AB13" s="20" t="e">
        <f>SUM(AB9:AB12)</f>
        <v>#VALUE!</v>
      </c>
    </row>
    <row r="14" spans="1:58" s="22" customFormat="1" ht="14.1" thickTop="1" x14ac:dyDescent="0.15">
      <c r="A14" s="21"/>
    </row>
    <row r="15" spans="1:58" s="19" customFormat="1" ht="12.95" hidden="1" x14ac:dyDescent="0.15">
      <c r="A15" s="18">
        <v>9</v>
      </c>
      <c r="B15" s="19" t="s">
        <v>1</v>
      </c>
      <c r="C15" s="22">
        <f>ROUND(+R15*Y15*X15*S15,-4)</f>
        <v>0</v>
      </c>
      <c r="D15" s="22"/>
      <c r="E15" s="22"/>
      <c r="F15" s="22"/>
      <c r="G15" s="22"/>
      <c r="H15" s="22"/>
      <c r="I15" s="22"/>
      <c r="P15" s="13"/>
      <c r="Q15" s="12"/>
      <c r="R15" s="13"/>
      <c r="S15" s="23">
        <v>100.2</v>
      </c>
      <c r="T15" s="19" t="s">
        <v>12</v>
      </c>
      <c r="U15" s="23">
        <v>94.5</v>
      </c>
      <c r="V15" s="23">
        <v>105.2</v>
      </c>
      <c r="W15" s="23"/>
      <c r="X15" s="24"/>
      <c r="Y15" s="24"/>
      <c r="Z15" s="22">
        <f t="shared" si="13"/>
        <v>0</v>
      </c>
      <c r="AA15" s="22">
        <f t="shared" si="14"/>
        <v>0</v>
      </c>
      <c r="AB15" s="22">
        <f t="shared" si="15"/>
        <v>0</v>
      </c>
    </row>
    <row r="16" spans="1:58" s="19" customFormat="1" ht="12.95" hidden="1" x14ac:dyDescent="0.15">
      <c r="A16" s="18">
        <v>10</v>
      </c>
      <c r="B16" s="19" t="s">
        <v>3</v>
      </c>
      <c r="C16" s="22">
        <f>ROUND(+R16*Y16*X16*S16,-4)</f>
        <v>0</v>
      </c>
      <c r="D16" s="22"/>
      <c r="E16" s="22"/>
      <c r="F16" s="25">
        <f>+P9*(1+K9)</f>
        <v>175</v>
      </c>
      <c r="G16" s="25"/>
      <c r="H16" s="25"/>
      <c r="I16" s="25"/>
      <c r="P16" s="13"/>
      <c r="Q16" s="12"/>
      <c r="R16" s="13"/>
      <c r="S16" s="23">
        <v>126.6</v>
      </c>
      <c r="T16" s="19" t="s">
        <v>12</v>
      </c>
      <c r="U16" s="23">
        <v>118.6</v>
      </c>
      <c r="V16" s="23">
        <v>129.1</v>
      </c>
      <c r="W16" s="23"/>
      <c r="X16" s="24"/>
      <c r="Y16" s="24"/>
      <c r="Z16" s="22">
        <f t="shared" si="13"/>
        <v>0</v>
      </c>
      <c r="AA16" s="22">
        <f t="shared" si="14"/>
        <v>0</v>
      </c>
      <c r="AB16" s="22">
        <f t="shared" si="15"/>
        <v>0</v>
      </c>
    </row>
    <row r="17" spans="1:28" s="19" customFormat="1" ht="12.95" hidden="1" x14ac:dyDescent="0.15">
      <c r="A17" s="18">
        <v>11</v>
      </c>
      <c r="B17" s="19" t="s">
        <v>2</v>
      </c>
      <c r="C17" s="22">
        <f>ROUND(+R17*Y17*X17*S17,-4)</f>
        <v>0</v>
      </c>
      <c r="D17" s="22"/>
      <c r="E17" s="22"/>
      <c r="F17" s="22"/>
      <c r="G17" s="22"/>
      <c r="H17" s="22"/>
      <c r="I17" s="22"/>
      <c r="P17" s="13"/>
      <c r="Q17" s="12"/>
      <c r="R17" s="13"/>
      <c r="S17" s="23">
        <v>120.1</v>
      </c>
      <c r="T17" s="19" t="s">
        <v>12</v>
      </c>
      <c r="U17" s="23">
        <v>109.6</v>
      </c>
      <c r="V17" s="23">
        <v>132.69999999999999</v>
      </c>
      <c r="W17" s="23"/>
      <c r="X17" s="24"/>
      <c r="Y17" s="24"/>
      <c r="Z17" s="22">
        <f t="shared" si="13"/>
        <v>0</v>
      </c>
      <c r="AA17" s="22">
        <f t="shared" si="14"/>
        <v>0</v>
      </c>
      <c r="AB17" s="22">
        <f t="shared" si="15"/>
        <v>0</v>
      </c>
    </row>
    <row r="18" spans="1:28" s="19" customFormat="1" ht="12.95" hidden="1" x14ac:dyDescent="0.15">
      <c r="A18" s="18">
        <v>12</v>
      </c>
      <c r="B18" s="19" t="s">
        <v>4</v>
      </c>
      <c r="C18" s="22">
        <f>ROUND(+R18*Y18*X18*S18,-4)</f>
        <v>0</v>
      </c>
      <c r="D18" s="22"/>
      <c r="E18" s="22"/>
      <c r="F18" s="22"/>
      <c r="G18" s="22"/>
      <c r="H18" s="22"/>
      <c r="I18" s="22"/>
      <c r="P18" s="13"/>
      <c r="Q18" s="12"/>
      <c r="R18" s="13"/>
      <c r="S18" s="23">
        <v>147.69999999999999</v>
      </c>
      <c r="T18" s="19" t="s">
        <v>12</v>
      </c>
      <c r="U18" s="23">
        <v>133.69999999999999</v>
      </c>
      <c r="V18" s="23">
        <v>156.80000000000001</v>
      </c>
      <c r="W18" s="23"/>
      <c r="X18" s="24"/>
      <c r="Y18" s="24"/>
      <c r="Z18" s="22">
        <f t="shared" si="13"/>
        <v>0</v>
      </c>
      <c r="AA18" s="22">
        <f t="shared" si="14"/>
        <v>0</v>
      </c>
      <c r="AB18" s="22">
        <f t="shared" si="15"/>
        <v>0</v>
      </c>
    </row>
    <row r="19" spans="1:28" s="19" customFormat="1" ht="12.95" hidden="1" x14ac:dyDescent="0.15">
      <c r="A19" s="18"/>
      <c r="C19" s="20"/>
      <c r="D19" s="20"/>
      <c r="E19" s="20"/>
      <c r="F19" s="20"/>
      <c r="G19" s="20"/>
      <c r="H19" s="20"/>
      <c r="I19" s="20"/>
      <c r="Z19" s="20"/>
      <c r="AA19" s="20"/>
      <c r="AB19" s="20"/>
    </row>
    <row r="20" spans="1:28" s="19" customFormat="1" ht="12.95" hidden="1" x14ac:dyDescent="0.15">
      <c r="A20" s="18"/>
      <c r="C20" s="20"/>
      <c r="D20" s="20"/>
      <c r="E20" s="20"/>
      <c r="F20" s="20"/>
      <c r="G20" s="20"/>
      <c r="H20" s="20"/>
      <c r="I20" s="20"/>
      <c r="Z20" s="20"/>
      <c r="AA20" s="20"/>
      <c r="AB20" s="20"/>
    </row>
    <row r="21" spans="1:28" s="19" customFormat="1" ht="12.95" x14ac:dyDescent="0.15">
      <c r="A21" s="18"/>
      <c r="C21" s="20"/>
      <c r="D21" s="20"/>
      <c r="E21" s="20"/>
      <c r="F21" s="20"/>
      <c r="G21" s="20"/>
      <c r="H21" s="20"/>
      <c r="I21" s="20"/>
      <c r="Z21" s="20"/>
      <c r="AA21" s="20"/>
      <c r="AB21" s="20"/>
    </row>
    <row r="22" spans="1:28" s="19" customFormat="1" ht="12.95" x14ac:dyDescent="0.15">
      <c r="A22" s="18"/>
      <c r="C22" s="20"/>
      <c r="D22" s="20"/>
      <c r="E22" s="20"/>
      <c r="F22" s="20"/>
      <c r="G22" s="20"/>
      <c r="H22" s="20"/>
      <c r="I22" s="20"/>
      <c r="Z22" s="20"/>
      <c r="AA22" s="20"/>
      <c r="AB22" s="20"/>
    </row>
    <row r="23" spans="1:28" s="19" customFormat="1" ht="12.95" x14ac:dyDescent="0.15">
      <c r="A23" s="18"/>
      <c r="C23" s="20"/>
      <c r="D23" s="20"/>
      <c r="E23" s="20"/>
      <c r="F23" s="20"/>
      <c r="G23" s="20"/>
      <c r="H23" s="20"/>
      <c r="I23" s="20"/>
      <c r="Z23" s="20"/>
      <c r="AA23" s="20"/>
      <c r="AB23" s="20"/>
    </row>
    <row r="24" spans="1:28" s="19" customFormat="1" ht="12.95" x14ac:dyDescent="0.15">
      <c r="A24" s="18"/>
      <c r="C24" s="20"/>
      <c r="D24" s="20"/>
      <c r="E24" s="20"/>
      <c r="F24" s="20"/>
      <c r="G24" s="20"/>
      <c r="H24" s="20"/>
      <c r="I24" s="20"/>
      <c r="Z24" s="20"/>
      <c r="AA24" s="20"/>
      <c r="AB24" s="20"/>
    </row>
    <row r="25" spans="1:28" s="19" customFormat="1" ht="12.95" x14ac:dyDescent="0.15">
      <c r="A25" s="18"/>
      <c r="C25" s="20"/>
      <c r="D25" s="20"/>
      <c r="E25" s="20"/>
      <c r="F25" s="20"/>
      <c r="G25" s="20"/>
      <c r="H25" s="20"/>
      <c r="I25" s="20"/>
      <c r="Z25" s="20"/>
      <c r="AA25" s="20"/>
      <c r="AB25" s="20"/>
    </row>
    <row r="26" spans="1:28" s="19" customFormat="1" ht="12.95" x14ac:dyDescent="0.15">
      <c r="A26" s="18"/>
      <c r="C26" s="20"/>
      <c r="D26" s="20"/>
      <c r="E26" s="20"/>
      <c r="F26" s="20"/>
      <c r="G26" s="20"/>
      <c r="H26" s="20"/>
      <c r="I26" s="20"/>
      <c r="Z26" s="20"/>
      <c r="AA26" s="20"/>
      <c r="AB26" s="20"/>
    </row>
    <row r="27" spans="1:28" s="19" customFormat="1" ht="12.95" x14ac:dyDescent="0.15">
      <c r="A27" s="18"/>
      <c r="C27" s="20"/>
      <c r="D27" s="20"/>
      <c r="E27" s="20"/>
      <c r="F27" s="20"/>
      <c r="G27" s="20"/>
      <c r="H27" s="20"/>
      <c r="I27" s="20"/>
      <c r="Z27" s="20"/>
      <c r="AA27" s="20"/>
      <c r="AB27" s="20"/>
    </row>
    <row r="28" spans="1:28" s="19" customFormat="1" ht="12.95" x14ac:dyDescent="0.15">
      <c r="A28" s="18"/>
      <c r="C28" s="20"/>
      <c r="D28" s="20"/>
      <c r="E28" s="20"/>
      <c r="F28" s="20"/>
      <c r="G28" s="20"/>
      <c r="H28" s="20"/>
      <c r="I28" s="20"/>
      <c r="Z28" s="20"/>
      <c r="AA28" s="20"/>
      <c r="AB28" s="20"/>
    </row>
    <row r="29" spans="1:28" s="19" customFormat="1" ht="12.95" x14ac:dyDescent="0.15">
      <c r="A29" s="18"/>
      <c r="C29" s="20"/>
      <c r="D29" s="20"/>
      <c r="E29" s="20"/>
      <c r="F29" s="20"/>
      <c r="G29" s="20"/>
      <c r="H29" s="20"/>
      <c r="I29" s="20"/>
      <c r="Z29" s="20"/>
      <c r="AA29" s="20"/>
      <c r="AB29" s="20"/>
    </row>
    <row r="30" spans="1:28" s="19" customFormat="1" ht="12.95" x14ac:dyDescent="0.15">
      <c r="A30" s="18"/>
      <c r="C30" s="20"/>
      <c r="D30" s="20"/>
      <c r="E30" s="20"/>
      <c r="F30" s="20"/>
      <c r="G30" s="20"/>
      <c r="H30" s="20"/>
      <c r="I30" s="20"/>
      <c r="Z30" s="20"/>
      <c r="AA30" s="20"/>
      <c r="AB30" s="20"/>
    </row>
    <row r="31" spans="1:28" s="19" customFormat="1" ht="12.95" x14ac:dyDescent="0.15">
      <c r="A31" s="18"/>
      <c r="C31" s="20"/>
      <c r="D31" s="20"/>
      <c r="E31" s="20"/>
      <c r="F31" s="20"/>
      <c r="G31" s="20"/>
      <c r="H31" s="20"/>
      <c r="I31" s="20"/>
      <c r="Z31" s="20"/>
      <c r="AA31" s="20"/>
      <c r="AB31" s="20"/>
    </row>
    <row r="32" spans="1:28" s="19" customFormat="1" x14ac:dyDescent="0.3">
      <c r="A32" s="18"/>
      <c r="C32" s="20"/>
      <c r="D32" s="20"/>
      <c r="E32" s="20"/>
      <c r="F32" s="20"/>
      <c r="G32" s="20"/>
      <c r="H32" s="20"/>
      <c r="I32" s="20"/>
      <c r="Z32" s="20"/>
      <c r="AA32" s="20"/>
      <c r="AB32" s="20"/>
    </row>
    <row r="33" spans="1:28" s="19" customFormat="1" x14ac:dyDescent="0.3">
      <c r="A33" s="18"/>
      <c r="C33" s="20"/>
      <c r="D33" s="20"/>
      <c r="E33" s="20"/>
      <c r="F33" s="20"/>
      <c r="G33" s="20"/>
      <c r="H33" s="20"/>
      <c r="I33" s="20"/>
      <c r="Z33" s="20"/>
      <c r="AA33" s="20"/>
      <c r="AB33" s="20"/>
    </row>
    <row r="34" spans="1:28" s="19" customFormat="1" x14ac:dyDescent="0.3">
      <c r="A34" s="18"/>
      <c r="C34" s="20"/>
      <c r="D34" s="20"/>
      <c r="E34" s="20"/>
      <c r="F34" s="20"/>
      <c r="G34" s="20"/>
      <c r="H34" s="20"/>
      <c r="I34" s="20"/>
      <c r="Z34" s="20"/>
      <c r="AA34" s="20"/>
      <c r="AB34" s="20"/>
    </row>
    <row r="35" spans="1:28" s="19" customFormat="1" x14ac:dyDescent="0.3">
      <c r="A35" s="18"/>
      <c r="C35" s="20"/>
      <c r="D35" s="20"/>
      <c r="E35" s="20"/>
      <c r="F35" s="20"/>
      <c r="G35" s="20"/>
      <c r="H35" s="20"/>
      <c r="I35" s="20"/>
      <c r="Z35" s="20"/>
      <c r="AA35" s="20"/>
      <c r="AB35" s="20"/>
    </row>
    <row r="36" spans="1:28" s="19" customFormat="1" x14ac:dyDescent="0.3">
      <c r="A36" s="18"/>
      <c r="C36" s="20"/>
      <c r="D36" s="20"/>
      <c r="E36" s="20"/>
      <c r="F36" s="20"/>
      <c r="G36" s="20"/>
      <c r="H36" s="20"/>
      <c r="I36" s="20"/>
      <c r="Z36" s="20"/>
      <c r="AA36" s="20"/>
      <c r="AB36" s="20"/>
    </row>
    <row r="37" spans="1:28" s="19" customFormat="1" x14ac:dyDescent="0.3">
      <c r="A37" s="18"/>
      <c r="C37" s="20"/>
      <c r="D37" s="20"/>
      <c r="E37" s="20"/>
      <c r="F37" s="20"/>
      <c r="G37" s="20"/>
      <c r="H37" s="20"/>
      <c r="I37" s="20"/>
      <c r="Z37" s="20"/>
      <c r="AA37" s="20"/>
      <c r="AB37" s="20"/>
    </row>
    <row r="38" spans="1:28" s="19" customFormat="1" x14ac:dyDescent="0.3">
      <c r="A38" s="18"/>
      <c r="C38" s="20"/>
      <c r="D38" s="20"/>
      <c r="E38" s="20"/>
      <c r="F38" s="20"/>
      <c r="G38" s="20"/>
      <c r="H38" s="20"/>
      <c r="I38" s="20"/>
      <c r="Z38" s="20"/>
      <c r="AA38" s="20"/>
      <c r="AB38" s="20"/>
    </row>
    <row r="39" spans="1:28" s="19" customFormat="1" x14ac:dyDescent="0.3">
      <c r="A39" s="18"/>
      <c r="C39" s="20"/>
      <c r="D39" s="20"/>
      <c r="E39" s="20"/>
      <c r="F39" s="20"/>
      <c r="G39" s="20"/>
      <c r="H39" s="20"/>
      <c r="I39" s="20"/>
      <c r="Z39" s="20"/>
      <c r="AA39" s="20"/>
      <c r="AB39" s="20"/>
    </row>
    <row r="40" spans="1:28" s="19" customFormat="1" x14ac:dyDescent="0.3">
      <c r="A40" s="18"/>
      <c r="C40" s="20"/>
      <c r="D40" s="20"/>
      <c r="E40" s="20"/>
      <c r="F40" s="20"/>
      <c r="G40" s="20"/>
      <c r="H40" s="20"/>
      <c r="I40" s="20"/>
      <c r="Z40" s="20"/>
      <c r="AA40" s="20"/>
      <c r="AB40" s="20"/>
    </row>
    <row r="41" spans="1:28" s="19" customFormat="1" x14ac:dyDescent="0.3">
      <c r="A41" s="18"/>
      <c r="C41" s="20"/>
      <c r="D41" s="20"/>
      <c r="E41" s="20"/>
      <c r="F41" s="20"/>
      <c r="G41" s="20"/>
      <c r="H41" s="20"/>
      <c r="I41" s="20"/>
      <c r="Z41" s="20"/>
      <c r="AA41" s="20"/>
      <c r="AB41" s="20"/>
    </row>
    <row r="42" spans="1:28" s="19" customFormat="1" x14ac:dyDescent="0.3">
      <c r="A42" s="18"/>
      <c r="C42" s="20"/>
      <c r="D42" s="20"/>
      <c r="E42" s="20"/>
      <c r="F42" s="20"/>
      <c r="G42" s="20"/>
      <c r="H42" s="20"/>
      <c r="I42" s="20"/>
      <c r="Z42" s="20"/>
      <c r="AA42" s="20"/>
      <c r="AB42" s="20"/>
    </row>
    <row r="43" spans="1:28" s="19" customFormat="1" x14ac:dyDescent="0.3">
      <c r="A43" s="18"/>
      <c r="C43" s="20"/>
      <c r="D43" s="20"/>
      <c r="E43" s="20"/>
      <c r="F43" s="20"/>
      <c r="G43" s="20"/>
      <c r="H43" s="20"/>
      <c r="I43" s="20"/>
      <c r="Z43" s="20"/>
      <c r="AA43" s="20"/>
      <c r="AB43" s="20"/>
    </row>
    <row r="44" spans="1:28" s="19" customFormat="1" x14ac:dyDescent="0.3">
      <c r="A44" s="18"/>
      <c r="C44" s="20"/>
      <c r="D44" s="20"/>
      <c r="E44" s="20"/>
      <c r="F44" s="20"/>
      <c r="G44" s="20"/>
      <c r="H44" s="20"/>
      <c r="I44" s="20"/>
      <c r="Z44" s="20"/>
      <c r="AA44" s="20"/>
      <c r="AB44" s="20"/>
    </row>
    <row r="45" spans="1:28" s="19" customFormat="1" x14ac:dyDescent="0.3">
      <c r="A45" s="18"/>
      <c r="C45" s="20"/>
      <c r="D45" s="20"/>
      <c r="E45" s="20"/>
      <c r="F45" s="20"/>
      <c r="G45" s="20"/>
      <c r="H45" s="20"/>
      <c r="I45" s="20"/>
      <c r="Z45" s="20"/>
      <c r="AA45" s="20"/>
      <c r="AB45" s="20"/>
    </row>
    <row r="46" spans="1:28" s="19" customFormat="1" x14ac:dyDescent="0.3">
      <c r="A46" s="18"/>
      <c r="C46" s="20"/>
      <c r="D46" s="20"/>
      <c r="E46" s="20"/>
      <c r="F46" s="20"/>
      <c r="G46" s="20"/>
      <c r="H46" s="20"/>
      <c r="I46" s="20"/>
      <c r="Z46" s="20"/>
      <c r="AA46" s="20"/>
      <c r="AB46" s="20"/>
    </row>
    <row r="47" spans="1:28" s="19" customFormat="1" x14ac:dyDescent="0.3">
      <c r="A47" s="18"/>
      <c r="C47" s="20"/>
      <c r="D47" s="20"/>
      <c r="E47" s="20"/>
      <c r="F47" s="20"/>
      <c r="G47" s="20"/>
      <c r="H47" s="20"/>
      <c r="I47" s="20"/>
      <c r="Z47" s="20"/>
      <c r="AA47" s="20"/>
      <c r="AB47" s="20"/>
    </row>
    <row r="48" spans="1:28" s="19" customFormat="1" x14ac:dyDescent="0.3">
      <c r="A48" s="18"/>
      <c r="C48" s="20"/>
      <c r="D48" s="20"/>
      <c r="E48" s="20"/>
      <c r="F48" s="20"/>
      <c r="G48" s="20"/>
      <c r="H48" s="20"/>
      <c r="I48" s="20"/>
      <c r="Z48" s="20"/>
      <c r="AA48" s="20"/>
      <c r="AB48" s="20"/>
    </row>
    <row r="49" spans="1:28" s="19" customFormat="1" x14ac:dyDescent="0.3">
      <c r="A49" s="18"/>
      <c r="C49" s="20"/>
      <c r="D49" s="20"/>
      <c r="E49" s="20"/>
      <c r="F49" s="20"/>
      <c r="G49" s="20"/>
      <c r="H49" s="20"/>
      <c r="I49" s="20"/>
      <c r="Z49" s="20"/>
      <c r="AA49" s="20"/>
      <c r="AB49" s="20"/>
    </row>
    <row r="50" spans="1:28" s="19" customFormat="1" x14ac:dyDescent="0.3">
      <c r="A50" s="18"/>
      <c r="C50" s="20"/>
      <c r="D50" s="20"/>
      <c r="E50" s="20"/>
      <c r="F50" s="20"/>
      <c r="G50" s="20"/>
      <c r="H50" s="20"/>
      <c r="I50" s="20"/>
      <c r="Z50" s="20"/>
      <c r="AA50" s="20"/>
      <c r="AB50" s="20"/>
    </row>
    <row r="51" spans="1:28" s="19" customFormat="1" x14ac:dyDescent="0.3">
      <c r="A51" s="18"/>
      <c r="C51" s="20"/>
      <c r="D51" s="20"/>
      <c r="E51" s="20"/>
      <c r="F51" s="20"/>
      <c r="G51" s="20"/>
      <c r="H51" s="20"/>
      <c r="I51" s="20"/>
      <c r="Z51" s="20"/>
      <c r="AA51" s="20"/>
      <c r="AB51" s="20"/>
    </row>
    <row r="52" spans="1:28" s="19" customFormat="1" x14ac:dyDescent="0.3">
      <c r="A52" s="18"/>
      <c r="C52" s="20"/>
      <c r="D52" s="20"/>
      <c r="E52" s="20"/>
      <c r="F52" s="20"/>
      <c r="G52" s="20"/>
      <c r="H52" s="20"/>
      <c r="I52" s="20"/>
      <c r="Z52" s="20"/>
      <c r="AA52" s="20"/>
      <c r="AB52" s="20"/>
    </row>
    <row r="53" spans="1:28" s="19" customFormat="1" x14ac:dyDescent="0.3">
      <c r="A53" s="18"/>
      <c r="C53" s="20"/>
      <c r="D53" s="20"/>
      <c r="E53" s="20"/>
      <c r="F53" s="20"/>
      <c r="G53" s="20"/>
      <c r="H53" s="20"/>
      <c r="I53" s="20"/>
      <c r="Z53" s="20"/>
      <c r="AA53" s="20"/>
      <c r="AB53" s="20"/>
    </row>
    <row r="54" spans="1:28" s="19" customFormat="1" x14ac:dyDescent="0.3">
      <c r="A54" s="18"/>
      <c r="C54" s="20"/>
      <c r="D54" s="20"/>
      <c r="E54" s="20"/>
      <c r="F54" s="20"/>
      <c r="G54" s="20"/>
      <c r="H54" s="20"/>
      <c r="I54" s="20"/>
      <c r="Z54" s="20"/>
      <c r="AA54" s="20"/>
      <c r="AB54" s="20"/>
    </row>
    <row r="55" spans="1:28" s="19" customFormat="1" x14ac:dyDescent="0.3">
      <c r="A55" s="18"/>
      <c r="C55" s="20"/>
      <c r="D55" s="20"/>
      <c r="E55" s="20"/>
      <c r="F55" s="20"/>
      <c r="G55" s="20"/>
      <c r="H55" s="20"/>
      <c r="I55" s="20"/>
      <c r="Z55" s="20"/>
      <c r="AA55" s="20"/>
      <c r="AB55" s="20"/>
    </row>
    <row r="56" spans="1:28" s="19" customFormat="1" x14ac:dyDescent="0.3">
      <c r="A56" s="18"/>
      <c r="C56" s="20"/>
      <c r="D56" s="20"/>
      <c r="E56" s="20"/>
      <c r="F56" s="20"/>
      <c r="G56" s="20"/>
      <c r="H56" s="20"/>
      <c r="I56" s="20"/>
      <c r="Z56" s="20"/>
      <c r="AA56" s="20"/>
      <c r="AB56" s="20"/>
    </row>
    <row r="57" spans="1:28" s="19" customFormat="1" x14ac:dyDescent="0.3">
      <c r="A57" s="18"/>
      <c r="C57" s="20"/>
      <c r="D57" s="20"/>
      <c r="E57" s="20"/>
      <c r="F57" s="20"/>
      <c r="G57" s="20"/>
      <c r="H57" s="20"/>
      <c r="I57" s="20"/>
      <c r="Z57" s="20"/>
      <c r="AA57" s="20"/>
      <c r="AB57" s="20"/>
    </row>
    <row r="58" spans="1:28" s="19" customFormat="1" x14ac:dyDescent="0.3">
      <c r="A58" s="18"/>
      <c r="C58" s="20"/>
      <c r="D58" s="20"/>
      <c r="E58" s="20"/>
      <c r="F58" s="20"/>
      <c r="G58" s="20"/>
      <c r="H58" s="20"/>
      <c r="I58" s="20"/>
      <c r="Z58" s="20"/>
      <c r="AA58" s="20"/>
      <c r="AB58" s="20"/>
    </row>
    <row r="59" spans="1:28" s="19" customFormat="1" x14ac:dyDescent="0.3">
      <c r="A59" s="18"/>
      <c r="C59" s="20"/>
      <c r="D59" s="20"/>
      <c r="E59" s="20"/>
      <c r="F59" s="20"/>
      <c r="G59" s="20"/>
      <c r="H59" s="20"/>
      <c r="I59" s="20"/>
      <c r="Z59" s="20"/>
      <c r="AA59" s="20"/>
      <c r="AB59" s="20"/>
    </row>
    <row r="60" spans="1:28" s="19" customFormat="1" x14ac:dyDescent="0.3">
      <c r="A60" s="18"/>
      <c r="C60" s="20"/>
      <c r="D60" s="20"/>
      <c r="E60" s="20"/>
      <c r="F60" s="20"/>
      <c r="G60" s="20"/>
      <c r="H60" s="20"/>
      <c r="I60" s="20"/>
      <c r="Z60" s="20"/>
      <c r="AA60" s="20"/>
      <c r="AB60" s="20"/>
    </row>
    <row r="61" spans="1:28" s="19" customFormat="1" x14ac:dyDescent="0.3">
      <c r="A61" s="18"/>
      <c r="C61" s="20"/>
      <c r="D61" s="20"/>
      <c r="E61" s="20"/>
      <c r="F61" s="20"/>
      <c r="G61" s="20"/>
      <c r="H61" s="20"/>
      <c r="I61" s="20"/>
      <c r="Z61" s="20"/>
      <c r="AA61" s="20"/>
      <c r="AB61" s="20"/>
    </row>
    <row r="62" spans="1:28" s="19" customFormat="1" x14ac:dyDescent="0.3">
      <c r="A62" s="18"/>
      <c r="C62" s="20"/>
      <c r="D62" s="20"/>
      <c r="E62" s="20"/>
      <c r="F62" s="20"/>
      <c r="G62" s="20"/>
      <c r="H62" s="20"/>
      <c r="I62" s="20"/>
      <c r="Z62" s="20"/>
      <c r="AA62" s="20"/>
      <c r="AB62" s="20"/>
    </row>
    <row r="63" spans="1:28" s="19" customFormat="1" x14ac:dyDescent="0.3">
      <c r="A63" s="18"/>
      <c r="C63" s="20"/>
      <c r="D63" s="20"/>
      <c r="E63" s="20"/>
      <c r="F63" s="20"/>
      <c r="G63" s="20"/>
      <c r="H63" s="20"/>
      <c r="I63" s="20"/>
      <c r="Z63" s="20"/>
      <c r="AA63" s="20"/>
      <c r="AB63" s="20"/>
    </row>
    <row r="64" spans="1:28" s="19" customFormat="1" x14ac:dyDescent="0.3">
      <c r="A64" s="18"/>
      <c r="C64" s="20"/>
      <c r="D64" s="20"/>
      <c r="E64" s="20"/>
      <c r="F64" s="20"/>
      <c r="G64" s="20"/>
      <c r="H64" s="20"/>
      <c r="I64" s="20"/>
      <c r="Z64" s="20"/>
      <c r="AA64" s="20"/>
      <c r="AB64" s="20"/>
    </row>
    <row r="65" spans="1:28" s="19" customFormat="1" x14ac:dyDescent="0.3">
      <c r="A65" s="18"/>
      <c r="C65" s="20"/>
      <c r="D65" s="20"/>
      <c r="E65" s="20"/>
      <c r="F65" s="20"/>
      <c r="G65" s="20"/>
      <c r="H65" s="20"/>
      <c r="I65" s="20"/>
      <c r="Z65" s="20"/>
      <c r="AA65" s="20"/>
      <c r="AB65" s="20"/>
    </row>
    <row r="66" spans="1:28" s="19" customFormat="1" x14ac:dyDescent="0.3">
      <c r="A66" s="18"/>
      <c r="C66" s="20"/>
      <c r="D66" s="20"/>
      <c r="E66" s="20"/>
      <c r="F66" s="20"/>
      <c r="G66" s="20"/>
      <c r="H66" s="20"/>
      <c r="I66" s="20"/>
      <c r="Z66" s="20"/>
      <c r="AA66" s="20"/>
      <c r="AB66" s="20"/>
    </row>
    <row r="67" spans="1:28" s="19" customFormat="1" x14ac:dyDescent="0.3">
      <c r="A67" s="18"/>
      <c r="C67" s="20"/>
      <c r="D67" s="20"/>
      <c r="E67" s="20"/>
      <c r="F67" s="20"/>
      <c r="G67" s="20"/>
      <c r="H67" s="20"/>
      <c r="I67" s="20"/>
      <c r="Z67" s="20"/>
      <c r="AA67" s="20"/>
      <c r="AB67" s="20"/>
    </row>
    <row r="68" spans="1:28" s="19" customFormat="1" x14ac:dyDescent="0.3">
      <c r="A68" s="18"/>
      <c r="C68" s="20"/>
      <c r="D68" s="20"/>
      <c r="E68" s="20"/>
      <c r="F68" s="20"/>
      <c r="G68" s="20"/>
      <c r="H68" s="20"/>
      <c r="I68" s="20"/>
      <c r="Z68" s="20"/>
      <c r="AA68" s="20"/>
      <c r="AB68" s="20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&amp;C&amp;"-,Vet"&amp;14Dashboard uitgaven Wmo 18+ Maatwerk  Groningen</oddHeader>
    <oddFooter>&amp;L&amp;V Vertrouwelijk&amp;V&amp;C&amp;D&amp;RPagina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14"/>
  <sheetViews>
    <sheetView workbookViewId="0"/>
  </sheetViews>
  <sheetFormatPr defaultColWidth="9.42578125" defaultRowHeight="16.5" outlineLevelRow="1" x14ac:dyDescent="0.3"/>
  <cols>
    <col min="1" max="1" width="3.42578125" style="103" customWidth="1"/>
    <col min="2" max="2" width="59.42578125" style="8" customWidth="1"/>
    <col min="3" max="3" width="17.42578125" style="98" customWidth="1"/>
    <col min="4" max="4" width="2.42578125" style="99" customWidth="1"/>
    <col min="5" max="8" width="16" style="8" customWidth="1"/>
    <col min="9" max="9" width="0.42578125" style="19" customWidth="1"/>
    <col min="10" max="10" width="2" style="19" customWidth="1"/>
    <col min="11" max="13" width="9.42578125" style="9" hidden="1" customWidth="1"/>
    <col min="14" max="14" width="10.42578125" style="9" hidden="1" customWidth="1"/>
    <col min="15" max="15" width="0.42578125" style="20" hidden="1" customWidth="1"/>
    <col min="16" max="16" width="14.42578125" style="9" hidden="1" customWidth="1"/>
    <col min="17" max="17" width="19.42578125" style="89" hidden="1" customWidth="1"/>
    <col min="18" max="18" width="1.42578125" style="20" hidden="1" customWidth="1"/>
    <col min="19" max="22" width="8.42578125" style="8" hidden="1" customWidth="1"/>
    <col min="23" max="23" width="0.42578125" style="19" hidden="1" customWidth="1"/>
    <col min="24" max="24" width="2" style="19" hidden="1" customWidth="1"/>
    <col min="25" max="27" width="9.42578125" style="9" hidden="1" customWidth="1"/>
    <col min="28" max="28" width="10.42578125" style="9" hidden="1" customWidth="1"/>
    <col min="29" max="29" width="0.42578125" style="8" hidden="1" customWidth="1"/>
    <col min="30" max="30" width="14.42578125" style="9" hidden="1" customWidth="1"/>
    <col min="31" max="31" width="14" style="89" hidden="1" customWidth="1"/>
    <col min="32" max="32" width="1.42578125" style="20" hidden="1" customWidth="1"/>
    <col min="33" max="36" width="9.42578125" style="8" hidden="1" customWidth="1"/>
    <col min="37" max="37" width="1" style="19" hidden="1" customWidth="1"/>
    <col min="38" max="38" width="2" style="19" hidden="1" customWidth="1"/>
    <col min="39" max="41" width="9.42578125" style="9" hidden="1" customWidth="1"/>
    <col min="42" max="42" width="10.42578125" style="9" hidden="1" customWidth="1"/>
    <col min="43" max="43" width="2" style="20" hidden="1" customWidth="1"/>
    <col min="44" max="44" width="14.42578125" style="9" hidden="1" customWidth="1"/>
    <col min="45" max="45" width="13.42578125" style="89" hidden="1" customWidth="1"/>
    <col min="46" max="46" width="0.42578125" style="81" hidden="1" customWidth="1"/>
    <col min="47" max="47" width="0.42578125" style="20" hidden="1" customWidth="1"/>
    <col min="48" max="51" width="9.42578125" style="8" hidden="1" customWidth="1"/>
    <col min="52" max="52" width="1" style="19" hidden="1" customWidth="1"/>
    <col min="53" max="53" width="2" style="19" hidden="1" customWidth="1"/>
    <col min="54" max="56" width="9.42578125" style="9" hidden="1" customWidth="1"/>
    <col min="57" max="57" width="10.42578125" style="9" hidden="1" customWidth="1"/>
    <col min="58" max="58" width="1" style="19" hidden="1" customWidth="1"/>
    <col min="59" max="59" width="13.42578125" style="9" hidden="1" customWidth="1"/>
    <col min="60" max="60" width="0.42578125" style="20" hidden="1" customWidth="1"/>
    <col min="61" max="61" width="16.42578125" style="92" customWidth="1"/>
    <col min="62" max="62" width="1.42578125" style="19" customWidth="1"/>
    <col min="63" max="63" width="11.42578125" style="8" customWidth="1"/>
    <col min="64" max="65" width="9.42578125" style="8" customWidth="1"/>
    <col min="66" max="66" width="8" style="8" customWidth="1"/>
    <col min="67" max="67" width="5.42578125" style="8" customWidth="1"/>
    <col min="68" max="68" width="8.42578125" style="8" customWidth="1" collapsed="1"/>
    <col min="69" max="69" width="10" style="8" customWidth="1"/>
    <col min="70" max="99" width="9.42578125" style="19"/>
    <col min="100" max="16384" width="9.42578125" style="8"/>
  </cols>
  <sheetData>
    <row r="1" spans="1:99" s="19" customFormat="1" ht="18.75" customHeight="1" x14ac:dyDescent="0.15">
      <c r="A1" s="103"/>
      <c r="C1" s="93"/>
      <c r="D1" s="99"/>
      <c r="E1" s="18" t="s">
        <v>98</v>
      </c>
      <c r="K1" s="18" t="s">
        <v>73</v>
      </c>
      <c r="L1" s="20"/>
      <c r="M1" s="20"/>
      <c r="N1" s="20"/>
      <c r="O1" s="20"/>
      <c r="P1" s="110"/>
      <c r="Q1" s="81"/>
      <c r="R1" s="20"/>
      <c r="S1" s="18" t="s">
        <v>99</v>
      </c>
      <c r="Y1" s="18" t="s">
        <v>75</v>
      </c>
      <c r="Z1" s="20"/>
      <c r="AA1" s="20"/>
      <c r="AB1" s="20"/>
      <c r="AD1" s="20"/>
      <c r="AE1" s="81"/>
      <c r="AF1" s="20"/>
      <c r="AG1" s="18" t="s">
        <v>100</v>
      </c>
      <c r="AM1" s="18" t="s">
        <v>77</v>
      </c>
      <c r="AN1" s="20"/>
      <c r="AO1" s="20"/>
      <c r="AP1" s="20"/>
      <c r="AQ1" s="20"/>
      <c r="AR1" s="20"/>
      <c r="AS1" s="81"/>
      <c r="AT1" s="81"/>
      <c r="AU1" s="20"/>
      <c r="AV1" s="18" t="s">
        <v>100</v>
      </c>
      <c r="BB1" s="18" t="s">
        <v>79</v>
      </c>
      <c r="BC1" s="20"/>
      <c r="BD1" s="20"/>
      <c r="BE1" s="20"/>
      <c r="BG1" s="20"/>
      <c r="BH1" s="20"/>
      <c r="BI1" s="90"/>
    </row>
    <row r="2" spans="1:99" s="6" customFormat="1" ht="40.5" customHeight="1" x14ac:dyDescent="0.15">
      <c r="A2" s="104"/>
      <c r="B2" s="36" t="s">
        <v>0</v>
      </c>
      <c r="C2" s="94" t="s">
        <v>43</v>
      </c>
      <c r="D2" s="99"/>
      <c r="E2" s="115" t="s">
        <v>94</v>
      </c>
      <c r="F2" s="115" t="s">
        <v>95</v>
      </c>
      <c r="G2" s="115" t="s">
        <v>101</v>
      </c>
      <c r="H2" s="115" t="s">
        <v>97</v>
      </c>
      <c r="I2" s="33"/>
      <c r="J2" s="33"/>
      <c r="K2" s="17" t="s">
        <v>24</v>
      </c>
      <c r="L2" s="17" t="s">
        <v>29</v>
      </c>
      <c r="M2" s="17" t="s">
        <v>25</v>
      </c>
      <c r="N2" s="17" t="s">
        <v>26</v>
      </c>
      <c r="O2" s="20"/>
      <c r="P2" s="37" t="s">
        <v>81</v>
      </c>
      <c r="Q2" s="82" t="s">
        <v>74</v>
      </c>
      <c r="R2" s="20"/>
      <c r="S2" s="17" t="s">
        <v>94</v>
      </c>
      <c r="T2" s="17" t="s">
        <v>95</v>
      </c>
      <c r="U2" s="17" t="s">
        <v>96</v>
      </c>
      <c r="V2" s="17" t="s">
        <v>97</v>
      </c>
      <c r="W2" s="19"/>
      <c r="X2" s="33"/>
      <c r="Y2" s="17" t="s">
        <v>24</v>
      </c>
      <c r="Z2" s="17" t="s">
        <v>29</v>
      </c>
      <c r="AA2" s="17" t="s">
        <v>25</v>
      </c>
      <c r="AB2" s="17" t="s">
        <v>26</v>
      </c>
      <c r="AC2" s="32"/>
      <c r="AD2" s="37" t="s">
        <v>82</v>
      </c>
      <c r="AE2" s="82" t="s">
        <v>76</v>
      </c>
      <c r="AF2" s="20"/>
      <c r="AG2" s="17" t="s">
        <v>94</v>
      </c>
      <c r="AH2" s="17" t="s">
        <v>95</v>
      </c>
      <c r="AI2" s="17" t="s">
        <v>96</v>
      </c>
      <c r="AJ2" s="17" t="s">
        <v>97</v>
      </c>
      <c r="AK2" s="19"/>
      <c r="AL2" s="33"/>
      <c r="AM2" s="17" t="s">
        <v>24</v>
      </c>
      <c r="AN2" s="17" t="s">
        <v>29</v>
      </c>
      <c r="AO2" s="17" t="s">
        <v>25</v>
      </c>
      <c r="AP2" s="17" t="s">
        <v>26</v>
      </c>
      <c r="AQ2" s="20"/>
      <c r="AR2" s="37" t="s">
        <v>83</v>
      </c>
      <c r="AS2" s="82" t="s">
        <v>78</v>
      </c>
      <c r="AT2" s="108"/>
      <c r="AU2" s="20"/>
      <c r="AV2" s="17" t="s">
        <v>94</v>
      </c>
      <c r="AW2" s="17" t="s">
        <v>95</v>
      </c>
      <c r="AX2" s="17" t="s">
        <v>96</v>
      </c>
      <c r="AY2" s="17" t="s">
        <v>97</v>
      </c>
      <c r="AZ2" s="19"/>
      <c r="BA2" s="33"/>
      <c r="BB2" s="17" t="s">
        <v>24</v>
      </c>
      <c r="BC2" s="17" t="s">
        <v>29</v>
      </c>
      <c r="BD2" s="17" t="s">
        <v>25</v>
      </c>
      <c r="BE2" s="17" t="s">
        <v>26</v>
      </c>
      <c r="BF2" s="19"/>
      <c r="BG2" s="37" t="s">
        <v>84</v>
      </c>
      <c r="BH2" s="20"/>
      <c r="BI2" s="82" t="s">
        <v>80</v>
      </c>
      <c r="BJ2" s="19"/>
      <c r="BK2" s="1" t="s">
        <v>85</v>
      </c>
      <c r="BL2" s="1" t="s">
        <v>17</v>
      </c>
      <c r="BM2" s="1" t="s">
        <v>19</v>
      </c>
      <c r="BN2" s="1" t="s">
        <v>86</v>
      </c>
      <c r="BO2" s="17" t="s">
        <v>9</v>
      </c>
      <c r="BP2" s="57" t="s">
        <v>28</v>
      </c>
      <c r="BQ2" s="17" t="s">
        <v>13</v>
      </c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</row>
    <row r="3" spans="1:99" ht="24" customHeight="1" x14ac:dyDescent="0.15">
      <c r="A3" s="103">
        <v>1</v>
      </c>
      <c r="B3" s="113" t="s">
        <v>31</v>
      </c>
      <c r="C3" s="116">
        <f>ROUND(+BM3*BQ3*BP3*BN3,-4)</f>
        <v>1060000</v>
      </c>
      <c r="E3" s="34">
        <f>SUM(E4:E8)</f>
        <v>-0.1</v>
      </c>
      <c r="F3" s="34">
        <f t="shared" ref="F3:H3" si="0">SUM(F4:F8)</f>
        <v>-0.1</v>
      </c>
      <c r="G3" s="34">
        <f t="shared" si="0"/>
        <v>-0.29000000000000004</v>
      </c>
      <c r="H3" s="34">
        <f t="shared" si="0"/>
        <v>-7.9999999999999988E-2</v>
      </c>
      <c r="K3" s="41">
        <f>ROUND(E3*$C$3,-4)</f>
        <v>-110000</v>
      </c>
      <c r="L3" s="41">
        <f>ROUND(F3*$C$3,-4)</f>
        <v>-110000</v>
      </c>
      <c r="M3" s="41">
        <f>ROUND(G3*$C$3,-4)</f>
        <v>-310000</v>
      </c>
      <c r="N3" s="41">
        <f>ROUND(H3*$C$3,-4)</f>
        <v>-80000</v>
      </c>
      <c r="P3" s="26">
        <f>SUM(J3:N3)</f>
        <v>-610000</v>
      </c>
      <c r="Q3" s="83">
        <f>+C3+P3</f>
        <v>450000</v>
      </c>
      <c r="S3" s="34"/>
      <c r="T3" s="34"/>
      <c r="U3" s="34"/>
      <c r="V3" s="34"/>
      <c r="Y3" s="41">
        <f t="shared" ref="Y3:AB7" si="1">ROUND((S3*$BM3)*$BN3*$BP3*$BQ3,-4)</f>
        <v>0</v>
      </c>
      <c r="Z3" s="41">
        <f t="shared" si="1"/>
        <v>0</v>
      </c>
      <c r="AA3" s="41">
        <f t="shared" si="1"/>
        <v>0</v>
      </c>
      <c r="AB3" s="41">
        <f t="shared" si="1"/>
        <v>0</v>
      </c>
      <c r="AD3" s="26">
        <f>SUM(X3:AB3)</f>
        <v>0</v>
      </c>
      <c r="AE3" s="83">
        <f>+Q3+AD3</f>
        <v>450000</v>
      </c>
      <c r="AG3" s="34"/>
      <c r="AH3" s="34"/>
      <c r="AI3" s="34"/>
      <c r="AJ3" s="34"/>
      <c r="AM3" s="41">
        <f t="shared" ref="AM3:AP7" si="2">ROUND((AG3*$BM3)*$BN3*$BP3*$BQ3,-4)</f>
        <v>0</v>
      </c>
      <c r="AN3" s="41">
        <f t="shared" si="2"/>
        <v>0</v>
      </c>
      <c r="AO3" s="41">
        <f t="shared" si="2"/>
        <v>0</v>
      </c>
      <c r="AP3" s="41">
        <f t="shared" si="2"/>
        <v>0</v>
      </c>
      <c r="AR3" s="26">
        <f>SUM(AL3:AP3)</f>
        <v>0</v>
      </c>
      <c r="AS3" s="83">
        <f>+AE3+AR3</f>
        <v>450000</v>
      </c>
      <c r="AT3" s="108"/>
      <c r="AV3" s="34"/>
      <c r="AW3" s="34"/>
      <c r="AX3" s="34"/>
      <c r="AY3" s="34"/>
      <c r="BB3" s="41">
        <f t="shared" ref="BB3:BE7" si="3">ROUND((AV3*$BM3)*$BN3*$BP3*$BQ3,-4)</f>
        <v>0</v>
      </c>
      <c r="BC3" s="41">
        <f t="shared" si="3"/>
        <v>0</v>
      </c>
      <c r="BD3" s="41">
        <f t="shared" si="3"/>
        <v>0</v>
      </c>
      <c r="BE3" s="41">
        <f t="shared" si="3"/>
        <v>0</v>
      </c>
      <c r="BG3" s="26">
        <f>SUM(BA3:BE3)</f>
        <v>0</v>
      </c>
      <c r="BI3" s="83">
        <f>+AS3+BG3</f>
        <v>450000</v>
      </c>
      <c r="BK3" s="46">
        <v>256.8</v>
      </c>
      <c r="BL3" s="12">
        <f>1030/1310</f>
        <v>0.7862595419847328</v>
      </c>
      <c r="BM3" s="13">
        <f t="shared" ref="BM3:BM27" si="4">+BL3*BK3</f>
        <v>201.9114503816794</v>
      </c>
      <c r="BN3" s="101">
        <v>32.5</v>
      </c>
      <c r="BO3" s="52" t="s">
        <v>11</v>
      </c>
      <c r="BP3" s="58">
        <v>3.5</v>
      </c>
      <c r="BQ3" s="59">
        <v>46</v>
      </c>
      <c r="BR3" s="27">
        <f>SUM(BK4:BK8)</f>
        <v>257</v>
      </c>
      <c r="BS3" s="27">
        <f>+BK3-BR3</f>
        <v>-0.19999999999998863</v>
      </c>
    </row>
    <row r="4" spans="1:99" ht="24" customHeight="1" outlineLevel="1" x14ac:dyDescent="0.15">
      <c r="A4" s="106" t="s">
        <v>87</v>
      </c>
      <c r="B4" s="107" t="s">
        <v>45</v>
      </c>
      <c r="C4" s="117">
        <f t="shared" ref="C4:C8" si="5">ROUND(+BM4*BQ4*BP4*BN4,-4)</f>
        <v>540000</v>
      </c>
      <c r="D4" s="118"/>
      <c r="E4" s="119">
        <v>-0.02</v>
      </c>
      <c r="F4" s="119">
        <v>-0.02</v>
      </c>
      <c r="G4" s="119">
        <v>-0.2</v>
      </c>
      <c r="H4" s="119">
        <v>-0.02</v>
      </c>
      <c r="I4" s="120"/>
      <c r="J4" s="120"/>
      <c r="K4" s="121"/>
      <c r="L4" s="121"/>
      <c r="M4" s="121"/>
      <c r="N4" s="121"/>
      <c r="O4" s="122"/>
      <c r="P4" s="123">
        <f>SUM(K4:N4)</f>
        <v>0</v>
      </c>
      <c r="Q4" s="124"/>
      <c r="R4" s="122"/>
      <c r="S4" s="119"/>
      <c r="T4" s="119"/>
      <c r="U4" s="119"/>
      <c r="V4" s="119"/>
      <c r="W4" s="120"/>
      <c r="X4" s="120"/>
      <c r="Y4" s="121">
        <f t="shared" si="1"/>
        <v>0</v>
      </c>
      <c r="Z4" s="121">
        <f t="shared" si="1"/>
        <v>0</v>
      </c>
      <c r="AA4" s="121">
        <f t="shared" si="1"/>
        <v>0</v>
      </c>
      <c r="AB4" s="121">
        <f t="shared" si="1"/>
        <v>0</v>
      </c>
      <c r="AC4" s="125"/>
      <c r="AD4" s="123">
        <f>SUM(X4:AB4)</f>
        <v>0</v>
      </c>
      <c r="AE4" s="124"/>
      <c r="AF4" s="122"/>
      <c r="AG4" s="119"/>
      <c r="AH4" s="119"/>
      <c r="AI4" s="119"/>
      <c r="AJ4" s="119"/>
      <c r="AK4" s="120"/>
      <c r="AL4" s="120"/>
      <c r="AM4" s="121">
        <f t="shared" si="2"/>
        <v>0</v>
      </c>
      <c r="AN4" s="121">
        <f t="shared" si="2"/>
        <v>0</v>
      </c>
      <c r="AO4" s="121">
        <f t="shared" si="2"/>
        <v>0</v>
      </c>
      <c r="AP4" s="121">
        <f t="shared" si="2"/>
        <v>0</v>
      </c>
      <c r="AQ4" s="122"/>
      <c r="AR4" s="123">
        <f>SUM(AL4:AP4)</f>
        <v>0</v>
      </c>
      <c r="AS4" s="124"/>
      <c r="AT4" s="126"/>
      <c r="AU4" s="122"/>
      <c r="AV4" s="119"/>
      <c r="AW4" s="119"/>
      <c r="AX4" s="119"/>
      <c r="AY4" s="119"/>
      <c r="AZ4" s="120"/>
      <c r="BA4" s="120"/>
      <c r="BB4" s="121">
        <f t="shared" si="3"/>
        <v>0</v>
      </c>
      <c r="BC4" s="121">
        <f t="shared" si="3"/>
        <v>0</v>
      </c>
      <c r="BD4" s="121">
        <f t="shared" si="3"/>
        <v>0</v>
      </c>
      <c r="BE4" s="121">
        <f t="shared" si="3"/>
        <v>0</v>
      </c>
      <c r="BF4" s="120"/>
      <c r="BG4" s="123">
        <f>SUM(BA4:BE4)</f>
        <v>0</v>
      </c>
      <c r="BH4" s="122"/>
      <c r="BI4" s="124"/>
      <c r="BJ4" s="120"/>
      <c r="BK4" s="127">
        <v>132</v>
      </c>
      <c r="BL4" s="128">
        <f t="shared" ref="BL4:BL8" si="6">1030/1310</f>
        <v>0.7862595419847328</v>
      </c>
      <c r="BM4" s="129">
        <f t="shared" si="4"/>
        <v>103.78625954198473</v>
      </c>
      <c r="BN4" s="130">
        <v>32.5</v>
      </c>
      <c r="BO4" s="131" t="s">
        <v>11</v>
      </c>
      <c r="BP4" s="132">
        <v>3.5</v>
      </c>
      <c r="BQ4" s="133">
        <v>46</v>
      </c>
    </row>
    <row r="5" spans="1:99" ht="24" customHeight="1" outlineLevel="1" x14ac:dyDescent="0.15">
      <c r="A5" s="106" t="s">
        <v>88</v>
      </c>
      <c r="B5" s="107" t="s">
        <v>55</v>
      </c>
      <c r="C5" s="117">
        <f t="shared" si="5"/>
        <v>210000</v>
      </c>
      <c r="D5" s="118"/>
      <c r="E5" s="119">
        <v>-0.02</v>
      </c>
      <c r="F5" s="119">
        <v>-0.02</v>
      </c>
      <c r="G5" s="119">
        <v>-0.05</v>
      </c>
      <c r="H5" s="119">
        <v>-0.02</v>
      </c>
      <c r="I5" s="120"/>
      <c r="J5" s="120"/>
      <c r="K5" s="121"/>
      <c r="L5" s="121"/>
      <c r="M5" s="121"/>
      <c r="N5" s="121"/>
      <c r="O5" s="122"/>
      <c r="P5" s="123">
        <f>SUM(K5:N5)</f>
        <v>0</v>
      </c>
      <c r="Q5" s="124"/>
      <c r="R5" s="122"/>
      <c r="S5" s="119"/>
      <c r="T5" s="119"/>
      <c r="U5" s="119"/>
      <c r="V5" s="119"/>
      <c r="W5" s="120"/>
      <c r="X5" s="120"/>
      <c r="Y5" s="121">
        <f t="shared" si="1"/>
        <v>0</v>
      </c>
      <c r="Z5" s="121">
        <f t="shared" si="1"/>
        <v>0</v>
      </c>
      <c r="AA5" s="121">
        <f t="shared" si="1"/>
        <v>0</v>
      </c>
      <c r="AB5" s="121">
        <f t="shared" si="1"/>
        <v>0</v>
      </c>
      <c r="AC5" s="125"/>
      <c r="AD5" s="123">
        <f>SUM(X5:AB5)</f>
        <v>0</v>
      </c>
      <c r="AE5" s="124"/>
      <c r="AF5" s="122"/>
      <c r="AG5" s="119"/>
      <c r="AH5" s="119"/>
      <c r="AI5" s="119"/>
      <c r="AJ5" s="119"/>
      <c r="AK5" s="120"/>
      <c r="AL5" s="120"/>
      <c r="AM5" s="121">
        <f t="shared" si="2"/>
        <v>0</v>
      </c>
      <c r="AN5" s="121">
        <f t="shared" si="2"/>
        <v>0</v>
      </c>
      <c r="AO5" s="121">
        <f t="shared" si="2"/>
        <v>0</v>
      </c>
      <c r="AP5" s="121">
        <f t="shared" si="2"/>
        <v>0</v>
      </c>
      <c r="AQ5" s="122"/>
      <c r="AR5" s="123">
        <f>SUM(AL5:AP5)</f>
        <v>0</v>
      </c>
      <c r="AS5" s="124"/>
      <c r="AT5" s="126"/>
      <c r="AU5" s="122"/>
      <c r="AV5" s="119"/>
      <c r="AW5" s="119"/>
      <c r="AX5" s="119"/>
      <c r="AY5" s="119"/>
      <c r="AZ5" s="120"/>
      <c r="BA5" s="120"/>
      <c r="BB5" s="121">
        <f t="shared" si="3"/>
        <v>0</v>
      </c>
      <c r="BC5" s="121">
        <f t="shared" si="3"/>
        <v>0</v>
      </c>
      <c r="BD5" s="121">
        <f t="shared" si="3"/>
        <v>0</v>
      </c>
      <c r="BE5" s="121">
        <f t="shared" si="3"/>
        <v>0</v>
      </c>
      <c r="BF5" s="120"/>
      <c r="BG5" s="123">
        <f>SUM(BA5:BE5)</f>
        <v>0</v>
      </c>
      <c r="BH5" s="122"/>
      <c r="BI5" s="124"/>
      <c r="BJ5" s="120"/>
      <c r="BK5" s="127">
        <v>50</v>
      </c>
      <c r="BL5" s="128">
        <f t="shared" si="6"/>
        <v>0.7862595419847328</v>
      </c>
      <c r="BM5" s="129">
        <f t="shared" si="4"/>
        <v>39.31297709923664</v>
      </c>
      <c r="BN5" s="130">
        <v>32.5</v>
      </c>
      <c r="BO5" s="131" t="s">
        <v>11</v>
      </c>
      <c r="BP5" s="132">
        <v>3.5</v>
      </c>
      <c r="BQ5" s="133">
        <v>46</v>
      </c>
    </row>
    <row r="6" spans="1:99" ht="24" customHeight="1" outlineLevel="1" x14ac:dyDescent="0.15">
      <c r="A6" s="106" t="s">
        <v>89</v>
      </c>
      <c r="B6" s="107" t="s">
        <v>58</v>
      </c>
      <c r="C6" s="117">
        <f t="shared" si="5"/>
        <v>160000</v>
      </c>
      <c r="D6" s="118"/>
      <c r="E6" s="119">
        <v>-0.02</v>
      </c>
      <c r="F6" s="119">
        <v>-0.02</v>
      </c>
      <c r="G6" s="119">
        <v>-0.02</v>
      </c>
      <c r="H6" s="119">
        <v>-0.02</v>
      </c>
      <c r="I6" s="120"/>
      <c r="J6" s="120"/>
      <c r="K6" s="121"/>
      <c r="L6" s="121"/>
      <c r="M6" s="121"/>
      <c r="N6" s="121"/>
      <c r="O6" s="122"/>
      <c r="P6" s="123">
        <f>SUM(K6:N6)</f>
        <v>0</v>
      </c>
      <c r="Q6" s="124"/>
      <c r="R6" s="122"/>
      <c r="S6" s="119"/>
      <c r="T6" s="119"/>
      <c r="U6" s="119"/>
      <c r="V6" s="119"/>
      <c r="W6" s="120"/>
      <c r="X6" s="120"/>
      <c r="Y6" s="121">
        <f t="shared" si="1"/>
        <v>0</v>
      </c>
      <c r="Z6" s="121">
        <f t="shared" si="1"/>
        <v>0</v>
      </c>
      <c r="AA6" s="121">
        <f t="shared" si="1"/>
        <v>0</v>
      </c>
      <c r="AB6" s="121">
        <f t="shared" si="1"/>
        <v>0</v>
      </c>
      <c r="AC6" s="125"/>
      <c r="AD6" s="123">
        <f>SUM(X6:AB6)</f>
        <v>0</v>
      </c>
      <c r="AE6" s="124"/>
      <c r="AF6" s="122"/>
      <c r="AG6" s="119"/>
      <c r="AH6" s="119"/>
      <c r="AI6" s="119"/>
      <c r="AJ6" s="119"/>
      <c r="AK6" s="120"/>
      <c r="AL6" s="120"/>
      <c r="AM6" s="121">
        <f t="shared" si="2"/>
        <v>0</v>
      </c>
      <c r="AN6" s="121">
        <f t="shared" si="2"/>
        <v>0</v>
      </c>
      <c r="AO6" s="121">
        <f t="shared" si="2"/>
        <v>0</v>
      </c>
      <c r="AP6" s="121">
        <f t="shared" si="2"/>
        <v>0</v>
      </c>
      <c r="AQ6" s="122"/>
      <c r="AR6" s="123">
        <f>SUM(AL6:AP6)</f>
        <v>0</v>
      </c>
      <c r="AS6" s="124"/>
      <c r="AT6" s="126"/>
      <c r="AU6" s="122"/>
      <c r="AV6" s="119"/>
      <c r="AW6" s="119"/>
      <c r="AX6" s="119"/>
      <c r="AY6" s="119"/>
      <c r="AZ6" s="120"/>
      <c r="BA6" s="120"/>
      <c r="BB6" s="121">
        <f t="shared" si="3"/>
        <v>0</v>
      </c>
      <c r="BC6" s="121">
        <f t="shared" si="3"/>
        <v>0</v>
      </c>
      <c r="BD6" s="121">
        <f t="shared" si="3"/>
        <v>0</v>
      </c>
      <c r="BE6" s="121">
        <f t="shared" si="3"/>
        <v>0</v>
      </c>
      <c r="BF6" s="120"/>
      <c r="BG6" s="123">
        <f>SUM(BA6:BE6)</f>
        <v>0</v>
      </c>
      <c r="BH6" s="122"/>
      <c r="BI6" s="124"/>
      <c r="BJ6" s="120"/>
      <c r="BK6" s="127">
        <v>40</v>
      </c>
      <c r="BL6" s="128">
        <f t="shared" si="6"/>
        <v>0.7862595419847328</v>
      </c>
      <c r="BM6" s="129">
        <f t="shared" si="4"/>
        <v>31.450381679389313</v>
      </c>
      <c r="BN6" s="130">
        <v>32.5</v>
      </c>
      <c r="BO6" s="131" t="s">
        <v>11</v>
      </c>
      <c r="BP6" s="132">
        <v>3.5</v>
      </c>
      <c r="BQ6" s="133">
        <v>46</v>
      </c>
    </row>
    <row r="7" spans="1:99" ht="24" customHeight="1" outlineLevel="1" x14ac:dyDescent="0.15">
      <c r="A7" s="106" t="s">
        <v>90</v>
      </c>
      <c r="B7" s="107" t="s">
        <v>65</v>
      </c>
      <c r="C7" s="117">
        <f t="shared" si="5"/>
        <v>120000</v>
      </c>
      <c r="D7" s="118"/>
      <c r="E7" s="119">
        <v>-0.02</v>
      </c>
      <c r="F7" s="119">
        <v>-0.02</v>
      </c>
      <c r="G7" s="119">
        <v>-0.01</v>
      </c>
      <c r="H7" s="119">
        <v>-0.01</v>
      </c>
      <c r="I7" s="120"/>
      <c r="J7" s="120"/>
      <c r="K7" s="121"/>
      <c r="L7" s="121"/>
      <c r="M7" s="121"/>
      <c r="N7" s="121"/>
      <c r="O7" s="122"/>
      <c r="P7" s="123">
        <f>SUM(K7:N7)</f>
        <v>0</v>
      </c>
      <c r="Q7" s="124"/>
      <c r="R7" s="122"/>
      <c r="S7" s="119"/>
      <c r="T7" s="119"/>
      <c r="U7" s="119"/>
      <c r="V7" s="119"/>
      <c r="W7" s="120"/>
      <c r="X7" s="120"/>
      <c r="Y7" s="121">
        <f t="shared" si="1"/>
        <v>0</v>
      </c>
      <c r="Z7" s="121">
        <f t="shared" si="1"/>
        <v>0</v>
      </c>
      <c r="AA7" s="121">
        <f t="shared" si="1"/>
        <v>0</v>
      </c>
      <c r="AB7" s="121">
        <f t="shared" si="1"/>
        <v>0</v>
      </c>
      <c r="AC7" s="125"/>
      <c r="AD7" s="123">
        <f>SUM(X7:AB7)</f>
        <v>0</v>
      </c>
      <c r="AE7" s="124"/>
      <c r="AF7" s="122"/>
      <c r="AG7" s="119"/>
      <c r="AH7" s="119"/>
      <c r="AI7" s="119"/>
      <c r="AJ7" s="119"/>
      <c r="AK7" s="120"/>
      <c r="AL7" s="120"/>
      <c r="AM7" s="121">
        <f t="shared" si="2"/>
        <v>0</v>
      </c>
      <c r="AN7" s="121">
        <f t="shared" si="2"/>
        <v>0</v>
      </c>
      <c r="AO7" s="121">
        <f t="shared" si="2"/>
        <v>0</v>
      </c>
      <c r="AP7" s="121">
        <f t="shared" si="2"/>
        <v>0</v>
      </c>
      <c r="AQ7" s="122"/>
      <c r="AR7" s="123">
        <f>SUM(AL7:AP7)</f>
        <v>0</v>
      </c>
      <c r="AS7" s="124"/>
      <c r="AT7" s="126"/>
      <c r="AU7" s="122"/>
      <c r="AV7" s="119"/>
      <c r="AW7" s="119"/>
      <c r="AX7" s="119"/>
      <c r="AY7" s="119"/>
      <c r="AZ7" s="120"/>
      <c r="BA7" s="120"/>
      <c r="BB7" s="121">
        <f t="shared" si="3"/>
        <v>0</v>
      </c>
      <c r="BC7" s="121">
        <f t="shared" si="3"/>
        <v>0</v>
      </c>
      <c r="BD7" s="121">
        <f t="shared" si="3"/>
        <v>0</v>
      </c>
      <c r="BE7" s="121">
        <f t="shared" si="3"/>
        <v>0</v>
      </c>
      <c r="BF7" s="120"/>
      <c r="BG7" s="123">
        <f>SUM(BA7:BE7)</f>
        <v>0</v>
      </c>
      <c r="BH7" s="122"/>
      <c r="BI7" s="124"/>
      <c r="BJ7" s="120"/>
      <c r="BK7" s="127">
        <v>30</v>
      </c>
      <c r="BL7" s="128">
        <f t="shared" si="6"/>
        <v>0.7862595419847328</v>
      </c>
      <c r="BM7" s="129">
        <f t="shared" si="4"/>
        <v>23.587786259541986</v>
      </c>
      <c r="BN7" s="130">
        <v>32.5</v>
      </c>
      <c r="BO7" s="131" t="s">
        <v>11</v>
      </c>
      <c r="BP7" s="132">
        <v>3.5</v>
      </c>
      <c r="BQ7" s="133">
        <v>46</v>
      </c>
    </row>
    <row r="8" spans="1:99" ht="24" customHeight="1" outlineLevel="1" x14ac:dyDescent="0.15">
      <c r="A8" s="106" t="s">
        <v>91</v>
      </c>
      <c r="B8" s="107" t="s">
        <v>72</v>
      </c>
      <c r="C8" s="117">
        <f t="shared" si="5"/>
        <v>20000</v>
      </c>
      <c r="D8" s="118"/>
      <c r="E8" s="119">
        <v>-0.02</v>
      </c>
      <c r="F8" s="119">
        <v>-0.02</v>
      </c>
      <c r="G8" s="119">
        <v>-0.01</v>
      </c>
      <c r="H8" s="119">
        <v>-0.01</v>
      </c>
      <c r="I8" s="120"/>
      <c r="J8" s="120"/>
      <c r="K8" s="121"/>
      <c r="L8" s="121"/>
      <c r="M8" s="121"/>
      <c r="N8" s="121"/>
      <c r="O8" s="122"/>
      <c r="P8" s="123"/>
      <c r="Q8" s="124"/>
      <c r="R8" s="122"/>
      <c r="S8" s="119"/>
      <c r="T8" s="119"/>
      <c r="U8" s="119"/>
      <c r="V8" s="119"/>
      <c r="W8" s="120"/>
      <c r="X8" s="120"/>
      <c r="Y8" s="121"/>
      <c r="Z8" s="121"/>
      <c r="AA8" s="121"/>
      <c r="AB8" s="121"/>
      <c r="AC8" s="125"/>
      <c r="AD8" s="123"/>
      <c r="AE8" s="124"/>
      <c r="AF8" s="122"/>
      <c r="AG8" s="119"/>
      <c r="AH8" s="119"/>
      <c r="AI8" s="119"/>
      <c r="AJ8" s="119"/>
      <c r="AK8" s="120"/>
      <c r="AL8" s="120"/>
      <c r="AM8" s="121"/>
      <c r="AN8" s="121"/>
      <c r="AO8" s="121"/>
      <c r="AP8" s="121"/>
      <c r="AQ8" s="122"/>
      <c r="AR8" s="123"/>
      <c r="AS8" s="124"/>
      <c r="AT8" s="126"/>
      <c r="AU8" s="122"/>
      <c r="AV8" s="119"/>
      <c r="AW8" s="119"/>
      <c r="AX8" s="119"/>
      <c r="AY8" s="119"/>
      <c r="AZ8" s="120"/>
      <c r="BA8" s="120"/>
      <c r="BB8" s="121"/>
      <c r="BC8" s="121"/>
      <c r="BD8" s="121"/>
      <c r="BE8" s="121"/>
      <c r="BF8" s="120"/>
      <c r="BG8" s="123"/>
      <c r="BH8" s="122"/>
      <c r="BI8" s="124"/>
      <c r="BJ8" s="120"/>
      <c r="BK8" s="127">
        <v>5</v>
      </c>
      <c r="BL8" s="128">
        <f t="shared" si="6"/>
        <v>0.7862595419847328</v>
      </c>
      <c r="BM8" s="129">
        <f t="shared" si="4"/>
        <v>3.9312977099236641</v>
      </c>
      <c r="BN8" s="130">
        <v>32.5</v>
      </c>
      <c r="BO8" s="131" t="s">
        <v>11</v>
      </c>
      <c r="BP8" s="132">
        <v>3.5</v>
      </c>
      <c r="BQ8" s="133">
        <v>46</v>
      </c>
    </row>
    <row r="9" spans="1:99" ht="24" customHeight="1" x14ac:dyDescent="0.15">
      <c r="A9" s="103">
        <v>2</v>
      </c>
      <c r="B9" s="113" t="s">
        <v>32</v>
      </c>
      <c r="C9" s="95">
        <f>ROUND(+BM9*BQ9*BP9*BN9,-4)</f>
        <v>4680000</v>
      </c>
      <c r="E9" s="34"/>
      <c r="F9" s="34"/>
      <c r="G9" s="34"/>
      <c r="H9" s="34"/>
      <c r="K9" s="41">
        <f>ROUND((E9*$BM9)*$BN9*$BP9*$BQ9,-4)</f>
        <v>0</v>
      </c>
      <c r="L9" s="41">
        <f>ROUND((F9*$BM9)*$BN9*$BP9*$BQ9,-4)</f>
        <v>0</v>
      </c>
      <c r="M9" s="41">
        <f>ROUND((G9*$BM9)*$BN9*$BP9*$BQ9,-4)</f>
        <v>0</v>
      </c>
      <c r="N9" s="41">
        <f>ROUND((H9*$BM9)*$BN9*$BP9*$BQ9,-4)</f>
        <v>0</v>
      </c>
      <c r="P9" s="26">
        <f>SUM(K9:N9)</f>
        <v>0</v>
      </c>
      <c r="Q9" s="83">
        <f>+C9+P9</f>
        <v>4680000</v>
      </c>
      <c r="S9" s="34"/>
      <c r="T9" s="34"/>
      <c r="U9" s="34"/>
      <c r="V9" s="34"/>
      <c r="Y9" s="41">
        <f t="shared" ref="Y9:AB13" si="7">ROUND((S9*$BM9)*$BN9*$BP9*$BQ9,-4)</f>
        <v>0</v>
      </c>
      <c r="Z9" s="41">
        <f t="shared" si="7"/>
        <v>0</v>
      </c>
      <c r="AA9" s="41">
        <f t="shared" si="7"/>
        <v>0</v>
      </c>
      <c r="AB9" s="41">
        <f t="shared" si="7"/>
        <v>0</v>
      </c>
      <c r="AD9" s="26">
        <f>SUM(X9:AB9)</f>
        <v>0</v>
      </c>
      <c r="AE9" s="83">
        <f>+Q9+AD9</f>
        <v>4680000</v>
      </c>
      <c r="AG9" s="34"/>
      <c r="AH9" s="34"/>
      <c r="AI9" s="34"/>
      <c r="AJ9" s="34"/>
      <c r="AM9" s="41">
        <f t="shared" ref="AM9:AP13" si="8">ROUND((AG9*$BM9)*$BN9*$BP9*$BQ9,-4)</f>
        <v>0</v>
      </c>
      <c r="AN9" s="41">
        <f t="shared" si="8"/>
        <v>0</v>
      </c>
      <c r="AO9" s="41">
        <f t="shared" si="8"/>
        <v>0</v>
      </c>
      <c r="AP9" s="41">
        <f t="shared" si="8"/>
        <v>0</v>
      </c>
      <c r="AR9" s="26">
        <f>SUM(AL9:AP9)</f>
        <v>0</v>
      </c>
      <c r="AS9" s="83">
        <f>+AE9+AR9</f>
        <v>4680000</v>
      </c>
      <c r="AT9" s="108"/>
      <c r="AV9" s="34"/>
      <c r="AW9" s="34"/>
      <c r="AX9" s="34"/>
      <c r="AY9" s="34"/>
      <c r="BB9" s="41">
        <f t="shared" ref="BB9:BE13" si="9">ROUND((AV9*$BM9)*$BN9*$BP9*$BQ9,-4)</f>
        <v>0</v>
      </c>
      <c r="BC9" s="41">
        <f t="shared" si="9"/>
        <v>0</v>
      </c>
      <c r="BD9" s="41">
        <f t="shared" si="9"/>
        <v>0</v>
      </c>
      <c r="BE9" s="41">
        <f t="shared" si="9"/>
        <v>0</v>
      </c>
      <c r="BG9" s="26">
        <f>SUM(BA9:BE9)</f>
        <v>0</v>
      </c>
      <c r="BI9" s="83">
        <f>+AS9+BG9</f>
        <v>4680000</v>
      </c>
      <c r="BK9" s="46">
        <v>926.4</v>
      </c>
      <c r="BL9" s="12">
        <f>4650/5650</f>
        <v>0.82300884955752207</v>
      </c>
      <c r="BM9" s="13">
        <f t="shared" si="4"/>
        <v>762.43539823008848</v>
      </c>
      <c r="BN9" s="101">
        <v>46</v>
      </c>
      <c r="BO9" s="52" t="s">
        <v>11</v>
      </c>
      <c r="BP9" s="58">
        <v>2.9</v>
      </c>
      <c r="BQ9" s="59">
        <v>46</v>
      </c>
    </row>
    <row r="10" spans="1:99" ht="24" customHeight="1" outlineLevel="1" x14ac:dyDescent="0.15">
      <c r="A10" s="106" t="s">
        <v>87</v>
      </c>
      <c r="B10" s="107" t="s">
        <v>45</v>
      </c>
      <c r="C10" s="95"/>
      <c r="E10" s="34"/>
      <c r="F10" s="34"/>
      <c r="G10" s="34"/>
      <c r="H10" s="34"/>
      <c r="K10" s="41"/>
      <c r="L10" s="41"/>
      <c r="M10" s="41"/>
      <c r="N10" s="41"/>
      <c r="P10" s="26">
        <f>SUM(K10:N10)</f>
        <v>0</v>
      </c>
      <c r="Q10" s="83"/>
      <c r="S10" s="34"/>
      <c r="T10" s="34"/>
      <c r="U10" s="34"/>
      <c r="V10" s="34"/>
      <c r="Y10" s="41">
        <f t="shared" si="7"/>
        <v>0</v>
      </c>
      <c r="Z10" s="41">
        <f t="shared" si="7"/>
        <v>0</v>
      </c>
      <c r="AA10" s="41">
        <f t="shared" si="7"/>
        <v>0</v>
      </c>
      <c r="AB10" s="41">
        <f t="shared" si="7"/>
        <v>0</v>
      </c>
      <c r="AD10" s="26">
        <f>SUM(X10:AB10)</f>
        <v>0</v>
      </c>
      <c r="AE10" s="83"/>
      <c r="AG10" s="34"/>
      <c r="AH10" s="34"/>
      <c r="AI10" s="34"/>
      <c r="AJ10" s="34"/>
      <c r="AM10" s="41">
        <f t="shared" si="8"/>
        <v>0</v>
      </c>
      <c r="AN10" s="41">
        <f t="shared" si="8"/>
        <v>0</v>
      </c>
      <c r="AO10" s="41">
        <f t="shared" si="8"/>
        <v>0</v>
      </c>
      <c r="AP10" s="41">
        <f t="shared" si="8"/>
        <v>0</v>
      </c>
      <c r="AR10" s="26">
        <f>SUM(AL10:AP10)</f>
        <v>0</v>
      </c>
      <c r="AS10" s="83"/>
      <c r="AT10" s="108"/>
      <c r="AV10" s="34"/>
      <c r="AW10" s="34"/>
      <c r="AX10" s="34"/>
      <c r="AY10" s="34"/>
      <c r="BB10" s="41">
        <f t="shared" si="9"/>
        <v>0</v>
      </c>
      <c r="BC10" s="41">
        <f t="shared" si="9"/>
        <v>0</v>
      </c>
      <c r="BD10" s="41">
        <f t="shared" si="9"/>
        <v>0</v>
      </c>
      <c r="BE10" s="41">
        <f t="shared" si="9"/>
        <v>0</v>
      </c>
      <c r="BG10" s="26">
        <f>SUM(BA10:BE10)</f>
        <v>0</v>
      </c>
      <c r="BI10" s="83"/>
      <c r="BK10" s="46"/>
      <c r="BL10" s="12">
        <f t="shared" ref="BL10:BL14" si="10">4650/5650</f>
        <v>0.82300884955752207</v>
      </c>
      <c r="BM10" s="13">
        <f t="shared" si="4"/>
        <v>0</v>
      </c>
      <c r="BN10" s="101">
        <v>46</v>
      </c>
      <c r="BO10" s="52" t="s">
        <v>11</v>
      </c>
      <c r="BP10" s="58">
        <v>2.9</v>
      </c>
      <c r="BQ10" s="59">
        <v>46</v>
      </c>
    </row>
    <row r="11" spans="1:99" ht="24" customHeight="1" outlineLevel="1" x14ac:dyDescent="0.15">
      <c r="A11" s="106" t="s">
        <v>88</v>
      </c>
      <c r="B11" s="107" t="s">
        <v>55</v>
      </c>
      <c r="C11" s="95"/>
      <c r="E11" s="34"/>
      <c r="F11" s="34"/>
      <c r="G11" s="34"/>
      <c r="H11" s="34"/>
      <c r="K11" s="41"/>
      <c r="L11" s="41"/>
      <c r="M11" s="41"/>
      <c r="N11" s="41"/>
      <c r="P11" s="26">
        <f>SUM(K11:N11)</f>
        <v>0</v>
      </c>
      <c r="Q11" s="83"/>
      <c r="S11" s="34"/>
      <c r="T11" s="34"/>
      <c r="U11" s="34"/>
      <c r="V11" s="34"/>
      <c r="Y11" s="41">
        <f t="shared" si="7"/>
        <v>0</v>
      </c>
      <c r="Z11" s="41">
        <f t="shared" si="7"/>
        <v>0</v>
      </c>
      <c r="AA11" s="41">
        <f t="shared" si="7"/>
        <v>0</v>
      </c>
      <c r="AB11" s="41">
        <f t="shared" si="7"/>
        <v>0</v>
      </c>
      <c r="AD11" s="26">
        <f>SUM(X11:AB11)</f>
        <v>0</v>
      </c>
      <c r="AE11" s="83"/>
      <c r="AG11" s="34"/>
      <c r="AH11" s="34"/>
      <c r="AI11" s="34"/>
      <c r="AJ11" s="34"/>
      <c r="AM11" s="41">
        <f t="shared" si="8"/>
        <v>0</v>
      </c>
      <c r="AN11" s="41">
        <f t="shared" si="8"/>
        <v>0</v>
      </c>
      <c r="AO11" s="41">
        <f t="shared" si="8"/>
        <v>0</v>
      </c>
      <c r="AP11" s="41">
        <f t="shared" si="8"/>
        <v>0</v>
      </c>
      <c r="AR11" s="26">
        <f>SUM(AL11:AP11)</f>
        <v>0</v>
      </c>
      <c r="AS11" s="83"/>
      <c r="AT11" s="108"/>
      <c r="AV11" s="34"/>
      <c r="AW11" s="34"/>
      <c r="AX11" s="34"/>
      <c r="AY11" s="34"/>
      <c r="BB11" s="41">
        <f t="shared" si="9"/>
        <v>0</v>
      </c>
      <c r="BC11" s="41">
        <f t="shared" si="9"/>
        <v>0</v>
      </c>
      <c r="BD11" s="41">
        <f t="shared" si="9"/>
        <v>0</v>
      </c>
      <c r="BE11" s="41">
        <f t="shared" si="9"/>
        <v>0</v>
      </c>
      <c r="BG11" s="26">
        <f>SUM(BA11:BE11)</f>
        <v>0</v>
      </c>
      <c r="BI11" s="83"/>
      <c r="BK11" s="46"/>
      <c r="BL11" s="12">
        <f t="shared" si="10"/>
        <v>0.82300884955752207</v>
      </c>
      <c r="BM11" s="13">
        <f t="shared" si="4"/>
        <v>0</v>
      </c>
      <c r="BN11" s="101">
        <v>46</v>
      </c>
      <c r="BO11" s="52" t="s">
        <v>11</v>
      </c>
      <c r="BP11" s="58">
        <v>2.9</v>
      </c>
      <c r="BQ11" s="59">
        <v>46</v>
      </c>
    </row>
    <row r="12" spans="1:99" ht="24" customHeight="1" outlineLevel="1" x14ac:dyDescent="0.15">
      <c r="A12" s="106" t="s">
        <v>89</v>
      </c>
      <c r="B12" s="107" t="s">
        <v>58</v>
      </c>
      <c r="C12" s="95"/>
      <c r="E12" s="34"/>
      <c r="F12" s="34"/>
      <c r="G12" s="34"/>
      <c r="H12" s="34"/>
      <c r="K12" s="41"/>
      <c r="L12" s="41"/>
      <c r="M12" s="41"/>
      <c r="N12" s="41"/>
      <c r="P12" s="26">
        <f>SUM(K12:N12)</f>
        <v>0</v>
      </c>
      <c r="Q12" s="83"/>
      <c r="S12" s="34"/>
      <c r="T12" s="34"/>
      <c r="U12" s="34"/>
      <c r="V12" s="34"/>
      <c r="Y12" s="41">
        <f t="shared" si="7"/>
        <v>0</v>
      </c>
      <c r="Z12" s="41">
        <f t="shared" si="7"/>
        <v>0</v>
      </c>
      <c r="AA12" s="41">
        <f t="shared" si="7"/>
        <v>0</v>
      </c>
      <c r="AB12" s="41">
        <f t="shared" si="7"/>
        <v>0</v>
      </c>
      <c r="AD12" s="26">
        <f>SUM(X12:AB12)</f>
        <v>0</v>
      </c>
      <c r="AE12" s="83"/>
      <c r="AG12" s="34"/>
      <c r="AH12" s="34"/>
      <c r="AI12" s="34"/>
      <c r="AJ12" s="34"/>
      <c r="AM12" s="41">
        <f t="shared" si="8"/>
        <v>0</v>
      </c>
      <c r="AN12" s="41">
        <f t="shared" si="8"/>
        <v>0</v>
      </c>
      <c r="AO12" s="41">
        <f t="shared" si="8"/>
        <v>0</v>
      </c>
      <c r="AP12" s="41">
        <f t="shared" si="8"/>
        <v>0</v>
      </c>
      <c r="AR12" s="26">
        <f>SUM(AL12:AP12)</f>
        <v>0</v>
      </c>
      <c r="AS12" s="83"/>
      <c r="AT12" s="108"/>
      <c r="AV12" s="34"/>
      <c r="AW12" s="34"/>
      <c r="AX12" s="34"/>
      <c r="AY12" s="34"/>
      <c r="BB12" s="41">
        <f t="shared" si="9"/>
        <v>0</v>
      </c>
      <c r="BC12" s="41">
        <f t="shared" si="9"/>
        <v>0</v>
      </c>
      <c r="BD12" s="41">
        <f t="shared" si="9"/>
        <v>0</v>
      </c>
      <c r="BE12" s="41">
        <f t="shared" si="9"/>
        <v>0</v>
      </c>
      <c r="BG12" s="26">
        <f>SUM(BA12:BE12)</f>
        <v>0</v>
      </c>
      <c r="BI12" s="83"/>
      <c r="BK12" s="46"/>
      <c r="BL12" s="12">
        <f t="shared" si="10"/>
        <v>0.82300884955752207</v>
      </c>
      <c r="BM12" s="13">
        <f t="shared" si="4"/>
        <v>0</v>
      </c>
      <c r="BN12" s="101">
        <v>46</v>
      </c>
      <c r="BO12" s="52" t="s">
        <v>11</v>
      </c>
      <c r="BP12" s="58">
        <v>2.9</v>
      </c>
      <c r="BQ12" s="59">
        <v>46</v>
      </c>
    </row>
    <row r="13" spans="1:99" ht="24" customHeight="1" outlineLevel="1" x14ac:dyDescent="0.15">
      <c r="A13" s="106" t="s">
        <v>90</v>
      </c>
      <c r="B13" s="107" t="s">
        <v>65</v>
      </c>
      <c r="C13" s="95"/>
      <c r="E13" s="34"/>
      <c r="F13" s="34"/>
      <c r="G13" s="34"/>
      <c r="H13" s="34"/>
      <c r="K13" s="41"/>
      <c r="L13" s="41"/>
      <c r="M13" s="41"/>
      <c r="N13" s="41"/>
      <c r="P13" s="26">
        <f>SUM(K13:N13)</f>
        <v>0</v>
      </c>
      <c r="Q13" s="83"/>
      <c r="S13" s="34"/>
      <c r="T13" s="34"/>
      <c r="U13" s="34"/>
      <c r="V13" s="34"/>
      <c r="Y13" s="41">
        <f t="shared" si="7"/>
        <v>0</v>
      </c>
      <c r="Z13" s="41">
        <f t="shared" si="7"/>
        <v>0</v>
      </c>
      <c r="AA13" s="41">
        <f t="shared" si="7"/>
        <v>0</v>
      </c>
      <c r="AB13" s="41">
        <f t="shared" si="7"/>
        <v>0</v>
      </c>
      <c r="AD13" s="26">
        <f>SUM(X13:AB13)</f>
        <v>0</v>
      </c>
      <c r="AE13" s="83"/>
      <c r="AG13" s="34"/>
      <c r="AH13" s="34"/>
      <c r="AI13" s="34"/>
      <c r="AJ13" s="34"/>
      <c r="AM13" s="41">
        <f t="shared" si="8"/>
        <v>0</v>
      </c>
      <c r="AN13" s="41">
        <f t="shared" si="8"/>
        <v>0</v>
      </c>
      <c r="AO13" s="41">
        <f t="shared" si="8"/>
        <v>0</v>
      </c>
      <c r="AP13" s="41">
        <f t="shared" si="8"/>
        <v>0</v>
      </c>
      <c r="AR13" s="26">
        <f>SUM(AL13:AP13)</f>
        <v>0</v>
      </c>
      <c r="AS13" s="83"/>
      <c r="AT13" s="108"/>
      <c r="AV13" s="34"/>
      <c r="AW13" s="34"/>
      <c r="AX13" s="34"/>
      <c r="AY13" s="34"/>
      <c r="BB13" s="41">
        <f t="shared" si="9"/>
        <v>0</v>
      </c>
      <c r="BC13" s="41">
        <f t="shared" si="9"/>
        <v>0</v>
      </c>
      <c r="BD13" s="41">
        <f t="shared" si="9"/>
        <v>0</v>
      </c>
      <c r="BE13" s="41">
        <f t="shared" si="9"/>
        <v>0</v>
      </c>
      <c r="BG13" s="26">
        <f>SUM(BA13:BE13)</f>
        <v>0</v>
      </c>
      <c r="BI13" s="83"/>
      <c r="BK13" s="46"/>
      <c r="BL13" s="12">
        <f t="shared" si="10"/>
        <v>0.82300884955752207</v>
      </c>
      <c r="BM13" s="13">
        <f t="shared" si="4"/>
        <v>0</v>
      </c>
      <c r="BN13" s="101">
        <v>46</v>
      </c>
      <c r="BO13" s="52" t="s">
        <v>11</v>
      </c>
      <c r="BP13" s="58">
        <v>2.9</v>
      </c>
      <c r="BQ13" s="59">
        <v>46</v>
      </c>
    </row>
    <row r="14" spans="1:99" ht="24" customHeight="1" outlineLevel="1" x14ac:dyDescent="0.15">
      <c r="A14" s="106" t="s">
        <v>91</v>
      </c>
      <c r="B14" s="107" t="s">
        <v>72</v>
      </c>
      <c r="C14" s="95"/>
      <c r="E14" s="34"/>
      <c r="F14" s="34"/>
      <c r="G14" s="34"/>
      <c r="H14" s="34"/>
      <c r="K14" s="41"/>
      <c r="L14" s="41"/>
      <c r="M14" s="41"/>
      <c r="N14" s="41"/>
      <c r="P14" s="26"/>
      <c r="Q14" s="83"/>
      <c r="S14" s="34"/>
      <c r="T14" s="34"/>
      <c r="U14" s="34"/>
      <c r="V14" s="34"/>
      <c r="Y14" s="41"/>
      <c r="Z14" s="41"/>
      <c r="AA14" s="41"/>
      <c r="AB14" s="41"/>
      <c r="AD14" s="26"/>
      <c r="AE14" s="83"/>
      <c r="AG14" s="34"/>
      <c r="AH14" s="34"/>
      <c r="AI14" s="34"/>
      <c r="AJ14" s="34"/>
      <c r="AM14" s="41"/>
      <c r="AN14" s="41"/>
      <c r="AO14" s="41"/>
      <c r="AP14" s="41"/>
      <c r="AR14" s="26"/>
      <c r="AS14" s="83"/>
      <c r="AT14" s="108"/>
      <c r="AV14" s="34"/>
      <c r="AW14" s="34"/>
      <c r="AX14" s="34"/>
      <c r="AY14" s="34"/>
      <c r="BB14" s="41"/>
      <c r="BC14" s="41"/>
      <c r="BD14" s="41"/>
      <c r="BE14" s="41"/>
      <c r="BG14" s="26"/>
      <c r="BI14" s="83"/>
      <c r="BK14" s="46"/>
      <c r="BL14" s="12">
        <f t="shared" si="10"/>
        <v>0.82300884955752207</v>
      </c>
      <c r="BM14" s="13">
        <f t="shared" si="4"/>
        <v>0</v>
      </c>
      <c r="BN14" s="101">
        <v>46</v>
      </c>
      <c r="BO14" s="52" t="s">
        <v>11</v>
      </c>
      <c r="BP14" s="58">
        <v>2.9</v>
      </c>
      <c r="BQ14" s="59">
        <v>46</v>
      </c>
    </row>
    <row r="15" spans="1:99" ht="24" customHeight="1" x14ac:dyDescent="0.15">
      <c r="A15" s="103">
        <v>3</v>
      </c>
      <c r="B15" s="113" t="s">
        <v>33</v>
      </c>
      <c r="C15" s="95">
        <f>ROUND(+BM15*BQ15*BP15*BN15,-4)</f>
        <v>700000</v>
      </c>
      <c r="E15" s="34"/>
      <c r="F15" s="34"/>
      <c r="G15" s="34"/>
      <c r="H15" s="34"/>
      <c r="K15" s="41">
        <f>ROUND((E15*$BM15)*$BN15*$BP15*$BQ15,-4)</f>
        <v>0</v>
      </c>
      <c r="L15" s="41">
        <f>ROUND((F15*$BM15)*$BN15*$BP15*$BQ15,-4)</f>
        <v>0</v>
      </c>
      <c r="M15" s="41">
        <f>ROUND((G15*$BM15)*$BN15*$BP15*$BQ15,-4)</f>
        <v>0</v>
      </c>
      <c r="N15" s="41">
        <f>ROUND((H15*$BM15)*$BN15*$BP15*$BQ15,-4)</f>
        <v>0</v>
      </c>
      <c r="P15" s="26">
        <f>SUM(K15:N15)</f>
        <v>0</v>
      </c>
      <c r="Q15" s="83">
        <f>+C15+P15</f>
        <v>700000</v>
      </c>
      <c r="S15" s="34"/>
      <c r="T15" s="34"/>
      <c r="U15" s="34"/>
      <c r="V15" s="34"/>
      <c r="Y15" s="41">
        <f t="shared" ref="Y15:AB19" si="11">ROUND((S15*$BM15)*$BN15*$BP15*$BQ15,-4)</f>
        <v>0</v>
      </c>
      <c r="Z15" s="41">
        <f t="shared" si="11"/>
        <v>0</v>
      </c>
      <c r="AA15" s="41">
        <f t="shared" si="11"/>
        <v>0</v>
      </c>
      <c r="AB15" s="41">
        <f t="shared" si="11"/>
        <v>0</v>
      </c>
      <c r="AD15" s="26">
        <f>SUM(X15:AB15)</f>
        <v>0</v>
      </c>
      <c r="AE15" s="83">
        <f>+Q15+AD15</f>
        <v>700000</v>
      </c>
      <c r="AG15" s="34"/>
      <c r="AH15" s="34"/>
      <c r="AI15" s="34"/>
      <c r="AJ15" s="34"/>
      <c r="AM15" s="41">
        <f t="shared" ref="AM15:AP19" si="12">ROUND((AG15*$BM15)*$BN15*$BP15*$BQ15,-4)</f>
        <v>0</v>
      </c>
      <c r="AN15" s="41">
        <f t="shared" si="12"/>
        <v>0</v>
      </c>
      <c r="AO15" s="41">
        <f t="shared" si="12"/>
        <v>0</v>
      </c>
      <c r="AP15" s="41">
        <f t="shared" si="12"/>
        <v>0</v>
      </c>
      <c r="AR15" s="26">
        <f>SUM(AL15:AP15)</f>
        <v>0</v>
      </c>
      <c r="AS15" s="83">
        <f>+AE15+AR15</f>
        <v>700000</v>
      </c>
      <c r="AT15" s="108"/>
      <c r="AV15" s="34"/>
      <c r="AW15" s="34"/>
      <c r="AX15" s="34"/>
      <c r="AY15" s="34"/>
      <c r="BB15" s="41">
        <f t="shared" ref="BB15:BE19" si="13">ROUND((AV15*$BM15)*$BN15*$BP15*$BQ15,-4)</f>
        <v>0</v>
      </c>
      <c r="BC15" s="41">
        <f t="shared" si="13"/>
        <v>0</v>
      </c>
      <c r="BD15" s="41">
        <f t="shared" si="13"/>
        <v>0</v>
      </c>
      <c r="BE15" s="41">
        <f t="shared" si="13"/>
        <v>0</v>
      </c>
      <c r="BG15" s="26">
        <f>SUM(BA15:BE15)</f>
        <v>0</v>
      </c>
      <c r="BI15" s="83">
        <f>+AS15+BG15</f>
        <v>700000</v>
      </c>
      <c r="BK15" s="46">
        <v>90</v>
      </c>
      <c r="BL15" s="12">
        <f>700/740</f>
        <v>0.94594594594594594</v>
      </c>
      <c r="BM15" s="13">
        <f t="shared" si="4"/>
        <v>85.13513513513513</v>
      </c>
      <c r="BN15" s="101">
        <v>57.5</v>
      </c>
      <c r="BO15" s="52" t="s">
        <v>11</v>
      </c>
      <c r="BP15" s="58">
        <v>3.1</v>
      </c>
      <c r="BQ15" s="59">
        <v>46</v>
      </c>
    </row>
    <row r="16" spans="1:99" ht="24" customHeight="1" outlineLevel="1" x14ac:dyDescent="0.15">
      <c r="A16" s="106" t="s">
        <v>87</v>
      </c>
      <c r="B16" s="107" t="s">
        <v>45</v>
      </c>
      <c r="C16" s="95"/>
      <c r="E16" s="34"/>
      <c r="F16" s="34"/>
      <c r="G16" s="34"/>
      <c r="H16" s="34"/>
      <c r="K16" s="41"/>
      <c r="L16" s="41"/>
      <c r="M16" s="41"/>
      <c r="N16" s="41"/>
      <c r="P16" s="26">
        <f>SUM(K16:N16)</f>
        <v>0</v>
      </c>
      <c r="Q16" s="83"/>
      <c r="S16" s="34"/>
      <c r="T16" s="34"/>
      <c r="U16" s="34"/>
      <c r="V16" s="34"/>
      <c r="Y16" s="41">
        <f t="shared" si="11"/>
        <v>0</v>
      </c>
      <c r="Z16" s="41">
        <f t="shared" si="11"/>
        <v>0</v>
      </c>
      <c r="AA16" s="41">
        <f t="shared" si="11"/>
        <v>0</v>
      </c>
      <c r="AB16" s="41">
        <f t="shared" si="11"/>
        <v>0</v>
      </c>
      <c r="AD16" s="26">
        <f>SUM(X16:AB16)</f>
        <v>0</v>
      </c>
      <c r="AE16" s="83"/>
      <c r="AG16" s="34"/>
      <c r="AH16" s="34"/>
      <c r="AI16" s="34"/>
      <c r="AJ16" s="34"/>
      <c r="AM16" s="41">
        <f t="shared" si="12"/>
        <v>0</v>
      </c>
      <c r="AN16" s="41">
        <f t="shared" si="12"/>
        <v>0</v>
      </c>
      <c r="AO16" s="41">
        <f t="shared" si="12"/>
        <v>0</v>
      </c>
      <c r="AP16" s="41">
        <f t="shared" si="12"/>
        <v>0</v>
      </c>
      <c r="AR16" s="26">
        <f>SUM(AL16:AP16)</f>
        <v>0</v>
      </c>
      <c r="AS16" s="83"/>
      <c r="AT16" s="108"/>
      <c r="AV16" s="34"/>
      <c r="AW16" s="34"/>
      <c r="AX16" s="34"/>
      <c r="AY16" s="34"/>
      <c r="BB16" s="41">
        <f t="shared" si="13"/>
        <v>0</v>
      </c>
      <c r="BC16" s="41">
        <f t="shared" si="13"/>
        <v>0</v>
      </c>
      <c r="BD16" s="41">
        <f t="shared" si="13"/>
        <v>0</v>
      </c>
      <c r="BE16" s="41">
        <f t="shared" si="13"/>
        <v>0</v>
      </c>
      <c r="BG16" s="26">
        <f>SUM(BA16:BE16)</f>
        <v>0</v>
      </c>
      <c r="BI16" s="83"/>
      <c r="BK16" s="46"/>
      <c r="BL16" s="12">
        <f t="shared" ref="BL16:BL20" si="14">700/740</f>
        <v>0.94594594594594594</v>
      </c>
      <c r="BM16" s="13">
        <f t="shared" si="4"/>
        <v>0</v>
      </c>
      <c r="BN16" s="101">
        <v>57.5</v>
      </c>
      <c r="BO16" s="52" t="s">
        <v>11</v>
      </c>
      <c r="BP16" s="58">
        <v>3.1</v>
      </c>
      <c r="BQ16" s="59">
        <v>46</v>
      </c>
    </row>
    <row r="17" spans="1:69" ht="24" customHeight="1" outlineLevel="1" x14ac:dyDescent="0.15">
      <c r="A17" s="106" t="s">
        <v>88</v>
      </c>
      <c r="B17" s="107" t="s">
        <v>55</v>
      </c>
      <c r="C17" s="95"/>
      <c r="E17" s="34"/>
      <c r="F17" s="34"/>
      <c r="G17" s="34"/>
      <c r="H17" s="34"/>
      <c r="K17" s="41"/>
      <c r="L17" s="41"/>
      <c r="M17" s="41"/>
      <c r="N17" s="41"/>
      <c r="P17" s="26">
        <f>SUM(K17:N17)</f>
        <v>0</v>
      </c>
      <c r="Q17" s="83"/>
      <c r="S17" s="34"/>
      <c r="T17" s="34"/>
      <c r="U17" s="34"/>
      <c r="V17" s="34"/>
      <c r="Y17" s="41">
        <f t="shared" si="11"/>
        <v>0</v>
      </c>
      <c r="Z17" s="41">
        <f t="shared" si="11"/>
        <v>0</v>
      </c>
      <c r="AA17" s="41">
        <f t="shared" si="11"/>
        <v>0</v>
      </c>
      <c r="AB17" s="41">
        <f t="shared" si="11"/>
        <v>0</v>
      </c>
      <c r="AD17" s="26">
        <f>SUM(X17:AB17)</f>
        <v>0</v>
      </c>
      <c r="AE17" s="83"/>
      <c r="AG17" s="34"/>
      <c r="AH17" s="34"/>
      <c r="AI17" s="34"/>
      <c r="AJ17" s="34"/>
      <c r="AM17" s="41">
        <f t="shared" si="12"/>
        <v>0</v>
      </c>
      <c r="AN17" s="41">
        <f t="shared" si="12"/>
        <v>0</v>
      </c>
      <c r="AO17" s="41">
        <f t="shared" si="12"/>
        <v>0</v>
      </c>
      <c r="AP17" s="41">
        <f t="shared" si="12"/>
        <v>0</v>
      </c>
      <c r="AR17" s="26">
        <f>SUM(AL17:AP17)</f>
        <v>0</v>
      </c>
      <c r="AS17" s="83"/>
      <c r="AT17" s="108"/>
      <c r="AV17" s="34"/>
      <c r="AW17" s="34"/>
      <c r="AX17" s="34"/>
      <c r="AY17" s="34"/>
      <c r="BB17" s="41">
        <f t="shared" si="13"/>
        <v>0</v>
      </c>
      <c r="BC17" s="41">
        <f t="shared" si="13"/>
        <v>0</v>
      </c>
      <c r="BD17" s="41">
        <f t="shared" si="13"/>
        <v>0</v>
      </c>
      <c r="BE17" s="41">
        <f t="shared" si="13"/>
        <v>0</v>
      </c>
      <c r="BG17" s="26">
        <f>SUM(BA17:BE17)</f>
        <v>0</v>
      </c>
      <c r="BI17" s="83"/>
      <c r="BK17" s="46"/>
      <c r="BL17" s="12">
        <f t="shared" si="14"/>
        <v>0.94594594594594594</v>
      </c>
      <c r="BM17" s="13">
        <f t="shared" si="4"/>
        <v>0</v>
      </c>
      <c r="BN17" s="101">
        <v>57.5</v>
      </c>
      <c r="BO17" s="52" t="s">
        <v>11</v>
      </c>
      <c r="BP17" s="58">
        <v>3.1</v>
      </c>
      <c r="BQ17" s="59">
        <v>46</v>
      </c>
    </row>
    <row r="18" spans="1:69" ht="24" customHeight="1" outlineLevel="1" x14ac:dyDescent="0.15">
      <c r="A18" s="106" t="s">
        <v>89</v>
      </c>
      <c r="B18" s="107" t="s">
        <v>58</v>
      </c>
      <c r="C18" s="95"/>
      <c r="E18" s="34"/>
      <c r="F18" s="34"/>
      <c r="G18" s="34"/>
      <c r="H18" s="34"/>
      <c r="K18" s="41"/>
      <c r="L18" s="41"/>
      <c r="M18" s="41"/>
      <c r="N18" s="41"/>
      <c r="P18" s="26">
        <f>SUM(K18:N18)</f>
        <v>0</v>
      </c>
      <c r="Q18" s="83"/>
      <c r="S18" s="34"/>
      <c r="T18" s="34"/>
      <c r="U18" s="34"/>
      <c r="V18" s="34"/>
      <c r="Y18" s="41">
        <f t="shared" si="11"/>
        <v>0</v>
      </c>
      <c r="Z18" s="41">
        <f t="shared" si="11"/>
        <v>0</v>
      </c>
      <c r="AA18" s="41">
        <f t="shared" si="11"/>
        <v>0</v>
      </c>
      <c r="AB18" s="41">
        <f t="shared" si="11"/>
        <v>0</v>
      </c>
      <c r="AD18" s="26">
        <f>SUM(X18:AB18)</f>
        <v>0</v>
      </c>
      <c r="AE18" s="83"/>
      <c r="AG18" s="34"/>
      <c r="AH18" s="34"/>
      <c r="AI18" s="34"/>
      <c r="AJ18" s="34"/>
      <c r="AM18" s="41">
        <f t="shared" si="12"/>
        <v>0</v>
      </c>
      <c r="AN18" s="41">
        <f t="shared" si="12"/>
        <v>0</v>
      </c>
      <c r="AO18" s="41">
        <f t="shared" si="12"/>
        <v>0</v>
      </c>
      <c r="AP18" s="41">
        <f t="shared" si="12"/>
        <v>0</v>
      </c>
      <c r="AR18" s="26">
        <f>SUM(AL18:AP18)</f>
        <v>0</v>
      </c>
      <c r="AS18" s="83"/>
      <c r="AT18" s="108"/>
      <c r="AV18" s="34"/>
      <c r="AW18" s="34"/>
      <c r="AX18" s="34"/>
      <c r="AY18" s="34"/>
      <c r="BB18" s="41">
        <f t="shared" si="13"/>
        <v>0</v>
      </c>
      <c r="BC18" s="41">
        <f t="shared" si="13"/>
        <v>0</v>
      </c>
      <c r="BD18" s="41">
        <f t="shared" si="13"/>
        <v>0</v>
      </c>
      <c r="BE18" s="41">
        <f t="shared" si="13"/>
        <v>0</v>
      </c>
      <c r="BG18" s="26">
        <f>SUM(BA18:BE18)</f>
        <v>0</v>
      </c>
      <c r="BI18" s="83"/>
      <c r="BK18" s="46"/>
      <c r="BL18" s="12">
        <f t="shared" si="14"/>
        <v>0.94594594594594594</v>
      </c>
      <c r="BM18" s="13">
        <f t="shared" si="4"/>
        <v>0</v>
      </c>
      <c r="BN18" s="101">
        <v>57.5</v>
      </c>
      <c r="BO18" s="52" t="s">
        <v>11</v>
      </c>
      <c r="BP18" s="58">
        <v>3.1</v>
      </c>
      <c r="BQ18" s="59">
        <v>46</v>
      </c>
    </row>
    <row r="19" spans="1:69" ht="24" customHeight="1" outlineLevel="1" x14ac:dyDescent="0.15">
      <c r="A19" s="106" t="s">
        <v>90</v>
      </c>
      <c r="B19" s="107" t="s">
        <v>65</v>
      </c>
      <c r="C19" s="95"/>
      <c r="E19" s="34"/>
      <c r="F19" s="34"/>
      <c r="G19" s="34"/>
      <c r="H19" s="34"/>
      <c r="K19" s="41"/>
      <c r="L19" s="41"/>
      <c r="M19" s="41"/>
      <c r="N19" s="41"/>
      <c r="P19" s="26">
        <f>SUM(K19:N19)</f>
        <v>0</v>
      </c>
      <c r="Q19" s="83"/>
      <c r="S19" s="34"/>
      <c r="T19" s="34"/>
      <c r="U19" s="34"/>
      <c r="V19" s="34"/>
      <c r="Y19" s="41">
        <f t="shared" si="11"/>
        <v>0</v>
      </c>
      <c r="Z19" s="41">
        <f t="shared" si="11"/>
        <v>0</v>
      </c>
      <c r="AA19" s="41">
        <f t="shared" si="11"/>
        <v>0</v>
      </c>
      <c r="AB19" s="41">
        <f t="shared" si="11"/>
        <v>0</v>
      </c>
      <c r="AD19" s="26">
        <f>SUM(X19:AB19)</f>
        <v>0</v>
      </c>
      <c r="AE19" s="83"/>
      <c r="AG19" s="34"/>
      <c r="AH19" s="34"/>
      <c r="AI19" s="34"/>
      <c r="AJ19" s="34"/>
      <c r="AM19" s="41">
        <f t="shared" si="12"/>
        <v>0</v>
      </c>
      <c r="AN19" s="41">
        <f t="shared" si="12"/>
        <v>0</v>
      </c>
      <c r="AO19" s="41">
        <f t="shared" si="12"/>
        <v>0</v>
      </c>
      <c r="AP19" s="41">
        <f t="shared" si="12"/>
        <v>0</v>
      </c>
      <c r="AR19" s="26">
        <f>SUM(AL19:AP19)</f>
        <v>0</v>
      </c>
      <c r="AS19" s="83"/>
      <c r="AT19" s="108"/>
      <c r="AV19" s="34"/>
      <c r="AW19" s="34"/>
      <c r="AX19" s="34"/>
      <c r="AY19" s="34"/>
      <c r="BB19" s="41">
        <f t="shared" si="13"/>
        <v>0</v>
      </c>
      <c r="BC19" s="41">
        <f t="shared" si="13"/>
        <v>0</v>
      </c>
      <c r="BD19" s="41">
        <f t="shared" si="13"/>
        <v>0</v>
      </c>
      <c r="BE19" s="41">
        <f t="shared" si="13"/>
        <v>0</v>
      </c>
      <c r="BG19" s="26">
        <f>SUM(BA19:BE19)</f>
        <v>0</v>
      </c>
      <c r="BI19" s="83"/>
      <c r="BK19" s="46"/>
      <c r="BL19" s="12">
        <f t="shared" si="14"/>
        <v>0.94594594594594594</v>
      </c>
      <c r="BM19" s="13">
        <f t="shared" si="4"/>
        <v>0</v>
      </c>
      <c r="BN19" s="101">
        <v>57.5</v>
      </c>
      <c r="BO19" s="52" t="s">
        <v>11</v>
      </c>
      <c r="BP19" s="58">
        <v>3.1</v>
      </c>
      <c r="BQ19" s="59">
        <v>46</v>
      </c>
    </row>
    <row r="20" spans="1:69" ht="24" customHeight="1" outlineLevel="1" x14ac:dyDescent="0.35">
      <c r="A20" s="106" t="s">
        <v>91</v>
      </c>
      <c r="B20" s="107" t="s">
        <v>72</v>
      </c>
      <c r="C20" s="95"/>
      <c r="E20" s="34"/>
      <c r="F20" s="34"/>
      <c r="G20" s="34"/>
      <c r="H20" s="34"/>
      <c r="K20" s="41"/>
      <c r="L20" s="41"/>
      <c r="M20" s="41"/>
      <c r="N20" s="41"/>
      <c r="P20" s="26"/>
      <c r="Q20" s="83"/>
      <c r="S20" s="34"/>
      <c r="T20" s="34"/>
      <c r="U20" s="34"/>
      <c r="V20" s="34"/>
      <c r="Y20" s="41"/>
      <c r="Z20" s="41"/>
      <c r="AA20" s="41"/>
      <c r="AB20" s="41"/>
      <c r="AD20" s="26"/>
      <c r="AE20" s="83"/>
      <c r="AG20" s="34"/>
      <c r="AH20" s="34"/>
      <c r="AI20" s="34"/>
      <c r="AJ20" s="34"/>
      <c r="AM20" s="41"/>
      <c r="AN20" s="41"/>
      <c r="AO20" s="41"/>
      <c r="AP20" s="41"/>
      <c r="AR20" s="26"/>
      <c r="AS20" s="83"/>
      <c r="AT20" s="108"/>
      <c r="AV20" s="34"/>
      <c r="AW20" s="34"/>
      <c r="AX20" s="34"/>
      <c r="AY20" s="34"/>
      <c r="BB20" s="41"/>
      <c r="BC20" s="41"/>
      <c r="BD20" s="41"/>
      <c r="BE20" s="41"/>
      <c r="BG20" s="26"/>
      <c r="BI20" s="83"/>
      <c r="BK20" s="46"/>
      <c r="BL20" s="12">
        <f t="shared" si="14"/>
        <v>0.94594594594594594</v>
      </c>
      <c r="BM20" s="13">
        <f t="shared" si="4"/>
        <v>0</v>
      </c>
      <c r="BN20" s="101">
        <v>57.5</v>
      </c>
      <c r="BO20" s="52" t="s">
        <v>11</v>
      </c>
      <c r="BP20" s="58">
        <v>3.1</v>
      </c>
      <c r="BQ20" s="59">
        <v>46</v>
      </c>
    </row>
    <row r="21" spans="1:69" ht="24" customHeight="1" x14ac:dyDescent="0.35">
      <c r="A21" s="103">
        <v>5</v>
      </c>
      <c r="B21" s="112" t="s">
        <v>34</v>
      </c>
      <c r="C21" s="95">
        <f>ROUND(+BM21*BQ21*BP21*BN21,-4)</f>
        <v>50000</v>
      </c>
      <c r="E21" s="34"/>
      <c r="F21" s="34"/>
      <c r="G21" s="34"/>
      <c r="H21" s="34"/>
      <c r="K21" s="41">
        <f>ROUND((E21*$BM21)*$BN21*$BP21*$BQ21,-4)</f>
        <v>0</v>
      </c>
      <c r="L21" s="41">
        <f>ROUND((F21*$BM21)*$BN21*$BP21*$BQ21,-4)</f>
        <v>0</v>
      </c>
      <c r="M21" s="41">
        <f>ROUND((G21*$BM21)*$BN21*$BP21*$BQ21,-4)</f>
        <v>0</v>
      </c>
      <c r="N21" s="41">
        <f>ROUND((H21*$BM21)*$BN21*$BP21*$BQ21,-4)</f>
        <v>0</v>
      </c>
      <c r="P21" s="26">
        <f>SUM(K21:N21)</f>
        <v>0</v>
      </c>
      <c r="Q21" s="84">
        <f>+C21+P21</f>
        <v>50000</v>
      </c>
      <c r="S21" s="34"/>
      <c r="T21" s="34"/>
      <c r="U21" s="34"/>
      <c r="V21" s="34"/>
      <c r="Y21" s="41">
        <f t="shared" ref="Y21:AB25" si="15">ROUND((S21*$BM21)*$BN21*$BP21*$BQ21,-4)</f>
        <v>0</v>
      </c>
      <c r="Z21" s="41">
        <f t="shared" si="15"/>
        <v>0</v>
      </c>
      <c r="AA21" s="41">
        <f t="shared" si="15"/>
        <v>0</v>
      </c>
      <c r="AB21" s="41">
        <f t="shared" si="15"/>
        <v>0</v>
      </c>
      <c r="AD21" s="26">
        <f>SUM(X21:AB21)</f>
        <v>0</v>
      </c>
      <c r="AE21" s="84">
        <f>+Q21+AD21</f>
        <v>50000</v>
      </c>
      <c r="AG21" s="34"/>
      <c r="AH21" s="34"/>
      <c r="AI21" s="34"/>
      <c r="AJ21" s="34"/>
      <c r="AM21" s="41">
        <f t="shared" ref="AM21:AP25" si="16">ROUND((AG21*$BM21)*$BN21*$BP21*$BQ21,-4)</f>
        <v>0</v>
      </c>
      <c r="AN21" s="41">
        <f t="shared" si="16"/>
        <v>0</v>
      </c>
      <c r="AO21" s="41">
        <f t="shared" si="16"/>
        <v>0</v>
      </c>
      <c r="AP21" s="41">
        <f t="shared" si="16"/>
        <v>0</v>
      </c>
      <c r="AR21" s="26">
        <f>SUM(AL21:AP21)</f>
        <v>0</v>
      </c>
      <c r="AS21" s="84">
        <f>+AE21+AR21</f>
        <v>50000</v>
      </c>
      <c r="AT21" s="108"/>
      <c r="AV21" s="34"/>
      <c r="AW21" s="34"/>
      <c r="AX21" s="34"/>
      <c r="AY21" s="34"/>
      <c r="BB21" s="41">
        <f t="shared" ref="BB21:BE25" si="17">ROUND((AV21*$BM21)*$BN21*$BP21*$BQ21,-4)</f>
        <v>0</v>
      </c>
      <c r="BC21" s="41">
        <f t="shared" si="17"/>
        <v>0</v>
      </c>
      <c r="BD21" s="41">
        <f t="shared" si="17"/>
        <v>0</v>
      </c>
      <c r="BE21" s="41">
        <f t="shared" si="17"/>
        <v>0</v>
      </c>
      <c r="BG21" s="26">
        <f>SUM(BA21:BE21)</f>
        <v>0</v>
      </c>
      <c r="BI21" s="84">
        <f>+AS21+BG21</f>
        <v>50000</v>
      </c>
      <c r="BK21" s="46">
        <v>85.2</v>
      </c>
      <c r="BL21" s="12">
        <f>50/60</f>
        <v>0.83333333333333337</v>
      </c>
      <c r="BM21" s="13">
        <f t="shared" si="4"/>
        <v>71</v>
      </c>
      <c r="BN21" s="102">
        <v>9</v>
      </c>
      <c r="BO21" s="52" t="s">
        <v>92</v>
      </c>
      <c r="BP21" s="58">
        <f>+BP3/2</f>
        <v>1.75</v>
      </c>
      <c r="BQ21" s="59">
        <v>46</v>
      </c>
    </row>
    <row r="22" spans="1:69" ht="24" customHeight="1" outlineLevel="1" x14ac:dyDescent="0.35">
      <c r="A22" s="106" t="s">
        <v>87</v>
      </c>
      <c r="B22" s="107" t="s">
        <v>45</v>
      </c>
      <c r="C22" s="95"/>
      <c r="E22" s="34"/>
      <c r="F22" s="34"/>
      <c r="G22" s="34"/>
      <c r="H22" s="34"/>
      <c r="K22" s="41"/>
      <c r="L22" s="41"/>
      <c r="M22" s="41"/>
      <c r="N22" s="41"/>
      <c r="P22" s="26">
        <f>SUM(K22:N22)</f>
        <v>0</v>
      </c>
      <c r="Q22" s="83"/>
      <c r="S22" s="34"/>
      <c r="T22" s="34"/>
      <c r="U22" s="34"/>
      <c r="V22" s="34"/>
      <c r="Y22" s="41">
        <f t="shared" si="15"/>
        <v>0</v>
      </c>
      <c r="Z22" s="41">
        <f t="shared" si="15"/>
        <v>0</v>
      </c>
      <c r="AA22" s="41">
        <f t="shared" si="15"/>
        <v>0</v>
      </c>
      <c r="AB22" s="41">
        <f t="shared" si="15"/>
        <v>0</v>
      </c>
      <c r="AD22" s="26">
        <f>SUM(X22:AB22)</f>
        <v>0</v>
      </c>
      <c r="AE22" s="83"/>
      <c r="AG22" s="34"/>
      <c r="AH22" s="34"/>
      <c r="AI22" s="34"/>
      <c r="AJ22" s="34"/>
      <c r="AM22" s="41">
        <f t="shared" si="16"/>
        <v>0</v>
      </c>
      <c r="AN22" s="41">
        <f t="shared" si="16"/>
        <v>0</v>
      </c>
      <c r="AO22" s="41">
        <f t="shared" si="16"/>
        <v>0</v>
      </c>
      <c r="AP22" s="41">
        <f t="shared" si="16"/>
        <v>0</v>
      </c>
      <c r="AR22" s="26">
        <f>SUM(AL22:AP22)</f>
        <v>0</v>
      </c>
      <c r="AS22" s="83"/>
      <c r="AT22" s="108"/>
      <c r="AV22" s="34"/>
      <c r="AW22" s="34"/>
      <c r="AX22" s="34"/>
      <c r="AY22" s="34"/>
      <c r="BB22" s="41">
        <f t="shared" si="17"/>
        <v>0</v>
      </c>
      <c r="BC22" s="41">
        <f t="shared" si="17"/>
        <v>0</v>
      </c>
      <c r="BD22" s="41">
        <f t="shared" si="17"/>
        <v>0</v>
      </c>
      <c r="BE22" s="41">
        <f t="shared" si="17"/>
        <v>0</v>
      </c>
      <c r="BG22" s="26">
        <f>SUM(BA22:BE22)</f>
        <v>0</v>
      </c>
      <c r="BI22" s="83"/>
      <c r="BK22" s="46"/>
      <c r="BL22" s="12">
        <f t="shared" ref="BL22:BL26" si="18">50/60</f>
        <v>0.83333333333333337</v>
      </c>
      <c r="BM22" s="13">
        <f t="shared" si="4"/>
        <v>0</v>
      </c>
      <c r="BN22" s="102">
        <v>9</v>
      </c>
      <c r="BO22" s="52" t="s">
        <v>11</v>
      </c>
      <c r="BP22" s="58">
        <f t="shared" ref="BP22:BP26" si="19">+BP4/2</f>
        <v>1.75</v>
      </c>
      <c r="BQ22" s="59">
        <v>47</v>
      </c>
    </row>
    <row r="23" spans="1:69" ht="24" customHeight="1" outlineLevel="1" x14ac:dyDescent="0.35">
      <c r="A23" s="106" t="s">
        <v>88</v>
      </c>
      <c r="B23" s="107" t="s">
        <v>55</v>
      </c>
      <c r="C23" s="95"/>
      <c r="E23" s="34"/>
      <c r="F23" s="34"/>
      <c r="G23" s="34"/>
      <c r="H23" s="34"/>
      <c r="K23" s="41"/>
      <c r="L23" s="41"/>
      <c r="M23" s="41"/>
      <c r="N23" s="41"/>
      <c r="P23" s="26">
        <f>SUM(K23:N23)</f>
        <v>0</v>
      </c>
      <c r="Q23" s="83"/>
      <c r="S23" s="34"/>
      <c r="T23" s="34"/>
      <c r="U23" s="34"/>
      <c r="V23" s="34"/>
      <c r="Y23" s="41">
        <f t="shared" si="15"/>
        <v>0</v>
      </c>
      <c r="Z23" s="41">
        <f t="shared" si="15"/>
        <v>0</v>
      </c>
      <c r="AA23" s="41">
        <f t="shared" si="15"/>
        <v>0</v>
      </c>
      <c r="AB23" s="41">
        <f t="shared" si="15"/>
        <v>0</v>
      </c>
      <c r="AD23" s="26">
        <f>SUM(X23:AB23)</f>
        <v>0</v>
      </c>
      <c r="AE23" s="83"/>
      <c r="AG23" s="34"/>
      <c r="AH23" s="34"/>
      <c r="AI23" s="34"/>
      <c r="AJ23" s="34"/>
      <c r="AM23" s="41">
        <f t="shared" si="16"/>
        <v>0</v>
      </c>
      <c r="AN23" s="41">
        <f t="shared" si="16"/>
        <v>0</v>
      </c>
      <c r="AO23" s="41">
        <f t="shared" si="16"/>
        <v>0</v>
      </c>
      <c r="AP23" s="41">
        <f t="shared" si="16"/>
        <v>0</v>
      </c>
      <c r="AR23" s="26">
        <f>SUM(AL23:AP23)</f>
        <v>0</v>
      </c>
      <c r="AS23" s="83"/>
      <c r="AT23" s="108"/>
      <c r="AV23" s="34"/>
      <c r="AW23" s="34"/>
      <c r="AX23" s="34"/>
      <c r="AY23" s="34"/>
      <c r="BB23" s="41">
        <f t="shared" si="17"/>
        <v>0</v>
      </c>
      <c r="BC23" s="41">
        <f t="shared" si="17"/>
        <v>0</v>
      </c>
      <c r="BD23" s="41">
        <f t="shared" si="17"/>
        <v>0</v>
      </c>
      <c r="BE23" s="41">
        <f t="shared" si="17"/>
        <v>0</v>
      </c>
      <c r="BG23" s="26">
        <f>SUM(BA23:BE23)</f>
        <v>0</v>
      </c>
      <c r="BI23" s="83"/>
      <c r="BK23" s="46"/>
      <c r="BL23" s="12">
        <f t="shared" si="18"/>
        <v>0.83333333333333337</v>
      </c>
      <c r="BM23" s="13">
        <f t="shared" si="4"/>
        <v>0</v>
      </c>
      <c r="BN23" s="102">
        <v>9</v>
      </c>
      <c r="BO23" s="52" t="s">
        <v>11</v>
      </c>
      <c r="BP23" s="58">
        <f t="shared" si="19"/>
        <v>1.75</v>
      </c>
      <c r="BQ23" s="59">
        <v>48</v>
      </c>
    </row>
    <row r="24" spans="1:69" ht="24" customHeight="1" outlineLevel="1" x14ac:dyDescent="0.35">
      <c r="A24" s="106" t="s">
        <v>89</v>
      </c>
      <c r="B24" s="107" t="s">
        <v>58</v>
      </c>
      <c r="C24" s="95"/>
      <c r="E24" s="34"/>
      <c r="F24" s="34"/>
      <c r="G24" s="34"/>
      <c r="H24" s="34"/>
      <c r="K24" s="41"/>
      <c r="L24" s="41"/>
      <c r="M24" s="41"/>
      <c r="N24" s="41"/>
      <c r="P24" s="26">
        <f>SUM(K24:N24)</f>
        <v>0</v>
      </c>
      <c r="Q24" s="83"/>
      <c r="S24" s="34"/>
      <c r="T24" s="34"/>
      <c r="U24" s="34"/>
      <c r="V24" s="34"/>
      <c r="Y24" s="41">
        <f t="shared" si="15"/>
        <v>0</v>
      </c>
      <c r="Z24" s="41">
        <f t="shared" si="15"/>
        <v>0</v>
      </c>
      <c r="AA24" s="41">
        <f t="shared" si="15"/>
        <v>0</v>
      </c>
      <c r="AB24" s="41">
        <f t="shared" si="15"/>
        <v>0</v>
      </c>
      <c r="AD24" s="26">
        <f>SUM(X24:AB24)</f>
        <v>0</v>
      </c>
      <c r="AE24" s="83"/>
      <c r="AG24" s="34"/>
      <c r="AH24" s="34"/>
      <c r="AI24" s="34"/>
      <c r="AJ24" s="34"/>
      <c r="AM24" s="41">
        <f t="shared" si="16"/>
        <v>0</v>
      </c>
      <c r="AN24" s="41">
        <f t="shared" si="16"/>
        <v>0</v>
      </c>
      <c r="AO24" s="41">
        <f t="shared" si="16"/>
        <v>0</v>
      </c>
      <c r="AP24" s="41">
        <f t="shared" si="16"/>
        <v>0</v>
      </c>
      <c r="AR24" s="26">
        <f>SUM(AL24:AP24)</f>
        <v>0</v>
      </c>
      <c r="AS24" s="83"/>
      <c r="AT24" s="108"/>
      <c r="AV24" s="34"/>
      <c r="AW24" s="34"/>
      <c r="AX24" s="34"/>
      <c r="AY24" s="34"/>
      <c r="BB24" s="41">
        <f t="shared" si="17"/>
        <v>0</v>
      </c>
      <c r="BC24" s="41">
        <f t="shared" si="17"/>
        <v>0</v>
      </c>
      <c r="BD24" s="41">
        <f t="shared" si="17"/>
        <v>0</v>
      </c>
      <c r="BE24" s="41">
        <f t="shared" si="17"/>
        <v>0</v>
      </c>
      <c r="BG24" s="26">
        <f>SUM(BA24:BE24)</f>
        <v>0</v>
      </c>
      <c r="BI24" s="83"/>
      <c r="BK24" s="46"/>
      <c r="BL24" s="12">
        <f t="shared" si="18"/>
        <v>0.83333333333333337</v>
      </c>
      <c r="BM24" s="13">
        <f t="shared" si="4"/>
        <v>0</v>
      </c>
      <c r="BN24" s="102">
        <v>9</v>
      </c>
      <c r="BO24" s="52" t="s">
        <v>11</v>
      </c>
      <c r="BP24" s="58">
        <f t="shared" si="19"/>
        <v>1.75</v>
      </c>
      <c r="BQ24" s="59">
        <v>49</v>
      </c>
    </row>
    <row r="25" spans="1:69" ht="24" customHeight="1" outlineLevel="1" x14ac:dyDescent="0.35">
      <c r="A25" s="106" t="s">
        <v>90</v>
      </c>
      <c r="B25" s="107" t="s">
        <v>65</v>
      </c>
      <c r="C25" s="95"/>
      <c r="E25" s="34"/>
      <c r="F25" s="34"/>
      <c r="G25" s="34"/>
      <c r="H25" s="34"/>
      <c r="K25" s="41"/>
      <c r="L25" s="41"/>
      <c r="M25" s="41"/>
      <c r="N25" s="41"/>
      <c r="P25" s="26">
        <f>SUM(K25:N25)</f>
        <v>0</v>
      </c>
      <c r="Q25" s="83"/>
      <c r="S25" s="34"/>
      <c r="T25" s="34"/>
      <c r="U25" s="34"/>
      <c r="V25" s="34"/>
      <c r="Y25" s="41">
        <f t="shared" si="15"/>
        <v>0</v>
      </c>
      <c r="Z25" s="41">
        <f t="shared" si="15"/>
        <v>0</v>
      </c>
      <c r="AA25" s="41">
        <f t="shared" si="15"/>
        <v>0</v>
      </c>
      <c r="AB25" s="41">
        <f t="shared" si="15"/>
        <v>0</v>
      </c>
      <c r="AD25" s="26">
        <f>SUM(X25:AB25)</f>
        <v>0</v>
      </c>
      <c r="AE25" s="83"/>
      <c r="AG25" s="34"/>
      <c r="AH25" s="34"/>
      <c r="AI25" s="34"/>
      <c r="AJ25" s="34"/>
      <c r="AM25" s="41">
        <f t="shared" si="16"/>
        <v>0</v>
      </c>
      <c r="AN25" s="41">
        <f t="shared" si="16"/>
        <v>0</v>
      </c>
      <c r="AO25" s="41">
        <f t="shared" si="16"/>
        <v>0</v>
      </c>
      <c r="AP25" s="41">
        <f t="shared" si="16"/>
        <v>0</v>
      </c>
      <c r="AR25" s="26">
        <f>SUM(AL25:AP25)</f>
        <v>0</v>
      </c>
      <c r="AS25" s="83"/>
      <c r="AT25" s="108"/>
      <c r="AV25" s="34"/>
      <c r="AW25" s="34"/>
      <c r="AX25" s="34"/>
      <c r="AY25" s="34"/>
      <c r="BB25" s="41">
        <f t="shared" si="17"/>
        <v>0</v>
      </c>
      <c r="BC25" s="41">
        <f t="shared" si="17"/>
        <v>0</v>
      </c>
      <c r="BD25" s="41">
        <f t="shared" si="17"/>
        <v>0</v>
      </c>
      <c r="BE25" s="41">
        <f t="shared" si="17"/>
        <v>0</v>
      </c>
      <c r="BG25" s="26">
        <f>SUM(BA25:BE25)</f>
        <v>0</v>
      </c>
      <c r="BI25" s="83"/>
      <c r="BK25" s="46"/>
      <c r="BL25" s="12">
        <f t="shared" si="18"/>
        <v>0.83333333333333337</v>
      </c>
      <c r="BM25" s="13">
        <f t="shared" si="4"/>
        <v>0</v>
      </c>
      <c r="BN25" s="102">
        <v>9</v>
      </c>
      <c r="BO25" s="52" t="s">
        <v>11</v>
      </c>
      <c r="BP25" s="58">
        <f t="shared" si="19"/>
        <v>1.75</v>
      </c>
      <c r="BQ25" s="59">
        <v>50</v>
      </c>
    </row>
    <row r="26" spans="1:69" ht="24" customHeight="1" outlineLevel="1" x14ac:dyDescent="0.35">
      <c r="A26" s="106" t="s">
        <v>91</v>
      </c>
      <c r="B26" s="107" t="s">
        <v>72</v>
      </c>
      <c r="C26" s="95"/>
      <c r="E26" s="34"/>
      <c r="F26" s="34"/>
      <c r="G26" s="34"/>
      <c r="H26" s="34"/>
      <c r="K26" s="41"/>
      <c r="L26" s="41"/>
      <c r="M26" s="41"/>
      <c r="N26" s="41"/>
      <c r="P26" s="26"/>
      <c r="Q26" s="83"/>
      <c r="S26" s="34"/>
      <c r="T26" s="34"/>
      <c r="U26" s="34"/>
      <c r="V26" s="34"/>
      <c r="Y26" s="41"/>
      <c r="Z26" s="41"/>
      <c r="AA26" s="41"/>
      <c r="AB26" s="41"/>
      <c r="AD26" s="26"/>
      <c r="AE26" s="83"/>
      <c r="AG26" s="34"/>
      <c r="AH26" s="34"/>
      <c r="AI26" s="34"/>
      <c r="AJ26" s="34"/>
      <c r="AM26" s="41"/>
      <c r="AN26" s="41"/>
      <c r="AO26" s="41"/>
      <c r="AP26" s="41"/>
      <c r="AR26" s="26"/>
      <c r="AS26" s="83"/>
      <c r="AT26" s="108"/>
      <c r="AV26" s="34"/>
      <c r="AW26" s="34"/>
      <c r="AX26" s="34"/>
      <c r="AY26" s="34"/>
      <c r="BB26" s="41"/>
      <c r="BC26" s="41"/>
      <c r="BD26" s="41"/>
      <c r="BE26" s="41"/>
      <c r="BG26" s="26"/>
      <c r="BI26" s="83"/>
      <c r="BK26" s="46"/>
      <c r="BL26" s="12">
        <f t="shared" si="18"/>
        <v>0.83333333333333337</v>
      </c>
      <c r="BM26" s="13">
        <f t="shared" si="4"/>
        <v>0</v>
      </c>
      <c r="BN26" s="102">
        <v>9</v>
      </c>
      <c r="BO26" s="52" t="s">
        <v>11</v>
      </c>
      <c r="BP26" s="58">
        <f t="shared" si="19"/>
        <v>1.75</v>
      </c>
      <c r="BQ26" s="59">
        <v>51</v>
      </c>
    </row>
    <row r="27" spans="1:69" ht="24" customHeight="1" x14ac:dyDescent="0.35">
      <c r="A27" s="103">
        <v>6</v>
      </c>
      <c r="B27" s="112" t="s">
        <v>35</v>
      </c>
      <c r="C27" s="95">
        <f>ROUND(+BM27*BQ27*BP27*BN27,-4)</f>
        <v>120000</v>
      </c>
      <c r="E27" s="34"/>
      <c r="F27" s="34"/>
      <c r="G27" s="34"/>
      <c r="H27" s="34"/>
      <c r="K27" s="41">
        <f>ROUND((E27*$BM27)*$BN27*$BP27*$BQ27,-4)</f>
        <v>0</v>
      </c>
      <c r="L27" s="41">
        <f>ROUND((F27*$BM27)*$BN27*$BP27*$BQ27,-4)</f>
        <v>0</v>
      </c>
      <c r="M27" s="41">
        <f>ROUND((G27*$BM27)*$BN27*$BP27*$BQ27,-4)</f>
        <v>0</v>
      </c>
      <c r="N27" s="41">
        <f>ROUND((H27*$BM27)*$BN27*$BP27*$BQ27,-4)</f>
        <v>0</v>
      </c>
      <c r="P27" s="26">
        <f>SUM(K27:N27)</f>
        <v>0</v>
      </c>
      <c r="Q27" s="84">
        <f>+C27+P27</f>
        <v>120000</v>
      </c>
      <c r="S27" s="34"/>
      <c r="T27" s="34"/>
      <c r="U27" s="34"/>
      <c r="V27" s="34"/>
      <c r="Y27" s="41">
        <f t="shared" ref="Y27:AB28" si="20">ROUND((S27*$BM27)*$BN27*$BP27*$BQ27,-4)</f>
        <v>0</v>
      </c>
      <c r="Z27" s="41">
        <f t="shared" si="20"/>
        <v>0</v>
      </c>
      <c r="AA27" s="41">
        <f t="shared" si="20"/>
        <v>0</v>
      </c>
      <c r="AB27" s="41">
        <f t="shared" si="20"/>
        <v>0</v>
      </c>
      <c r="AD27" s="26">
        <f>SUM(X27:AB27)</f>
        <v>0</v>
      </c>
      <c r="AE27" s="84">
        <f>+Q27+AD27</f>
        <v>120000</v>
      </c>
      <c r="AG27" s="34"/>
      <c r="AH27" s="34"/>
      <c r="AI27" s="34"/>
      <c r="AJ27" s="34"/>
      <c r="AM27" s="41">
        <f t="shared" ref="AM27:AP28" si="21">ROUND((AG27*$BM27)*$BN27*$BP27*$BQ27,-4)</f>
        <v>0</v>
      </c>
      <c r="AN27" s="41">
        <f t="shared" si="21"/>
        <v>0</v>
      </c>
      <c r="AO27" s="41">
        <f t="shared" si="21"/>
        <v>0</v>
      </c>
      <c r="AP27" s="41">
        <f t="shared" si="21"/>
        <v>0</v>
      </c>
      <c r="AR27" s="26">
        <f>SUM(AL27:AP27)</f>
        <v>0</v>
      </c>
      <c r="AS27" s="84">
        <f>+AE27+AR27</f>
        <v>120000</v>
      </c>
      <c r="AT27" s="108"/>
      <c r="AV27" s="34"/>
      <c r="AW27" s="34"/>
      <c r="AX27" s="34"/>
      <c r="AY27" s="34"/>
      <c r="BB27" s="41">
        <f t="shared" ref="BB27:BE28" si="22">ROUND((AV27*$BM27)*$BN27*$BP27*$BQ27,-4)</f>
        <v>0</v>
      </c>
      <c r="BC27" s="41">
        <f t="shared" si="22"/>
        <v>0</v>
      </c>
      <c r="BD27" s="41">
        <f t="shared" si="22"/>
        <v>0</v>
      </c>
      <c r="BE27" s="41">
        <f t="shared" si="22"/>
        <v>0</v>
      </c>
      <c r="BG27" s="26">
        <f>SUM(BA27:BE27)</f>
        <v>0</v>
      </c>
      <c r="BI27" s="84">
        <f>+AS27+BG27</f>
        <v>120000</v>
      </c>
      <c r="BK27" s="46">
        <v>234</v>
      </c>
      <c r="BL27" s="12">
        <f>50/60</f>
        <v>0.83333333333333337</v>
      </c>
      <c r="BM27" s="13">
        <f t="shared" si="4"/>
        <v>195</v>
      </c>
      <c r="BN27" s="102">
        <v>9</v>
      </c>
      <c r="BO27" s="52" t="s">
        <v>92</v>
      </c>
      <c r="BP27" s="58">
        <f>+BP9/2</f>
        <v>1.45</v>
      </c>
      <c r="BQ27" s="59">
        <v>46</v>
      </c>
    </row>
    <row r="28" spans="1:69" ht="24" customHeight="1" outlineLevel="1" x14ac:dyDescent="0.35">
      <c r="A28" s="106" t="s">
        <v>87</v>
      </c>
      <c r="B28" s="107" t="s">
        <v>45</v>
      </c>
      <c r="C28" s="95"/>
      <c r="E28" s="34"/>
      <c r="F28" s="34"/>
      <c r="G28" s="34"/>
      <c r="H28" s="34"/>
      <c r="K28" s="41"/>
      <c r="L28" s="41"/>
      <c r="M28" s="41"/>
      <c r="N28" s="41"/>
      <c r="P28" s="26">
        <f>SUM(K28:N28)</f>
        <v>0</v>
      </c>
      <c r="Q28" s="83"/>
      <c r="S28" s="34"/>
      <c r="T28" s="34"/>
      <c r="U28" s="34"/>
      <c r="V28" s="34"/>
      <c r="Y28" s="41">
        <f t="shared" si="20"/>
        <v>0</v>
      </c>
      <c r="Z28" s="41">
        <f t="shared" si="20"/>
        <v>0</v>
      </c>
      <c r="AA28" s="41">
        <f t="shared" si="20"/>
        <v>0</v>
      </c>
      <c r="AB28" s="41">
        <f t="shared" si="20"/>
        <v>0</v>
      </c>
      <c r="AD28" s="26">
        <f>SUM(X28:AB28)</f>
        <v>0</v>
      </c>
      <c r="AE28" s="83"/>
      <c r="AG28" s="34"/>
      <c r="AH28" s="34"/>
      <c r="AI28" s="34"/>
      <c r="AJ28" s="34"/>
      <c r="AM28" s="41">
        <f t="shared" si="21"/>
        <v>0</v>
      </c>
      <c r="AN28" s="41">
        <f t="shared" si="21"/>
        <v>0</v>
      </c>
      <c r="AO28" s="41">
        <f t="shared" si="21"/>
        <v>0</v>
      </c>
      <c r="AP28" s="41">
        <f t="shared" si="21"/>
        <v>0</v>
      </c>
      <c r="AR28" s="26">
        <f>SUM(AL28:AP28)</f>
        <v>0</v>
      </c>
      <c r="AS28" s="83"/>
      <c r="AT28" s="108"/>
      <c r="AV28" s="34"/>
      <c r="AW28" s="34"/>
      <c r="AX28" s="34"/>
      <c r="AY28" s="34"/>
      <c r="BB28" s="41">
        <f t="shared" si="22"/>
        <v>0</v>
      </c>
      <c r="BC28" s="41">
        <f t="shared" si="22"/>
        <v>0</v>
      </c>
      <c r="BD28" s="41">
        <f t="shared" si="22"/>
        <v>0</v>
      </c>
      <c r="BE28" s="41">
        <f t="shared" si="22"/>
        <v>0</v>
      </c>
      <c r="BG28" s="26">
        <f>SUM(BA28:BE28)</f>
        <v>0</v>
      </c>
      <c r="BI28" s="83"/>
      <c r="BK28" s="46"/>
      <c r="BL28" s="12">
        <f t="shared" ref="BL28:BL32" si="23">50/60</f>
        <v>0.83333333333333337</v>
      </c>
      <c r="BM28" s="13">
        <f t="shared" ref="BM28:BM38" si="24">+BL28*BK28</f>
        <v>0</v>
      </c>
      <c r="BN28" s="102">
        <v>9</v>
      </c>
      <c r="BO28" s="52"/>
      <c r="BP28" s="58">
        <f t="shared" ref="BP28:BP32" si="25">+BP10/2</f>
        <v>1.45</v>
      </c>
      <c r="BQ28" s="59">
        <v>47</v>
      </c>
    </row>
    <row r="29" spans="1:69" ht="24" customHeight="1" outlineLevel="1" x14ac:dyDescent="0.35">
      <c r="A29" s="106" t="s">
        <v>88</v>
      </c>
      <c r="B29" s="107" t="s">
        <v>55</v>
      </c>
      <c r="C29" s="95"/>
      <c r="E29" s="34"/>
      <c r="F29" s="34"/>
      <c r="G29" s="34"/>
      <c r="H29" s="34"/>
      <c r="K29" s="41"/>
      <c r="L29" s="41"/>
      <c r="M29" s="41"/>
      <c r="N29" s="41"/>
      <c r="P29" s="26"/>
      <c r="Q29" s="83"/>
      <c r="S29" s="34"/>
      <c r="T29" s="34"/>
      <c r="U29" s="34"/>
      <c r="V29" s="34"/>
      <c r="Y29" s="41"/>
      <c r="Z29" s="41"/>
      <c r="AA29" s="41"/>
      <c r="AB29" s="41"/>
      <c r="AD29" s="26"/>
      <c r="AE29" s="83"/>
      <c r="AG29" s="34"/>
      <c r="AH29" s="34"/>
      <c r="AI29" s="34"/>
      <c r="AJ29" s="34"/>
      <c r="AM29" s="41"/>
      <c r="AN29" s="41"/>
      <c r="AO29" s="41"/>
      <c r="AP29" s="41"/>
      <c r="AR29" s="26"/>
      <c r="AS29" s="83"/>
      <c r="AT29" s="108"/>
      <c r="AV29" s="34"/>
      <c r="AW29" s="34"/>
      <c r="AX29" s="34"/>
      <c r="AY29" s="34"/>
      <c r="BB29" s="41"/>
      <c r="BC29" s="41"/>
      <c r="BD29" s="41"/>
      <c r="BE29" s="41"/>
      <c r="BG29" s="26"/>
      <c r="BI29" s="83"/>
      <c r="BK29" s="46"/>
      <c r="BL29" s="12">
        <f t="shared" si="23"/>
        <v>0.83333333333333337</v>
      </c>
      <c r="BM29" s="13">
        <f t="shared" si="24"/>
        <v>0</v>
      </c>
      <c r="BN29" s="102">
        <v>9</v>
      </c>
      <c r="BO29" s="52"/>
      <c r="BP29" s="58">
        <f t="shared" si="25"/>
        <v>1.45</v>
      </c>
      <c r="BQ29" s="59">
        <v>48</v>
      </c>
    </row>
    <row r="30" spans="1:69" ht="24" customHeight="1" outlineLevel="1" x14ac:dyDescent="0.35">
      <c r="A30" s="106" t="s">
        <v>89</v>
      </c>
      <c r="B30" s="107" t="s">
        <v>58</v>
      </c>
      <c r="C30" s="95"/>
      <c r="E30" s="34"/>
      <c r="F30" s="34"/>
      <c r="G30" s="34"/>
      <c r="H30" s="34"/>
      <c r="K30" s="41"/>
      <c r="L30" s="41"/>
      <c r="M30" s="41"/>
      <c r="N30" s="41"/>
      <c r="P30" s="26">
        <f>SUM(K30:N30)</f>
        <v>0</v>
      </c>
      <c r="Q30" s="83"/>
      <c r="S30" s="34"/>
      <c r="T30" s="34"/>
      <c r="U30" s="34"/>
      <c r="V30" s="34"/>
      <c r="Y30" s="41">
        <f t="shared" ref="Y30:AB33" si="26">ROUND((S30*$BM30)*$BN30*$BP30*$BQ30,-4)</f>
        <v>0</v>
      </c>
      <c r="Z30" s="41">
        <f t="shared" si="26"/>
        <v>0</v>
      </c>
      <c r="AA30" s="41">
        <f t="shared" si="26"/>
        <v>0</v>
      </c>
      <c r="AB30" s="41">
        <f t="shared" si="26"/>
        <v>0</v>
      </c>
      <c r="AD30" s="26">
        <f>SUM(X30:AB30)</f>
        <v>0</v>
      </c>
      <c r="AE30" s="83"/>
      <c r="AG30" s="34"/>
      <c r="AH30" s="34"/>
      <c r="AI30" s="34"/>
      <c r="AJ30" s="34"/>
      <c r="AM30" s="41">
        <f t="shared" ref="AM30:AP33" si="27">ROUND((AG30*$BM30)*$BN30*$BP30*$BQ30,-4)</f>
        <v>0</v>
      </c>
      <c r="AN30" s="41">
        <f t="shared" si="27"/>
        <v>0</v>
      </c>
      <c r="AO30" s="41">
        <f t="shared" si="27"/>
        <v>0</v>
      </c>
      <c r="AP30" s="41">
        <f t="shared" si="27"/>
        <v>0</v>
      </c>
      <c r="AR30" s="26">
        <f>SUM(AL30:AP30)</f>
        <v>0</v>
      </c>
      <c r="AS30" s="83"/>
      <c r="AT30" s="108"/>
      <c r="AV30" s="34"/>
      <c r="AW30" s="34"/>
      <c r="AX30" s="34"/>
      <c r="AY30" s="34"/>
      <c r="BB30" s="41">
        <f t="shared" ref="BB30:BE33" si="28">ROUND((AV30*$BM30)*$BN30*$BP30*$BQ30,-4)</f>
        <v>0</v>
      </c>
      <c r="BC30" s="41">
        <f t="shared" si="28"/>
        <v>0</v>
      </c>
      <c r="BD30" s="41">
        <f t="shared" si="28"/>
        <v>0</v>
      </c>
      <c r="BE30" s="41">
        <f t="shared" si="28"/>
        <v>0</v>
      </c>
      <c r="BG30" s="26">
        <f>SUM(BA30:BE30)</f>
        <v>0</v>
      </c>
      <c r="BI30" s="83"/>
      <c r="BK30" s="46"/>
      <c r="BL30" s="12">
        <f t="shared" si="23"/>
        <v>0.83333333333333337</v>
      </c>
      <c r="BM30" s="13">
        <f t="shared" si="24"/>
        <v>0</v>
      </c>
      <c r="BN30" s="102">
        <v>9</v>
      </c>
      <c r="BO30" s="52"/>
      <c r="BP30" s="58">
        <f t="shared" si="25"/>
        <v>1.45</v>
      </c>
      <c r="BQ30" s="59">
        <v>49</v>
      </c>
    </row>
    <row r="31" spans="1:69" ht="24" customHeight="1" outlineLevel="1" x14ac:dyDescent="0.35">
      <c r="A31" s="106" t="s">
        <v>90</v>
      </c>
      <c r="B31" s="107" t="s">
        <v>65</v>
      </c>
      <c r="C31" s="95"/>
      <c r="E31" s="34"/>
      <c r="F31" s="34"/>
      <c r="G31" s="34"/>
      <c r="H31" s="34"/>
      <c r="K31" s="41"/>
      <c r="L31" s="41"/>
      <c r="M31" s="41"/>
      <c r="N31" s="41"/>
      <c r="P31" s="26">
        <f>SUM(K31:N31)</f>
        <v>0</v>
      </c>
      <c r="Q31" s="83"/>
      <c r="S31" s="34"/>
      <c r="T31" s="34"/>
      <c r="U31" s="34"/>
      <c r="V31" s="34"/>
      <c r="Y31" s="41">
        <f t="shared" si="26"/>
        <v>0</v>
      </c>
      <c r="Z31" s="41">
        <f t="shared" si="26"/>
        <v>0</v>
      </c>
      <c r="AA31" s="41">
        <f t="shared" si="26"/>
        <v>0</v>
      </c>
      <c r="AB31" s="41">
        <f t="shared" si="26"/>
        <v>0</v>
      </c>
      <c r="AD31" s="26">
        <f>SUM(X31:AB31)</f>
        <v>0</v>
      </c>
      <c r="AE31" s="83"/>
      <c r="AG31" s="34"/>
      <c r="AH31" s="34"/>
      <c r="AI31" s="34"/>
      <c r="AJ31" s="34"/>
      <c r="AM31" s="41">
        <f t="shared" si="27"/>
        <v>0</v>
      </c>
      <c r="AN31" s="41">
        <f t="shared" si="27"/>
        <v>0</v>
      </c>
      <c r="AO31" s="41">
        <f t="shared" si="27"/>
        <v>0</v>
      </c>
      <c r="AP31" s="41">
        <f t="shared" si="27"/>
        <v>0</v>
      </c>
      <c r="AR31" s="26">
        <f>SUM(AL31:AP31)</f>
        <v>0</v>
      </c>
      <c r="AS31" s="83"/>
      <c r="AT31" s="108"/>
      <c r="AV31" s="34"/>
      <c r="AW31" s="34"/>
      <c r="AX31" s="34"/>
      <c r="AY31" s="34"/>
      <c r="BB31" s="41">
        <f t="shared" si="28"/>
        <v>0</v>
      </c>
      <c r="BC31" s="41">
        <f t="shared" si="28"/>
        <v>0</v>
      </c>
      <c r="BD31" s="41">
        <f t="shared" si="28"/>
        <v>0</v>
      </c>
      <c r="BE31" s="41">
        <f t="shared" si="28"/>
        <v>0</v>
      </c>
      <c r="BG31" s="26">
        <f>SUM(BA31:BE31)</f>
        <v>0</v>
      </c>
      <c r="BI31" s="83"/>
      <c r="BK31" s="46"/>
      <c r="BL31" s="12">
        <f t="shared" si="23"/>
        <v>0.83333333333333337</v>
      </c>
      <c r="BM31" s="13">
        <f t="shared" si="24"/>
        <v>0</v>
      </c>
      <c r="BN31" s="102">
        <v>9</v>
      </c>
      <c r="BO31" s="52"/>
      <c r="BP31" s="58">
        <f t="shared" si="25"/>
        <v>1.45</v>
      </c>
      <c r="BQ31" s="59">
        <v>50</v>
      </c>
    </row>
    <row r="32" spans="1:69" ht="24" customHeight="1" outlineLevel="1" x14ac:dyDescent="0.35">
      <c r="A32" s="106" t="s">
        <v>91</v>
      </c>
      <c r="B32" s="107" t="s">
        <v>72</v>
      </c>
      <c r="C32" s="95"/>
      <c r="E32" s="34"/>
      <c r="F32" s="34"/>
      <c r="G32" s="34"/>
      <c r="H32" s="34"/>
      <c r="K32" s="41"/>
      <c r="L32" s="41"/>
      <c r="M32" s="41"/>
      <c r="N32" s="41"/>
      <c r="P32" s="26">
        <f>SUM(K32:N32)</f>
        <v>0</v>
      </c>
      <c r="Q32" s="83"/>
      <c r="S32" s="34"/>
      <c r="T32" s="34"/>
      <c r="U32" s="34"/>
      <c r="V32" s="34"/>
      <c r="Y32" s="41">
        <f t="shared" si="26"/>
        <v>0</v>
      </c>
      <c r="Z32" s="41">
        <f t="shared" si="26"/>
        <v>0</v>
      </c>
      <c r="AA32" s="41">
        <f t="shared" si="26"/>
        <v>0</v>
      </c>
      <c r="AB32" s="41">
        <f t="shared" si="26"/>
        <v>0</v>
      </c>
      <c r="AD32" s="26">
        <f>SUM(X32:AB32)</f>
        <v>0</v>
      </c>
      <c r="AE32" s="83"/>
      <c r="AG32" s="34"/>
      <c r="AH32" s="34"/>
      <c r="AI32" s="34"/>
      <c r="AJ32" s="34"/>
      <c r="AM32" s="41">
        <f t="shared" si="27"/>
        <v>0</v>
      </c>
      <c r="AN32" s="41">
        <f t="shared" si="27"/>
        <v>0</v>
      </c>
      <c r="AO32" s="41">
        <f t="shared" si="27"/>
        <v>0</v>
      </c>
      <c r="AP32" s="41">
        <f t="shared" si="27"/>
        <v>0</v>
      </c>
      <c r="AR32" s="26">
        <f>SUM(AL32:AP32)</f>
        <v>0</v>
      </c>
      <c r="AS32" s="83"/>
      <c r="AT32" s="108"/>
      <c r="AV32" s="34"/>
      <c r="AW32" s="34"/>
      <c r="AX32" s="34"/>
      <c r="AY32" s="34"/>
      <c r="BB32" s="41">
        <f t="shared" si="28"/>
        <v>0</v>
      </c>
      <c r="BC32" s="41">
        <f t="shared" si="28"/>
        <v>0</v>
      </c>
      <c r="BD32" s="41">
        <f t="shared" si="28"/>
        <v>0</v>
      </c>
      <c r="BE32" s="41">
        <f t="shared" si="28"/>
        <v>0</v>
      </c>
      <c r="BG32" s="26">
        <f>SUM(BA32:BE32)</f>
        <v>0</v>
      </c>
      <c r="BI32" s="83"/>
      <c r="BK32" s="46"/>
      <c r="BL32" s="12">
        <f t="shared" si="23"/>
        <v>0.83333333333333337</v>
      </c>
      <c r="BM32" s="13">
        <f t="shared" si="24"/>
        <v>0</v>
      </c>
      <c r="BN32" s="102">
        <v>9</v>
      </c>
      <c r="BO32" s="52"/>
      <c r="BP32" s="58">
        <f t="shared" si="25"/>
        <v>1.45</v>
      </c>
      <c r="BQ32" s="59">
        <v>51</v>
      </c>
    </row>
    <row r="33" spans="1:69" ht="24" customHeight="1" x14ac:dyDescent="0.35">
      <c r="A33" s="103">
        <v>7</v>
      </c>
      <c r="B33" s="112" t="s">
        <v>93</v>
      </c>
      <c r="C33" s="95">
        <f>ROUND(+BM33*BQ33*BP33*BN33,-4)</f>
        <v>10000</v>
      </c>
      <c r="E33" s="34"/>
      <c r="F33" s="34"/>
      <c r="G33" s="34"/>
      <c r="H33" s="34"/>
      <c r="K33" s="41">
        <f>ROUND((E33*$BM33)*$BN33*$BP33*$BQ33,-4)</f>
        <v>0</v>
      </c>
      <c r="L33" s="41">
        <f>ROUND((F33*$BM33)*$BN33*$BP33*$BQ33,-4)</f>
        <v>0</v>
      </c>
      <c r="M33" s="41">
        <f>ROUND((G33*$BM33)*$BN33*$BP33*$BQ33,-4)</f>
        <v>0</v>
      </c>
      <c r="N33" s="41">
        <f>ROUND((H33*$BM33)*$BN33*$BP33*$BQ33,-4)</f>
        <v>0</v>
      </c>
      <c r="P33" s="26">
        <f>SUM(K33:N33)</f>
        <v>0</v>
      </c>
      <c r="Q33" s="84">
        <f>+C33+P33</f>
        <v>10000</v>
      </c>
      <c r="S33" s="34"/>
      <c r="T33" s="34"/>
      <c r="U33" s="34"/>
      <c r="V33" s="34"/>
      <c r="Y33" s="41">
        <f t="shared" si="26"/>
        <v>0</v>
      </c>
      <c r="Z33" s="41">
        <f t="shared" si="26"/>
        <v>0</v>
      </c>
      <c r="AA33" s="41">
        <f t="shared" si="26"/>
        <v>0</v>
      </c>
      <c r="AB33" s="41">
        <f t="shared" si="26"/>
        <v>0</v>
      </c>
      <c r="AD33" s="26">
        <f>SUM(X33:AB33)</f>
        <v>0</v>
      </c>
      <c r="AE33" s="84">
        <f>+Q33+AD33</f>
        <v>10000</v>
      </c>
      <c r="AG33" s="34"/>
      <c r="AH33" s="34"/>
      <c r="AI33" s="34"/>
      <c r="AJ33" s="34"/>
      <c r="AM33" s="41">
        <f t="shared" si="27"/>
        <v>0</v>
      </c>
      <c r="AN33" s="41">
        <f t="shared" si="27"/>
        <v>0</v>
      </c>
      <c r="AO33" s="41">
        <f t="shared" si="27"/>
        <v>0</v>
      </c>
      <c r="AP33" s="41">
        <f t="shared" si="27"/>
        <v>0</v>
      </c>
      <c r="AR33" s="26">
        <f>SUM(AL33:AP33)</f>
        <v>0</v>
      </c>
      <c r="AS33" s="84">
        <f>+AE33+AR33</f>
        <v>10000</v>
      </c>
      <c r="AT33" s="108"/>
      <c r="AV33" s="34"/>
      <c r="AW33" s="34"/>
      <c r="AX33" s="34"/>
      <c r="AY33" s="34"/>
      <c r="BB33" s="41">
        <f t="shared" si="28"/>
        <v>0</v>
      </c>
      <c r="BC33" s="41">
        <f t="shared" si="28"/>
        <v>0</v>
      </c>
      <c r="BD33" s="41">
        <f t="shared" si="28"/>
        <v>0</v>
      </c>
      <c r="BE33" s="41">
        <f t="shared" si="28"/>
        <v>0</v>
      </c>
      <c r="BG33" s="26">
        <f>SUM(BA33:BE33)</f>
        <v>0</v>
      </c>
      <c r="BI33" s="84">
        <f>+AS33+BG33</f>
        <v>10000</v>
      </c>
      <c r="BK33" s="46">
        <v>26.4</v>
      </c>
      <c r="BL33" s="12">
        <f>50/60</f>
        <v>0.83333333333333337</v>
      </c>
      <c r="BM33" s="13">
        <f>+BL33*BK33</f>
        <v>22</v>
      </c>
      <c r="BN33" s="102">
        <v>9</v>
      </c>
      <c r="BO33" s="52" t="s">
        <v>92</v>
      </c>
      <c r="BP33" s="58">
        <f>+BP15/2</f>
        <v>1.55</v>
      </c>
      <c r="BQ33" s="59">
        <v>46</v>
      </c>
    </row>
    <row r="34" spans="1:69" ht="24" customHeight="1" outlineLevel="1" x14ac:dyDescent="0.35">
      <c r="A34" s="106" t="s">
        <v>87</v>
      </c>
      <c r="B34" s="107" t="s">
        <v>45</v>
      </c>
      <c r="C34" s="95"/>
      <c r="E34" s="34"/>
      <c r="F34" s="34"/>
      <c r="G34" s="34"/>
      <c r="H34" s="34"/>
      <c r="K34" s="41"/>
      <c r="L34" s="41"/>
      <c r="M34" s="41"/>
      <c r="N34" s="41"/>
      <c r="P34" s="26"/>
      <c r="Q34" s="84"/>
      <c r="S34" s="34"/>
      <c r="T34" s="34"/>
      <c r="U34" s="34"/>
      <c r="V34" s="34"/>
      <c r="Y34" s="41"/>
      <c r="Z34" s="41"/>
      <c r="AA34" s="41"/>
      <c r="AB34" s="41"/>
      <c r="AD34" s="26"/>
      <c r="AE34" s="84"/>
      <c r="AG34" s="34"/>
      <c r="AH34" s="34"/>
      <c r="AI34" s="34"/>
      <c r="AJ34" s="34"/>
      <c r="AM34" s="41"/>
      <c r="AN34" s="41"/>
      <c r="AO34" s="41"/>
      <c r="AP34" s="41"/>
      <c r="AR34" s="26"/>
      <c r="AS34" s="84"/>
      <c r="AT34" s="108"/>
      <c r="AV34" s="34"/>
      <c r="AW34" s="34"/>
      <c r="AX34" s="34"/>
      <c r="AY34" s="34"/>
      <c r="BB34" s="41"/>
      <c r="BC34" s="41"/>
      <c r="BD34" s="41"/>
      <c r="BE34" s="41"/>
      <c r="BG34" s="26"/>
      <c r="BI34" s="84"/>
      <c r="BK34" s="46"/>
      <c r="BL34" s="12">
        <f t="shared" ref="BL34:BL38" si="29">50/60</f>
        <v>0.83333333333333337</v>
      </c>
      <c r="BM34" s="13">
        <f t="shared" si="24"/>
        <v>0</v>
      </c>
      <c r="BN34" s="102">
        <v>9</v>
      </c>
      <c r="BO34" s="52"/>
      <c r="BP34" s="58">
        <f t="shared" ref="BP34:BP38" si="30">+BP16/2</f>
        <v>1.55</v>
      </c>
      <c r="BQ34" s="59">
        <v>47</v>
      </c>
    </row>
    <row r="35" spans="1:69" ht="24" customHeight="1" outlineLevel="1" x14ac:dyDescent="0.35">
      <c r="A35" s="106" t="s">
        <v>88</v>
      </c>
      <c r="B35" s="107" t="s">
        <v>55</v>
      </c>
      <c r="C35" s="95"/>
      <c r="E35" s="34"/>
      <c r="F35" s="34"/>
      <c r="G35" s="34"/>
      <c r="H35" s="34"/>
      <c r="K35" s="41"/>
      <c r="L35" s="41"/>
      <c r="M35" s="41"/>
      <c r="N35" s="41"/>
      <c r="P35" s="26"/>
      <c r="Q35" s="84"/>
      <c r="S35" s="34"/>
      <c r="T35" s="34"/>
      <c r="U35" s="34"/>
      <c r="V35" s="34"/>
      <c r="Y35" s="41"/>
      <c r="Z35" s="41"/>
      <c r="AA35" s="41"/>
      <c r="AB35" s="41"/>
      <c r="AD35" s="26"/>
      <c r="AE35" s="84"/>
      <c r="AG35" s="34"/>
      <c r="AH35" s="34"/>
      <c r="AI35" s="34"/>
      <c r="AJ35" s="34"/>
      <c r="AM35" s="41"/>
      <c r="AN35" s="41"/>
      <c r="AO35" s="41"/>
      <c r="AP35" s="41"/>
      <c r="AR35" s="26"/>
      <c r="AS35" s="84"/>
      <c r="AT35" s="108"/>
      <c r="AV35" s="34"/>
      <c r="AW35" s="34"/>
      <c r="AX35" s="34"/>
      <c r="AY35" s="34"/>
      <c r="BB35" s="41"/>
      <c r="BC35" s="41"/>
      <c r="BD35" s="41"/>
      <c r="BE35" s="41"/>
      <c r="BG35" s="26"/>
      <c r="BI35" s="84"/>
      <c r="BK35" s="46"/>
      <c r="BL35" s="12">
        <f t="shared" si="29"/>
        <v>0.83333333333333337</v>
      </c>
      <c r="BM35" s="13">
        <f t="shared" si="24"/>
        <v>0</v>
      </c>
      <c r="BN35" s="102">
        <v>9</v>
      </c>
      <c r="BO35" s="52"/>
      <c r="BP35" s="58">
        <f t="shared" si="30"/>
        <v>1.55</v>
      </c>
      <c r="BQ35" s="59">
        <v>48</v>
      </c>
    </row>
    <row r="36" spans="1:69" ht="24" customHeight="1" outlineLevel="1" x14ac:dyDescent="0.35">
      <c r="A36" s="106" t="s">
        <v>89</v>
      </c>
      <c r="B36" s="107" t="s">
        <v>58</v>
      </c>
      <c r="C36" s="95"/>
      <c r="E36" s="34"/>
      <c r="F36" s="34"/>
      <c r="G36" s="34"/>
      <c r="H36" s="34"/>
      <c r="K36" s="41"/>
      <c r="L36" s="41"/>
      <c r="M36" s="41"/>
      <c r="N36" s="41"/>
      <c r="P36" s="26"/>
      <c r="Q36" s="84"/>
      <c r="S36" s="34"/>
      <c r="T36" s="34"/>
      <c r="U36" s="34"/>
      <c r="V36" s="34"/>
      <c r="Y36" s="41"/>
      <c r="Z36" s="41"/>
      <c r="AA36" s="41"/>
      <c r="AB36" s="41"/>
      <c r="AD36" s="26"/>
      <c r="AE36" s="84"/>
      <c r="AG36" s="34"/>
      <c r="AH36" s="34"/>
      <c r="AI36" s="34"/>
      <c r="AJ36" s="34"/>
      <c r="AM36" s="41"/>
      <c r="AN36" s="41"/>
      <c r="AO36" s="41"/>
      <c r="AP36" s="41"/>
      <c r="AR36" s="26"/>
      <c r="AS36" s="84"/>
      <c r="AT36" s="108"/>
      <c r="AV36" s="34"/>
      <c r="AW36" s="34"/>
      <c r="AX36" s="34"/>
      <c r="AY36" s="34"/>
      <c r="BB36" s="41"/>
      <c r="BC36" s="41"/>
      <c r="BD36" s="41"/>
      <c r="BE36" s="41"/>
      <c r="BG36" s="26"/>
      <c r="BI36" s="84"/>
      <c r="BK36" s="46"/>
      <c r="BL36" s="12">
        <f t="shared" si="29"/>
        <v>0.83333333333333337</v>
      </c>
      <c r="BM36" s="13">
        <f t="shared" si="24"/>
        <v>0</v>
      </c>
      <c r="BN36" s="102">
        <v>9</v>
      </c>
      <c r="BO36" s="52"/>
      <c r="BP36" s="58">
        <f t="shared" si="30"/>
        <v>1.55</v>
      </c>
      <c r="BQ36" s="59">
        <v>49</v>
      </c>
    </row>
    <row r="37" spans="1:69" ht="24" customHeight="1" outlineLevel="1" x14ac:dyDescent="0.35">
      <c r="A37" s="106" t="s">
        <v>90</v>
      </c>
      <c r="B37" s="107" t="s">
        <v>65</v>
      </c>
      <c r="C37" s="95"/>
      <c r="E37" s="34"/>
      <c r="F37" s="34"/>
      <c r="G37" s="34"/>
      <c r="H37" s="34"/>
      <c r="K37" s="41"/>
      <c r="L37" s="41"/>
      <c r="M37" s="41"/>
      <c r="N37" s="41"/>
      <c r="P37" s="26"/>
      <c r="Q37" s="84"/>
      <c r="S37" s="34"/>
      <c r="T37" s="34"/>
      <c r="U37" s="34"/>
      <c r="V37" s="34"/>
      <c r="Y37" s="41"/>
      <c r="Z37" s="41"/>
      <c r="AA37" s="41"/>
      <c r="AB37" s="41"/>
      <c r="AD37" s="26"/>
      <c r="AE37" s="84"/>
      <c r="AG37" s="34"/>
      <c r="AH37" s="34"/>
      <c r="AI37" s="34"/>
      <c r="AJ37" s="34"/>
      <c r="AM37" s="41"/>
      <c r="AN37" s="41"/>
      <c r="AO37" s="41"/>
      <c r="AP37" s="41"/>
      <c r="AR37" s="26"/>
      <c r="AS37" s="84"/>
      <c r="AT37" s="108"/>
      <c r="AV37" s="34"/>
      <c r="AW37" s="34"/>
      <c r="AX37" s="34"/>
      <c r="AY37" s="34"/>
      <c r="BB37" s="41"/>
      <c r="BC37" s="41"/>
      <c r="BD37" s="41"/>
      <c r="BE37" s="41"/>
      <c r="BG37" s="26"/>
      <c r="BI37" s="84"/>
      <c r="BK37" s="46"/>
      <c r="BL37" s="12">
        <f t="shared" si="29"/>
        <v>0.83333333333333337</v>
      </c>
      <c r="BM37" s="13">
        <f t="shared" si="24"/>
        <v>0</v>
      </c>
      <c r="BN37" s="102">
        <v>9</v>
      </c>
      <c r="BO37" s="52"/>
      <c r="BP37" s="58">
        <f t="shared" si="30"/>
        <v>1.55</v>
      </c>
      <c r="BQ37" s="59">
        <v>50</v>
      </c>
    </row>
    <row r="38" spans="1:69" ht="24" customHeight="1" outlineLevel="1" x14ac:dyDescent="0.35">
      <c r="A38" s="106" t="s">
        <v>91</v>
      </c>
      <c r="B38" s="107" t="s">
        <v>72</v>
      </c>
      <c r="C38" s="95"/>
      <c r="E38" s="34"/>
      <c r="F38" s="34"/>
      <c r="G38" s="34"/>
      <c r="H38" s="34"/>
      <c r="K38" s="41"/>
      <c r="L38" s="41"/>
      <c r="M38" s="41"/>
      <c r="N38" s="41"/>
      <c r="P38" s="26"/>
      <c r="Q38" s="84"/>
      <c r="S38" s="34"/>
      <c r="T38" s="34"/>
      <c r="U38" s="34"/>
      <c r="V38" s="34"/>
      <c r="Y38" s="41"/>
      <c r="Z38" s="41"/>
      <c r="AA38" s="41"/>
      <c r="AB38" s="41"/>
      <c r="AD38" s="26"/>
      <c r="AE38" s="84"/>
      <c r="AG38" s="34"/>
      <c r="AH38" s="34"/>
      <c r="AI38" s="34"/>
      <c r="AJ38" s="34"/>
      <c r="AM38" s="41"/>
      <c r="AN38" s="41"/>
      <c r="AO38" s="41"/>
      <c r="AP38" s="41"/>
      <c r="AR38" s="26"/>
      <c r="AS38" s="84"/>
      <c r="AT38" s="108"/>
      <c r="AV38" s="34"/>
      <c r="AW38" s="34"/>
      <c r="AX38" s="34"/>
      <c r="AY38" s="34"/>
      <c r="BB38" s="41"/>
      <c r="BC38" s="41"/>
      <c r="BD38" s="41"/>
      <c r="BE38" s="41"/>
      <c r="BG38" s="26"/>
      <c r="BI38" s="84"/>
      <c r="BK38" s="46"/>
      <c r="BL38" s="12">
        <f t="shared" si="29"/>
        <v>0.83333333333333337</v>
      </c>
      <c r="BM38" s="13">
        <f t="shared" si="24"/>
        <v>0</v>
      </c>
      <c r="BN38" s="102">
        <v>9</v>
      </c>
      <c r="BO38" s="52"/>
      <c r="BP38" s="58">
        <f t="shared" si="30"/>
        <v>1.55</v>
      </c>
      <c r="BQ38" s="59">
        <v>51</v>
      </c>
    </row>
    <row r="39" spans="1:69" ht="24" customHeight="1" x14ac:dyDescent="0.35">
      <c r="A39" s="103">
        <v>8</v>
      </c>
      <c r="B39" s="111" t="s">
        <v>37</v>
      </c>
      <c r="C39" s="95">
        <f>ROUND(+BM39*BQ39*BP39*BN39,-4)</f>
        <v>180000</v>
      </c>
      <c r="E39" s="34"/>
      <c r="F39" s="34"/>
      <c r="G39" s="34"/>
      <c r="H39" s="34"/>
      <c r="K39" s="41">
        <f>ROUND((E39*$BM39)*$BN39*$BP39*$BQ39,-4)</f>
        <v>0</v>
      </c>
      <c r="L39" s="41">
        <f>ROUND((F39*$BM39)*$BN39*$BP39*$BQ39,-4)</f>
        <v>0</v>
      </c>
      <c r="M39" s="41">
        <f>ROUND((G39*$BM39)*$BN39*$BP39*$BQ39,-4)</f>
        <v>0</v>
      </c>
      <c r="N39" s="41">
        <f>ROUND((H39*$BM39)*$BN39*$BP39*$BQ39,-4)</f>
        <v>0</v>
      </c>
      <c r="P39" s="26">
        <f>SUM(K39:N39)</f>
        <v>0</v>
      </c>
      <c r="Q39" s="85">
        <f>+C39+P39</f>
        <v>180000</v>
      </c>
      <c r="S39" s="34"/>
      <c r="T39" s="34"/>
      <c r="U39" s="34"/>
      <c r="V39" s="34"/>
      <c r="Y39" s="41">
        <f>ROUND((S39*$BM39)*$BN39*$BP39*$BQ39,-4)</f>
        <v>0</v>
      </c>
      <c r="Z39" s="41">
        <f>ROUND((T39*$BM39)*$BN39*$BP39*$BQ39,-4)</f>
        <v>0</v>
      </c>
      <c r="AA39" s="41">
        <f>ROUND((U39*$BM39)*$BN39*$BP39*$BQ39,-4)</f>
        <v>0</v>
      </c>
      <c r="AB39" s="41">
        <f>ROUND((V39*$BM39)*$BN39*$BP39*$BQ39,-4)</f>
        <v>0</v>
      </c>
      <c r="AD39" s="26">
        <f>SUM(X39:AB39)</f>
        <v>0</v>
      </c>
      <c r="AE39" s="85">
        <f>+Q39+AD39</f>
        <v>180000</v>
      </c>
      <c r="AG39" s="34"/>
      <c r="AH39" s="34"/>
      <c r="AI39" s="34"/>
      <c r="AJ39" s="34"/>
      <c r="AM39" s="41">
        <f>ROUND((AG39*$BM39)*$BN39*$BP39*$BQ39,-4)</f>
        <v>0</v>
      </c>
      <c r="AN39" s="41">
        <f>ROUND((AH39*$BM39)*$BN39*$BP39*$BQ39,-4)</f>
        <v>0</v>
      </c>
      <c r="AO39" s="41">
        <f>ROUND((AI39*$BM39)*$BN39*$BP39*$BQ39,-4)</f>
        <v>0</v>
      </c>
      <c r="AP39" s="41">
        <f>ROUND((AJ39*$BM39)*$BN39*$BP39*$BQ39,-4)</f>
        <v>0</v>
      </c>
      <c r="AR39" s="26">
        <f>SUM(AL39:AP39)</f>
        <v>0</v>
      </c>
      <c r="AS39" s="85">
        <f>+AE39+AR39</f>
        <v>180000</v>
      </c>
      <c r="AT39" s="108"/>
      <c r="AV39" s="34"/>
      <c r="AW39" s="34"/>
      <c r="AX39" s="34"/>
      <c r="AY39" s="34"/>
      <c r="BB39" s="41">
        <f>ROUND((AV39*$BM39)*$BN39*$BP39*$BQ39,-4)</f>
        <v>0</v>
      </c>
      <c r="BC39" s="41">
        <f>ROUND((AW39*$BM39)*$BN39*$BP39*$BQ39,-4)</f>
        <v>0</v>
      </c>
      <c r="BD39" s="41">
        <f>ROUND((AX39*$BM39)*$BN39*$BP39*$BQ39,-4)</f>
        <v>0</v>
      </c>
      <c r="BE39" s="41">
        <f>ROUND((AY39*$BM39)*$BN39*$BP39*$BQ39,-4)</f>
        <v>0</v>
      </c>
      <c r="BG39" s="26">
        <f>SUM(BA39:BE39)</f>
        <v>0</v>
      </c>
      <c r="BI39" s="85">
        <f>+AS39+BG39</f>
        <v>180000</v>
      </c>
      <c r="BK39" s="46">
        <v>210</v>
      </c>
      <c r="BL39" s="12">
        <f>180/580</f>
        <v>0.31034482758620691</v>
      </c>
      <c r="BM39" s="13">
        <f>+BL39*BK39</f>
        <v>65.172413793103445</v>
      </c>
      <c r="BN39" s="101">
        <v>25</v>
      </c>
      <c r="BO39" s="52" t="s">
        <v>10</v>
      </c>
      <c r="BP39" s="58">
        <v>2.4</v>
      </c>
      <c r="BQ39" s="59">
        <v>46</v>
      </c>
    </row>
    <row r="40" spans="1:69" ht="24" customHeight="1" outlineLevel="1" x14ac:dyDescent="0.35">
      <c r="A40" s="106" t="s">
        <v>87</v>
      </c>
      <c r="B40" s="107" t="s">
        <v>45</v>
      </c>
      <c r="C40" s="95"/>
      <c r="E40" s="34"/>
      <c r="F40" s="34"/>
      <c r="G40" s="34"/>
      <c r="H40" s="34"/>
      <c r="K40" s="41"/>
      <c r="L40" s="41"/>
      <c r="M40" s="41"/>
      <c r="N40" s="41"/>
      <c r="P40" s="26"/>
      <c r="Q40" s="84"/>
      <c r="S40" s="34"/>
      <c r="T40" s="34"/>
      <c r="U40" s="34"/>
      <c r="V40" s="34"/>
      <c r="Y40" s="41"/>
      <c r="Z40" s="41"/>
      <c r="AA40" s="41"/>
      <c r="AB40" s="41"/>
      <c r="AD40" s="26"/>
      <c r="AE40" s="84"/>
      <c r="AG40" s="34"/>
      <c r="AH40" s="34"/>
      <c r="AI40" s="34"/>
      <c r="AJ40" s="34"/>
      <c r="AM40" s="41"/>
      <c r="AN40" s="41"/>
      <c r="AO40" s="41"/>
      <c r="AP40" s="41"/>
      <c r="AR40" s="26"/>
      <c r="AS40" s="84"/>
      <c r="AT40" s="108"/>
      <c r="AV40" s="34"/>
      <c r="AW40" s="34"/>
      <c r="AX40" s="34"/>
      <c r="AY40" s="34"/>
      <c r="BB40" s="41"/>
      <c r="BC40" s="41"/>
      <c r="BD40" s="41"/>
      <c r="BE40" s="41"/>
      <c r="BG40" s="26"/>
      <c r="BI40" s="84"/>
      <c r="BK40" s="46"/>
      <c r="BL40" s="12">
        <f t="shared" ref="BL40:BL44" si="31">180/580</f>
        <v>0.31034482758620691</v>
      </c>
      <c r="BM40" s="13">
        <f t="shared" ref="BM40:BM44" si="32">+BL40*BK40</f>
        <v>0</v>
      </c>
      <c r="BN40" s="101">
        <v>25</v>
      </c>
      <c r="BO40" s="52"/>
      <c r="BP40" s="58">
        <v>2.4</v>
      </c>
      <c r="BQ40" s="59">
        <v>46</v>
      </c>
    </row>
    <row r="41" spans="1:69" ht="24" customHeight="1" outlineLevel="1" x14ac:dyDescent="0.35">
      <c r="A41" s="106" t="s">
        <v>88</v>
      </c>
      <c r="B41" s="107" t="s">
        <v>55</v>
      </c>
      <c r="C41" s="95"/>
      <c r="E41" s="34"/>
      <c r="F41" s="34"/>
      <c r="G41" s="34"/>
      <c r="H41" s="34"/>
      <c r="K41" s="41"/>
      <c r="L41" s="41"/>
      <c r="M41" s="41"/>
      <c r="N41" s="41"/>
      <c r="P41" s="26"/>
      <c r="Q41" s="84"/>
      <c r="S41" s="34"/>
      <c r="T41" s="34"/>
      <c r="U41" s="34"/>
      <c r="V41" s="34"/>
      <c r="Y41" s="41"/>
      <c r="Z41" s="41"/>
      <c r="AA41" s="41"/>
      <c r="AB41" s="41"/>
      <c r="AD41" s="26"/>
      <c r="AE41" s="84"/>
      <c r="AG41" s="34"/>
      <c r="AH41" s="34"/>
      <c r="AI41" s="34"/>
      <c r="AJ41" s="34"/>
      <c r="AM41" s="41"/>
      <c r="AN41" s="41"/>
      <c r="AO41" s="41"/>
      <c r="AP41" s="41"/>
      <c r="AR41" s="26"/>
      <c r="AS41" s="84"/>
      <c r="AT41" s="108"/>
      <c r="AV41" s="34"/>
      <c r="AW41" s="34"/>
      <c r="AX41" s="34"/>
      <c r="AY41" s="34"/>
      <c r="BB41" s="41"/>
      <c r="BC41" s="41"/>
      <c r="BD41" s="41"/>
      <c r="BE41" s="41"/>
      <c r="BG41" s="26"/>
      <c r="BI41" s="84"/>
      <c r="BK41" s="46"/>
      <c r="BL41" s="12">
        <f t="shared" si="31"/>
        <v>0.31034482758620691</v>
      </c>
      <c r="BM41" s="13">
        <f t="shared" si="32"/>
        <v>0</v>
      </c>
      <c r="BN41" s="101">
        <v>25</v>
      </c>
      <c r="BO41" s="52"/>
      <c r="BP41" s="58">
        <v>2.4</v>
      </c>
      <c r="BQ41" s="59">
        <v>46</v>
      </c>
    </row>
    <row r="42" spans="1:69" ht="24" customHeight="1" outlineLevel="1" x14ac:dyDescent="0.35">
      <c r="A42" s="106" t="s">
        <v>89</v>
      </c>
      <c r="B42" s="107" t="s">
        <v>58</v>
      </c>
      <c r="C42" s="95"/>
      <c r="E42" s="34"/>
      <c r="F42" s="34"/>
      <c r="G42" s="34"/>
      <c r="H42" s="34"/>
      <c r="K42" s="41"/>
      <c r="L42" s="41"/>
      <c r="M42" s="41"/>
      <c r="N42" s="41"/>
      <c r="P42" s="26"/>
      <c r="Q42" s="84"/>
      <c r="S42" s="34"/>
      <c r="T42" s="34"/>
      <c r="U42" s="34"/>
      <c r="V42" s="34"/>
      <c r="Y42" s="41"/>
      <c r="Z42" s="41"/>
      <c r="AA42" s="41"/>
      <c r="AB42" s="41"/>
      <c r="AD42" s="26"/>
      <c r="AE42" s="84"/>
      <c r="AG42" s="34"/>
      <c r="AH42" s="34"/>
      <c r="AI42" s="34"/>
      <c r="AJ42" s="34"/>
      <c r="AM42" s="41"/>
      <c r="AN42" s="41"/>
      <c r="AO42" s="41"/>
      <c r="AP42" s="41"/>
      <c r="AR42" s="26"/>
      <c r="AS42" s="84"/>
      <c r="AT42" s="108"/>
      <c r="AV42" s="34"/>
      <c r="AW42" s="34"/>
      <c r="AX42" s="34"/>
      <c r="AY42" s="34"/>
      <c r="BB42" s="41"/>
      <c r="BC42" s="41"/>
      <c r="BD42" s="41"/>
      <c r="BE42" s="41"/>
      <c r="BG42" s="26"/>
      <c r="BI42" s="84"/>
      <c r="BK42" s="46"/>
      <c r="BL42" s="12">
        <f t="shared" si="31"/>
        <v>0.31034482758620691</v>
      </c>
      <c r="BM42" s="13">
        <f t="shared" si="32"/>
        <v>0</v>
      </c>
      <c r="BN42" s="101">
        <v>25</v>
      </c>
      <c r="BO42" s="52"/>
      <c r="BP42" s="58">
        <v>2.4</v>
      </c>
      <c r="BQ42" s="59">
        <v>46</v>
      </c>
    </row>
    <row r="43" spans="1:69" ht="24" customHeight="1" outlineLevel="1" x14ac:dyDescent="0.35">
      <c r="A43" s="106" t="s">
        <v>90</v>
      </c>
      <c r="B43" s="107" t="s">
        <v>65</v>
      </c>
      <c r="C43" s="95"/>
      <c r="E43" s="34"/>
      <c r="F43" s="34"/>
      <c r="G43" s="34"/>
      <c r="H43" s="34"/>
      <c r="K43" s="41"/>
      <c r="L43" s="41"/>
      <c r="M43" s="41"/>
      <c r="N43" s="41"/>
      <c r="P43" s="26"/>
      <c r="Q43" s="84"/>
      <c r="S43" s="34"/>
      <c r="T43" s="34"/>
      <c r="U43" s="34"/>
      <c r="V43" s="34"/>
      <c r="Y43" s="41"/>
      <c r="Z43" s="41"/>
      <c r="AA43" s="41"/>
      <c r="AB43" s="41"/>
      <c r="AD43" s="26"/>
      <c r="AE43" s="84"/>
      <c r="AG43" s="34"/>
      <c r="AH43" s="34"/>
      <c r="AI43" s="34"/>
      <c r="AJ43" s="34"/>
      <c r="AM43" s="41"/>
      <c r="AN43" s="41"/>
      <c r="AO43" s="41"/>
      <c r="AP43" s="41"/>
      <c r="AR43" s="26"/>
      <c r="AS43" s="84"/>
      <c r="AT43" s="108"/>
      <c r="AV43" s="34"/>
      <c r="AW43" s="34"/>
      <c r="AX43" s="34"/>
      <c r="AY43" s="34"/>
      <c r="BB43" s="41"/>
      <c r="BC43" s="41"/>
      <c r="BD43" s="41"/>
      <c r="BE43" s="41"/>
      <c r="BG43" s="26"/>
      <c r="BI43" s="84"/>
      <c r="BK43" s="46"/>
      <c r="BL43" s="12">
        <f t="shared" si="31"/>
        <v>0.31034482758620691</v>
      </c>
      <c r="BM43" s="13">
        <f t="shared" si="32"/>
        <v>0</v>
      </c>
      <c r="BN43" s="101">
        <v>25</v>
      </c>
      <c r="BO43" s="52"/>
      <c r="BP43" s="58">
        <v>2.4</v>
      </c>
      <c r="BQ43" s="59">
        <v>46</v>
      </c>
    </row>
    <row r="44" spans="1:69" ht="24" customHeight="1" outlineLevel="1" x14ac:dyDescent="0.35">
      <c r="A44" s="106" t="s">
        <v>91</v>
      </c>
      <c r="B44" s="107" t="s">
        <v>72</v>
      </c>
      <c r="C44" s="95"/>
      <c r="E44" s="34"/>
      <c r="F44" s="34"/>
      <c r="G44" s="34"/>
      <c r="H44" s="34"/>
      <c r="K44" s="41"/>
      <c r="L44" s="41"/>
      <c r="M44" s="41"/>
      <c r="N44" s="41"/>
      <c r="P44" s="26"/>
      <c r="Q44" s="84"/>
      <c r="S44" s="34"/>
      <c r="T44" s="34"/>
      <c r="U44" s="34"/>
      <c r="V44" s="34"/>
      <c r="Y44" s="41"/>
      <c r="Z44" s="41"/>
      <c r="AA44" s="41"/>
      <c r="AB44" s="41"/>
      <c r="AD44" s="26"/>
      <c r="AE44" s="84"/>
      <c r="AG44" s="34"/>
      <c r="AH44" s="34"/>
      <c r="AI44" s="34"/>
      <c r="AJ44" s="34"/>
      <c r="AM44" s="41"/>
      <c r="AN44" s="41"/>
      <c r="AO44" s="41"/>
      <c r="AP44" s="41"/>
      <c r="AR44" s="26"/>
      <c r="AS44" s="84"/>
      <c r="AT44" s="108"/>
      <c r="AV44" s="34"/>
      <c r="AW44" s="34"/>
      <c r="AX44" s="34"/>
      <c r="AY44" s="34"/>
      <c r="BB44" s="41"/>
      <c r="BC44" s="41"/>
      <c r="BD44" s="41"/>
      <c r="BE44" s="41"/>
      <c r="BG44" s="26"/>
      <c r="BI44" s="84"/>
      <c r="BK44" s="46"/>
      <c r="BL44" s="12">
        <f t="shared" si="31"/>
        <v>0.31034482758620691</v>
      </c>
      <c r="BM44" s="13">
        <f t="shared" si="32"/>
        <v>0</v>
      </c>
      <c r="BN44" s="101">
        <v>25</v>
      </c>
      <c r="BO44" s="52"/>
      <c r="BP44" s="58">
        <v>2.4</v>
      </c>
      <c r="BQ44" s="59">
        <v>46</v>
      </c>
    </row>
    <row r="45" spans="1:69" ht="24" customHeight="1" x14ac:dyDescent="0.35">
      <c r="A45" s="103">
        <v>9</v>
      </c>
      <c r="B45" s="111" t="s">
        <v>38</v>
      </c>
      <c r="C45" s="95">
        <f>ROUND(+BM45*BQ45*BP45*BN45,-4)</f>
        <v>6260000</v>
      </c>
      <c r="E45" s="34"/>
      <c r="F45" s="34"/>
      <c r="G45" s="34"/>
      <c r="H45" s="34"/>
      <c r="K45" s="41">
        <f>ROUND((E45*$BM45)*$BN45*$BP45*$BQ45,-4)</f>
        <v>0</v>
      </c>
      <c r="L45" s="41">
        <f>ROUND((F45*$BM45)*$BN45*$BP45*$BQ45,-4)</f>
        <v>0</v>
      </c>
      <c r="M45" s="41">
        <f>ROUND((G45*$BM45)*$BN45*$BP45*$BQ45,-4)</f>
        <v>0</v>
      </c>
      <c r="N45" s="41">
        <f>ROUND((H45*$BM45)*$BN45*$BP45*$BQ45,-4)</f>
        <v>0</v>
      </c>
      <c r="P45" s="26">
        <f>SUM(K45:N45)</f>
        <v>0</v>
      </c>
      <c r="Q45" s="85">
        <f>+C45+P45</f>
        <v>6260000</v>
      </c>
      <c r="S45" s="34"/>
      <c r="T45" s="34"/>
      <c r="U45" s="34"/>
      <c r="V45" s="34"/>
      <c r="Y45" s="41">
        <f>ROUND((S45*$BM45)*$BN45*$BP45*$BQ45,-4)</f>
        <v>0</v>
      </c>
      <c r="Z45" s="41">
        <f>ROUND((T45*$BM45)*$BN45*$BP45*$BQ45,-4)</f>
        <v>0</v>
      </c>
      <c r="AA45" s="41">
        <f>ROUND((U45*$BM45)*$BN45*$BP45*$BQ45,-4)</f>
        <v>0</v>
      </c>
      <c r="AB45" s="41">
        <f>ROUND((V45*$BM45)*$BN45*$BP45*$BQ45,-4)</f>
        <v>0</v>
      </c>
      <c r="AD45" s="26">
        <f>SUM(X45:AB45)</f>
        <v>0</v>
      </c>
      <c r="AE45" s="85">
        <f>+Q45+AD45</f>
        <v>6260000</v>
      </c>
      <c r="AG45" s="34"/>
      <c r="AH45" s="34"/>
      <c r="AI45" s="34"/>
      <c r="AJ45" s="34"/>
      <c r="AM45" s="41">
        <f>ROUND((AG45*$BM45)*$BN45*$BP45*$BQ45,-4)</f>
        <v>0</v>
      </c>
      <c r="AN45" s="41">
        <f>ROUND((AH45*$BM45)*$BN45*$BP45*$BQ45,-4)</f>
        <v>0</v>
      </c>
      <c r="AO45" s="41">
        <f>ROUND((AI45*$BM45)*$BN45*$BP45*$BQ45,-4)</f>
        <v>0</v>
      </c>
      <c r="AP45" s="41">
        <f>ROUND((AJ45*$BM45)*$BN45*$BP45*$BQ45,-4)</f>
        <v>0</v>
      </c>
      <c r="AR45" s="26">
        <f>SUM(AL45:AP45)</f>
        <v>0</v>
      </c>
      <c r="AS45" s="85">
        <f>+AE45+AR45</f>
        <v>6260000</v>
      </c>
      <c r="AT45" s="108"/>
      <c r="AV45" s="34"/>
      <c r="AW45" s="34"/>
      <c r="AX45" s="34"/>
      <c r="AY45" s="34"/>
      <c r="BB45" s="41">
        <f>ROUND((AV45*$BM45)*$BN45*$BP45*$BQ45,-4)</f>
        <v>0</v>
      </c>
      <c r="BC45" s="41">
        <f>ROUND((AW45*$BM45)*$BN45*$BP45*$BQ45,-4)</f>
        <v>0</v>
      </c>
      <c r="BD45" s="41">
        <f>ROUND((AX45*$BM45)*$BN45*$BP45*$BQ45,-4)</f>
        <v>0</v>
      </c>
      <c r="BE45" s="41">
        <f>ROUND((AY45*$BM45)*$BN45*$BP45*$BQ45,-4)</f>
        <v>0</v>
      </c>
      <c r="BG45" s="26">
        <f>SUM(BA45:BE45)</f>
        <v>0</v>
      </c>
      <c r="BI45" s="85">
        <f>+AS45+BG45</f>
        <v>6260000</v>
      </c>
      <c r="BK45" s="46">
        <v>2086.7999999999997</v>
      </c>
      <c r="BL45" s="12">
        <f>6330/8760</f>
        <v>0.7226027397260274</v>
      </c>
      <c r="BM45" s="13">
        <f>+BL45*BK45</f>
        <v>1507.9273972602739</v>
      </c>
      <c r="BN45" s="101">
        <v>47.5</v>
      </c>
      <c r="BO45" s="52" t="s">
        <v>10</v>
      </c>
      <c r="BP45" s="58">
        <v>1.9</v>
      </c>
      <c r="BQ45" s="59">
        <v>46</v>
      </c>
    </row>
    <row r="46" spans="1:69" ht="24" customHeight="1" outlineLevel="1" x14ac:dyDescent="0.35">
      <c r="A46" s="106" t="s">
        <v>87</v>
      </c>
      <c r="B46" s="107" t="s">
        <v>45</v>
      </c>
      <c r="C46" s="95"/>
      <c r="E46" s="34"/>
      <c r="F46" s="34"/>
      <c r="G46" s="34"/>
      <c r="H46" s="34"/>
      <c r="K46" s="41"/>
      <c r="L46" s="41"/>
      <c r="M46" s="41"/>
      <c r="N46" s="41"/>
      <c r="P46" s="26"/>
      <c r="Q46" s="84"/>
      <c r="S46" s="34"/>
      <c r="T46" s="34"/>
      <c r="U46" s="34"/>
      <c r="V46" s="34"/>
      <c r="Y46" s="41"/>
      <c r="Z46" s="41"/>
      <c r="AA46" s="41"/>
      <c r="AB46" s="41"/>
      <c r="AD46" s="26"/>
      <c r="AE46" s="84"/>
      <c r="AG46" s="34"/>
      <c r="AH46" s="34"/>
      <c r="AI46" s="34"/>
      <c r="AJ46" s="34"/>
      <c r="AM46" s="41"/>
      <c r="AN46" s="41"/>
      <c r="AO46" s="41"/>
      <c r="AP46" s="41"/>
      <c r="AR46" s="26"/>
      <c r="AS46" s="84"/>
      <c r="AT46" s="108"/>
      <c r="AV46" s="34"/>
      <c r="AW46" s="34"/>
      <c r="AX46" s="34"/>
      <c r="AY46" s="34"/>
      <c r="BB46" s="41"/>
      <c r="BC46" s="41"/>
      <c r="BD46" s="41"/>
      <c r="BE46" s="41"/>
      <c r="BG46" s="26"/>
      <c r="BI46" s="84"/>
      <c r="BK46" s="46"/>
      <c r="BL46" s="12">
        <f t="shared" ref="BL46:BL50" si="33">6330/8760</f>
        <v>0.7226027397260274</v>
      </c>
      <c r="BM46" s="13">
        <f t="shared" ref="BM46:BM50" si="34">+BL46*BK46</f>
        <v>0</v>
      </c>
      <c r="BN46" s="101">
        <v>47.5</v>
      </c>
      <c r="BO46" s="52"/>
      <c r="BP46" s="58">
        <v>1.9</v>
      </c>
      <c r="BQ46" s="59">
        <v>46</v>
      </c>
    </row>
    <row r="47" spans="1:69" ht="24" customHeight="1" outlineLevel="1" x14ac:dyDescent="0.35">
      <c r="A47" s="106" t="s">
        <v>88</v>
      </c>
      <c r="B47" s="107" t="s">
        <v>55</v>
      </c>
      <c r="C47" s="95"/>
      <c r="E47" s="34"/>
      <c r="F47" s="34"/>
      <c r="G47" s="34"/>
      <c r="H47" s="34"/>
      <c r="K47" s="41"/>
      <c r="L47" s="41"/>
      <c r="M47" s="41"/>
      <c r="N47" s="41"/>
      <c r="P47" s="26"/>
      <c r="Q47" s="84"/>
      <c r="S47" s="34"/>
      <c r="T47" s="34"/>
      <c r="U47" s="34"/>
      <c r="V47" s="34"/>
      <c r="Y47" s="41"/>
      <c r="Z47" s="41"/>
      <c r="AA47" s="41"/>
      <c r="AB47" s="41"/>
      <c r="AD47" s="26"/>
      <c r="AE47" s="84"/>
      <c r="AG47" s="34"/>
      <c r="AH47" s="34"/>
      <c r="AI47" s="34"/>
      <c r="AJ47" s="34"/>
      <c r="AM47" s="41"/>
      <c r="AN47" s="41"/>
      <c r="AO47" s="41"/>
      <c r="AP47" s="41"/>
      <c r="AR47" s="26"/>
      <c r="AS47" s="84"/>
      <c r="AT47" s="108"/>
      <c r="AV47" s="34"/>
      <c r="AW47" s="34"/>
      <c r="AX47" s="34"/>
      <c r="AY47" s="34"/>
      <c r="BB47" s="41"/>
      <c r="BC47" s="41"/>
      <c r="BD47" s="41"/>
      <c r="BE47" s="41"/>
      <c r="BG47" s="26"/>
      <c r="BI47" s="84"/>
      <c r="BK47" s="46"/>
      <c r="BL47" s="12">
        <f t="shared" si="33"/>
        <v>0.7226027397260274</v>
      </c>
      <c r="BM47" s="13">
        <f t="shared" si="34"/>
        <v>0</v>
      </c>
      <c r="BN47" s="101">
        <v>47.5</v>
      </c>
      <c r="BO47" s="52"/>
      <c r="BP47" s="58">
        <v>1.9</v>
      </c>
      <c r="BQ47" s="59">
        <v>46</v>
      </c>
    </row>
    <row r="48" spans="1:69" ht="24" customHeight="1" outlineLevel="1" x14ac:dyDescent="0.35">
      <c r="A48" s="106" t="s">
        <v>89</v>
      </c>
      <c r="B48" s="107" t="s">
        <v>58</v>
      </c>
      <c r="C48" s="95"/>
      <c r="E48" s="34"/>
      <c r="F48" s="34"/>
      <c r="G48" s="34"/>
      <c r="H48" s="34"/>
      <c r="K48" s="41"/>
      <c r="L48" s="41"/>
      <c r="M48" s="41"/>
      <c r="N48" s="41"/>
      <c r="P48" s="26"/>
      <c r="Q48" s="84"/>
      <c r="S48" s="34"/>
      <c r="T48" s="34"/>
      <c r="U48" s="34"/>
      <c r="V48" s="34"/>
      <c r="Y48" s="41"/>
      <c r="Z48" s="41"/>
      <c r="AA48" s="41"/>
      <c r="AB48" s="41"/>
      <c r="AD48" s="26"/>
      <c r="AE48" s="84"/>
      <c r="AG48" s="34"/>
      <c r="AH48" s="34"/>
      <c r="AI48" s="34"/>
      <c r="AJ48" s="34"/>
      <c r="AM48" s="41"/>
      <c r="AN48" s="41"/>
      <c r="AO48" s="41"/>
      <c r="AP48" s="41"/>
      <c r="AR48" s="26"/>
      <c r="AS48" s="84"/>
      <c r="AT48" s="108"/>
      <c r="AV48" s="34"/>
      <c r="AW48" s="34"/>
      <c r="AX48" s="34"/>
      <c r="AY48" s="34"/>
      <c r="BB48" s="41"/>
      <c r="BC48" s="41"/>
      <c r="BD48" s="41"/>
      <c r="BE48" s="41"/>
      <c r="BG48" s="26"/>
      <c r="BI48" s="84"/>
      <c r="BK48" s="46"/>
      <c r="BL48" s="12">
        <f t="shared" si="33"/>
        <v>0.7226027397260274</v>
      </c>
      <c r="BM48" s="13">
        <f t="shared" si="34"/>
        <v>0</v>
      </c>
      <c r="BN48" s="101">
        <v>47.5</v>
      </c>
      <c r="BO48" s="52"/>
      <c r="BP48" s="58">
        <v>1.9</v>
      </c>
      <c r="BQ48" s="59">
        <v>46</v>
      </c>
    </row>
    <row r="49" spans="1:69" ht="24" customHeight="1" outlineLevel="1" x14ac:dyDescent="0.35">
      <c r="A49" s="106" t="s">
        <v>90</v>
      </c>
      <c r="B49" s="107" t="s">
        <v>65</v>
      </c>
      <c r="C49" s="95"/>
      <c r="E49" s="34"/>
      <c r="F49" s="34"/>
      <c r="G49" s="34"/>
      <c r="H49" s="34"/>
      <c r="K49" s="41"/>
      <c r="L49" s="41"/>
      <c r="M49" s="41"/>
      <c r="N49" s="41"/>
      <c r="P49" s="26"/>
      <c r="Q49" s="84"/>
      <c r="S49" s="34"/>
      <c r="T49" s="34"/>
      <c r="U49" s="34"/>
      <c r="V49" s="34"/>
      <c r="Y49" s="41"/>
      <c r="Z49" s="41"/>
      <c r="AA49" s="41"/>
      <c r="AB49" s="41"/>
      <c r="AD49" s="26"/>
      <c r="AE49" s="84"/>
      <c r="AG49" s="34"/>
      <c r="AH49" s="34"/>
      <c r="AI49" s="34"/>
      <c r="AJ49" s="34"/>
      <c r="AM49" s="41"/>
      <c r="AN49" s="41"/>
      <c r="AO49" s="41"/>
      <c r="AP49" s="41"/>
      <c r="AR49" s="26"/>
      <c r="AS49" s="84"/>
      <c r="AT49" s="108"/>
      <c r="AV49" s="34"/>
      <c r="AW49" s="34"/>
      <c r="AX49" s="34"/>
      <c r="AY49" s="34"/>
      <c r="BB49" s="41"/>
      <c r="BC49" s="41"/>
      <c r="BD49" s="41"/>
      <c r="BE49" s="41"/>
      <c r="BG49" s="26"/>
      <c r="BI49" s="84"/>
      <c r="BK49" s="46"/>
      <c r="BL49" s="12">
        <f t="shared" si="33"/>
        <v>0.7226027397260274</v>
      </c>
      <c r="BM49" s="13">
        <f t="shared" si="34"/>
        <v>0</v>
      </c>
      <c r="BN49" s="101">
        <v>47.5</v>
      </c>
      <c r="BO49" s="52"/>
      <c r="BP49" s="58">
        <v>1.9</v>
      </c>
      <c r="BQ49" s="59">
        <v>46</v>
      </c>
    </row>
    <row r="50" spans="1:69" ht="24" customHeight="1" outlineLevel="1" x14ac:dyDescent="0.35">
      <c r="A50" s="106" t="s">
        <v>91</v>
      </c>
      <c r="B50" s="107" t="s">
        <v>72</v>
      </c>
      <c r="C50" s="95"/>
      <c r="E50" s="34"/>
      <c r="F50" s="34"/>
      <c r="G50" s="34"/>
      <c r="H50" s="34"/>
      <c r="K50" s="41"/>
      <c r="L50" s="41"/>
      <c r="M50" s="41"/>
      <c r="N50" s="41"/>
      <c r="P50" s="26"/>
      <c r="Q50" s="84"/>
      <c r="S50" s="34"/>
      <c r="T50" s="34"/>
      <c r="U50" s="34"/>
      <c r="V50" s="34"/>
      <c r="Y50" s="41"/>
      <c r="Z50" s="41"/>
      <c r="AA50" s="41"/>
      <c r="AB50" s="41"/>
      <c r="AD50" s="26"/>
      <c r="AE50" s="84"/>
      <c r="AG50" s="34"/>
      <c r="AH50" s="34"/>
      <c r="AI50" s="34"/>
      <c r="AJ50" s="34"/>
      <c r="AM50" s="41"/>
      <c r="AN50" s="41"/>
      <c r="AO50" s="41"/>
      <c r="AP50" s="41"/>
      <c r="AR50" s="26"/>
      <c r="AS50" s="84"/>
      <c r="AT50" s="108"/>
      <c r="AV50" s="34"/>
      <c r="AW50" s="34"/>
      <c r="AX50" s="34"/>
      <c r="AY50" s="34"/>
      <c r="BB50" s="41"/>
      <c r="BC50" s="41"/>
      <c r="BD50" s="41"/>
      <c r="BE50" s="41"/>
      <c r="BG50" s="26"/>
      <c r="BI50" s="84"/>
      <c r="BK50" s="46"/>
      <c r="BL50" s="12">
        <f t="shared" si="33"/>
        <v>0.7226027397260274</v>
      </c>
      <c r="BM50" s="13">
        <f t="shared" si="34"/>
        <v>0</v>
      </c>
      <c r="BN50" s="101">
        <v>47.5</v>
      </c>
      <c r="BO50" s="52"/>
      <c r="BP50" s="58">
        <v>1.9</v>
      </c>
      <c r="BQ50" s="59">
        <v>46</v>
      </c>
    </row>
    <row r="51" spans="1:69" ht="24" customHeight="1" x14ac:dyDescent="0.35">
      <c r="A51" s="103">
        <v>10</v>
      </c>
      <c r="B51" s="111" t="s">
        <v>39</v>
      </c>
      <c r="C51" s="95">
        <f>ROUND(+BM51*BQ51*BP51*BN51,-4)</f>
        <v>3540000</v>
      </c>
      <c r="E51" s="34"/>
      <c r="F51" s="34"/>
      <c r="G51" s="34"/>
      <c r="H51" s="34"/>
      <c r="K51" s="41">
        <f>ROUND((E51*$BM51)*$BN51*$BP51*$BQ51,-4)</f>
        <v>0</v>
      </c>
      <c r="L51" s="41">
        <f>ROUND((F51*$BM51)*$BN51*$BP51*$BQ51,-4)</f>
        <v>0</v>
      </c>
      <c r="M51" s="41">
        <f>ROUND((G51*$BM51)*$BN51*$BP51*$BQ51,-4)</f>
        <v>0</v>
      </c>
      <c r="N51" s="41">
        <f>ROUND((H51*$BM51)*$BN51*$BP51*$BQ51,-4)</f>
        <v>0</v>
      </c>
      <c r="P51" s="26">
        <f>SUM(K51:N51)</f>
        <v>0</v>
      </c>
      <c r="Q51" s="85">
        <f>+C51+P51</f>
        <v>3540000</v>
      </c>
      <c r="S51" s="34"/>
      <c r="T51" s="34"/>
      <c r="U51" s="34"/>
      <c r="V51" s="34"/>
      <c r="Y51" s="41">
        <f>ROUND((S51*$BM51)*$BN51*$BP51*$BQ51,-4)</f>
        <v>0</v>
      </c>
      <c r="Z51" s="41">
        <f>ROUND((T51*$BM51)*$BN51*$BP51*$BQ51,-4)</f>
        <v>0</v>
      </c>
      <c r="AA51" s="41">
        <f>ROUND((U51*$BM51)*$BN51*$BP51*$BQ51,-4)</f>
        <v>0</v>
      </c>
      <c r="AB51" s="41">
        <f>ROUND((V51*$BM51)*$BN51*$BP51*$BQ51,-4)</f>
        <v>0</v>
      </c>
      <c r="AD51" s="26">
        <f>SUM(X51:AB51)</f>
        <v>0</v>
      </c>
      <c r="AE51" s="85">
        <f>+Q51+AD51</f>
        <v>3540000</v>
      </c>
      <c r="AG51" s="34"/>
      <c r="AH51" s="34"/>
      <c r="AI51" s="34"/>
      <c r="AJ51" s="34"/>
      <c r="AM51" s="41">
        <f>ROUND((AG51*$BM51)*$BN51*$BP51*$BQ51,-4)</f>
        <v>0</v>
      </c>
      <c r="AN51" s="41">
        <f>ROUND((AH51*$BM51)*$BN51*$BP51*$BQ51,-4)</f>
        <v>0</v>
      </c>
      <c r="AO51" s="41">
        <f>ROUND((AI51*$BM51)*$BN51*$BP51*$BQ51,-4)</f>
        <v>0</v>
      </c>
      <c r="AP51" s="41">
        <f>ROUND((AJ51*$BM51)*$BN51*$BP51*$BQ51,-4)</f>
        <v>0</v>
      </c>
      <c r="AR51" s="26">
        <f>SUM(AL51:AP51)</f>
        <v>0</v>
      </c>
      <c r="AS51" s="85">
        <f>+AE51+AR51</f>
        <v>3540000</v>
      </c>
      <c r="AT51" s="108"/>
      <c r="AV51" s="34"/>
      <c r="AW51" s="34"/>
      <c r="AX51" s="34"/>
      <c r="AY51" s="34"/>
      <c r="BB51" s="41">
        <f>ROUND((AV51*$BM51)*$BN51*$BP51*$BQ51,-4)</f>
        <v>0</v>
      </c>
      <c r="BC51" s="41">
        <f>ROUND((AW51*$BM51)*$BN51*$BP51*$BQ51,-4)</f>
        <v>0</v>
      </c>
      <c r="BD51" s="41">
        <f>ROUND((AX51*$BM51)*$BN51*$BP51*$BQ51,-4)</f>
        <v>0</v>
      </c>
      <c r="BE51" s="41">
        <f>ROUND((AY51*$BM51)*$BN51*$BP51*$BQ51,-4)</f>
        <v>0</v>
      </c>
      <c r="BG51" s="26">
        <f>SUM(BA51:BE51)</f>
        <v>0</v>
      </c>
      <c r="BI51" s="85">
        <f>+AS51+BG51</f>
        <v>3540000</v>
      </c>
      <c r="BK51" s="46">
        <v>631.19999999999993</v>
      </c>
      <c r="BL51" s="12">
        <f>3510/3870</f>
        <v>0.90697674418604646</v>
      </c>
      <c r="BM51" s="13">
        <f>+BL51*BK51</f>
        <v>572.48372093023249</v>
      </c>
      <c r="BN51" s="101">
        <v>69</v>
      </c>
      <c r="BO51" s="52" t="s">
        <v>10</v>
      </c>
      <c r="BP51" s="58">
        <v>1.95</v>
      </c>
      <c r="BQ51" s="59">
        <v>46</v>
      </c>
    </row>
    <row r="52" spans="1:69" ht="24" customHeight="1" outlineLevel="1" x14ac:dyDescent="0.35">
      <c r="A52" s="106" t="s">
        <v>87</v>
      </c>
      <c r="B52" s="107" t="s">
        <v>45</v>
      </c>
      <c r="C52" s="95"/>
      <c r="E52" s="34"/>
      <c r="F52" s="34"/>
      <c r="G52" s="34"/>
      <c r="H52" s="34"/>
      <c r="K52" s="41"/>
      <c r="L52" s="41"/>
      <c r="M52" s="41"/>
      <c r="N52" s="41"/>
      <c r="P52" s="26"/>
      <c r="Q52" s="84"/>
      <c r="S52" s="34"/>
      <c r="T52" s="34"/>
      <c r="U52" s="34"/>
      <c r="V52" s="34"/>
      <c r="Y52" s="41"/>
      <c r="Z52" s="41"/>
      <c r="AA52" s="41"/>
      <c r="AB52" s="41"/>
      <c r="AD52" s="26"/>
      <c r="AE52" s="84"/>
      <c r="AG52" s="34"/>
      <c r="AH52" s="34"/>
      <c r="AI52" s="34"/>
      <c r="AJ52" s="34"/>
      <c r="AM52" s="41"/>
      <c r="AN52" s="41"/>
      <c r="AO52" s="41"/>
      <c r="AP52" s="41"/>
      <c r="AR52" s="26"/>
      <c r="AS52" s="84"/>
      <c r="AT52" s="108"/>
      <c r="AV52" s="34"/>
      <c r="AW52" s="34"/>
      <c r="AX52" s="34"/>
      <c r="AY52" s="34"/>
      <c r="BB52" s="41"/>
      <c r="BC52" s="41"/>
      <c r="BD52" s="41"/>
      <c r="BE52" s="41"/>
      <c r="BG52" s="26"/>
      <c r="BI52" s="84"/>
      <c r="BK52" s="46"/>
      <c r="BL52" s="12">
        <f t="shared" ref="BL52:BL56" si="35">3510/3870</f>
        <v>0.90697674418604646</v>
      </c>
      <c r="BM52" s="13">
        <f t="shared" ref="BM52:BM56" si="36">+BL52*BK52</f>
        <v>0</v>
      </c>
      <c r="BN52" s="101">
        <v>69</v>
      </c>
      <c r="BO52" s="52"/>
      <c r="BP52" s="58">
        <v>1.95</v>
      </c>
      <c r="BQ52" s="59">
        <v>46</v>
      </c>
    </row>
    <row r="53" spans="1:69" ht="24" customHeight="1" outlineLevel="1" x14ac:dyDescent="0.35">
      <c r="A53" s="106" t="s">
        <v>88</v>
      </c>
      <c r="B53" s="107" t="s">
        <v>55</v>
      </c>
      <c r="C53" s="95"/>
      <c r="E53" s="34"/>
      <c r="F53" s="34"/>
      <c r="G53" s="34"/>
      <c r="H53" s="34"/>
      <c r="K53" s="41"/>
      <c r="L53" s="41"/>
      <c r="M53" s="41"/>
      <c r="N53" s="41"/>
      <c r="P53" s="26"/>
      <c r="Q53" s="84"/>
      <c r="S53" s="34"/>
      <c r="T53" s="34"/>
      <c r="U53" s="34"/>
      <c r="V53" s="34"/>
      <c r="Y53" s="41"/>
      <c r="Z53" s="41"/>
      <c r="AA53" s="41"/>
      <c r="AB53" s="41"/>
      <c r="AD53" s="26"/>
      <c r="AE53" s="84"/>
      <c r="AG53" s="34"/>
      <c r="AH53" s="34"/>
      <c r="AI53" s="34"/>
      <c r="AJ53" s="34"/>
      <c r="AM53" s="41"/>
      <c r="AN53" s="41"/>
      <c r="AO53" s="41"/>
      <c r="AP53" s="41"/>
      <c r="AR53" s="26"/>
      <c r="AS53" s="84"/>
      <c r="AT53" s="108"/>
      <c r="AV53" s="34"/>
      <c r="AW53" s="34"/>
      <c r="AX53" s="34"/>
      <c r="AY53" s="34"/>
      <c r="BB53" s="41"/>
      <c r="BC53" s="41"/>
      <c r="BD53" s="41"/>
      <c r="BE53" s="41"/>
      <c r="BG53" s="26"/>
      <c r="BI53" s="84"/>
      <c r="BK53" s="46"/>
      <c r="BL53" s="12">
        <f t="shared" si="35"/>
        <v>0.90697674418604646</v>
      </c>
      <c r="BM53" s="13">
        <f t="shared" si="36"/>
        <v>0</v>
      </c>
      <c r="BN53" s="101">
        <v>69</v>
      </c>
      <c r="BO53" s="52"/>
      <c r="BP53" s="58">
        <v>1.95</v>
      </c>
      <c r="BQ53" s="59">
        <v>46</v>
      </c>
    </row>
    <row r="54" spans="1:69" ht="24" customHeight="1" outlineLevel="1" x14ac:dyDescent="0.35">
      <c r="A54" s="106" t="s">
        <v>89</v>
      </c>
      <c r="B54" s="107" t="s">
        <v>58</v>
      </c>
      <c r="C54" s="95"/>
      <c r="E54" s="34"/>
      <c r="F54" s="34"/>
      <c r="G54" s="34"/>
      <c r="H54" s="34"/>
      <c r="K54" s="41"/>
      <c r="L54" s="41"/>
      <c r="M54" s="41"/>
      <c r="N54" s="41"/>
      <c r="P54" s="26"/>
      <c r="Q54" s="84"/>
      <c r="S54" s="34"/>
      <c r="T54" s="34"/>
      <c r="U54" s="34"/>
      <c r="V54" s="34"/>
      <c r="Y54" s="41"/>
      <c r="Z54" s="41"/>
      <c r="AA54" s="41"/>
      <c r="AB54" s="41"/>
      <c r="AD54" s="26"/>
      <c r="AE54" s="84"/>
      <c r="AG54" s="34"/>
      <c r="AH54" s="34"/>
      <c r="AI54" s="34"/>
      <c r="AJ54" s="34"/>
      <c r="AM54" s="41"/>
      <c r="AN54" s="41"/>
      <c r="AO54" s="41"/>
      <c r="AP54" s="41"/>
      <c r="AR54" s="26"/>
      <c r="AS54" s="84"/>
      <c r="AT54" s="108"/>
      <c r="AV54" s="34"/>
      <c r="AW54" s="34"/>
      <c r="AX54" s="34"/>
      <c r="AY54" s="34"/>
      <c r="BB54" s="41"/>
      <c r="BC54" s="41"/>
      <c r="BD54" s="41"/>
      <c r="BE54" s="41"/>
      <c r="BG54" s="26"/>
      <c r="BI54" s="84"/>
      <c r="BK54" s="46"/>
      <c r="BL54" s="12">
        <f t="shared" si="35"/>
        <v>0.90697674418604646</v>
      </c>
      <c r="BM54" s="13">
        <f t="shared" si="36"/>
        <v>0</v>
      </c>
      <c r="BN54" s="101">
        <v>69</v>
      </c>
      <c r="BO54" s="52"/>
      <c r="BP54" s="58">
        <v>1.95</v>
      </c>
      <c r="BQ54" s="59">
        <v>46</v>
      </c>
    </row>
    <row r="55" spans="1:69" ht="24" customHeight="1" outlineLevel="1" x14ac:dyDescent="0.35">
      <c r="A55" s="106" t="s">
        <v>90</v>
      </c>
      <c r="B55" s="107" t="s">
        <v>65</v>
      </c>
      <c r="C55" s="95"/>
      <c r="E55" s="34"/>
      <c r="F55" s="34"/>
      <c r="G55" s="34"/>
      <c r="H55" s="34"/>
      <c r="K55" s="41"/>
      <c r="L55" s="41"/>
      <c r="M55" s="41"/>
      <c r="N55" s="41"/>
      <c r="P55" s="26"/>
      <c r="Q55" s="84"/>
      <c r="S55" s="34"/>
      <c r="T55" s="34"/>
      <c r="U55" s="34"/>
      <c r="V55" s="34"/>
      <c r="Y55" s="41"/>
      <c r="Z55" s="41"/>
      <c r="AA55" s="41"/>
      <c r="AB55" s="41"/>
      <c r="AD55" s="26"/>
      <c r="AE55" s="84"/>
      <c r="AG55" s="34"/>
      <c r="AH55" s="34"/>
      <c r="AI55" s="34"/>
      <c r="AJ55" s="34"/>
      <c r="AM55" s="41"/>
      <c r="AN55" s="41"/>
      <c r="AO55" s="41"/>
      <c r="AP55" s="41"/>
      <c r="AR55" s="26"/>
      <c r="AS55" s="84"/>
      <c r="AT55" s="108"/>
      <c r="AV55" s="34"/>
      <c r="AW55" s="34"/>
      <c r="AX55" s="34"/>
      <c r="AY55" s="34"/>
      <c r="BB55" s="41"/>
      <c r="BC55" s="41"/>
      <c r="BD55" s="41"/>
      <c r="BE55" s="41"/>
      <c r="BG55" s="26"/>
      <c r="BI55" s="84"/>
      <c r="BK55" s="46"/>
      <c r="BL55" s="12">
        <f t="shared" si="35"/>
        <v>0.90697674418604646</v>
      </c>
      <c r="BM55" s="13">
        <f t="shared" si="36"/>
        <v>0</v>
      </c>
      <c r="BN55" s="101">
        <v>69</v>
      </c>
      <c r="BO55" s="52"/>
      <c r="BP55" s="58">
        <v>1.95</v>
      </c>
      <c r="BQ55" s="59">
        <v>46</v>
      </c>
    </row>
    <row r="56" spans="1:69" ht="24" customHeight="1" outlineLevel="1" x14ac:dyDescent="0.35">
      <c r="A56" s="106" t="s">
        <v>91</v>
      </c>
      <c r="B56" s="107" t="s">
        <v>72</v>
      </c>
      <c r="C56" s="95"/>
      <c r="E56" s="34"/>
      <c r="F56" s="34"/>
      <c r="G56" s="34"/>
      <c r="H56" s="34"/>
      <c r="K56" s="41"/>
      <c r="L56" s="41"/>
      <c r="M56" s="41"/>
      <c r="N56" s="41"/>
      <c r="P56" s="26"/>
      <c r="Q56" s="84"/>
      <c r="S56" s="34"/>
      <c r="T56" s="34"/>
      <c r="U56" s="34"/>
      <c r="V56" s="34"/>
      <c r="Y56" s="41"/>
      <c r="Z56" s="41"/>
      <c r="AA56" s="41"/>
      <c r="AB56" s="41"/>
      <c r="AD56" s="26"/>
      <c r="AE56" s="84"/>
      <c r="AG56" s="34"/>
      <c r="AH56" s="34"/>
      <c r="AI56" s="34"/>
      <c r="AJ56" s="34"/>
      <c r="AM56" s="41"/>
      <c r="AN56" s="41"/>
      <c r="AO56" s="41"/>
      <c r="AP56" s="41"/>
      <c r="AR56" s="26"/>
      <c r="AS56" s="84"/>
      <c r="AT56" s="108"/>
      <c r="AV56" s="34"/>
      <c r="AW56" s="34"/>
      <c r="AX56" s="34"/>
      <c r="AY56" s="34"/>
      <c r="BB56" s="41"/>
      <c r="BC56" s="41"/>
      <c r="BD56" s="41"/>
      <c r="BE56" s="41"/>
      <c r="BG56" s="26"/>
      <c r="BI56" s="84"/>
      <c r="BK56" s="46"/>
      <c r="BL56" s="12">
        <f t="shared" si="35"/>
        <v>0.90697674418604646</v>
      </c>
      <c r="BM56" s="13">
        <f t="shared" si="36"/>
        <v>0</v>
      </c>
      <c r="BN56" s="101">
        <v>69</v>
      </c>
      <c r="BO56" s="52"/>
      <c r="BP56" s="58">
        <v>1.95</v>
      </c>
      <c r="BQ56" s="59">
        <v>46</v>
      </c>
    </row>
    <row r="57" spans="1:69" ht="24" customHeight="1" x14ac:dyDescent="0.35">
      <c r="A57" s="103">
        <v>11</v>
      </c>
      <c r="B57" s="114" t="s">
        <v>14</v>
      </c>
      <c r="C57" s="95" t="s">
        <v>16</v>
      </c>
      <c r="E57" s="34"/>
      <c r="F57" s="34"/>
      <c r="G57" s="34"/>
      <c r="H57" s="34"/>
      <c r="I57" s="40"/>
      <c r="J57" s="40"/>
      <c r="K57" s="42" t="s">
        <v>16</v>
      </c>
      <c r="L57" s="42" t="s">
        <v>16</v>
      </c>
      <c r="M57" s="42" t="s">
        <v>16</v>
      </c>
      <c r="N57" s="42" t="s">
        <v>16</v>
      </c>
      <c r="P57" s="26" t="s">
        <v>16</v>
      </c>
      <c r="Q57" s="86" t="s">
        <v>16</v>
      </c>
      <c r="S57" s="34"/>
      <c r="T57" s="34"/>
      <c r="U57" s="34"/>
      <c r="V57" s="34"/>
      <c r="X57" s="40"/>
      <c r="Y57" s="42" t="s">
        <v>16</v>
      </c>
      <c r="Z57" s="42" t="s">
        <v>16</v>
      </c>
      <c r="AA57" s="42" t="s">
        <v>16</v>
      </c>
      <c r="AB57" s="42" t="s">
        <v>16</v>
      </c>
      <c r="AC57" s="28"/>
      <c r="AD57" s="26" t="s">
        <v>16</v>
      </c>
      <c r="AE57" s="86" t="s">
        <v>16</v>
      </c>
      <c r="AG57" s="34"/>
      <c r="AH57" s="34"/>
      <c r="AI57" s="34"/>
      <c r="AJ57" s="34"/>
      <c r="AL57" s="40"/>
      <c r="AM57" s="42" t="s">
        <v>16</v>
      </c>
      <c r="AN57" s="42" t="s">
        <v>16</v>
      </c>
      <c r="AO57" s="42" t="s">
        <v>16</v>
      </c>
      <c r="AP57" s="42" t="s">
        <v>16</v>
      </c>
      <c r="AR57" s="26" t="s">
        <v>16</v>
      </c>
      <c r="AS57" s="86" t="s">
        <v>16</v>
      </c>
      <c r="AT57" s="109"/>
      <c r="AV57" s="34"/>
      <c r="AW57" s="34"/>
      <c r="AX57" s="34"/>
      <c r="AY57" s="34"/>
      <c r="BA57" s="40"/>
      <c r="BB57" s="42" t="s">
        <v>16</v>
      </c>
      <c r="BC57" s="42" t="s">
        <v>16</v>
      </c>
      <c r="BD57" s="42" t="s">
        <v>16</v>
      </c>
      <c r="BE57" s="42" t="s">
        <v>16</v>
      </c>
      <c r="BG57" s="26">
        <f>SUM(BA57:BE57)</f>
        <v>0</v>
      </c>
      <c r="BI57" s="86" t="s">
        <v>16</v>
      </c>
      <c r="BK57" s="47" t="s">
        <v>16</v>
      </c>
      <c r="BL57" s="29">
        <f>40/50</f>
        <v>0.8</v>
      </c>
      <c r="BM57" s="30" t="s">
        <v>16</v>
      </c>
      <c r="BN57" s="102">
        <v>100</v>
      </c>
      <c r="BO57" s="52" t="s">
        <v>92</v>
      </c>
      <c r="BP57" s="60" t="s">
        <v>16</v>
      </c>
      <c r="BQ57" s="59">
        <v>46</v>
      </c>
    </row>
    <row r="58" spans="1:69" ht="24" customHeight="1" outlineLevel="1" x14ac:dyDescent="0.35">
      <c r="A58" s="106" t="s">
        <v>87</v>
      </c>
      <c r="B58" s="107" t="s">
        <v>45</v>
      </c>
      <c r="C58" s="95"/>
      <c r="E58" s="34"/>
      <c r="F58" s="34"/>
      <c r="G58" s="34"/>
      <c r="H58" s="34"/>
      <c r="K58" s="41"/>
      <c r="L58" s="41"/>
      <c r="M58" s="41"/>
      <c r="N58" s="41"/>
      <c r="P58" s="26"/>
      <c r="Q58" s="84"/>
      <c r="S58" s="34"/>
      <c r="T58" s="34"/>
      <c r="U58" s="34"/>
      <c r="V58" s="34"/>
      <c r="Y58" s="41"/>
      <c r="Z58" s="41"/>
      <c r="AA58" s="41"/>
      <c r="AB58" s="41"/>
      <c r="AD58" s="26"/>
      <c r="AE58" s="84"/>
      <c r="AG58" s="34"/>
      <c r="AH58" s="34"/>
      <c r="AI58" s="34"/>
      <c r="AJ58" s="34"/>
      <c r="AM58" s="41"/>
      <c r="AN58" s="41"/>
      <c r="AO58" s="41"/>
      <c r="AP58" s="41"/>
      <c r="AR58" s="26"/>
      <c r="AS58" s="84"/>
      <c r="AT58" s="108"/>
      <c r="AV58" s="34"/>
      <c r="AW58" s="34"/>
      <c r="AX58" s="34"/>
      <c r="AY58" s="34"/>
      <c r="BB58" s="41"/>
      <c r="BC58" s="41"/>
      <c r="BD58" s="41"/>
      <c r="BE58" s="41"/>
      <c r="BG58" s="26"/>
      <c r="BI58" s="84"/>
      <c r="BK58" s="46"/>
      <c r="BL58" s="29">
        <f t="shared" ref="BL58:BL62" si="37">40/50</f>
        <v>0.8</v>
      </c>
      <c r="BM58" s="30" t="s">
        <v>16</v>
      </c>
      <c r="BN58" s="102">
        <v>100</v>
      </c>
      <c r="BO58" s="52"/>
      <c r="BP58" s="60" t="s">
        <v>16</v>
      </c>
      <c r="BQ58" s="59">
        <v>47</v>
      </c>
    </row>
    <row r="59" spans="1:69" ht="24" customHeight="1" outlineLevel="1" x14ac:dyDescent="0.35">
      <c r="A59" s="106" t="s">
        <v>88</v>
      </c>
      <c r="B59" s="107" t="s">
        <v>55</v>
      </c>
      <c r="C59" s="95"/>
      <c r="E59" s="34"/>
      <c r="F59" s="34"/>
      <c r="G59" s="34"/>
      <c r="H59" s="34"/>
      <c r="K59" s="41"/>
      <c r="L59" s="41"/>
      <c r="M59" s="41"/>
      <c r="N59" s="41"/>
      <c r="P59" s="26"/>
      <c r="Q59" s="84"/>
      <c r="S59" s="34"/>
      <c r="T59" s="34"/>
      <c r="U59" s="34"/>
      <c r="V59" s="34"/>
      <c r="Y59" s="41"/>
      <c r="Z59" s="41"/>
      <c r="AA59" s="41"/>
      <c r="AB59" s="41"/>
      <c r="AD59" s="26"/>
      <c r="AE59" s="84"/>
      <c r="AG59" s="34"/>
      <c r="AH59" s="34"/>
      <c r="AI59" s="34"/>
      <c r="AJ59" s="34"/>
      <c r="AM59" s="41"/>
      <c r="AN59" s="41"/>
      <c r="AO59" s="41"/>
      <c r="AP59" s="41"/>
      <c r="AR59" s="26"/>
      <c r="AS59" s="84"/>
      <c r="AT59" s="108"/>
      <c r="AV59" s="34"/>
      <c r="AW59" s="34"/>
      <c r="AX59" s="34"/>
      <c r="AY59" s="34"/>
      <c r="BB59" s="41"/>
      <c r="BC59" s="41"/>
      <c r="BD59" s="41"/>
      <c r="BE59" s="41"/>
      <c r="BG59" s="26"/>
      <c r="BI59" s="84"/>
      <c r="BK59" s="46"/>
      <c r="BL59" s="29">
        <f t="shared" si="37"/>
        <v>0.8</v>
      </c>
      <c r="BM59" s="30" t="s">
        <v>16</v>
      </c>
      <c r="BN59" s="102">
        <v>100</v>
      </c>
      <c r="BO59" s="52"/>
      <c r="BP59" s="60" t="s">
        <v>16</v>
      </c>
      <c r="BQ59" s="59">
        <v>48</v>
      </c>
    </row>
    <row r="60" spans="1:69" ht="24" customHeight="1" outlineLevel="1" x14ac:dyDescent="0.35">
      <c r="A60" s="106" t="s">
        <v>89</v>
      </c>
      <c r="B60" s="107" t="s">
        <v>58</v>
      </c>
      <c r="C60" s="95"/>
      <c r="E60" s="34"/>
      <c r="F60" s="34"/>
      <c r="G60" s="34"/>
      <c r="H60" s="34"/>
      <c r="K60" s="41"/>
      <c r="L60" s="41"/>
      <c r="M60" s="41"/>
      <c r="N60" s="41"/>
      <c r="P60" s="26"/>
      <c r="Q60" s="84"/>
      <c r="S60" s="34"/>
      <c r="T60" s="34"/>
      <c r="U60" s="34"/>
      <c r="V60" s="34"/>
      <c r="Y60" s="41"/>
      <c r="Z60" s="41"/>
      <c r="AA60" s="41"/>
      <c r="AB60" s="41"/>
      <c r="AD60" s="26"/>
      <c r="AE60" s="84"/>
      <c r="AG60" s="34"/>
      <c r="AH60" s="34"/>
      <c r="AI60" s="34"/>
      <c r="AJ60" s="34"/>
      <c r="AM60" s="41"/>
      <c r="AN60" s="41"/>
      <c r="AO60" s="41"/>
      <c r="AP60" s="41"/>
      <c r="AR60" s="26"/>
      <c r="AS60" s="84"/>
      <c r="AT60" s="108"/>
      <c r="AV60" s="34"/>
      <c r="AW60" s="34"/>
      <c r="AX60" s="34"/>
      <c r="AY60" s="34"/>
      <c r="BB60" s="41"/>
      <c r="BC60" s="41"/>
      <c r="BD60" s="41"/>
      <c r="BE60" s="41"/>
      <c r="BG60" s="26"/>
      <c r="BI60" s="84"/>
      <c r="BK60" s="46"/>
      <c r="BL60" s="29">
        <f t="shared" si="37"/>
        <v>0.8</v>
      </c>
      <c r="BM60" s="30" t="s">
        <v>16</v>
      </c>
      <c r="BN60" s="102">
        <v>100</v>
      </c>
      <c r="BO60" s="52"/>
      <c r="BP60" s="60" t="s">
        <v>16</v>
      </c>
      <c r="BQ60" s="59">
        <v>49</v>
      </c>
    </row>
    <row r="61" spans="1:69" ht="24" customHeight="1" outlineLevel="1" x14ac:dyDescent="0.35">
      <c r="A61" s="106" t="s">
        <v>90</v>
      </c>
      <c r="B61" s="107" t="s">
        <v>65</v>
      </c>
      <c r="C61" s="95"/>
      <c r="E61" s="34"/>
      <c r="F61" s="34"/>
      <c r="G61" s="34"/>
      <c r="H61" s="34"/>
      <c r="K61" s="41"/>
      <c r="L61" s="41"/>
      <c r="M61" s="41"/>
      <c r="N61" s="41"/>
      <c r="P61" s="26"/>
      <c r="Q61" s="84"/>
      <c r="S61" s="34"/>
      <c r="T61" s="34"/>
      <c r="U61" s="34"/>
      <c r="V61" s="34"/>
      <c r="Y61" s="41"/>
      <c r="Z61" s="41"/>
      <c r="AA61" s="41"/>
      <c r="AB61" s="41"/>
      <c r="AD61" s="26"/>
      <c r="AE61" s="84"/>
      <c r="AG61" s="34"/>
      <c r="AH61" s="34"/>
      <c r="AI61" s="34"/>
      <c r="AJ61" s="34"/>
      <c r="AM61" s="41"/>
      <c r="AN61" s="41"/>
      <c r="AO61" s="41"/>
      <c r="AP61" s="41"/>
      <c r="AR61" s="26"/>
      <c r="AS61" s="84"/>
      <c r="AT61" s="108"/>
      <c r="AV61" s="34"/>
      <c r="AW61" s="34"/>
      <c r="AX61" s="34"/>
      <c r="AY61" s="34"/>
      <c r="BB61" s="41"/>
      <c r="BC61" s="41"/>
      <c r="BD61" s="41"/>
      <c r="BE61" s="41"/>
      <c r="BG61" s="26"/>
      <c r="BI61" s="84"/>
      <c r="BK61" s="46"/>
      <c r="BL61" s="29">
        <f t="shared" si="37"/>
        <v>0.8</v>
      </c>
      <c r="BM61" s="30" t="s">
        <v>16</v>
      </c>
      <c r="BN61" s="102">
        <v>100</v>
      </c>
      <c r="BO61" s="52"/>
      <c r="BP61" s="60" t="s">
        <v>16</v>
      </c>
      <c r="BQ61" s="59">
        <v>50</v>
      </c>
    </row>
    <row r="62" spans="1:69" ht="24" customHeight="1" outlineLevel="1" x14ac:dyDescent="0.35">
      <c r="A62" s="106" t="s">
        <v>91</v>
      </c>
      <c r="B62" s="107" t="s">
        <v>72</v>
      </c>
      <c r="C62" s="95"/>
      <c r="E62" s="34"/>
      <c r="F62" s="34"/>
      <c r="G62" s="34"/>
      <c r="H62" s="34"/>
      <c r="K62" s="41"/>
      <c r="L62" s="41"/>
      <c r="M62" s="41"/>
      <c r="N62" s="41"/>
      <c r="P62" s="26"/>
      <c r="Q62" s="84"/>
      <c r="S62" s="34"/>
      <c r="T62" s="34"/>
      <c r="U62" s="34"/>
      <c r="V62" s="34"/>
      <c r="Y62" s="41"/>
      <c r="Z62" s="41"/>
      <c r="AA62" s="41"/>
      <c r="AB62" s="41"/>
      <c r="AD62" s="26"/>
      <c r="AE62" s="84"/>
      <c r="AG62" s="34"/>
      <c r="AH62" s="34"/>
      <c r="AI62" s="34"/>
      <c r="AJ62" s="34"/>
      <c r="AM62" s="41"/>
      <c r="AN62" s="41"/>
      <c r="AO62" s="41"/>
      <c r="AP62" s="41"/>
      <c r="AR62" s="26"/>
      <c r="AS62" s="84"/>
      <c r="AT62" s="108"/>
      <c r="AV62" s="34"/>
      <c r="AW62" s="34"/>
      <c r="AX62" s="34"/>
      <c r="AY62" s="34"/>
      <c r="BB62" s="41"/>
      <c r="BC62" s="41"/>
      <c r="BD62" s="41"/>
      <c r="BE62" s="41"/>
      <c r="BG62" s="26"/>
      <c r="BI62" s="84"/>
      <c r="BK62" s="46"/>
      <c r="BL62" s="29">
        <f t="shared" si="37"/>
        <v>0.8</v>
      </c>
      <c r="BM62" s="30" t="s">
        <v>16</v>
      </c>
      <c r="BN62" s="102">
        <v>100</v>
      </c>
      <c r="BO62" s="52"/>
      <c r="BP62" s="60" t="s">
        <v>16</v>
      </c>
      <c r="BQ62" s="59">
        <v>51</v>
      </c>
    </row>
    <row r="63" spans="1:69" s="19" customFormat="1" ht="17.25" thickBot="1" x14ac:dyDescent="0.35">
      <c r="A63" s="103"/>
      <c r="C63" s="96">
        <f>SUM(C3:C62)</f>
        <v>17650000</v>
      </c>
      <c r="D63" s="99"/>
      <c r="E63" s="62"/>
      <c r="F63" s="62"/>
      <c r="G63" s="62"/>
      <c r="H63" s="62"/>
      <c r="K63" s="61"/>
      <c r="L63" s="61"/>
      <c r="M63" s="61"/>
      <c r="N63" s="61"/>
      <c r="O63" s="20"/>
      <c r="P63" s="31"/>
      <c r="Q63" s="96">
        <f>SUM(Q3:Q62)</f>
        <v>15990000</v>
      </c>
      <c r="R63" s="20"/>
      <c r="S63" s="62"/>
      <c r="T63" s="62"/>
      <c r="U63" s="62"/>
      <c r="V63" s="62"/>
      <c r="Y63" s="61"/>
      <c r="Z63" s="61"/>
      <c r="AA63" s="61"/>
      <c r="AB63" s="61"/>
      <c r="AD63" s="31"/>
      <c r="AE63" s="87"/>
      <c r="AF63" s="20"/>
      <c r="AG63" s="62"/>
      <c r="AH63" s="62"/>
      <c r="AI63" s="62"/>
      <c r="AJ63" s="62"/>
      <c r="AM63" s="61"/>
      <c r="AN63" s="61"/>
      <c r="AO63" s="61"/>
      <c r="AP63" s="61"/>
      <c r="AQ63" s="20"/>
      <c r="AR63" s="31"/>
      <c r="AS63" s="87"/>
      <c r="AT63" s="100"/>
      <c r="AU63" s="20"/>
      <c r="AV63" s="62"/>
      <c r="AW63" s="62"/>
      <c r="AX63" s="62"/>
      <c r="AY63" s="62"/>
      <c r="BB63" s="61">
        <f>SUM(BB39:BB62)</f>
        <v>0</v>
      </c>
      <c r="BC63" s="61">
        <f>SUM(BC39:BC62)</f>
        <v>0</v>
      </c>
      <c r="BD63" s="61">
        <f>SUM(BD39:BD62)</f>
        <v>0</v>
      </c>
      <c r="BE63" s="61">
        <f>SUM(BE39:BE62)</f>
        <v>0</v>
      </c>
      <c r="BG63" s="31">
        <f>SUM(BG3:BG62)</f>
        <v>0</v>
      </c>
      <c r="BH63" s="20"/>
      <c r="BI63" s="87">
        <f>SUM(BI3:BI62)</f>
        <v>15990000</v>
      </c>
      <c r="BK63" s="27">
        <f>SUM(BK3:BK62)</f>
        <v>4803.8</v>
      </c>
    </row>
    <row r="64" spans="1:69" s="22" customFormat="1" ht="17.25" thickTop="1" x14ac:dyDescent="0.3">
      <c r="A64" s="105"/>
      <c r="C64" s="97"/>
      <c r="D64" s="99"/>
      <c r="O64" s="20"/>
      <c r="Q64" s="88"/>
      <c r="R64" s="20"/>
      <c r="W64" s="19"/>
      <c r="AE64" s="88"/>
      <c r="AF64" s="20"/>
      <c r="AK64" s="19"/>
      <c r="AQ64" s="20"/>
      <c r="AS64" s="88"/>
      <c r="AT64" s="88"/>
      <c r="AU64" s="20"/>
      <c r="AZ64" s="19"/>
      <c r="BF64" s="19"/>
      <c r="BH64" s="20"/>
      <c r="BI64" s="91"/>
      <c r="BJ64" s="19"/>
    </row>
    <row r="65" spans="1:63" s="19" customFormat="1" x14ac:dyDescent="0.3">
      <c r="A65" s="103"/>
      <c r="C65" s="93"/>
      <c r="D65" s="99"/>
      <c r="K65" s="20"/>
      <c r="L65" s="20"/>
      <c r="M65" s="20"/>
      <c r="N65" s="20"/>
      <c r="O65" s="20"/>
      <c r="P65" s="20"/>
      <c r="Q65" s="81"/>
      <c r="R65" s="20"/>
      <c r="Y65" s="20"/>
      <c r="Z65" s="20"/>
      <c r="AA65" s="20"/>
      <c r="AB65" s="20"/>
      <c r="AD65" s="20"/>
      <c r="AE65" s="81"/>
      <c r="AF65" s="20"/>
      <c r="AM65" s="20"/>
      <c r="AN65" s="20"/>
      <c r="AO65" s="20"/>
      <c r="AP65" s="20"/>
      <c r="AQ65" s="20"/>
      <c r="AR65" s="20"/>
      <c r="AS65" s="81"/>
      <c r="AT65" s="81"/>
      <c r="AU65" s="20"/>
      <c r="BB65" s="20"/>
      <c r="BC65" s="20"/>
      <c r="BD65" s="20"/>
      <c r="BE65" s="20"/>
      <c r="BG65" s="20"/>
      <c r="BH65" s="20"/>
      <c r="BI65" s="90"/>
    </row>
    <row r="66" spans="1:63" s="19" customFormat="1" x14ac:dyDescent="0.3">
      <c r="A66" s="103"/>
      <c r="C66" s="93">
        <f>0.2*C63</f>
        <v>3530000</v>
      </c>
      <c r="D66" s="99"/>
      <c r="K66" s="20"/>
      <c r="L66" s="20"/>
      <c r="M66" s="20"/>
      <c r="N66" s="20"/>
      <c r="O66" s="20"/>
      <c r="P66" s="110">
        <f>+P67/C63</f>
        <v>0.08</v>
      </c>
      <c r="Q66" s="81"/>
      <c r="R66" s="20"/>
      <c r="Y66" s="20"/>
      <c r="Z66" s="20"/>
      <c r="AA66" s="20"/>
      <c r="AB66" s="20"/>
      <c r="AD66" s="20"/>
      <c r="AE66" s="81"/>
      <c r="AF66" s="20"/>
      <c r="AM66" s="20"/>
      <c r="AN66" s="20"/>
      <c r="AO66" s="20"/>
      <c r="AP66" s="20"/>
      <c r="AQ66" s="20"/>
      <c r="AR66" s="20"/>
      <c r="AS66" s="81"/>
      <c r="AT66" s="81"/>
      <c r="AU66" s="20"/>
      <c r="BB66" s="20"/>
      <c r="BC66" s="20"/>
      <c r="BD66" s="20"/>
      <c r="BE66" s="20"/>
      <c r="BG66" s="20"/>
      <c r="BH66" s="20"/>
      <c r="BI66" s="90"/>
    </row>
    <row r="67" spans="1:63" s="19" customFormat="1" x14ac:dyDescent="0.3">
      <c r="A67" s="103"/>
      <c r="C67" s="93"/>
      <c r="D67" s="99"/>
      <c r="K67" s="20"/>
      <c r="L67" s="20"/>
      <c r="M67" s="20"/>
      <c r="N67" s="20"/>
      <c r="O67" s="20"/>
      <c r="P67" s="20">
        <f>0.08*C63</f>
        <v>1412000</v>
      </c>
      <c r="Q67" s="81"/>
      <c r="R67" s="20"/>
      <c r="Y67" s="20"/>
      <c r="Z67" s="20"/>
      <c r="AA67" s="20"/>
      <c r="AB67" s="20"/>
      <c r="AD67" s="20">
        <f>0.08*Q63</f>
        <v>1279200</v>
      </c>
      <c r="AE67" s="81"/>
      <c r="AF67" s="20"/>
      <c r="AM67" s="20"/>
      <c r="AN67" s="20"/>
      <c r="AO67" s="20"/>
      <c r="AP67" s="20"/>
      <c r="AQ67" s="20"/>
      <c r="AR67" s="20">
        <f>0.08*AE63</f>
        <v>0</v>
      </c>
      <c r="AS67" s="81"/>
      <c r="AT67" s="81"/>
      <c r="AU67" s="20"/>
      <c r="BB67" s="20"/>
      <c r="BC67" s="20"/>
      <c r="BD67" s="20"/>
      <c r="BE67" s="20"/>
      <c r="BG67" s="20">
        <f>0.08*AS63</f>
        <v>0</v>
      </c>
      <c r="BH67" s="20"/>
      <c r="BI67" s="90"/>
      <c r="BK67" s="19">
        <f>32/27</f>
        <v>1.1851851851851851</v>
      </c>
    </row>
    <row r="68" spans="1:63" s="19" customFormat="1" x14ac:dyDescent="0.3">
      <c r="A68" s="103"/>
      <c r="C68" s="93"/>
      <c r="D68" s="99"/>
      <c r="K68" s="20"/>
      <c r="L68" s="20"/>
      <c r="M68" s="20"/>
      <c r="N68" s="20"/>
      <c r="O68" s="20"/>
      <c r="P68" s="20"/>
      <c r="Q68" s="81"/>
      <c r="R68" s="20"/>
      <c r="Y68" s="20"/>
      <c r="Z68" s="20"/>
      <c r="AA68" s="20"/>
      <c r="AB68" s="20"/>
      <c r="AD68" s="20"/>
      <c r="AE68" s="81"/>
      <c r="AF68" s="20"/>
      <c r="AM68" s="20"/>
      <c r="AN68" s="20"/>
      <c r="AO68" s="20"/>
      <c r="AP68" s="20"/>
      <c r="AQ68" s="20"/>
      <c r="AR68" s="20"/>
      <c r="AS68" s="81"/>
      <c r="AT68" s="81"/>
      <c r="AU68" s="20"/>
      <c r="BB68" s="20"/>
      <c r="BC68" s="20"/>
      <c r="BD68" s="20"/>
      <c r="BE68" s="20"/>
      <c r="BG68" s="20"/>
      <c r="BH68" s="20"/>
      <c r="BI68" s="90"/>
    </row>
    <row r="69" spans="1:63" s="19" customFormat="1" x14ac:dyDescent="0.3">
      <c r="A69" s="103"/>
      <c r="C69" s="93"/>
      <c r="D69" s="99"/>
      <c r="K69" s="20"/>
      <c r="L69" s="20"/>
      <c r="M69" s="20"/>
      <c r="N69" s="20"/>
      <c r="O69" s="20"/>
      <c r="P69" s="20"/>
      <c r="Q69" s="81"/>
      <c r="R69" s="20"/>
      <c r="Y69" s="20"/>
      <c r="Z69" s="20"/>
      <c r="AA69" s="20"/>
      <c r="AB69" s="20"/>
      <c r="AD69" s="20"/>
      <c r="AE69" s="81"/>
      <c r="AF69" s="20"/>
      <c r="AM69" s="20"/>
      <c r="AN69" s="20"/>
      <c r="AO69" s="20"/>
      <c r="AP69" s="20"/>
      <c r="AQ69" s="20"/>
      <c r="AR69" s="20"/>
      <c r="AS69" s="81"/>
      <c r="AT69" s="81"/>
      <c r="AU69" s="20"/>
      <c r="BB69" s="20"/>
      <c r="BC69" s="20"/>
      <c r="BD69" s="20"/>
      <c r="BE69" s="20"/>
      <c r="BG69" s="20"/>
      <c r="BH69" s="20"/>
      <c r="BI69" s="90"/>
    </row>
    <row r="70" spans="1:63" s="19" customFormat="1" x14ac:dyDescent="0.3">
      <c r="A70" s="103"/>
      <c r="C70" s="93"/>
      <c r="D70" s="99"/>
      <c r="K70" s="20"/>
      <c r="L70" s="20"/>
      <c r="M70" s="20"/>
      <c r="N70" s="20"/>
      <c r="O70" s="20"/>
      <c r="P70" s="20"/>
      <c r="Q70" s="81"/>
      <c r="R70" s="20"/>
      <c r="Y70" s="20"/>
      <c r="Z70" s="20"/>
      <c r="AA70" s="20"/>
      <c r="AB70" s="20"/>
      <c r="AD70" s="20"/>
      <c r="AE70" s="81"/>
      <c r="AF70" s="20"/>
      <c r="AM70" s="20"/>
      <c r="AN70" s="20"/>
      <c r="AO70" s="20"/>
      <c r="AP70" s="20"/>
      <c r="AQ70" s="20"/>
      <c r="AR70" s="20"/>
      <c r="AS70" s="81"/>
      <c r="AT70" s="81"/>
      <c r="AU70" s="20"/>
      <c r="BB70" s="20"/>
      <c r="BC70" s="20"/>
      <c r="BD70" s="20"/>
      <c r="BE70" s="20"/>
      <c r="BG70" s="20"/>
      <c r="BH70" s="20"/>
      <c r="BI70" s="90"/>
    </row>
    <row r="71" spans="1:63" s="19" customFormat="1" x14ac:dyDescent="0.3">
      <c r="A71" s="103"/>
      <c r="C71" s="93"/>
      <c r="D71" s="99"/>
      <c r="K71" s="20"/>
      <c r="L71" s="20"/>
      <c r="M71" s="20"/>
      <c r="N71" s="20"/>
      <c r="O71" s="20"/>
      <c r="P71" s="20"/>
      <c r="Q71" s="81"/>
      <c r="R71" s="20"/>
      <c r="Y71" s="20"/>
      <c r="Z71" s="20"/>
      <c r="AA71" s="20"/>
      <c r="AB71" s="20"/>
      <c r="AD71" s="20"/>
      <c r="AE71" s="81"/>
      <c r="AF71" s="20"/>
      <c r="AM71" s="20"/>
      <c r="AN71" s="20"/>
      <c r="AO71" s="20"/>
      <c r="AP71" s="20"/>
      <c r="AQ71" s="20"/>
      <c r="AR71" s="20"/>
      <c r="AS71" s="81"/>
      <c r="AT71" s="81"/>
      <c r="AU71" s="20"/>
      <c r="BB71" s="20"/>
      <c r="BC71" s="20"/>
      <c r="BD71" s="20"/>
      <c r="BE71" s="20"/>
      <c r="BG71" s="20"/>
      <c r="BH71" s="20"/>
      <c r="BI71" s="90"/>
    </row>
    <row r="72" spans="1:63" s="19" customFormat="1" x14ac:dyDescent="0.3">
      <c r="A72" s="103"/>
      <c r="C72" s="93"/>
      <c r="D72" s="99"/>
      <c r="K72" s="20"/>
      <c r="L72" s="20"/>
      <c r="M72" s="20"/>
      <c r="N72" s="20"/>
      <c r="O72" s="20"/>
      <c r="P72" s="20"/>
      <c r="Q72" s="81"/>
      <c r="R72" s="20"/>
      <c r="Y72" s="20"/>
      <c r="Z72" s="20"/>
      <c r="AA72" s="20"/>
      <c r="AB72" s="20"/>
      <c r="AD72" s="20"/>
      <c r="AE72" s="81"/>
      <c r="AF72" s="20"/>
      <c r="AM72" s="20"/>
      <c r="AN72" s="20"/>
      <c r="AO72" s="20"/>
      <c r="AP72" s="20"/>
      <c r="AQ72" s="20"/>
      <c r="AR72" s="20"/>
      <c r="AS72" s="81"/>
      <c r="AT72" s="81"/>
      <c r="AU72" s="20"/>
      <c r="BB72" s="20"/>
      <c r="BC72" s="20"/>
      <c r="BD72" s="20"/>
      <c r="BE72" s="20"/>
      <c r="BG72" s="20"/>
      <c r="BH72" s="20"/>
      <c r="BI72" s="90"/>
    </row>
    <row r="73" spans="1:63" s="19" customFormat="1" x14ac:dyDescent="0.3">
      <c r="A73" s="103"/>
      <c r="C73" s="93"/>
      <c r="D73" s="99"/>
      <c r="K73" s="20"/>
      <c r="L73" s="20"/>
      <c r="M73" s="20"/>
      <c r="N73" s="20"/>
      <c r="O73" s="20"/>
      <c r="P73" s="20"/>
      <c r="Q73" s="81"/>
      <c r="R73" s="20"/>
      <c r="Y73" s="20"/>
      <c r="Z73" s="20"/>
      <c r="AA73" s="20"/>
      <c r="AB73" s="20"/>
      <c r="AD73" s="20"/>
      <c r="AE73" s="81"/>
      <c r="AF73" s="20"/>
      <c r="AM73" s="20"/>
      <c r="AN73" s="20"/>
      <c r="AO73" s="20"/>
      <c r="AP73" s="20"/>
      <c r="AQ73" s="20"/>
      <c r="AR73" s="20"/>
      <c r="AS73" s="81"/>
      <c r="AT73" s="81"/>
      <c r="AU73" s="20"/>
      <c r="BB73" s="20"/>
      <c r="BC73" s="20"/>
      <c r="BD73" s="20"/>
      <c r="BE73" s="20"/>
      <c r="BG73" s="20"/>
      <c r="BH73" s="20"/>
      <c r="BI73" s="90"/>
    </row>
    <row r="74" spans="1:63" s="19" customFormat="1" x14ac:dyDescent="0.3">
      <c r="A74" s="103"/>
      <c r="C74" s="93"/>
      <c r="D74" s="99"/>
      <c r="K74" s="20"/>
      <c r="L74" s="20"/>
      <c r="M74" s="20"/>
      <c r="N74" s="20"/>
      <c r="O74" s="20"/>
      <c r="P74" s="20"/>
      <c r="Q74" s="81"/>
      <c r="R74" s="20"/>
      <c r="Y74" s="20"/>
      <c r="Z74" s="20"/>
      <c r="AA74" s="20"/>
      <c r="AB74" s="20"/>
      <c r="AD74" s="20"/>
      <c r="AE74" s="81"/>
      <c r="AF74" s="20"/>
      <c r="AM74" s="20"/>
      <c r="AN74" s="20"/>
      <c r="AO74" s="20"/>
      <c r="AP74" s="20"/>
      <c r="AQ74" s="20"/>
      <c r="AR74" s="20"/>
      <c r="AS74" s="81"/>
      <c r="AT74" s="81"/>
      <c r="AU74" s="20"/>
      <c r="BB74" s="20"/>
      <c r="BC74" s="20"/>
      <c r="BD74" s="20"/>
      <c r="BE74" s="20"/>
      <c r="BG74" s="20"/>
      <c r="BH74" s="20"/>
      <c r="BI74" s="90"/>
    </row>
    <row r="75" spans="1:63" s="19" customFormat="1" x14ac:dyDescent="0.3">
      <c r="A75" s="103"/>
      <c r="C75" s="93"/>
      <c r="D75" s="99"/>
      <c r="K75" s="20"/>
      <c r="L75" s="20"/>
      <c r="M75" s="20"/>
      <c r="N75" s="20"/>
      <c r="O75" s="20"/>
      <c r="P75" s="20"/>
      <c r="Q75" s="81"/>
      <c r="R75" s="20"/>
      <c r="Y75" s="20"/>
      <c r="Z75" s="20"/>
      <c r="AA75" s="20"/>
      <c r="AB75" s="20"/>
      <c r="AD75" s="20"/>
      <c r="AE75" s="81"/>
      <c r="AF75" s="20"/>
      <c r="AM75" s="20"/>
      <c r="AN75" s="20"/>
      <c r="AO75" s="20"/>
      <c r="AP75" s="20"/>
      <c r="AQ75" s="20"/>
      <c r="AR75" s="20"/>
      <c r="AS75" s="81"/>
      <c r="AT75" s="81"/>
      <c r="AU75" s="20"/>
      <c r="BB75" s="20"/>
      <c r="BC75" s="20"/>
      <c r="BD75" s="20"/>
      <c r="BE75" s="20"/>
      <c r="BG75" s="20"/>
      <c r="BH75" s="20"/>
      <c r="BI75" s="90"/>
    </row>
    <row r="76" spans="1:63" s="19" customFormat="1" x14ac:dyDescent="0.3">
      <c r="A76" s="103"/>
      <c r="C76" s="93"/>
      <c r="D76" s="99"/>
      <c r="K76" s="20"/>
      <c r="L76" s="20"/>
      <c r="M76" s="20"/>
      <c r="N76" s="20"/>
      <c r="O76" s="20"/>
      <c r="P76" s="20"/>
      <c r="Q76" s="81"/>
      <c r="R76" s="20"/>
      <c r="Y76" s="20"/>
      <c r="Z76" s="20"/>
      <c r="AA76" s="20"/>
      <c r="AB76" s="20"/>
      <c r="AD76" s="20"/>
      <c r="AE76" s="81"/>
      <c r="AF76" s="20"/>
      <c r="AM76" s="20"/>
      <c r="AN76" s="20"/>
      <c r="AO76" s="20"/>
      <c r="AP76" s="20"/>
      <c r="AQ76" s="20"/>
      <c r="AR76" s="20"/>
      <c r="AS76" s="81"/>
      <c r="AT76" s="81"/>
      <c r="AU76" s="20"/>
      <c r="BB76" s="20"/>
      <c r="BC76" s="20"/>
      <c r="BD76" s="20"/>
      <c r="BE76" s="20"/>
      <c r="BG76" s="20"/>
      <c r="BH76" s="20"/>
      <c r="BI76" s="90"/>
    </row>
    <row r="77" spans="1:63" s="19" customFormat="1" x14ac:dyDescent="0.3">
      <c r="A77" s="103"/>
      <c r="C77" s="93"/>
      <c r="D77" s="99"/>
      <c r="K77" s="20"/>
      <c r="L77" s="20"/>
      <c r="M77" s="20"/>
      <c r="N77" s="20"/>
      <c r="O77" s="20"/>
      <c r="P77" s="20"/>
      <c r="Q77" s="81"/>
      <c r="R77" s="20"/>
      <c r="Y77" s="20"/>
      <c r="Z77" s="20"/>
      <c r="AA77" s="20"/>
      <c r="AB77" s="20"/>
      <c r="AD77" s="20"/>
      <c r="AE77" s="81"/>
      <c r="AF77" s="20"/>
      <c r="AM77" s="20"/>
      <c r="AN77" s="20"/>
      <c r="AO77" s="20"/>
      <c r="AP77" s="20"/>
      <c r="AQ77" s="20"/>
      <c r="AR77" s="20"/>
      <c r="AS77" s="81"/>
      <c r="AT77" s="81"/>
      <c r="AU77" s="20"/>
      <c r="BB77" s="20"/>
      <c r="BC77" s="20"/>
      <c r="BD77" s="20"/>
      <c r="BE77" s="20"/>
      <c r="BG77" s="20"/>
      <c r="BH77" s="20"/>
      <c r="BI77" s="90"/>
    </row>
    <row r="78" spans="1:63" s="19" customFormat="1" x14ac:dyDescent="0.3">
      <c r="A78" s="103"/>
      <c r="C78" s="93"/>
      <c r="D78" s="99"/>
      <c r="K78" s="20"/>
      <c r="L78" s="20"/>
      <c r="M78" s="20"/>
      <c r="N78" s="20"/>
      <c r="O78" s="20"/>
      <c r="P78" s="20"/>
      <c r="Q78" s="81"/>
      <c r="R78" s="20"/>
      <c r="Y78" s="20"/>
      <c r="Z78" s="20"/>
      <c r="AA78" s="20"/>
      <c r="AB78" s="20"/>
      <c r="AD78" s="20"/>
      <c r="AE78" s="81"/>
      <c r="AF78" s="20"/>
      <c r="AM78" s="20"/>
      <c r="AN78" s="20"/>
      <c r="AO78" s="20"/>
      <c r="AP78" s="20"/>
      <c r="AQ78" s="20"/>
      <c r="AR78" s="20"/>
      <c r="AS78" s="81"/>
      <c r="AT78" s="81"/>
      <c r="AU78" s="20"/>
      <c r="BB78" s="20"/>
      <c r="BC78" s="20"/>
      <c r="BD78" s="20"/>
      <c r="BE78" s="20"/>
      <c r="BG78" s="20"/>
      <c r="BH78" s="20"/>
      <c r="BI78" s="90"/>
    </row>
    <row r="79" spans="1:63" s="19" customFormat="1" x14ac:dyDescent="0.3">
      <c r="A79" s="103"/>
      <c r="C79" s="93"/>
      <c r="D79" s="99"/>
      <c r="K79" s="20"/>
      <c r="L79" s="20"/>
      <c r="M79" s="20"/>
      <c r="N79" s="20"/>
      <c r="O79" s="20"/>
      <c r="P79" s="20"/>
      <c r="Q79" s="81"/>
      <c r="R79" s="20"/>
      <c r="Y79" s="20"/>
      <c r="Z79" s="20"/>
      <c r="AA79" s="20"/>
      <c r="AB79" s="20"/>
      <c r="AD79" s="20"/>
      <c r="AE79" s="81"/>
      <c r="AF79" s="20"/>
      <c r="AM79" s="20"/>
      <c r="AN79" s="20"/>
      <c r="AO79" s="20"/>
      <c r="AP79" s="20"/>
      <c r="AQ79" s="20"/>
      <c r="AR79" s="20"/>
      <c r="AS79" s="81"/>
      <c r="AT79" s="81"/>
      <c r="AU79" s="20"/>
      <c r="BB79" s="20"/>
      <c r="BC79" s="20"/>
      <c r="BD79" s="20"/>
      <c r="BE79" s="20"/>
      <c r="BG79" s="20"/>
      <c r="BH79" s="20"/>
      <c r="BI79" s="90"/>
    </row>
    <row r="80" spans="1:63" s="19" customFormat="1" x14ac:dyDescent="0.3">
      <c r="A80" s="103"/>
      <c r="C80" s="93"/>
      <c r="D80" s="99"/>
      <c r="K80" s="20"/>
      <c r="L80" s="20"/>
      <c r="M80" s="20"/>
      <c r="N80" s="20"/>
      <c r="O80" s="20"/>
      <c r="P80" s="20"/>
      <c r="Q80" s="81"/>
      <c r="R80" s="20"/>
      <c r="Y80" s="20"/>
      <c r="Z80" s="20"/>
      <c r="AA80" s="20"/>
      <c r="AB80" s="20"/>
      <c r="AD80" s="20"/>
      <c r="AE80" s="81"/>
      <c r="AF80" s="20"/>
      <c r="AM80" s="20"/>
      <c r="AN80" s="20"/>
      <c r="AO80" s="20"/>
      <c r="AP80" s="20"/>
      <c r="AQ80" s="20"/>
      <c r="AR80" s="20"/>
      <c r="AS80" s="81"/>
      <c r="AT80" s="81"/>
      <c r="AU80" s="20"/>
      <c r="BB80" s="20"/>
      <c r="BC80" s="20"/>
      <c r="BD80" s="20"/>
      <c r="BE80" s="20"/>
      <c r="BG80" s="20"/>
      <c r="BH80" s="20"/>
      <c r="BI80" s="90"/>
    </row>
    <row r="81" spans="1:61" s="19" customFormat="1" x14ac:dyDescent="0.3">
      <c r="A81" s="103"/>
      <c r="C81" s="93"/>
      <c r="D81" s="99"/>
      <c r="K81" s="20"/>
      <c r="L81" s="20"/>
      <c r="M81" s="20"/>
      <c r="N81" s="20"/>
      <c r="O81" s="20"/>
      <c r="P81" s="20"/>
      <c r="Q81" s="81"/>
      <c r="R81" s="20"/>
      <c r="Y81" s="20"/>
      <c r="Z81" s="20"/>
      <c r="AA81" s="20"/>
      <c r="AB81" s="20"/>
      <c r="AD81" s="20"/>
      <c r="AE81" s="81"/>
      <c r="AF81" s="20"/>
      <c r="AM81" s="20"/>
      <c r="AN81" s="20"/>
      <c r="AO81" s="20"/>
      <c r="AP81" s="20"/>
      <c r="AQ81" s="20"/>
      <c r="AR81" s="20"/>
      <c r="AS81" s="81"/>
      <c r="AT81" s="81"/>
      <c r="AU81" s="20"/>
      <c r="BB81" s="20"/>
      <c r="BC81" s="20"/>
      <c r="BD81" s="20"/>
      <c r="BE81" s="20"/>
      <c r="BG81" s="20"/>
      <c r="BH81" s="20"/>
      <c r="BI81" s="90"/>
    </row>
    <row r="82" spans="1:61" s="19" customFormat="1" x14ac:dyDescent="0.3">
      <c r="A82" s="103"/>
      <c r="C82" s="93"/>
      <c r="D82" s="99"/>
      <c r="K82" s="20"/>
      <c r="L82" s="20"/>
      <c r="M82" s="20"/>
      <c r="N82" s="20"/>
      <c r="O82" s="20"/>
      <c r="P82" s="20"/>
      <c r="Q82" s="81"/>
      <c r="R82" s="20"/>
      <c r="Y82" s="20"/>
      <c r="Z82" s="20"/>
      <c r="AA82" s="20"/>
      <c r="AB82" s="20"/>
      <c r="AD82" s="20"/>
      <c r="AE82" s="81"/>
      <c r="AF82" s="20"/>
      <c r="AM82" s="20"/>
      <c r="AN82" s="20"/>
      <c r="AO82" s="20"/>
      <c r="AP82" s="20"/>
      <c r="AQ82" s="20"/>
      <c r="AR82" s="20"/>
      <c r="AS82" s="81"/>
      <c r="AT82" s="81"/>
      <c r="AU82" s="20"/>
      <c r="BB82" s="20"/>
      <c r="BC82" s="20"/>
      <c r="BD82" s="20"/>
      <c r="BE82" s="20"/>
      <c r="BG82" s="20"/>
      <c r="BH82" s="20"/>
      <c r="BI82" s="90"/>
    </row>
    <row r="83" spans="1:61" s="19" customFormat="1" x14ac:dyDescent="0.3">
      <c r="A83" s="103"/>
      <c r="C83" s="93"/>
      <c r="D83" s="99"/>
      <c r="K83" s="20"/>
      <c r="L83" s="20"/>
      <c r="M83" s="20"/>
      <c r="N83" s="20"/>
      <c r="O83" s="20"/>
      <c r="P83" s="20"/>
      <c r="Q83" s="81"/>
      <c r="R83" s="20"/>
      <c r="Y83" s="20"/>
      <c r="Z83" s="20"/>
      <c r="AA83" s="20"/>
      <c r="AB83" s="20"/>
      <c r="AD83" s="20"/>
      <c r="AE83" s="81"/>
      <c r="AF83" s="20"/>
      <c r="AM83" s="20"/>
      <c r="AN83" s="20"/>
      <c r="AO83" s="20"/>
      <c r="AP83" s="20"/>
      <c r="AQ83" s="20"/>
      <c r="AR83" s="20"/>
      <c r="AS83" s="81"/>
      <c r="AT83" s="81"/>
      <c r="AU83" s="20"/>
      <c r="BB83" s="20"/>
      <c r="BC83" s="20"/>
      <c r="BD83" s="20"/>
      <c r="BE83" s="20"/>
      <c r="BG83" s="20"/>
      <c r="BH83" s="20"/>
      <c r="BI83" s="90"/>
    </row>
    <row r="84" spans="1:61" s="19" customFormat="1" x14ac:dyDescent="0.3">
      <c r="A84" s="103"/>
      <c r="C84" s="93"/>
      <c r="D84" s="99"/>
      <c r="K84" s="20"/>
      <c r="L84" s="20"/>
      <c r="M84" s="20"/>
      <c r="N84" s="20"/>
      <c r="O84" s="20"/>
      <c r="P84" s="20"/>
      <c r="Q84" s="81"/>
      <c r="R84" s="20"/>
      <c r="Y84" s="20"/>
      <c r="Z84" s="20"/>
      <c r="AA84" s="20"/>
      <c r="AB84" s="20"/>
      <c r="AD84" s="20"/>
      <c r="AE84" s="81"/>
      <c r="AF84" s="20"/>
      <c r="AM84" s="20"/>
      <c r="AN84" s="20"/>
      <c r="AO84" s="20"/>
      <c r="AP84" s="20"/>
      <c r="AQ84" s="20"/>
      <c r="AR84" s="20"/>
      <c r="AS84" s="81"/>
      <c r="AT84" s="81"/>
      <c r="AU84" s="20"/>
      <c r="BB84" s="20"/>
      <c r="BC84" s="20"/>
      <c r="BD84" s="20"/>
      <c r="BE84" s="20"/>
      <c r="BG84" s="20"/>
      <c r="BH84" s="20"/>
      <c r="BI84" s="90"/>
    </row>
    <row r="85" spans="1:61" s="19" customFormat="1" x14ac:dyDescent="0.3">
      <c r="A85" s="103"/>
      <c r="C85" s="93"/>
      <c r="D85" s="99"/>
      <c r="K85" s="20"/>
      <c r="L85" s="20"/>
      <c r="M85" s="20"/>
      <c r="N85" s="20"/>
      <c r="O85" s="20"/>
      <c r="P85" s="20"/>
      <c r="Q85" s="81"/>
      <c r="R85" s="20"/>
      <c r="Y85" s="20"/>
      <c r="Z85" s="20"/>
      <c r="AA85" s="20"/>
      <c r="AB85" s="20"/>
      <c r="AD85" s="20"/>
      <c r="AE85" s="81"/>
      <c r="AF85" s="20"/>
      <c r="AM85" s="20"/>
      <c r="AN85" s="20"/>
      <c r="AO85" s="20"/>
      <c r="AP85" s="20"/>
      <c r="AQ85" s="20"/>
      <c r="AR85" s="20"/>
      <c r="AS85" s="81"/>
      <c r="AT85" s="81"/>
      <c r="AU85" s="20"/>
      <c r="BB85" s="20"/>
      <c r="BC85" s="20"/>
      <c r="BD85" s="20"/>
      <c r="BE85" s="20"/>
      <c r="BG85" s="20"/>
      <c r="BH85" s="20"/>
      <c r="BI85" s="90"/>
    </row>
    <row r="86" spans="1:61" s="19" customFormat="1" x14ac:dyDescent="0.3">
      <c r="A86" s="103"/>
      <c r="C86" s="93"/>
      <c r="D86" s="99"/>
      <c r="K86" s="20"/>
      <c r="L86" s="20"/>
      <c r="M86" s="20"/>
      <c r="N86" s="20"/>
      <c r="O86" s="20"/>
      <c r="P86" s="20"/>
      <c r="Q86" s="81"/>
      <c r="R86" s="20"/>
      <c r="Y86" s="20"/>
      <c r="Z86" s="20"/>
      <c r="AA86" s="20"/>
      <c r="AB86" s="20"/>
      <c r="AD86" s="20"/>
      <c r="AE86" s="81"/>
      <c r="AF86" s="20"/>
      <c r="AM86" s="20"/>
      <c r="AN86" s="20"/>
      <c r="AO86" s="20"/>
      <c r="AP86" s="20"/>
      <c r="AQ86" s="20"/>
      <c r="AR86" s="20"/>
      <c r="AS86" s="81"/>
      <c r="AT86" s="81"/>
      <c r="AU86" s="20"/>
      <c r="BB86" s="20"/>
      <c r="BC86" s="20"/>
      <c r="BD86" s="20"/>
      <c r="BE86" s="20"/>
      <c r="BG86" s="20"/>
      <c r="BH86" s="20"/>
      <c r="BI86" s="90"/>
    </row>
    <row r="87" spans="1:61" s="19" customFormat="1" x14ac:dyDescent="0.3">
      <c r="A87" s="103"/>
      <c r="C87" s="93"/>
      <c r="D87" s="99"/>
      <c r="K87" s="20"/>
      <c r="L87" s="20"/>
      <c r="M87" s="20"/>
      <c r="N87" s="20"/>
      <c r="O87" s="20"/>
      <c r="P87" s="20"/>
      <c r="Q87" s="81"/>
      <c r="R87" s="20"/>
      <c r="Y87" s="20"/>
      <c r="Z87" s="20"/>
      <c r="AA87" s="20"/>
      <c r="AB87" s="20"/>
      <c r="AD87" s="20"/>
      <c r="AE87" s="81"/>
      <c r="AF87" s="20"/>
      <c r="AM87" s="20"/>
      <c r="AN87" s="20"/>
      <c r="AO87" s="20"/>
      <c r="AP87" s="20"/>
      <c r="AQ87" s="20"/>
      <c r="AR87" s="20"/>
      <c r="AS87" s="81"/>
      <c r="AT87" s="81"/>
      <c r="AU87" s="20"/>
      <c r="BB87" s="20"/>
      <c r="BC87" s="20"/>
      <c r="BD87" s="20"/>
      <c r="BE87" s="20"/>
      <c r="BG87" s="20"/>
      <c r="BH87" s="20"/>
      <c r="BI87" s="90"/>
    </row>
    <row r="88" spans="1:61" s="19" customFormat="1" x14ac:dyDescent="0.3">
      <c r="A88" s="103"/>
      <c r="C88" s="93"/>
      <c r="D88" s="99"/>
      <c r="K88" s="20"/>
      <c r="L88" s="20"/>
      <c r="M88" s="20"/>
      <c r="N88" s="20"/>
      <c r="O88" s="20"/>
      <c r="P88" s="20"/>
      <c r="Q88" s="81"/>
      <c r="R88" s="20"/>
      <c r="Y88" s="20"/>
      <c r="Z88" s="20"/>
      <c r="AA88" s="20"/>
      <c r="AB88" s="20"/>
      <c r="AD88" s="20"/>
      <c r="AE88" s="81"/>
      <c r="AF88" s="20"/>
      <c r="AM88" s="20"/>
      <c r="AN88" s="20"/>
      <c r="AO88" s="20"/>
      <c r="AP88" s="20"/>
      <c r="AQ88" s="20"/>
      <c r="AR88" s="20"/>
      <c r="AS88" s="81"/>
      <c r="AT88" s="81"/>
      <c r="AU88" s="20"/>
      <c r="BB88" s="20"/>
      <c r="BC88" s="20"/>
      <c r="BD88" s="20"/>
      <c r="BE88" s="20"/>
      <c r="BG88" s="20"/>
      <c r="BH88" s="20"/>
      <c r="BI88" s="90"/>
    </row>
    <row r="89" spans="1:61" s="19" customFormat="1" x14ac:dyDescent="0.3">
      <c r="A89" s="103"/>
      <c r="C89" s="93"/>
      <c r="D89" s="99"/>
      <c r="K89" s="20"/>
      <c r="L89" s="20"/>
      <c r="M89" s="20"/>
      <c r="N89" s="20"/>
      <c r="O89" s="20"/>
      <c r="P89" s="20"/>
      <c r="Q89" s="81"/>
      <c r="R89" s="20"/>
      <c r="Y89" s="20"/>
      <c r="Z89" s="20"/>
      <c r="AA89" s="20"/>
      <c r="AB89" s="20"/>
      <c r="AD89" s="20"/>
      <c r="AE89" s="81"/>
      <c r="AF89" s="20"/>
      <c r="AM89" s="20"/>
      <c r="AN89" s="20"/>
      <c r="AO89" s="20"/>
      <c r="AP89" s="20"/>
      <c r="AQ89" s="20"/>
      <c r="AR89" s="20"/>
      <c r="AS89" s="81"/>
      <c r="AT89" s="81"/>
      <c r="AU89" s="20"/>
      <c r="BB89" s="20"/>
      <c r="BC89" s="20"/>
      <c r="BD89" s="20"/>
      <c r="BE89" s="20"/>
      <c r="BG89" s="20"/>
      <c r="BH89" s="20"/>
      <c r="BI89" s="90"/>
    </row>
    <row r="90" spans="1:61" s="19" customFormat="1" x14ac:dyDescent="0.3">
      <c r="A90" s="103"/>
      <c r="C90" s="93"/>
      <c r="D90" s="99"/>
      <c r="K90" s="20"/>
      <c r="L90" s="20"/>
      <c r="M90" s="20"/>
      <c r="N90" s="20"/>
      <c r="O90" s="20"/>
      <c r="P90" s="20"/>
      <c r="Q90" s="81"/>
      <c r="R90" s="20"/>
      <c r="Y90" s="20"/>
      <c r="Z90" s="20"/>
      <c r="AA90" s="20"/>
      <c r="AB90" s="20"/>
      <c r="AD90" s="20"/>
      <c r="AE90" s="81"/>
      <c r="AF90" s="20"/>
      <c r="AM90" s="20"/>
      <c r="AN90" s="20"/>
      <c r="AO90" s="20"/>
      <c r="AP90" s="20"/>
      <c r="AQ90" s="20"/>
      <c r="AR90" s="20"/>
      <c r="AS90" s="81"/>
      <c r="AT90" s="81"/>
      <c r="AU90" s="20"/>
      <c r="BB90" s="20"/>
      <c r="BC90" s="20"/>
      <c r="BD90" s="20"/>
      <c r="BE90" s="20"/>
      <c r="BG90" s="20"/>
      <c r="BH90" s="20"/>
      <c r="BI90" s="90"/>
    </row>
    <row r="91" spans="1:61" s="19" customFormat="1" x14ac:dyDescent="0.3">
      <c r="A91" s="103"/>
      <c r="C91" s="93"/>
      <c r="D91" s="99"/>
      <c r="K91" s="20"/>
      <c r="L91" s="20"/>
      <c r="M91" s="20"/>
      <c r="N91" s="20"/>
      <c r="O91" s="20"/>
      <c r="P91" s="20"/>
      <c r="Q91" s="81"/>
      <c r="R91" s="20"/>
      <c r="Y91" s="20"/>
      <c r="Z91" s="20"/>
      <c r="AA91" s="20"/>
      <c r="AB91" s="20"/>
      <c r="AD91" s="20"/>
      <c r="AE91" s="81"/>
      <c r="AF91" s="20"/>
      <c r="AM91" s="20"/>
      <c r="AN91" s="20"/>
      <c r="AO91" s="20"/>
      <c r="AP91" s="20"/>
      <c r="AQ91" s="20"/>
      <c r="AR91" s="20"/>
      <c r="AS91" s="81"/>
      <c r="AT91" s="81"/>
      <c r="AU91" s="20"/>
      <c r="BB91" s="20"/>
      <c r="BC91" s="20"/>
      <c r="BD91" s="20"/>
      <c r="BE91" s="20"/>
      <c r="BG91" s="20"/>
      <c r="BH91" s="20"/>
      <c r="BI91" s="90"/>
    </row>
    <row r="92" spans="1:61" s="19" customFormat="1" x14ac:dyDescent="0.3">
      <c r="A92" s="103"/>
      <c r="C92" s="93"/>
      <c r="D92" s="99"/>
      <c r="K92" s="20"/>
      <c r="L92" s="20"/>
      <c r="M92" s="20"/>
      <c r="N92" s="20"/>
      <c r="O92" s="20"/>
      <c r="P92" s="20"/>
      <c r="Q92" s="81"/>
      <c r="R92" s="20"/>
      <c r="Y92" s="20"/>
      <c r="Z92" s="20"/>
      <c r="AA92" s="20"/>
      <c r="AB92" s="20"/>
      <c r="AD92" s="20"/>
      <c r="AE92" s="81"/>
      <c r="AF92" s="20"/>
      <c r="AM92" s="20"/>
      <c r="AN92" s="20"/>
      <c r="AO92" s="20"/>
      <c r="AP92" s="20"/>
      <c r="AQ92" s="20"/>
      <c r="AR92" s="20"/>
      <c r="AS92" s="81"/>
      <c r="AT92" s="81"/>
      <c r="AU92" s="20"/>
      <c r="BB92" s="20"/>
      <c r="BC92" s="20"/>
      <c r="BD92" s="20"/>
      <c r="BE92" s="20"/>
      <c r="BG92" s="20"/>
      <c r="BH92" s="20"/>
      <c r="BI92" s="90"/>
    </row>
    <row r="93" spans="1:61" s="19" customFormat="1" x14ac:dyDescent="0.3">
      <c r="A93" s="103"/>
      <c r="C93" s="93"/>
      <c r="D93" s="99"/>
      <c r="K93" s="20"/>
      <c r="L93" s="20"/>
      <c r="M93" s="20"/>
      <c r="N93" s="20"/>
      <c r="O93" s="20"/>
      <c r="P93" s="20"/>
      <c r="Q93" s="81"/>
      <c r="R93" s="20"/>
      <c r="Y93" s="20"/>
      <c r="Z93" s="20"/>
      <c r="AA93" s="20"/>
      <c r="AB93" s="20"/>
      <c r="AD93" s="20"/>
      <c r="AE93" s="81"/>
      <c r="AF93" s="20"/>
      <c r="AM93" s="20"/>
      <c r="AN93" s="20"/>
      <c r="AO93" s="20"/>
      <c r="AP93" s="20"/>
      <c r="AQ93" s="20"/>
      <c r="AR93" s="20"/>
      <c r="AS93" s="81"/>
      <c r="AT93" s="81"/>
      <c r="AU93" s="20"/>
      <c r="BB93" s="20"/>
      <c r="BC93" s="20"/>
      <c r="BD93" s="20"/>
      <c r="BE93" s="20"/>
      <c r="BG93" s="20"/>
      <c r="BH93" s="20"/>
      <c r="BI93" s="90"/>
    </row>
    <row r="94" spans="1:61" s="19" customFormat="1" x14ac:dyDescent="0.3">
      <c r="A94" s="103"/>
      <c r="C94" s="93"/>
      <c r="D94" s="99"/>
      <c r="K94" s="20"/>
      <c r="L94" s="20"/>
      <c r="M94" s="20"/>
      <c r="N94" s="20"/>
      <c r="O94" s="20"/>
      <c r="P94" s="20"/>
      <c r="Q94" s="81"/>
      <c r="R94" s="20"/>
      <c r="Y94" s="20"/>
      <c r="Z94" s="20"/>
      <c r="AA94" s="20"/>
      <c r="AB94" s="20"/>
      <c r="AD94" s="20"/>
      <c r="AE94" s="81"/>
      <c r="AF94" s="20"/>
      <c r="AM94" s="20"/>
      <c r="AN94" s="20"/>
      <c r="AO94" s="20"/>
      <c r="AP94" s="20"/>
      <c r="AQ94" s="20"/>
      <c r="AR94" s="20"/>
      <c r="AS94" s="81"/>
      <c r="AT94" s="81"/>
      <c r="AU94" s="20"/>
      <c r="BB94" s="20"/>
      <c r="BC94" s="20"/>
      <c r="BD94" s="20"/>
      <c r="BE94" s="20"/>
      <c r="BG94" s="20"/>
      <c r="BH94" s="20"/>
      <c r="BI94" s="90"/>
    </row>
    <row r="95" spans="1:61" s="19" customFormat="1" x14ac:dyDescent="0.3">
      <c r="A95" s="103"/>
      <c r="C95" s="93"/>
      <c r="D95" s="99"/>
      <c r="K95" s="20"/>
      <c r="L95" s="20"/>
      <c r="M95" s="20"/>
      <c r="N95" s="20"/>
      <c r="O95" s="20"/>
      <c r="P95" s="20"/>
      <c r="Q95" s="81"/>
      <c r="R95" s="20"/>
      <c r="Y95" s="20"/>
      <c r="Z95" s="20"/>
      <c r="AA95" s="20"/>
      <c r="AB95" s="20"/>
      <c r="AD95" s="20"/>
      <c r="AE95" s="81"/>
      <c r="AF95" s="20"/>
      <c r="AM95" s="20"/>
      <c r="AN95" s="20"/>
      <c r="AO95" s="20"/>
      <c r="AP95" s="20"/>
      <c r="AQ95" s="20"/>
      <c r="AR95" s="20"/>
      <c r="AS95" s="81"/>
      <c r="AT95" s="81"/>
      <c r="AU95" s="20"/>
      <c r="BB95" s="20"/>
      <c r="BC95" s="20"/>
      <c r="BD95" s="20"/>
      <c r="BE95" s="20"/>
      <c r="BG95" s="20"/>
      <c r="BH95" s="20"/>
      <c r="BI95" s="90"/>
    </row>
    <row r="96" spans="1:61" s="19" customFormat="1" x14ac:dyDescent="0.3">
      <c r="A96" s="103"/>
      <c r="C96" s="93"/>
      <c r="D96" s="99"/>
      <c r="K96" s="20"/>
      <c r="L96" s="20"/>
      <c r="M96" s="20"/>
      <c r="N96" s="20"/>
      <c r="O96" s="20"/>
      <c r="P96" s="20"/>
      <c r="Q96" s="81"/>
      <c r="R96" s="20"/>
      <c r="Y96" s="20"/>
      <c r="Z96" s="20"/>
      <c r="AA96" s="20"/>
      <c r="AB96" s="20"/>
      <c r="AD96" s="20"/>
      <c r="AE96" s="81"/>
      <c r="AF96" s="20"/>
      <c r="AM96" s="20"/>
      <c r="AN96" s="20"/>
      <c r="AO96" s="20"/>
      <c r="AP96" s="20"/>
      <c r="AQ96" s="20"/>
      <c r="AR96" s="20"/>
      <c r="AS96" s="81"/>
      <c r="AT96" s="81"/>
      <c r="AU96" s="20"/>
      <c r="BB96" s="20"/>
      <c r="BC96" s="20"/>
      <c r="BD96" s="20"/>
      <c r="BE96" s="20"/>
      <c r="BG96" s="20"/>
      <c r="BH96" s="20"/>
      <c r="BI96" s="90"/>
    </row>
    <row r="97" spans="1:61" s="19" customFormat="1" x14ac:dyDescent="0.3">
      <c r="A97" s="103"/>
      <c r="C97" s="93"/>
      <c r="D97" s="99"/>
      <c r="K97" s="20"/>
      <c r="L97" s="20"/>
      <c r="M97" s="20"/>
      <c r="N97" s="20"/>
      <c r="O97" s="20"/>
      <c r="P97" s="20"/>
      <c r="Q97" s="81"/>
      <c r="R97" s="20"/>
      <c r="Y97" s="20"/>
      <c r="Z97" s="20"/>
      <c r="AA97" s="20"/>
      <c r="AB97" s="20"/>
      <c r="AD97" s="20"/>
      <c r="AE97" s="81"/>
      <c r="AF97" s="20"/>
      <c r="AM97" s="20"/>
      <c r="AN97" s="20"/>
      <c r="AO97" s="20"/>
      <c r="AP97" s="20"/>
      <c r="AQ97" s="20"/>
      <c r="AR97" s="20"/>
      <c r="AS97" s="81"/>
      <c r="AT97" s="81"/>
      <c r="AU97" s="20"/>
      <c r="BB97" s="20"/>
      <c r="BC97" s="20"/>
      <c r="BD97" s="20"/>
      <c r="BE97" s="20"/>
      <c r="BG97" s="20"/>
      <c r="BH97" s="20"/>
      <c r="BI97" s="90"/>
    </row>
    <row r="98" spans="1:61" s="19" customFormat="1" x14ac:dyDescent="0.3">
      <c r="A98" s="103"/>
      <c r="C98" s="93"/>
      <c r="D98" s="99"/>
      <c r="K98" s="20"/>
      <c r="L98" s="20"/>
      <c r="M98" s="20"/>
      <c r="N98" s="20"/>
      <c r="O98" s="20"/>
      <c r="P98" s="20"/>
      <c r="Q98" s="81"/>
      <c r="R98" s="20"/>
      <c r="Y98" s="20"/>
      <c r="Z98" s="20"/>
      <c r="AA98" s="20"/>
      <c r="AB98" s="20"/>
      <c r="AD98" s="20"/>
      <c r="AE98" s="81"/>
      <c r="AF98" s="20"/>
      <c r="AM98" s="20"/>
      <c r="AN98" s="20"/>
      <c r="AO98" s="20"/>
      <c r="AP98" s="20"/>
      <c r="AQ98" s="20"/>
      <c r="AR98" s="20"/>
      <c r="AS98" s="81"/>
      <c r="AT98" s="81"/>
      <c r="AU98" s="20"/>
      <c r="BB98" s="20"/>
      <c r="BC98" s="20"/>
      <c r="BD98" s="20"/>
      <c r="BE98" s="20"/>
      <c r="BG98" s="20"/>
      <c r="BH98" s="20"/>
      <c r="BI98" s="90"/>
    </row>
    <row r="99" spans="1:61" s="19" customFormat="1" x14ac:dyDescent="0.3">
      <c r="A99" s="103"/>
      <c r="C99" s="93"/>
      <c r="D99" s="99"/>
      <c r="K99" s="20"/>
      <c r="L99" s="20"/>
      <c r="M99" s="20"/>
      <c r="N99" s="20"/>
      <c r="O99" s="20"/>
      <c r="P99" s="20"/>
      <c r="Q99" s="81"/>
      <c r="R99" s="20"/>
      <c r="Y99" s="20"/>
      <c r="Z99" s="20"/>
      <c r="AA99" s="20"/>
      <c r="AB99" s="20"/>
      <c r="AD99" s="20"/>
      <c r="AE99" s="81"/>
      <c r="AF99" s="20"/>
      <c r="AM99" s="20"/>
      <c r="AN99" s="20"/>
      <c r="AO99" s="20"/>
      <c r="AP99" s="20"/>
      <c r="AQ99" s="20"/>
      <c r="AR99" s="20"/>
      <c r="AS99" s="81"/>
      <c r="AT99" s="81"/>
      <c r="AU99" s="20"/>
      <c r="BB99" s="20"/>
      <c r="BC99" s="20"/>
      <c r="BD99" s="20"/>
      <c r="BE99" s="20"/>
      <c r="BG99" s="20"/>
      <c r="BH99" s="20"/>
      <c r="BI99" s="90"/>
    </row>
    <row r="100" spans="1:61" s="19" customFormat="1" x14ac:dyDescent="0.3">
      <c r="A100" s="103"/>
      <c r="C100" s="93"/>
      <c r="D100" s="99"/>
      <c r="K100" s="20"/>
      <c r="L100" s="20"/>
      <c r="M100" s="20"/>
      <c r="N100" s="20"/>
      <c r="O100" s="20"/>
      <c r="P100" s="20"/>
      <c r="Q100" s="81"/>
      <c r="R100" s="20"/>
      <c r="Y100" s="20"/>
      <c r="Z100" s="20"/>
      <c r="AA100" s="20"/>
      <c r="AB100" s="20"/>
      <c r="AD100" s="20"/>
      <c r="AE100" s="81"/>
      <c r="AF100" s="20"/>
      <c r="AM100" s="20"/>
      <c r="AN100" s="20"/>
      <c r="AO100" s="20"/>
      <c r="AP100" s="20"/>
      <c r="AQ100" s="20"/>
      <c r="AR100" s="20"/>
      <c r="AS100" s="81"/>
      <c r="AT100" s="81"/>
      <c r="AU100" s="20"/>
      <c r="BB100" s="20"/>
      <c r="BC100" s="20"/>
      <c r="BD100" s="20"/>
      <c r="BE100" s="20"/>
      <c r="BG100" s="20"/>
      <c r="BH100" s="20"/>
      <c r="BI100" s="90"/>
    </row>
    <row r="101" spans="1:61" s="19" customFormat="1" x14ac:dyDescent="0.3">
      <c r="A101" s="103"/>
      <c r="C101" s="93"/>
      <c r="D101" s="99"/>
      <c r="K101" s="20"/>
      <c r="L101" s="20"/>
      <c r="M101" s="20"/>
      <c r="N101" s="20"/>
      <c r="O101" s="20"/>
      <c r="P101" s="20"/>
      <c r="Q101" s="81"/>
      <c r="R101" s="20"/>
      <c r="Y101" s="20"/>
      <c r="Z101" s="20"/>
      <c r="AA101" s="20"/>
      <c r="AB101" s="20"/>
      <c r="AD101" s="20"/>
      <c r="AE101" s="81"/>
      <c r="AF101" s="20"/>
      <c r="AM101" s="20"/>
      <c r="AN101" s="20"/>
      <c r="AO101" s="20"/>
      <c r="AP101" s="20"/>
      <c r="AQ101" s="20"/>
      <c r="AR101" s="20"/>
      <c r="AS101" s="81"/>
      <c r="AT101" s="81"/>
      <c r="AU101" s="20"/>
      <c r="BB101" s="20"/>
      <c r="BC101" s="20"/>
      <c r="BD101" s="20"/>
      <c r="BE101" s="20"/>
      <c r="BG101" s="20"/>
      <c r="BH101" s="20"/>
      <c r="BI101" s="90"/>
    </row>
    <row r="102" spans="1:61" s="19" customFormat="1" x14ac:dyDescent="0.3">
      <c r="A102" s="103"/>
      <c r="C102" s="93"/>
      <c r="D102" s="99"/>
      <c r="K102" s="20"/>
      <c r="L102" s="20"/>
      <c r="M102" s="20"/>
      <c r="N102" s="20"/>
      <c r="O102" s="20"/>
      <c r="P102" s="20"/>
      <c r="Q102" s="81"/>
      <c r="R102" s="20"/>
      <c r="Y102" s="20"/>
      <c r="Z102" s="20"/>
      <c r="AA102" s="20"/>
      <c r="AB102" s="20"/>
      <c r="AD102" s="20"/>
      <c r="AE102" s="81"/>
      <c r="AF102" s="20"/>
      <c r="AM102" s="20"/>
      <c r="AN102" s="20"/>
      <c r="AO102" s="20"/>
      <c r="AP102" s="20"/>
      <c r="AQ102" s="20"/>
      <c r="AR102" s="20"/>
      <c r="AS102" s="81"/>
      <c r="AT102" s="81"/>
      <c r="AU102" s="20"/>
      <c r="BB102" s="20"/>
      <c r="BC102" s="20"/>
      <c r="BD102" s="20"/>
      <c r="BE102" s="20"/>
      <c r="BG102" s="20"/>
      <c r="BH102" s="20"/>
      <c r="BI102" s="90"/>
    </row>
    <row r="103" spans="1:61" s="19" customFormat="1" x14ac:dyDescent="0.3">
      <c r="A103" s="103"/>
      <c r="C103" s="93"/>
      <c r="D103" s="99"/>
      <c r="K103" s="20"/>
      <c r="L103" s="20"/>
      <c r="M103" s="20"/>
      <c r="N103" s="20"/>
      <c r="O103" s="20"/>
      <c r="P103" s="20"/>
      <c r="Q103" s="81"/>
      <c r="R103" s="20"/>
      <c r="Y103" s="20"/>
      <c r="Z103" s="20"/>
      <c r="AA103" s="20"/>
      <c r="AB103" s="20"/>
      <c r="AD103" s="20"/>
      <c r="AE103" s="81"/>
      <c r="AF103" s="20"/>
      <c r="AM103" s="20"/>
      <c r="AN103" s="20"/>
      <c r="AO103" s="20"/>
      <c r="AP103" s="20"/>
      <c r="AQ103" s="20"/>
      <c r="AR103" s="20"/>
      <c r="AS103" s="81"/>
      <c r="AT103" s="81"/>
      <c r="AU103" s="20"/>
      <c r="BB103" s="20"/>
      <c r="BC103" s="20"/>
      <c r="BD103" s="20"/>
      <c r="BE103" s="20"/>
      <c r="BG103" s="20"/>
      <c r="BH103" s="20"/>
      <c r="BI103" s="90"/>
    </row>
    <row r="104" spans="1:61" s="19" customFormat="1" x14ac:dyDescent="0.3">
      <c r="A104" s="103"/>
      <c r="C104" s="93"/>
      <c r="D104" s="99"/>
      <c r="K104" s="20"/>
      <c r="L104" s="20"/>
      <c r="M104" s="20"/>
      <c r="N104" s="20"/>
      <c r="O104" s="20"/>
      <c r="P104" s="20"/>
      <c r="Q104" s="81"/>
      <c r="R104" s="20"/>
      <c r="Y104" s="20"/>
      <c r="Z104" s="20"/>
      <c r="AA104" s="20"/>
      <c r="AB104" s="20"/>
      <c r="AD104" s="20"/>
      <c r="AE104" s="81"/>
      <c r="AF104" s="20"/>
      <c r="AM104" s="20"/>
      <c r="AN104" s="20"/>
      <c r="AO104" s="20"/>
      <c r="AP104" s="20"/>
      <c r="AQ104" s="20"/>
      <c r="AR104" s="20"/>
      <c r="AS104" s="81"/>
      <c r="AT104" s="81"/>
      <c r="AU104" s="20"/>
      <c r="BB104" s="20"/>
      <c r="BC104" s="20"/>
      <c r="BD104" s="20"/>
      <c r="BE104" s="20"/>
      <c r="BG104" s="20"/>
      <c r="BH104" s="20"/>
      <c r="BI104" s="90"/>
    </row>
    <row r="105" spans="1:61" s="19" customFormat="1" x14ac:dyDescent="0.3">
      <c r="A105" s="103"/>
      <c r="C105" s="93"/>
      <c r="D105" s="99"/>
      <c r="K105" s="20"/>
      <c r="L105" s="20"/>
      <c r="M105" s="20"/>
      <c r="N105" s="20"/>
      <c r="O105" s="20"/>
      <c r="P105" s="20"/>
      <c r="Q105" s="81"/>
      <c r="R105" s="20"/>
      <c r="Y105" s="20"/>
      <c r="Z105" s="20"/>
      <c r="AA105" s="20"/>
      <c r="AB105" s="20"/>
      <c r="AD105" s="20"/>
      <c r="AE105" s="81"/>
      <c r="AF105" s="20"/>
      <c r="AM105" s="20"/>
      <c r="AN105" s="20"/>
      <c r="AO105" s="20"/>
      <c r="AP105" s="20"/>
      <c r="AQ105" s="20"/>
      <c r="AR105" s="20"/>
      <c r="AS105" s="81"/>
      <c r="AT105" s="81"/>
      <c r="AU105" s="20"/>
      <c r="BB105" s="20"/>
      <c r="BC105" s="20"/>
      <c r="BD105" s="20"/>
      <c r="BE105" s="20"/>
      <c r="BG105" s="20"/>
      <c r="BH105" s="20"/>
      <c r="BI105" s="90"/>
    </row>
    <row r="106" spans="1:61" s="19" customFormat="1" x14ac:dyDescent="0.3">
      <c r="A106" s="103"/>
      <c r="C106" s="93"/>
      <c r="D106" s="99"/>
      <c r="K106" s="20"/>
      <c r="L106" s="20"/>
      <c r="M106" s="20"/>
      <c r="N106" s="20"/>
      <c r="O106" s="20"/>
      <c r="P106" s="20"/>
      <c r="Q106" s="81"/>
      <c r="R106" s="20"/>
      <c r="Y106" s="20"/>
      <c r="Z106" s="20"/>
      <c r="AA106" s="20"/>
      <c r="AB106" s="20"/>
      <c r="AD106" s="20"/>
      <c r="AE106" s="81"/>
      <c r="AF106" s="20"/>
      <c r="AM106" s="20"/>
      <c r="AN106" s="20"/>
      <c r="AO106" s="20"/>
      <c r="AP106" s="20"/>
      <c r="AQ106" s="20"/>
      <c r="AR106" s="20"/>
      <c r="AS106" s="81"/>
      <c r="AT106" s="81"/>
      <c r="AU106" s="20"/>
      <c r="BB106" s="20"/>
      <c r="BC106" s="20"/>
      <c r="BD106" s="20"/>
      <c r="BE106" s="20"/>
      <c r="BG106" s="20"/>
      <c r="BH106" s="20"/>
      <c r="BI106" s="90"/>
    </row>
    <row r="107" spans="1:61" s="19" customFormat="1" x14ac:dyDescent="0.3">
      <c r="A107" s="103"/>
      <c r="C107" s="93"/>
      <c r="D107" s="99"/>
      <c r="K107" s="20"/>
      <c r="L107" s="20"/>
      <c r="M107" s="20"/>
      <c r="N107" s="20"/>
      <c r="O107" s="20"/>
      <c r="P107" s="20"/>
      <c r="Q107" s="81"/>
      <c r="R107" s="20"/>
      <c r="Y107" s="20"/>
      <c r="Z107" s="20"/>
      <c r="AA107" s="20"/>
      <c r="AB107" s="20"/>
      <c r="AD107" s="20"/>
      <c r="AE107" s="81"/>
      <c r="AF107" s="20"/>
      <c r="AM107" s="20"/>
      <c r="AN107" s="20"/>
      <c r="AO107" s="20"/>
      <c r="AP107" s="20"/>
      <c r="AQ107" s="20"/>
      <c r="AR107" s="20"/>
      <c r="AS107" s="81"/>
      <c r="AT107" s="81"/>
      <c r="AU107" s="20"/>
      <c r="BB107" s="20"/>
      <c r="BC107" s="20"/>
      <c r="BD107" s="20"/>
      <c r="BE107" s="20"/>
      <c r="BG107" s="20"/>
      <c r="BH107" s="20"/>
      <c r="BI107" s="90"/>
    </row>
    <row r="108" spans="1:61" s="19" customFormat="1" x14ac:dyDescent="0.3">
      <c r="A108" s="103"/>
      <c r="C108" s="93"/>
      <c r="D108" s="99"/>
      <c r="K108" s="20"/>
      <c r="L108" s="20"/>
      <c r="M108" s="20"/>
      <c r="N108" s="20"/>
      <c r="O108" s="20"/>
      <c r="P108" s="20"/>
      <c r="Q108" s="81"/>
      <c r="R108" s="20"/>
      <c r="Y108" s="20"/>
      <c r="Z108" s="20"/>
      <c r="AA108" s="20"/>
      <c r="AB108" s="20"/>
      <c r="AD108" s="20"/>
      <c r="AE108" s="81"/>
      <c r="AF108" s="20"/>
      <c r="AM108" s="20"/>
      <c r="AN108" s="20"/>
      <c r="AO108" s="20"/>
      <c r="AP108" s="20"/>
      <c r="AQ108" s="20"/>
      <c r="AR108" s="20"/>
      <c r="AS108" s="81"/>
      <c r="AT108" s="81"/>
      <c r="AU108" s="20"/>
      <c r="BB108" s="20"/>
      <c r="BC108" s="20"/>
      <c r="BD108" s="20"/>
      <c r="BE108" s="20"/>
      <c r="BG108" s="20"/>
      <c r="BH108" s="20"/>
      <c r="BI108" s="90"/>
    </row>
    <row r="109" spans="1:61" s="19" customFormat="1" x14ac:dyDescent="0.3">
      <c r="A109" s="103"/>
      <c r="C109" s="93"/>
      <c r="D109" s="99"/>
      <c r="K109" s="20"/>
      <c r="L109" s="20"/>
      <c r="M109" s="20"/>
      <c r="N109" s="20"/>
      <c r="O109" s="20"/>
      <c r="P109" s="20"/>
      <c r="Q109" s="81"/>
      <c r="R109" s="20"/>
      <c r="Y109" s="20"/>
      <c r="Z109" s="20"/>
      <c r="AA109" s="20"/>
      <c r="AB109" s="20"/>
      <c r="AD109" s="20"/>
      <c r="AE109" s="81"/>
      <c r="AF109" s="20"/>
      <c r="AM109" s="20"/>
      <c r="AN109" s="20"/>
      <c r="AO109" s="20"/>
      <c r="AP109" s="20"/>
      <c r="AQ109" s="20"/>
      <c r="AR109" s="20"/>
      <c r="AS109" s="81"/>
      <c r="AT109" s="81"/>
      <c r="AU109" s="20"/>
      <c r="BB109" s="20"/>
      <c r="BC109" s="20"/>
      <c r="BD109" s="20"/>
      <c r="BE109" s="20"/>
      <c r="BG109" s="20"/>
      <c r="BH109" s="20"/>
      <c r="BI109" s="90"/>
    </row>
    <row r="110" spans="1:61" s="19" customFormat="1" x14ac:dyDescent="0.3">
      <c r="A110" s="103"/>
      <c r="C110" s="93"/>
      <c r="D110" s="99"/>
      <c r="K110" s="20"/>
      <c r="L110" s="20"/>
      <c r="M110" s="20"/>
      <c r="N110" s="20"/>
      <c r="O110" s="20"/>
      <c r="P110" s="20"/>
      <c r="Q110" s="81"/>
      <c r="R110" s="20"/>
      <c r="Y110" s="20"/>
      <c r="Z110" s="20"/>
      <c r="AA110" s="20"/>
      <c r="AB110" s="20"/>
      <c r="AD110" s="20"/>
      <c r="AE110" s="81"/>
      <c r="AF110" s="20"/>
      <c r="AM110" s="20"/>
      <c r="AN110" s="20"/>
      <c r="AO110" s="20"/>
      <c r="AP110" s="20"/>
      <c r="AQ110" s="20"/>
      <c r="AR110" s="20"/>
      <c r="AS110" s="81"/>
      <c r="AT110" s="81"/>
      <c r="AU110" s="20"/>
      <c r="BB110" s="20"/>
      <c r="BC110" s="20"/>
      <c r="BD110" s="20"/>
      <c r="BE110" s="20"/>
      <c r="BG110" s="20"/>
      <c r="BH110" s="20"/>
      <c r="BI110" s="90"/>
    </row>
    <row r="111" spans="1:61" s="19" customFormat="1" x14ac:dyDescent="0.3">
      <c r="A111" s="103"/>
      <c r="C111" s="93"/>
      <c r="D111" s="99"/>
      <c r="K111" s="20"/>
      <c r="L111" s="20"/>
      <c r="M111" s="20"/>
      <c r="N111" s="20"/>
      <c r="O111" s="20"/>
      <c r="P111" s="20"/>
      <c r="Q111" s="81"/>
      <c r="R111" s="20"/>
      <c r="Y111" s="20"/>
      <c r="Z111" s="20"/>
      <c r="AA111" s="20"/>
      <c r="AB111" s="20"/>
      <c r="AD111" s="20"/>
      <c r="AE111" s="81"/>
      <c r="AF111" s="20"/>
      <c r="AM111" s="20"/>
      <c r="AN111" s="20"/>
      <c r="AO111" s="20"/>
      <c r="AP111" s="20"/>
      <c r="AQ111" s="20"/>
      <c r="AR111" s="20"/>
      <c r="AS111" s="81"/>
      <c r="AT111" s="81"/>
      <c r="AU111" s="20"/>
      <c r="BB111" s="20"/>
      <c r="BC111" s="20"/>
      <c r="BD111" s="20"/>
      <c r="BE111" s="20"/>
      <c r="BG111" s="20"/>
      <c r="BH111" s="20"/>
      <c r="BI111" s="90"/>
    </row>
    <row r="112" spans="1:61" s="19" customFormat="1" x14ac:dyDescent="0.3">
      <c r="A112" s="103"/>
      <c r="C112" s="93"/>
      <c r="D112" s="99"/>
      <c r="K112" s="20"/>
      <c r="L112" s="20"/>
      <c r="M112" s="20"/>
      <c r="N112" s="20"/>
      <c r="O112" s="20"/>
      <c r="P112" s="20"/>
      <c r="Q112" s="81"/>
      <c r="R112" s="20"/>
      <c r="Y112" s="20"/>
      <c r="Z112" s="20"/>
      <c r="AA112" s="20"/>
      <c r="AB112" s="20"/>
      <c r="AD112" s="20"/>
      <c r="AE112" s="81"/>
      <c r="AF112" s="20"/>
      <c r="AM112" s="20"/>
      <c r="AN112" s="20"/>
      <c r="AO112" s="20"/>
      <c r="AP112" s="20"/>
      <c r="AQ112" s="20"/>
      <c r="AR112" s="20"/>
      <c r="AS112" s="81"/>
      <c r="AT112" s="81"/>
      <c r="AU112" s="20"/>
      <c r="BB112" s="20"/>
      <c r="BC112" s="20"/>
      <c r="BD112" s="20"/>
      <c r="BE112" s="20"/>
      <c r="BG112" s="20"/>
      <c r="BH112" s="20"/>
      <c r="BI112" s="90"/>
    </row>
    <row r="113" spans="1:61" s="19" customFormat="1" x14ac:dyDescent="0.3">
      <c r="A113" s="103"/>
      <c r="C113" s="93"/>
      <c r="D113" s="99"/>
      <c r="K113" s="20"/>
      <c r="L113" s="20"/>
      <c r="M113" s="20"/>
      <c r="N113" s="20"/>
      <c r="O113" s="20"/>
      <c r="P113" s="20"/>
      <c r="Q113" s="81"/>
      <c r="R113" s="20"/>
      <c r="Y113" s="20"/>
      <c r="Z113" s="20"/>
      <c r="AA113" s="20"/>
      <c r="AB113" s="20"/>
      <c r="AD113" s="20"/>
      <c r="AE113" s="81"/>
      <c r="AF113" s="20"/>
      <c r="AM113" s="20"/>
      <c r="AN113" s="20"/>
      <c r="AO113" s="20"/>
      <c r="AP113" s="20"/>
      <c r="AQ113" s="20"/>
      <c r="AR113" s="20"/>
      <c r="AS113" s="81"/>
      <c r="AT113" s="81"/>
      <c r="AU113" s="20"/>
      <c r="BB113" s="20"/>
      <c r="BC113" s="20"/>
      <c r="BD113" s="20"/>
      <c r="BE113" s="20"/>
      <c r="BG113" s="20"/>
      <c r="BH113" s="20"/>
      <c r="BI113" s="90"/>
    </row>
    <row r="114" spans="1:61" s="19" customFormat="1" x14ac:dyDescent="0.3">
      <c r="A114" s="103"/>
      <c r="C114" s="93"/>
      <c r="D114" s="99"/>
      <c r="K114" s="20"/>
      <c r="L114" s="20"/>
      <c r="M114" s="20"/>
      <c r="N114" s="20"/>
      <c r="O114" s="20"/>
      <c r="P114" s="20"/>
      <c r="Q114" s="81"/>
      <c r="R114" s="20"/>
      <c r="Y114" s="20"/>
      <c r="Z114" s="20"/>
      <c r="AA114" s="20"/>
      <c r="AB114" s="20"/>
      <c r="AD114" s="20"/>
      <c r="AE114" s="81"/>
      <c r="AF114" s="20"/>
      <c r="AM114" s="20"/>
      <c r="AN114" s="20"/>
      <c r="AO114" s="20"/>
      <c r="AP114" s="20"/>
      <c r="AQ114" s="20"/>
      <c r="AR114" s="20"/>
      <c r="AS114" s="81"/>
      <c r="AT114" s="81"/>
      <c r="AU114" s="20"/>
      <c r="BB114" s="20"/>
      <c r="BC114" s="20"/>
      <c r="BD114" s="20"/>
      <c r="BE114" s="20"/>
      <c r="BG114" s="20"/>
      <c r="BH114" s="20"/>
      <c r="BI114" s="90"/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&amp;C&amp;"-,Vet"&amp;14Dashboard uitgaven Wmo 18+ Maatwerk  Groningen</oddHeader>
    <oddFooter>&amp;L&amp;V Vertrouwelijk&amp;V&amp;C&amp;D&amp;RPagina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40"/>
  <sheetViews>
    <sheetView tabSelected="1" zoomScale="85" zoomScaleNormal="85" workbookViewId="0">
      <selection activeCell="I25" sqref="I25"/>
    </sheetView>
  </sheetViews>
  <sheetFormatPr defaultColWidth="8.42578125" defaultRowHeight="15.75" x14ac:dyDescent="0.25"/>
  <cols>
    <col min="1" max="1" width="35.42578125" style="146" customWidth="1"/>
    <col min="2" max="2" width="20.7109375" style="144" bestFit="1" customWidth="1"/>
    <col min="3" max="10" width="16.42578125" style="146" customWidth="1"/>
    <col min="11" max="11" width="16" style="146" customWidth="1"/>
    <col min="12" max="12" width="14.42578125" style="146" customWidth="1"/>
    <col min="13" max="13" width="10.7109375" style="146" customWidth="1"/>
    <col min="14" max="14" width="21.85546875" style="146" bestFit="1" customWidth="1"/>
    <col min="15" max="16" width="14.42578125" style="146" customWidth="1"/>
    <col min="17" max="16384" width="8.42578125" style="146"/>
  </cols>
  <sheetData>
    <row r="1" spans="1:14" s="143" customFormat="1" ht="68.099999999999994" x14ac:dyDescent="0.2">
      <c r="A1" s="143" t="s">
        <v>105</v>
      </c>
      <c r="B1" s="144" t="s">
        <v>106</v>
      </c>
      <c r="C1" s="145" t="s">
        <v>103</v>
      </c>
      <c r="D1" s="145" t="s">
        <v>233</v>
      </c>
      <c r="E1" s="145" t="s">
        <v>194</v>
      </c>
      <c r="F1" s="145" t="s">
        <v>195</v>
      </c>
      <c r="G1" s="145" t="s">
        <v>107</v>
      </c>
      <c r="H1" s="145" t="s">
        <v>108</v>
      </c>
      <c r="I1" s="145" t="s">
        <v>173</v>
      </c>
      <c r="J1" s="145" t="s">
        <v>174</v>
      </c>
      <c r="K1" s="145" t="s">
        <v>202</v>
      </c>
      <c r="L1" s="145" t="s">
        <v>203</v>
      </c>
      <c r="N1" s="143" t="s">
        <v>236</v>
      </c>
    </row>
    <row r="2" spans="1:14" ht="15.95" x14ac:dyDescent="0.2">
      <c r="A2" s="146" t="s">
        <v>109</v>
      </c>
      <c r="B2" s="147"/>
      <c r="C2" s="236">
        <f>Salarissen!G28</f>
        <v>2483.5065</v>
      </c>
      <c r="D2" s="148"/>
      <c r="E2" s="148">
        <f>Salarissen!G29</f>
        <v>3015.8694</v>
      </c>
      <c r="F2" s="148">
        <f>Salarissen!G30</f>
        <v>3681.4177000000004</v>
      </c>
      <c r="G2" s="148">
        <f>Salarissen!G31</f>
        <v>3026.7553499999999</v>
      </c>
      <c r="H2" s="148">
        <f>Salarissen!G32</f>
        <v>3143.1727000000001</v>
      </c>
      <c r="I2" s="148"/>
      <c r="J2" s="148">
        <f>Salarissen!G33</f>
        <v>3124.0478000000007</v>
      </c>
      <c r="K2" s="236">
        <f t="shared" ref="K2:K10" si="0">E2</f>
        <v>3015.8694</v>
      </c>
      <c r="L2" s="148">
        <f t="shared" ref="L2:L10" si="1">F2</f>
        <v>3681.4177000000004</v>
      </c>
    </row>
    <row r="3" spans="1:14" ht="15.95" x14ac:dyDescent="0.2">
      <c r="A3" s="146" t="s">
        <v>110</v>
      </c>
      <c r="B3" s="149">
        <v>0.9</v>
      </c>
      <c r="C3" s="150">
        <f>12*C2*$B$3</f>
        <v>26821.870200000001</v>
      </c>
      <c r="D3" s="150"/>
      <c r="E3" s="150">
        <f t="shared" ref="E3:J3" si="2">12*E2*$B$3</f>
        <v>32571.389520000004</v>
      </c>
      <c r="F3" s="150">
        <f>12*F2*$B$3</f>
        <v>39759.311160000005</v>
      </c>
      <c r="G3" s="150">
        <f t="shared" si="2"/>
        <v>32688.957780000001</v>
      </c>
      <c r="H3" s="150">
        <f t="shared" si="2"/>
        <v>33946.265160000003</v>
      </c>
      <c r="I3" s="150">
        <f t="shared" si="2"/>
        <v>0</v>
      </c>
      <c r="J3" s="150">
        <f t="shared" si="2"/>
        <v>33739.716240000009</v>
      </c>
      <c r="K3" s="150">
        <f t="shared" si="0"/>
        <v>32571.389520000004</v>
      </c>
      <c r="L3" s="150">
        <f t="shared" si="1"/>
        <v>39759.311160000005</v>
      </c>
    </row>
    <row r="4" spans="1:14" ht="15.95" x14ac:dyDescent="0.2">
      <c r="A4" s="146" t="s">
        <v>111</v>
      </c>
      <c r="B4" s="149">
        <v>0.26</v>
      </c>
      <c r="C4" s="150">
        <v>0</v>
      </c>
      <c r="D4" s="150"/>
      <c r="E4" s="150">
        <v>0</v>
      </c>
      <c r="F4" s="150">
        <v>0</v>
      </c>
      <c r="G4" s="150">
        <v>0</v>
      </c>
      <c r="H4" s="150">
        <v>0</v>
      </c>
      <c r="I4" s="150">
        <f>$B$4*I3</f>
        <v>0</v>
      </c>
      <c r="J4" s="150">
        <f>$B$4*J3</f>
        <v>8772.3262224000027</v>
      </c>
      <c r="K4" s="150">
        <f t="shared" si="0"/>
        <v>0</v>
      </c>
      <c r="L4" s="150">
        <f t="shared" si="1"/>
        <v>0</v>
      </c>
    </row>
    <row r="5" spans="1:14" ht="15.95" x14ac:dyDescent="0.2">
      <c r="A5" s="146" t="s">
        <v>112</v>
      </c>
      <c r="B5" s="144">
        <v>0.08</v>
      </c>
      <c r="C5" s="150">
        <f t="shared" ref="C5:J5" si="3">$B$5*C3</f>
        <v>2145.7496160000001</v>
      </c>
      <c r="D5" s="150"/>
      <c r="E5" s="150">
        <f t="shared" si="3"/>
        <v>2605.7111616000002</v>
      </c>
      <c r="F5" s="150">
        <f>$B$5*F3</f>
        <v>3180.7448928000003</v>
      </c>
      <c r="G5" s="150">
        <f t="shared" si="3"/>
        <v>2615.1166224000003</v>
      </c>
      <c r="H5" s="150">
        <f t="shared" si="3"/>
        <v>2715.7012128000001</v>
      </c>
      <c r="I5" s="150">
        <f t="shared" si="3"/>
        <v>0</v>
      </c>
      <c r="J5" s="150">
        <f t="shared" si="3"/>
        <v>2699.1772992000006</v>
      </c>
      <c r="K5" s="150">
        <f t="shared" si="0"/>
        <v>2605.7111616000002</v>
      </c>
      <c r="L5" s="150">
        <f t="shared" si="1"/>
        <v>3180.7448928000003</v>
      </c>
      <c r="N5" s="237">
        <v>1934.78</v>
      </c>
    </row>
    <row r="6" spans="1:14" ht="15.95" x14ac:dyDescent="0.2">
      <c r="A6" s="146" t="s">
        <v>113</v>
      </c>
      <c r="B6" s="151">
        <v>8.3299999999999999E-2</v>
      </c>
      <c r="C6" s="150">
        <f t="shared" ref="C6:J6" si="4">$B$6*C3</f>
        <v>2234.2617876600002</v>
      </c>
      <c r="D6" s="150"/>
      <c r="E6" s="150">
        <f t="shared" si="4"/>
        <v>2713.1967470160002</v>
      </c>
      <c r="F6" s="150">
        <f>$B$6*F3</f>
        <v>3311.9506196280004</v>
      </c>
      <c r="G6" s="150">
        <f t="shared" si="4"/>
        <v>2722.990183074</v>
      </c>
      <c r="H6" s="150">
        <f t="shared" si="4"/>
        <v>2827.723887828</v>
      </c>
      <c r="I6" s="150">
        <f t="shared" si="4"/>
        <v>0</v>
      </c>
      <c r="J6" s="150">
        <f t="shared" si="4"/>
        <v>2810.5183627920005</v>
      </c>
      <c r="K6" s="150">
        <f t="shared" si="0"/>
        <v>2713.1967470160002</v>
      </c>
      <c r="L6" s="150">
        <f t="shared" si="1"/>
        <v>3311.9506196280004</v>
      </c>
      <c r="N6" s="237">
        <v>2132.61</v>
      </c>
    </row>
    <row r="7" spans="1:14" ht="15.95" x14ac:dyDescent="0.2">
      <c r="A7" s="147" t="s">
        <v>114</v>
      </c>
      <c r="C7" s="150">
        <f t="shared" ref="C7:J7" si="5">SUM(C3:C6)</f>
        <v>31201.881603660004</v>
      </c>
      <c r="D7" s="150"/>
      <c r="E7" s="150">
        <f t="shared" si="5"/>
        <v>37890.297428616002</v>
      </c>
      <c r="F7" s="150">
        <f t="shared" si="5"/>
        <v>46252.006672428004</v>
      </c>
      <c r="G7" s="150">
        <f t="shared" si="5"/>
        <v>38027.064585474</v>
      </c>
      <c r="H7" s="150">
        <f t="shared" si="5"/>
        <v>39489.690260627998</v>
      </c>
      <c r="I7" s="150">
        <f t="shared" si="5"/>
        <v>0</v>
      </c>
      <c r="J7" s="150">
        <f t="shared" si="5"/>
        <v>48021.738124392017</v>
      </c>
      <c r="K7" s="150">
        <f t="shared" si="0"/>
        <v>37890.297428616002</v>
      </c>
      <c r="L7" s="150">
        <f t="shared" si="1"/>
        <v>46252.006672428004</v>
      </c>
    </row>
    <row r="8" spans="1:14" ht="15.95" x14ac:dyDescent="0.2">
      <c r="A8" s="146" t="s">
        <v>115</v>
      </c>
      <c r="B8" s="152">
        <f>'Declarabiliteit &amp; soc lasten'!C32</f>
        <v>0.26861418241448382</v>
      </c>
      <c r="C8" s="150">
        <f t="shared" ref="C8" si="6">$B$8*C7</f>
        <v>8381.2679167606548</v>
      </c>
      <c r="D8" s="272">
        <f>'Declarabiliteit &amp; soc lasten'!D32</f>
        <v>0.28066766660909725</v>
      </c>
      <c r="E8" s="150">
        <f>$D$8*E7</f>
        <v>10634.581366414332</v>
      </c>
      <c r="F8" s="150">
        <f>$D$8*F7</f>
        <v>12981.442788738765</v>
      </c>
      <c r="G8" s="150">
        <f>$D$8*G7</f>
        <v>10672.967485198425</v>
      </c>
      <c r="H8" s="150">
        <f>$D$8*H7</f>
        <v>11083.479220566454</v>
      </c>
      <c r="I8" s="150">
        <f>$D$8*I7</f>
        <v>0</v>
      </c>
      <c r="J8" s="150">
        <f>$M$8*J7</f>
        <v>13788.68358961079</v>
      </c>
      <c r="K8" s="150">
        <f t="shared" si="0"/>
        <v>10634.581366414332</v>
      </c>
      <c r="L8" s="150">
        <f t="shared" si="1"/>
        <v>12981.442788738765</v>
      </c>
      <c r="M8" s="152">
        <f>'Declarabiliteit &amp; soc lasten'!E32</f>
        <v>0.28713420480311619</v>
      </c>
      <c r="N8" s="271" t="s">
        <v>237</v>
      </c>
    </row>
    <row r="9" spans="1:14" ht="15.95" x14ac:dyDescent="0.2">
      <c r="A9" s="147" t="s">
        <v>116</v>
      </c>
      <c r="C9" s="153">
        <f>SUM(C7:C8)</f>
        <v>39583.149520420659</v>
      </c>
      <c r="D9" s="153"/>
      <c r="E9" s="153">
        <f t="shared" ref="E9:J9" si="7">SUM(E7:E8)</f>
        <v>48524.878795030338</v>
      </c>
      <c r="F9" s="153">
        <f t="shared" si="7"/>
        <v>59233.449461166769</v>
      </c>
      <c r="G9" s="153">
        <f t="shared" si="7"/>
        <v>48700.032070672423</v>
      </c>
      <c r="H9" s="153">
        <f t="shared" si="7"/>
        <v>50573.169481194454</v>
      </c>
      <c r="I9" s="153">
        <f t="shared" si="7"/>
        <v>0</v>
      </c>
      <c r="J9" s="153">
        <f t="shared" si="7"/>
        <v>61810.421714002805</v>
      </c>
      <c r="K9" s="153">
        <f t="shared" si="0"/>
        <v>48524.878795030338</v>
      </c>
      <c r="L9" s="153">
        <f t="shared" si="1"/>
        <v>59233.449461166769</v>
      </c>
    </row>
    <row r="10" spans="1:14" ht="15.95" x14ac:dyDescent="0.2">
      <c r="A10" s="146" t="s">
        <v>117</v>
      </c>
      <c r="B10" s="149">
        <v>0.3</v>
      </c>
      <c r="C10" s="150">
        <f>$B$10*C9</f>
        <v>11874.944856126198</v>
      </c>
      <c r="D10" s="150"/>
      <c r="E10" s="150">
        <f t="shared" ref="E10:J10" si="8">$B$10*E9</f>
        <v>14557.463638509102</v>
      </c>
      <c r="F10" s="150">
        <f t="shared" si="8"/>
        <v>17770.034838350031</v>
      </c>
      <c r="G10" s="150">
        <f t="shared" si="8"/>
        <v>14610.009621201727</v>
      </c>
      <c r="H10" s="150">
        <f t="shared" si="8"/>
        <v>15171.950844358336</v>
      </c>
      <c r="I10" s="150">
        <f t="shared" si="8"/>
        <v>0</v>
      </c>
      <c r="J10" s="150">
        <f t="shared" si="8"/>
        <v>18543.126514200841</v>
      </c>
      <c r="K10" s="150">
        <f t="shared" si="0"/>
        <v>14557.463638509102</v>
      </c>
      <c r="L10" s="150">
        <f t="shared" si="1"/>
        <v>17770.034838350031</v>
      </c>
      <c r="N10" s="238">
        <v>0.15</v>
      </c>
    </row>
    <row r="11" spans="1:14" ht="15.95" x14ac:dyDescent="0.2">
      <c r="A11" s="271" t="s">
        <v>118</v>
      </c>
      <c r="B11" s="144">
        <v>0.02</v>
      </c>
      <c r="C11" s="150">
        <f>$B$11*(C9+C10)</f>
        <v>1029.1618875309371</v>
      </c>
      <c r="D11" s="150">
        <f t="shared" ref="D11:K11" si="9">$B$11*(D9+D10)</f>
        <v>0</v>
      </c>
      <c r="E11" s="150">
        <f t="shared" si="9"/>
        <v>1261.6468486707888</v>
      </c>
      <c r="F11" s="150">
        <f t="shared" si="9"/>
        <v>1540.069685990336</v>
      </c>
      <c r="G11" s="150">
        <f t="shared" si="9"/>
        <v>1266.2008338374831</v>
      </c>
      <c r="H11" s="150">
        <f t="shared" si="9"/>
        <v>1314.9024065110559</v>
      </c>
      <c r="I11" s="150">
        <f t="shared" si="9"/>
        <v>0</v>
      </c>
      <c r="J11" s="150">
        <f t="shared" si="9"/>
        <v>1607.0709645640727</v>
      </c>
      <c r="K11" s="150">
        <f t="shared" si="9"/>
        <v>1261.6468486707888</v>
      </c>
      <c r="L11" s="150">
        <f>$B$11*(L9+L10)</f>
        <v>1540.069685990336</v>
      </c>
    </row>
    <row r="12" spans="1:14" ht="15.95" x14ac:dyDescent="0.2">
      <c r="A12" s="147" t="s">
        <v>102</v>
      </c>
      <c r="C12" s="153">
        <f>SUM(C9:C11)</f>
        <v>52487.256264077791</v>
      </c>
      <c r="D12" s="153"/>
      <c r="E12" s="153">
        <f t="shared" ref="E12:J12" si="10">SUM(E9:E11)</f>
        <v>64343.989282210227</v>
      </c>
      <c r="F12" s="153">
        <f t="shared" si="10"/>
        <v>78543.55398550714</v>
      </c>
      <c r="G12" s="153">
        <f t="shared" si="10"/>
        <v>64576.242525711634</v>
      </c>
      <c r="H12" s="153">
        <f t="shared" si="10"/>
        <v>67060.022732063851</v>
      </c>
      <c r="I12" s="153">
        <f t="shared" si="10"/>
        <v>0</v>
      </c>
      <c r="J12" s="153">
        <f t="shared" si="10"/>
        <v>81960.619192767714</v>
      </c>
      <c r="K12" s="153">
        <f>E12</f>
        <v>64343.989282210227</v>
      </c>
      <c r="L12" s="153">
        <f>F12</f>
        <v>78543.55398550714</v>
      </c>
    </row>
    <row r="13" spans="1:14" ht="15.95" x14ac:dyDescent="0.2">
      <c r="A13" s="146" t="s">
        <v>119</v>
      </c>
      <c r="B13" s="154"/>
      <c r="C13" s="155">
        <f>'Declarabiliteit &amp; soc lasten'!E14</f>
        <v>1188.0075999999999</v>
      </c>
      <c r="D13" s="155"/>
      <c r="E13" s="155">
        <f>'Declarabiliteit &amp; soc lasten'!E14</f>
        <v>1188.0075999999999</v>
      </c>
      <c r="F13" s="240">
        <f>'Declarabiliteit &amp; soc lasten'!E14*0.98</f>
        <v>1164.2474479999998</v>
      </c>
      <c r="G13" s="155">
        <f>'Declarabiliteit &amp; soc lasten'!D14</f>
        <v>1313.0075999999999</v>
      </c>
      <c r="H13" s="155">
        <f>'Declarabiliteit &amp; soc lasten'!D14</f>
        <v>1313.0075999999999</v>
      </c>
      <c r="I13" s="155"/>
      <c r="J13" s="155">
        <f>'Declarabiliteit &amp; soc lasten'!F14</f>
        <v>1313.0075999999999</v>
      </c>
      <c r="K13" s="240">
        <f>E13-65</f>
        <v>1123.0075999999999</v>
      </c>
      <c r="L13" s="240">
        <f>F13-65</f>
        <v>1099.2474479999998</v>
      </c>
    </row>
    <row r="14" spans="1:14" ht="15.95" x14ac:dyDescent="0.2">
      <c r="A14" s="146" t="s">
        <v>120</v>
      </c>
      <c r="C14" s="156"/>
      <c r="D14" s="156"/>
      <c r="E14" s="156"/>
      <c r="F14" s="156"/>
      <c r="G14" s="157">
        <v>7</v>
      </c>
      <c r="H14" s="157">
        <v>5</v>
      </c>
      <c r="I14" s="157">
        <v>1</v>
      </c>
      <c r="J14" s="157">
        <v>9</v>
      </c>
      <c r="K14" s="156"/>
      <c r="L14" s="156"/>
    </row>
    <row r="15" spans="1:14" ht="15.95" x14ac:dyDescent="0.2">
      <c r="A15" s="146" t="s">
        <v>121</v>
      </c>
      <c r="B15" s="147"/>
      <c r="C15" s="156"/>
      <c r="D15" s="156"/>
      <c r="E15" s="156"/>
      <c r="F15" s="156"/>
      <c r="G15" s="157">
        <v>4</v>
      </c>
      <c r="H15" s="157">
        <v>4</v>
      </c>
      <c r="I15" s="157">
        <v>24</v>
      </c>
      <c r="J15" s="157">
        <v>24</v>
      </c>
      <c r="K15" s="156"/>
      <c r="L15" s="156"/>
    </row>
    <row r="16" spans="1:14" ht="15.95" x14ac:dyDescent="0.2">
      <c r="A16" s="233" t="s">
        <v>122</v>
      </c>
      <c r="B16" s="230"/>
      <c r="C16" s="156"/>
      <c r="D16" s="156"/>
      <c r="E16" s="156"/>
      <c r="F16" s="156"/>
      <c r="G16" s="158">
        <v>8</v>
      </c>
      <c r="H16" s="158">
        <v>8</v>
      </c>
      <c r="I16" s="158">
        <v>53.92</v>
      </c>
      <c r="J16" s="158">
        <v>53.92</v>
      </c>
      <c r="K16" s="156"/>
      <c r="L16" s="156"/>
    </row>
    <row r="17" spans="1:12" ht="15.95" x14ac:dyDescent="0.2">
      <c r="A17" s="231" t="s">
        <v>239</v>
      </c>
      <c r="B17" s="231"/>
      <c r="C17" s="159">
        <f>C12/$C$13</f>
        <v>44.180909502664626</v>
      </c>
      <c r="D17" s="159"/>
      <c r="E17" s="159">
        <f>E12/$E$13</f>
        <v>54.161260653728334</v>
      </c>
      <c r="F17" s="159">
        <f>F12/$F$13</f>
        <v>67.462938501976552</v>
      </c>
      <c r="G17" s="159">
        <f>(((G12/G13)*G15)/G14)+G16</f>
        <v>36.10395767297338</v>
      </c>
      <c r="H17" s="159">
        <f>(((H12/H13)*H15)/H14)+H16</f>
        <v>48.858878642934805</v>
      </c>
      <c r="I17" s="159">
        <f>I16</f>
        <v>53.92</v>
      </c>
      <c r="J17" s="159">
        <f>((J12/J13)*(J15/J14))+J16</f>
        <v>220.37878605783692</v>
      </c>
      <c r="K17" s="159">
        <f>K12/$K$13</f>
        <v>57.296129858969991</v>
      </c>
      <c r="L17" s="159">
        <f>L12/$L$13</f>
        <v>71.452114015285076</v>
      </c>
    </row>
    <row r="18" spans="1:12" ht="15.95" x14ac:dyDescent="0.2">
      <c r="A18" s="231" t="s">
        <v>190</v>
      </c>
      <c r="B18" s="231"/>
      <c r="C18" s="226" t="s">
        <v>192</v>
      </c>
      <c r="D18" s="226"/>
      <c r="E18" s="226" t="s">
        <v>192</v>
      </c>
      <c r="F18" s="226" t="s">
        <v>192</v>
      </c>
      <c r="G18" s="228" t="s">
        <v>191</v>
      </c>
      <c r="H18" s="226" t="s">
        <v>191</v>
      </c>
      <c r="I18" s="226" t="s">
        <v>196</v>
      </c>
      <c r="J18" s="228" t="s">
        <v>196</v>
      </c>
      <c r="K18" s="226" t="s">
        <v>192</v>
      </c>
      <c r="L18" s="226" t="s">
        <v>192</v>
      </c>
    </row>
    <row r="19" spans="1:12" ht="15.95" x14ac:dyDescent="0.2">
      <c r="A19" s="234" t="s">
        <v>177</v>
      </c>
      <c r="B19" s="231"/>
      <c r="C19" s="277">
        <v>42.6</v>
      </c>
      <c r="D19" s="277"/>
      <c r="E19" s="277">
        <v>45.6</v>
      </c>
      <c r="F19" s="277">
        <v>76.8</v>
      </c>
      <c r="G19" s="278" t="s">
        <v>200</v>
      </c>
      <c r="H19" s="278"/>
      <c r="I19" s="279">
        <v>30.84</v>
      </c>
      <c r="J19" s="279">
        <v>250.57</v>
      </c>
      <c r="K19" s="277">
        <v>45.6</v>
      </c>
      <c r="L19" s="277">
        <v>76.8</v>
      </c>
    </row>
    <row r="20" spans="1:12" ht="15.95" x14ac:dyDescent="0.2">
      <c r="A20" s="235" t="s">
        <v>180</v>
      </c>
      <c r="B20" s="232"/>
      <c r="C20" s="227">
        <f>(C17-C19)/C19</f>
        <v>3.7110551705742366E-2</v>
      </c>
      <c r="D20" s="227"/>
      <c r="E20" s="227">
        <f>(E17-E19)/E19</f>
        <v>0.18774694416070906</v>
      </c>
      <c r="F20" s="227">
        <f t="shared" ref="F20:J20" si="11">(F17-F19)/F19</f>
        <v>-0.12157632158884694</v>
      </c>
      <c r="G20" s="229"/>
      <c r="H20" s="227"/>
      <c r="I20" s="227">
        <f t="shared" si="11"/>
        <v>0.74837872892347612</v>
      </c>
      <c r="J20" s="229">
        <f t="shared" si="11"/>
        <v>-0.12049013825343446</v>
      </c>
      <c r="K20" s="227">
        <f>(K17-K19)/K19</f>
        <v>0.25649407585460504</v>
      </c>
      <c r="L20" s="227">
        <f t="shared" ref="L20" si="12">(L17-L19)/L19</f>
        <v>-6.9633932092642209E-2</v>
      </c>
    </row>
    <row r="21" spans="1:12" ht="15.95" x14ac:dyDescent="0.2">
      <c r="B21" s="162"/>
      <c r="C21" s="160"/>
      <c r="D21" s="161"/>
      <c r="E21" s="163"/>
    </row>
    <row r="22" spans="1:12" ht="15.95" x14ac:dyDescent="0.2">
      <c r="A22" s="255" t="s">
        <v>219</v>
      </c>
      <c r="B22" s="256" t="s">
        <v>214</v>
      </c>
      <c r="C22" s="256" t="s">
        <v>176</v>
      </c>
      <c r="D22" s="161"/>
      <c r="E22" s="163"/>
    </row>
    <row r="23" spans="1:12" ht="15.95" x14ac:dyDescent="0.2">
      <c r="A23" s="257" t="s">
        <v>217</v>
      </c>
      <c r="B23" s="258">
        <f>AVERAGE(B27:D28)</f>
        <v>15.326666666666668</v>
      </c>
      <c r="C23" s="258">
        <f>AVERAGE(B27:E28)</f>
        <v>18.622499999999999</v>
      </c>
      <c r="D23" s="161"/>
      <c r="E23" s="163"/>
    </row>
    <row r="24" spans="1:12" ht="15.95" x14ac:dyDescent="0.2">
      <c r="A24" s="259" t="s">
        <v>215</v>
      </c>
      <c r="B24" s="260">
        <f>AVERAGE(B29:D29)</f>
        <v>24.846666666666668</v>
      </c>
      <c r="C24" s="260">
        <f>AVERAGE(B29:E29)</f>
        <v>26.900000000000002</v>
      </c>
      <c r="D24" s="161"/>
      <c r="E24" s="163"/>
    </row>
    <row r="25" spans="1:12" ht="15.95" x14ac:dyDescent="0.2">
      <c r="A25" s="261"/>
      <c r="B25" s="262"/>
      <c r="C25" s="262"/>
      <c r="D25" s="161"/>
      <c r="E25" s="163"/>
    </row>
    <row r="26" spans="1:12" ht="15.95" x14ac:dyDescent="0.2">
      <c r="A26" s="242" t="s">
        <v>216</v>
      </c>
      <c r="B26" s="243" t="s">
        <v>205</v>
      </c>
      <c r="C26" s="243" t="s">
        <v>206</v>
      </c>
      <c r="D26" s="243" t="s">
        <v>207</v>
      </c>
      <c r="E26" s="243" t="s">
        <v>208</v>
      </c>
      <c r="F26" s="243" t="s">
        <v>209</v>
      </c>
      <c r="G26" s="243" t="s">
        <v>210</v>
      </c>
    </row>
    <row r="27" spans="1:12" ht="15.95" x14ac:dyDescent="0.2">
      <c r="A27" s="242" t="s">
        <v>211</v>
      </c>
      <c r="B27" s="244">
        <v>7.72</v>
      </c>
      <c r="C27" s="246">
        <v>7.72</v>
      </c>
      <c r="D27" s="247">
        <v>17.52</v>
      </c>
      <c r="E27" s="241">
        <v>23.96</v>
      </c>
      <c r="F27" s="241">
        <v>33.06</v>
      </c>
      <c r="G27" s="241">
        <v>33.06</v>
      </c>
    </row>
    <row r="28" spans="1:12" ht="15.95" x14ac:dyDescent="0.2">
      <c r="A28" s="242" t="s">
        <v>218</v>
      </c>
      <c r="B28" s="244">
        <v>17.52</v>
      </c>
      <c r="C28" s="246">
        <v>17.52</v>
      </c>
      <c r="D28" s="247">
        <v>23.96</v>
      </c>
      <c r="E28" s="241">
        <v>33.06</v>
      </c>
      <c r="F28" s="241">
        <v>33.06</v>
      </c>
      <c r="G28" s="241">
        <v>46.18</v>
      </c>
    </row>
    <row r="29" spans="1:12" ht="15.95" x14ac:dyDescent="0.2">
      <c r="A29" s="147" t="s">
        <v>212</v>
      </c>
      <c r="B29" s="250">
        <v>17.52</v>
      </c>
      <c r="C29" s="251">
        <v>23.96</v>
      </c>
      <c r="D29" s="247">
        <v>33.06</v>
      </c>
      <c r="E29" s="241">
        <v>33.06</v>
      </c>
      <c r="F29" s="241">
        <v>46.18</v>
      </c>
      <c r="G29" s="241">
        <v>63.92</v>
      </c>
    </row>
    <row r="30" spans="1:12" ht="15.95" x14ac:dyDescent="0.2">
      <c r="A30" s="252" t="s">
        <v>213</v>
      </c>
      <c r="B30" s="253">
        <v>17.52</v>
      </c>
      <c r="C30" s="254">
        <v>23.96</v>
      </c>
      <c r="D30" s="248">
        <v>46.18</v>
      </c>
      <c r="E30" s="249">
        <v>46.18</v>
      </c>
      <c r="F30" s="249">
        <v>63.92</v>
      </c>
      <c r="G30" s="249">
        <v>94.64</v>
      </c>
    </row>
    <row r="31" spans="1:12" ht="15.95" x14ac:dyDescent="0.2">
      <c r="A31" s="167"/>
      <c r="B31" s="245"/>
      <c r="C31" s="245"/>
      <c r="D31"/>
      <c r="E31"/>
      <c r="F31"/>
      <c r="G31"/>
      <c r="H31" s="241"/>
      <c r="I31" s="241"/>
    </row>
    <row r="32" spans="1:12" ht="31.5" x14ac:dyDescent="0.25">
      <c r="A32" s="222" t="s">
        <v>189</v>
      </c>
      <c r="B32" s="222" t="s">
        <v>179</v>
      </c>
      <c r="C32" s="222" t="s">
        <v>180</v>
      </c>
      <c r="D32" s="222"/>
      <c r="E32" s="222" t="s">
        <v>178</v>
      </c>
      <c r="F32" s="222" t="s">
        <v>179</v>
      </c>
      <c r="G32" s="222" t="s">
        <v>180</v>
      </c>
    </row>
    <row r="33" spans="1:7" x14ac:dyDescent="0.25">
      <c r="A33" s="220" t="s">
        <v>184</v>
      </c>
      <c r="B33" s="223">
        <v>45.72</v>
      </c>
      <c r="C33" s="224">
        <f>($H$17-B33)/B33</f>
        <v>6.8654388515634421E-2</v>
      </c>
      <c r="D33" s="224"/>
      <c r="E33" s="220" t="s">
        <v>181</v>
      </c>
      <c r="F33" s="223">
        <v>38.4</v>
      </c>
      <c r="G33" s="224">
        <f t="shared" ref="G33:G35" si="13">($G$17-F33)/F33</f>
        <v>-5.9792768932984873E-2</v>
      </c>
    </row>
    <row r="34" spans="1:7" x14ac:dyDescent="0.25">
      <c r="A34" s="220" t="s">
        <v>185</v>
      </c>
      <c r="B34" s="223">
        <v>48.91</v>
      </c>
      <c r="C34" s="224">
        <f t="shared" ref="C34:C37" si="14">($H$17-B34)/B34</f>
        <v>-1.0452127799057828E-3</v>
      </c>
      <c r="D34" s="224"/>
      <c r="E34" s="220" t="s">
        <v>182</v>
      </c>
      <c r="F34" s="223">
        <v>40.4</v>
      </c>
      <c r="G34" s="224">
        <f t="shared" si="13"/>
        <v>-0.10633768136204504</v>
      </c>
    </row>
    <row r="35" spans="1:7" x14ac:dyDescent="0.25">
      <c r="A35" s="220" t="s">
        <v>186</v>
      </c>
      <c r="B35" s="223">
        <v>54.23</v>
      </c>
      <c r="C35" s="224">
        <f t="shared" si="14"/>
        <v>-9.9043358972251389E-2</v>
      </c>
      <c r="D35" s="224"/>
      <c r="E35" s="220" t="s">
        <v>183</v>
      </c>
      <c r="F35" s="223">
        <v>29.78</v>
      </c>
      <c r="G35" s="224">
        <f t="shared" si="13"/>
        <v>0.21235586544571453</v>
      </c>
    </row>
    <row r="36" spans="1:7" x14ac:dyDescent="0.25">
      <c r="A36" s="220" t="s">
        <v>187</v>
      </c>
      <c r="B36" s="223">
        <v>39.340000000000003</v>
      </c>
      <c r="C36" s="224">
        <f t="shared" si="14"/>
        <v>0.24196437831557704</v>
      </c>
      <c r="D36" s="224"/>
    </row>
    <row r="37" spans="1:7" x14ac:dyDescent="0.25">
      <c r="A37" s="220" t="s">
        <v>188</v>
      </c>
      <c r="B37" s="223">
        <v>60.61</v>
      </c>
      <c r="C37" s="224">
        <f t="shared" si="14"/>
        <v>-0.19388090013306705</v>
      </c>
      <c r="D37" s="224"/>
    </row>
    <row r="38" spans="1:7" x14ac:dyDescent="0.25">
      <c r="A38" s="225"/>
      <c r="B38" s="223"/>
      <c r="C38" s="224"/>
    </row>
    <row r="40" spans="1:7" x14ac:dyDescent="0.25">
      <c r="A40" s="147"/>
    </row>
  </sheetData>
  <pageMargins left="0.7" right="0.7" top="0.75" bottom="0.75" header="0.3" footer="0.3"/>
  <pageSetup paperSize="9" orientation="portrait" r:id="rId1"/>
  <legacy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2"/>
  <sheetViews>
    <sheetView topLeftCell="A13" zoomScaleNormal="100" workbookViewId="0">
      <selection activeCell="I24" sqref="I24"/>
    </sheetView>
  </sheetViews>
  <sheetFormatPr defaultColWidth="11.42578125" defaultRowHeight="15" x14ac:dyDescent="0.25"/>
  <cols>
    <col min="1" max="1" width="59.140625" customWidth="1"/>
    <col min="2" max="2" width="8.140625" bestFit="1" customWidth="1"/>
    <col min="4" max="4" width="16.85546875" bestFit="1" customWidth="1"/>
    <col min="5" max="5" width="16.28515625" customWidth="1"/>
  </cols>
  <sheetData>
    <row r="1" spans="1:7" ht="18.75" x14ac:dyDescent="0.3">
      <c r="A1" s="164" t="s">
        <v>123</v>
      </c>
      <c r="B1" s="140"/>
      <c r="C1" s="140" t="s">
        <v>201</v>
      </c>
      <c r="D1" s="165" t="s">
        <v>124</v>
      </c>
      <c r="E1" s="166" t="s">
        <v>125</v>
      </c>
      <c r="F1" s="140" t="s">
        <v>126</v>
      </c>
    </row>
    <row r="2" spans="1:7" x14ac:dyDescent="0.2">
      <c r="A2" s="166" t="s">
        <v>127</v>
      </c>
      <c r="B2" s="140"/>
      <c r="C2" s="142">
        <v>1878</v>
      </c>
      <c r="D2" s="142">
        <v>1878</v>
      </c>
      <c r="E2" s="142">
        <v>1878</v>
      </c>
      <c r="F2" s="142">
        <v>1878</v>
      </c>
    </row>
    <row r="3" spans="1:7" x14ac:dyDescent="0.25">
      <c r="A3" s="167" t="s">
        <v>128</v>
      </c>
      <c r="C3" s="302">
        <v>243</v>
      </c>
      <c r="D3" s="141">
        <v>50</v>
      </c>
      <c r="E3" s="141">
        <v>50</v>
      </c>
      <c r="F3" s="141">
        <v>50</v>
      </c>
    </row>
    <row r="4" spans="1:7" x14ac:dyDescent="0.25">
      <c r="A4" s="167" t="s">
        <v>129</v>
      </c>
      <c r="C4" s="302"/>
      <c r="D4" s="141">
        <v>210</v>
      </c>
      <c r="E4" s="141">
        <v>210</v>
      </c>
      <c r="F4" s="141">
        <v>210</v>
      </c>
      <c r="G4" t="s">
        <v>199</v>
      </c>
    </row>
    <row r="5" spans="1:7" x14ac:dyDescent="0.2">
      <c r="A5" s="167" t="s">
        <v>130</v>
      </c>
      <c r="B5" s="168">
        <v>6.1800000000000001E-2</v>
      </c>
      <c r="C5" s="141">
        <f>$B$5*(C2-(C3))</f>
        <v>101.04300000000001</v>
      </c>
      <c r="D5" s="141">
        <f>$B$5*(D2-(D3+D4))</f>
        <v>99.992400000000004</v>
      </c>
      <c r="E5" s="141">
        <f t="shared" ref="E5:F5" si="0">$B$5*(E2-(E3+E4))</f>
        <v>99.992400000000004</v>
      </c>
      <c r="F5" s="141">
        <f t="shared" si="0"/>
        <v>99.992400000000004</v>
      </c>
    </row>
    <row r="6" spans="1:7" x14ac:dyDescent="0.2">
      <c r="A6" s="166" t="s">
        <v>131</v>
      </c>
      <c r="B6" s="140"/>
      <c r="C6" s="169">
        <f>C2-C3-C4-C5</f>
        <v>1533.9569999999999</v>
      </c>
      <c r="D6" s="169">
        <f>D2-D3-D4-D5</f>
        <v>1518.0075999999999</v>
      </c>
      <c r="E6" s="169">
        <f>E2-E3-E4-E5</f>
        <v>1518.0075999999999</v>
      </c>
      <c r="F6" s="169">
        <f>F2-F3-F4-F5</f>
        <v>1518.0075999999999</v>
      </c>
      <c r="G6" s="170"/>
    </row>
    <row r="7" spans="1:7" x14ac:dyDescent="0.25">
      <c r="A7" s="171" t="s">
        <v>132</v>
      </c>
      <c r="C7" s="141"/>
      <c r="D7" s="141"/>
      <c r="E7" s="141"/>
      <c r="F7" s="141"/>
    </row>
    <row r="8" spans="1:7" x14ac:dyDescent="0.2">
      <c r="A8" s="167" t="s">
        <v>133</v>
      </c>
      <c r="C8" s="141">
        <v>21</v>
      </c>
      <c r="D8" s="141">
        <v>30</v>
      </c>
      <c r="E8" s="141">
        <v>30</v>
      </c>
      <c r="F8" s="141">
        <v>30</v>
      </c>
      <c r="G8" s="170"/>
    </row>
    <row r="9" spans="1:7" x14ac:dyDescent="0.2">
      <c r="A9" s="167" t="s">
        <v>134</v>
      </c>
      <c r="C9" s="141">
        <v>15</v>
      </c>
      <c r="D9" s="141">
        <v>80</v>
      </c>
      <c r="E9" s="141">
        <v>80</v>
      </c>
      <c r="F9" s="141">
        <v>80</v>
      </c>
      <c r="G9" s="170"/>
    </row>
    <row r="10" spans="1:7" x14ac:dyDescent="0.2">
      <c r="A10" s="167" t="s">
        <v>135</v>
      </c>
      <c r="C10" s="141"/>
      <c r="D10" s="141">
        <v>20</v>
      </c>
      <c r="E10" s="141">
        <v>20</v>
      </c>
      <c r="F10" s="141">
        <v>20</v>
      </c>
      <c r="G10" s="170"/>
    </row>
    <row r="11" spans="1:7" x14ac:dyDescent="0.25">
      <c r="A11" s="166" t="s">
        <v>136</v>
      </c>
      <c r="B11" s="140"/>
      <c r="C11" s="142">
        <f>C6-(SUM(C8:C10))</f>
        <v>1497.9569999999999</v>
      </c>
      <c r="D11" s="142">
        <f>D6-(SUM(D8:D10))</f>
        <v>1388.0075999999999</v>
      </c>
      <c r="E11" s="142">
        <f>E6-(SUM(E8:E10))</f>
        <v>1388.0075999999999</v>
      </c>
      <c r="F11" s="142">
        <f>F6-(SUM(F8:F10))</f>
        <v>1388.0075999999999</v>
      </c>
    </row>
    <row r="12" spans="1:7" x14ac:dyDescent="0.2">
      <c r="A12" s="167" t="s">
        <v>137</v>
      </c>
      <c r="C12" s="141">
        <v>35</v>
      </c>
      <c r="D12" s="141"/>
      <c r="E12" s="239">
        <v>125</v>
      </c>
      <c r="G12" s="77" t="s">
        <v>204</v>
      </c>
    </row>
    <row r="13" spans="1:7" x14ac:dyDescent="0.25">
      <c r="A13" s="167" t="s">
        <v>138</v>
      </c>
      <c r="B13" s="172"/>
      <c r="C13" s="141"/>
      <c r="D13" s="141">
        <v>75</v>
      </c>
      <c r="E13" s="141">
        <v>75</v>
      </c>
      <c r="F13" s="141">
        <v>75</v>
      </c>
      <c r="G13" s="170"/>
    </row>
    <row r="14" spans="1:7" x14ac:dyDescent="0.25">
      <c r="A14" s="167" t="s">
        <v>139</v>
      </c>
      <c r="B14" s="173"/>
      <c r="C14" s="174">
        <f>C11-C12-C13</f>
        <v>1462.9569999999999</v>
      </c>
      <c r="D14" s="174">
        <f>D11-D12-D13</f>
        <v>1313.0075999999999</v>
      </c>
      <c r="E14" s="174">
        <f>E11-E12-E13</f>
        <v>1188.0075999999999</v>
      </c>
      <c r="F14" s="174">
        <f>F11-F12-F13</f>
        <v>1313.0075999999999</v>
      </c>
    </row>
    <row r="17" spans="1:6" ht="18.95" x14ac:dyDescent="0.25">
      <c r="A17" s="164" t="s">
        <v>140</v>
      </c>
      <c r="B17" s="167"/>
      <c r="C17" s="221">
        <v>2021</v>
      </c>
      <c r="D17" s="167"/>
      <c r="E17" s="164" t="s">
        <v>220</v>
      </c>
    </row>
    <row r="18" spans="1:6" x14ac:dyDescent="0.2">
      <c r="A18" s="167" t="s">
        <v>141</v>
      </c>
      <c r="B18" s="167"/>
      <c r="C18" s="175">
        <v>7.5300000000000006E-2</v>
      </c>
      <c r="D18" s="167"/>
      <c r="E18" s="263">
        <v>0.125</v>
      </c>
      <c r="F18" t="s">
        <v>221</v>
      </c>
    </row>
    <row r="19" spans="1:6" x14ac:dyDescent="0.2">
      <c r="A19" s="167" t="s">
        <v>142</v>
      </c>
      <c r="B19" s="265">
        <v>0.85</v>
      </c>
      <c r="C19" s="175">
        <v>2.7E-2</v>
      </c>
      <c r="D19" s="167"/>
      <c r="E19" s="264">
        <v>12770</v>
      </c>
      <c r="F19" t="s">
        <v>222</v>
      </c>
    </row>
    <row r="20" spans="1:6" x14ac:dyDescent="0.2">
      <c r="A20" s="167" t="s">
        <v>143</v>
      </c>
      <c r="B20" s="176">
        <f>1-B19</f>
        <v>0.15000000000000002</v>
      </c>
      <c r="C20" s="175">
        <v>7.6999999999999999E-2</v>
      </c>
      <c r="D20" s="167"/>
      <c r="E20" s="263">
        <v>2.5000000000000001E-3</v>
      </c>
      <c r="F20" t="s">
        <v>223</v>
      </c>
    </row>
    <row r="21" spans="1:6" x14ac:dyDescent="0.2">
      <c r="A21" s="167" t="s">
        <v>144</v>
      </c>
      <c r="B21" s="167"/>
      <c r="C21" s="175">
        <v>7.0000000000000007E-2</v>
      </c>
      <c r="D21" s="167"/>
      <c r="E21" s="264">
        <v>21430</v>
      </c>
      <c r="F21" t="s">
        <v>224</v>
      </c>
    </row>
    <row r="22" spans="1:6" x14ac:dyDescent="0.2">
      <c r="A22" s="167" t="s">
        <v>145</v>
      </c>
      <c r="B22" s="167"/>
      <c r="C22" s="175">
        <v>1.2800000000000001E-2</v>
      </c>
      <c r="D22" s="167"/>
    </row>
    <row r="23" spans="1:6" x14ac:dyDescent="0.2">
      <c r="A23" s="167" t="s">
        <v>238</v>
      </c>
      <c r="B23" s="167"/>
      <c r="C23" s="175">
        <f>D23*E23*B20</f>
        <v>1.3900000000000002E-3</v>
      </c>
      <c r="D23" s="273">
        <v>2.7799999999999998E-2</v>
      </c>
      <c r="E23">
        <f>1/3</f>
        <v>0.33333333333333331</v>
      </c>
    </row>
    <row r="24" spans="1:6" x14ac:dyDescent="0.2">
      <c r="A24" s="167"/>
      <c r="B24" s="167" t="s">
        <v>146</v>
      </c>
      <c r="C24" s="274">
        <f>C18+(B19*C19)+(B20*C20)+C21+C22+C23</f>
        <v>0.19399000000000002</v>
      </c>
      <c r="D24" s="167"/>
    </row>
    <row r="25" spans="1:6" x14ac:dyDescent="0.2">
      <c r="A25" s="167"/>
      <c r="D25" s="167"/>
    </row>
    <row r="26" spans="1:6" ht="18.95" x14ac:dyDescent="0.25">
      <c r="A26" s="164" t="s">
        <v>231</v>
      </c>
      <c r="B26" s="167"/>
      <c r="C26" s="166" t="s">
        <v>234</v>
      </c>
      <c r="D26" s="166" t="s">
        <v>232</v>
      </c>
      <c r="E26" s="166" t="s">
        <v>235</v>
      </c>
    </row>
    <row r="27" spans="1:6" x14ac:dyDescent="0.2">
      <c r="A27" s="167" t="s">
        <v>226</v>
      </c>
      <c r="C27" s="266">
        <f>'producten &amp; tarieven'!C7</f>
        <v>31201.881603660004</v>
      </c>
      <c r="D27" s="266">
        <f>AVERAGE('producten &amp; tarieven'!E7:H7)</f>
        <v>40414.764736786499</v>
      </c>
      <c r="E27" s="266">
        <f>'producten &amp; tarieven'!J7</f>
        <v>48021.738124392017</v>
      </c>
    </row>
    <row r="28" spans="1:6" ht="15.95" x14ac:dyDescent="0.2">
      <c r="A28" s="267" t="s">
        <v>227</v>
      </c>
      <c r="C28" s="268">
        <f>$E$18*(C27-$E$19)</f>
        <v>2303.9852004575005</v>
      </c>
      <c r="D28" s="268">
        <f>$E$18*(D27-$E$19)</f>
        <v>3455.5955920983124</v>
      </c>
      <c r="E28" s="268">
        <f>$E$18*(E27-$E$19)</f>
        <v>4406.4672655490021</v>
      </c>
    </row>
    <row r="29" spans="1:6" ht="15.95" x14ac:dyDescent="0.2">
      <c r="A29" s="267" t="s">
        <v>228</v>
      </c>
      <c r="C29" s="269">
        <f>$E$20*(C27-$E$21)</f>
        <v>24.429704009150012</v>
      </c>
      <c r="D29" s="269">
        <f>$E$20*(D27-$E$21)</f>
        <v>47.461911841966248</v>
      </c>
      <c r="E29" s="269">
        <f>$E$20*(E27-$E$21)</f>
        <v>66.479345310980051</v>
      </c>
    </row>
    <row r="30" spans="1:6" ht="15.95" x14ac:dyDescent="0.2">
      <c r="A30" s="267" t="s">
        <v>225</v>
      </c>
      <c r="C30" s="268">
        <f>SUM(C28:C29)</f>
        <v>2328.4149044666506</v>
      </c>
      <c r="D30" s="268">
        <f>SUM(D28:D29)</f>
        <v>3503.0575039402788</v>
      </c>
      <c r="E30" s="268">
        <f>SUM(E28:E29)</f>
        <v>4472.9466108599818</v>
      </c>
    </row>
    <row r="31" spans="1:6" ht="15.75" x14ac:dyDescent="0.25">
      <c r="A31" s="267" t="s">
        <v>229</v>
      </c>
      <c r="C31" s="270">
        <f>C30/C27</f>
        <v>7.4624182414483806E-2</v>
      </c>
      <c r="D31" s="270">
        <f>D30/D27</f>
        <v>8.6677666609097218E-2</v>
      </c>
      <c r="E31" s="270">
        <f>E30/E27</f>
        <v>9.3144204803116165E-2</v>
      </c>
    </row>
    <row r="32" spans="1:6" ht="15.75" x14ac:dyDescent="0.25">
      <c r="A32" s="275" t="s">
        <v>230</v>
      </c>
      <c r="C32" s="276">
        <f>$C$24+C31</f>
        <v>0.26861418241448382</v>
      </c>
      <c r="D32" s="276">
        <f>$C$24+D31</f>
        <v>0.28066766660909725</v>
      </c>
      <c r="E32" s="276">
        <f>$C$24+E31</f>
        <v>0.28713420480311619</v>
      </c>
    </row>
  </sheetData>
  <mergeCells count="1">
    <mergeCell ref="C3:C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N35"/>
  <sheetViews>
    <sheetView workbookViewId="0">
      <selection activeCell="B1" sqref="B1:B2"/>
    </sheetView>
  </sheetViews>
  <sheetFormatPr defaultColWidth="10.42578125" defaultRowHeight="15" x14ac:dyDescent="0.25"/>
  <cols>
    <col min="1" max="1" width="20" style="177" customWidth="1"/>
    <col min="2" max="2" width="12.42578125" style="177" customWidth="1"/>
    <col min="3" max="3" width="10.42578125" style="177"/>
    <col min="4" max="4" width="10.42578125" style="177" customWidth="1"/>
    <col min="5" max="5" width="10.42578125" style="177"/>
    <col min="6" max="6" width="10.42578125" style="177" customWidth="1"/>
    <col min="7" max="7" width="10.42578125" style="177"/>
    <col min="8" max="8" width="10.42578125" style="177" customWidth="1"/>
    <col min="9" max="13" width="10.42578125" style="177"/>
    <col min="14" max="14" width="11.42578125" style="177" customWidth="1"/>
    <col min="15" max="15" width="28.42578125" style="177" customWidth="1"/>
    <col min="16" max="16" width="51.42578125" style="177" customWidth="1"/>
    <col min="17" max="16384" width="10.42578125" style="177"/>
  </cols>
  <sheetData>
    <row r="1" spans="2:14" x14ac:dyDescent="0.25">
      <c r="B1" s="210" t="s">
        <v>147</v>
      </c>
    </row>
    <row r="2" spans="2:14" x14ac:dyDescent="0.25">
      <c r="B2" s="210" t="s">
        <v>240</v>
      </c>
    </row>
    <row r="4" spans="2:14" x14ac:dyDescent="0.2">
      <c r="C4" s="303" t="s">
        <v>148</v>
      </c>
      <c r="D4" s="306"/>
      <c r="E4" s="303" t="s">
        <v>149</v>
      </c>
      <c r="F4" s="306"/>
      <c r="G4" s="303" t="s">
        <v>150</v>
      </c>
      <c r="H4" s="306"/>
      <c r="I4" s="303" t="s">
        <v>151</v>
      </c>
      <c r="J4" s="306"/>
    </row>
    <row r="5" spans="2:14" x14ac:dyDescent="0.25">
      <c r="B5" s="303" t="s">
        <v>152</v>
      </c>
      <c r="C5" s="178" t="s">
        <v>153</v>
      </c>
      <c r="D5" s="179">
        <v>2344.9299999999998</v>
      </c>
      <c r="E5" s="178" t="s">
        <v>153</v>
      </c>
      <c r="F5" s="179">
        <v>2357</v>
      </c>
      <c r="G5" s="178" t="s">
        <v>153</v>
      </c>
      <c r="H5" s="179">
        <v>2365</v>
      </c>
      <c r="I5" s="178"/>
      <c r="J5" s="179"/>
      <c r="K5" s="180">
        <v>0.2</v>
      </c>
      <c r="N5" s="181"/>
    </row>
    <row r="6" spans="2:14" x14ac:dyDescent="0.25">
      <c r="B6" s="304"/>
      <c r="C6" s="182" t="s">
        <v>154</v>
      </c>
      <c r="D6" s="183">
        <v>2481.3000000000002</v>
      </c>
      <c r="E6" s="182" t="s">
        <v>154</v>
      </c>
      <c r="F6" s="183">
        <v>2487</v>
      </c>
      <c r="G6" s="182" t="s">
        <v>154</v>
      </c>
      <c r="H6" s="183">
        <v>2495</v>
      </c>
      <c r="I6" s="182" t="s">
        <v>155</v>
      </c>
      <c r="J6" s="183">
        <v>2550</v>
      </c>
      <c r="K6" s="184">
        <f>1-K5</f>
        <v>0.8</v>
      </c>
      <c r="N6" s="181"/>
    </row>
    <row r="7" spans="2:14" x14ac:dyDescent="0.25">
      <c r="B7" s="305" t="s">
        <v>156</v>
      </c>
      <c r="C7" s="185" t="s">
        <v>157</v>
      </c>
      <c r="D7" s="186">
        <v>2554.98</v>
      </c>
      <c r="E7" s="185" t="s">
        <v>157</v>
      </c>
      <c r="F7" s="186">
        <v>2622</v>
      </c>
      <c r="G7" s="185" t="s">
        <v>157</v>
      </c>
      <c r="H7" s="186">
        <v>2633</v>
      </c>
      <c r="I7" s="185" t="s">
        <v>158</v>
      </c>
      <c r="J7" s="186">
        <v>2763</v>
      </c>
      <c r="K7" s="184"/>
    </row>
    <row r="8" spans="2:14" x14ac:dyDescent="0.25">
      <c r="B8" s="305"/>
      <c r="C8" s="187" t="s">
        <v>159</v>
      </c>
      <c r="D8" s="188">
        <v>2762.34</v>
      </c>
      <c r="E8" s="187" t="s">
        <v>159</v>
      </c>
      <c r="F8" s="188">
        <v>2757</v>
      </c>
      <c r="G8" s="187" t="s">
        <v>159</v>
      </c>
      <c r="H8" s="188">
        <v>2766</v>
      </c>
      <c r="I8" s="187" t="s">
        <v>160</v>
      </c>
      <c r="J8" s="188">
        <v>2936</v>
      </c>
      <c r="K8" s="184"/>
    </row>
    <row r="9" spans="2:14" x14ac:dyDescent="0.25">
      <c r="B9" s="307" t="s">
        <v>161</v>
      </c>
      <c r="C9" s="185" t="s">
        <v>162</v>
      </c>
      <c r="D9" s="202">
        <v>2971.05</v>
      </c>
      <c r="E9" s="185" t="s">
        <v>162</v>
      </c>
      <c r="F9" s="186">
        <v>3037</v>
      </c>
      <c r="G9" s="185" t="s">
        <v>162</v>
      </c>
      <c r="H9" s="186">
        <v>2902</v>
      </c>
      <c r="I9" s="185" t="s">
        <v>163</v>
      </c>
      <c r="J9" s="186">
        <v>3279</v>
      </c>
      <c r="K9" s="184"/>
    </row>
    <row r="10" spans="2:14" x14ac:dyDescent="0.25">
      <c r="B10" s="308"/>
      <c r="C10" s="185" t="s">
        <v>164</v>
      </c>
      <c r="D10" s="186">
        <v>3264.29</v>
      </c>
      <c r="E10" s="185" t="s">
        <v>164</v>
      </c>
      <c r="F10" s="186">
        <v>3326</v>
      </c>
      <c r="G10" s="185" t="s">
        <v>164</v>
      </c>
      <c r="H10" s="186">
        <v>3189</v>
      </c>
      <c r="I10" s="185" t="s">
        <v>165</v>
      </c>
      <c r="J10" s="186">
        <v>3494</v>
      </c>
      <c r="K10" s="184"/>
    </row>
    <row r="11" spans="2:14" x14ac:dyDescent="0.25">
      <c r="B11" s="305" t="s">
        <v>166</v>
      </c>
      <c r="C11" s="189" t="s">
        <v>167</v>
      </c>
      <c r="D11" s="190">
        <v>3707.64</v>
      </c>
      <c r="E11" s="189" t="s">
        <v>167</v>
      </c>
      <c r="F11" s="190">
        <v>3678</v>
      </c>
      <c r="G11" s="189" t="s">
        <v>167</v>
      </c>
      <c r="H11" s="190">
        <v>3624</v>
      </c>
      <c r="I11" s="189" t="s">
        <v>168</v>
      </c>
      <c r="J11" s="190">
        <v>3864</v>
      </c>
      <c r="K11" s="180">
        <v>0.8</v>
      </c>
    </row>
    <row r="12" spans="2:14" x14ac:dyDescent="0.25">
      <c r="B12" s="305"/>
      <c r="C12" s="187" t="s">
        <v>169</v>
      </c>
      <c r="D12" s="188">
        <v>4161.92</v>
      </c>
      <c r="E12" s="187" t="s">
        <v>169</v>
      </c>
      <c r="F12" s="188">
        <v>4131</v>
      </c>
      <c r="G12" s="187" t="s">
        <v>169</v>
      </c>
      <c r="H12" s="188">
        <v>4082</v>
      </c>
      <c r="I12" s="187" t="s">
        <v>170</v>
      </c>
      <c r="J12" s="188">
        <v>4252</v>
      </c>
      <c r="K12" s="184">
        <f>1-K11</f>
        <v>0.19999999999999996</v>
      </c>
    </row>
    <row r="13" spans="2:14" x14ac:dyDescent="0.2">
      <c r="C13" s="189"/>
      <c r="D13" s="191"/>
      <c r="E13" s="189"/>
      <c r="F13" s="191"/>
      <c r="G13" s="189"/>
      <c r="H13" s="191"/>
      <c r="I13" s="189"/>
      <c r="J13" s="191"/>
    </row>
    <row r="14" spans="2:14" x14ac:dyDescent="0.2">
      <c r="C14" s="192"/>
      <c r="D14" s="193"/>
      <c r="E14" s="185"/>
      <c r="F14" s="194"/>
      <c r="G14" s="192"/>
      <c r="H14" s="193"/>
      <c r="I14" s="192"/>
      <c r="J14" s="193"/>
    </row>
    <row r="15" spans="2:14" x14ac:dyDescent="0.2">
      <c r="C15" s="195"/>
      <c r="D15" s="196"/>
      <c r="E15" s="187"/>
      <c r="F15" s="197"/>
      <c r="G15" s="187"/>
      <c r="H15" s="197"/>
      <c r="I15" s="187"/>
      <c r="J15" s="197"/>
    </row>
    <row r="18" spans="2:13" x14ac:dyDescent="0.2">
      <c r="C18" s="303" t="s">
        <v>152</v>
      </c>
      <c r="D18" s="306"/>
      <c r="E18" s="303" t="s">
        <v>156</v>
      </c>
      <c r="F18" s="306"/>
      <c r="G18" s="303" t="s">
        <v>161</v>
      </c>
      <c r="H18" s="306"/>
      <c r="I18" s="303" t="s">
        <v>166</v>
      </c>
      <c r="J18" s="306"/>
    </row>
    <row r="19" spans="2:13" x14ac:dyDescent="0.2">
      <c r="B19" s="189" t="s">
        <v>148</v>
      </c>
      <c r="C19" s="198"/>
      <c r="D19" s="199">
        <f>(K$5*D5)+(K$6*D6)</f>
        <v>2454.0260000000003</v>
      </c>
      <c r="E19" s="200"/>
      <c r="F19" s="201">
        <f>AVERAGE(D7:D8)</f>
        <v>2658.66</v>
      </c>
      <c r="G19" s="189"/>
      <c r="H19" s="201">
        <f>AVERAGE(D9:D10)</f>
        <v>3117.67</v>
      </c>
      <c r="I19" s="189"/>
      <c r="J19" s="201">
        <f>($K11*D11)+($K12*D12)</f>
        <v>3798.4960000000001</v>
      </c>
      <c r="K19" s="202"/>
      <c r="M19" s="202"/>
    </row>
    <row r="20" spans="2:13" x14ac:dyDescent="0.2">
      <c r="B20" s="185" t="s">
        <v>149</v>
      </c>
      <c r="C20" s="203"/>
      <c r="D20" s="204">
        <f>(K$5*F5)+(K$6*F6)</f>
        <v>2461</v>
      </c>
      <c r="E20" s="184"/>
      <c r="F20" s="205">
        <f>AVERAGE(F7:F8)</f>
        <v>2689.5</v>
      </c>
      <c r="G20" s="185"/>
      <c r="H20" s="205">
        <f>AVERAGE(F9:F10)</f>
        <v>3181.5</v>
      </c>
      <c r="I20" s="185"/>
      <c r="J20" s="205">
        <f>($K11*F11)+($K12*F12)</f>
        <v>3768.6</v>
      </c>
    </row>
    <row r="21" spans="2:13" x14ac:dyDescent="0.2">
      <c r="B21" s="185" t="s">
        <v>150</v>
      </c>
      <c r="C21" s="203"/>
      <c r="D21" s="204">
        <f>(K$5*H5)+(K$6*H6)</f>
        <v>2469</v>
      </c>
      <c r="E21" s="184"/>
      <c r="F21" s="205">
        <f>AVERAGE(H7:H8)</f>
        <v>2699.5</v>
      </c>
      <c r="G21" s="185"/>
      <c r="H21" s="205">
        <f>AVERAGE(H9:H10)</f>
        <v>3045.5</v>
      </c>
      <c r="I21" s="185"/>
      <c r="J21" s="205">
        <f>($K11*H11)+($K12*H12)</f>
        <v>3715.6000000000004</v>
      </c>
    </row>
    <row r="22" spans="2:13" x14ac:dyDescent="0.2">
      <c r="B22" s="187" t="s">
        <v>151</v>
      </c>
      <c r="C22" s="206"/>
      <c r="D22" s="207">
        <f>J6</f>
        <v>2550</v>
      </c>
      <c r="E22" s="208"/>
      <c r="F22" s="209">
        <f>AVERAGE(J7:J8)</f>
        <v>2849.5</v>
      </c>
      <c r="G22" s="187"/>
      <c r="H22" s="209">
        <f>AVERAGE(J9:J10)</f>
        <v>3386.5</v>
      </c>
      <c r="I22" s="187"/>
      <c r="J22" s="209">
        <f>($K11*J11)+($K12*J12)</f>
        <v>3941.6000000000004</v>
      </c>
    </row>
    <row r="23" spans="2:13" x14ac:dyDescent="0.2">
      <c r="C23" s="185"/>
      <c r="D23" s="194"/>
      <c r="E23" s="185"/>
      <c r="F23" s="194"/>
      <c r="G23" s="185"/>
      <c r="H23" s="194"/>
      <c r="I23" s="185"/>
      <c r="J23" s="194"/>
    </row>
    <row r="24" spans="2:13" x14ac:dyDescent="0.2">
      <c r="B24" s="210" t="s">
        <v>171</v>
      </c>
      <c r="C24" s="211"/>
      <c r="D24" s="212">
        <f>AVERAGE(D19:D22)</f>
        <v>2483.5065</v>
      </c>
      <c r="E24" s="211"/>
      <c r="F24" s="212">
        <f>AVERAGE(F19:F22)</f>
        <v>2724.29</v>
      </c>
      <c r="G24" s="213"/>
      <c r="H24" s="212">
        <f>AVERAGE(H19:H22)</f>
        <v>3182.7925</v>
      </c>
      <c r="I24" s="213"/>
      <c r="J24" s="212">
        <f>AVERAGE(J19:J22)</f>
        <v>3806.0740000000001</v>
      </c>
    </row>
    <row r="27" spans="2:13" x14ac:dyDescent="0.2">
      <c r="C27" s="214" t="s">
        <v>152</v>
      </c>
      <c r="D27" s="214" t="s">
        <v>156</v>
      </c>
      <c r="E27" s="214" t="s">
        <v>161</v>
      </c>
      <c r="F27" s="214" t="s">
        <v>166</v>
      </c>
    </row>
    <row r="28" spans="2:13" x14ac:dyDescent="0.2">
      <c r="B28" s="214" t="s">
        <v>172</v>
      </c>
      <c r="C28" s="215">
        <v>1</v>
      </c>
      <c r="D28" s="215"/>
      <c r="E28" s="215"/>
      <c r="F28" s="216"/>
      <c r="G28" s="217">
        <f>(C28*D$24)+(D28*F$24)+(E28*H$24)+(F28*J$24)</f>
        <v>2483.5065</v>
      </c>
    </row>
    <row r="29" spans="2:13" x14ac:dyDescent="0.2">
      <c r="B29" s="214" t="s">
        <v>104</v>
      </c>
      <c r="C29" s="218"/>
      <c r="D29" s="219">
        <v>0.5</v>
      </c>
      <c r="E29" s="219">
        <v>0.4</v>
      </c>
      <c r="F29" s="219">
        <v>0.1</v>
      </c>
      <c r="G29" s="217">
        <f t="shared" ref="G29:G33" si="0">(C29*D$24)+(D29*F$24)+(E29*H$24)+(F29*J$24)</f>
        <v>3015.8694</v>
      </c>
    </row>
    <row r="30" spans="2:13" x14ac:dyDescent="0.2">
      <c r="B30" s="214" t="s">
        <v>175</v>
      </c>
      <c r="C30" s="216"/>
      <c r="D30" s="219"/>
      <c r="E30" s="219">
        <v>0.2</v>
      </c>
      <c r="F30" s="219">
        <v>0.8</v>
      </c>
      <c r="G30" s="217">
        <f t="shared" si="0"/>
        <v>3681.4177000000004</v>
      </c>
    </row>
    <row r="31" spans="2:13" x14ac:dyDescent="0.25">
      <c r="B31" s="214" t="s">
        <v>197</v>
      </c>
      <c r="C31" s="215">
        <v>0.05</v>
      </c>
      <c r="D31" s="219">
        <v>0.4</v>
      </c>
      <c r="E31" s="219">
        <v>0.45</v>
      </c>
      <c r="F31" s="219">
        <v>0.1</v>
      </c>
      <c r="G31" s="217">
        <f t="shared" si="0"/>
        <v>3026.7553499999999</v>
      </c>
    </row>
    <row r="32" spans="2:13" x14ac:dyDescent="0.25">
      <c r="B32" s="214" t="s">
        <v>198</v>
      </c>
      <c r="C32" s="215">
        <v>0.05</v>
      </c>
      <c r="D32" s="219">
        <v>0.35</v>
      </c>
      <c r="E32" s="219">
        <v>0.35</v>
      </c>
      <c r="F32" s="219">
        <v>0.25</v>
      </c>
      <c r="G32" s="217">
        <f t="shared" si="0"/>
        <v>3143.1727000000001</v>
      </c>
    </row>
    <row r="33" spans="2:7" x14ac:dyDescent="0.25">
      <c r="B33" s="214" t="s">
        <v>193</v>
      </c>
      <c r="C33" s="216"/>
      <c r="D33" s="219">
        <v>0.4</v>
      </c>
      <c r="E33" s="219">
        <v>0.4</v>
      </c>
      <c r="F33" s="219">
        <v>0.2</v>
      </c>
      <c r="G33" s="217">
        <f t="shared" si="0"/>
        <v>3124.0478000000007</v>
      </c>
    </row>
    <row r="35" spans="2:7" x14ac:dyDescent="0.25">
      <c r="B35" s="214"/>
    </row>
  </sheetData>
  <mergeCells count="12">
    <mergeCell ref="B5:B6"/>
    <mergeCell ref="B7:B8"/>
    <mergeCell ref="I18:J18"/>
    <mergeCell ref="C4:D4"/>
    <mergeCell ref="E4:F4"/>
    <mergeCell ref="G4:H4"/>
    <mergeCell ref="I4:J4"/>
    <mergeCell ref="B9:B10"/>
    <mergeCell ref="B11:B12"/>
    <mergeCell ref="C18:D18"/>
    <mergeCell ref="E18:F18"/>
    <mergeCell ref="G18:H18"/>
  </mergeCells>
  <phoneticPr fontId="4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9"/>
  <sheetViews>
    <sheetView workbookViewId="0">
      <selection activeCell="E15" sqref="E15"/>
    </sheetView>
  </sheetViews>
  <sheetFormatPr defaultColWidth="8.42578125" defaultRowHeight="15.75" x14ac:dyDescent="0.25"/>
  <cols>
    <col min="1" max="1" width="58.85546875" style="271" customWidth="1"/>
    <col min="2" max="2" width="20" style="144" customWidth="1"/>
    <col min="3" max="10" width="16.42578125" style="271" customWidth="1"/>
    <col min="11" max="17" width="14.42578125" style="271" customWidth="1"/>
    <col min="18" max="16384" width="8.42578125" style="271"/>
  </cols>
  <sheetData>
    <row r="1" spans="1:5" s="143" customFormat="1" ht="33.950000000000003" x14ac:dyDescent="0.2">
      <c r="A1" s="143" t="s">
        <v>105</v>
      </c>
      <c r="B1" s="144" t="s">
        <v>106</v>
      </c>
      <c r="C1" s="145" t="s">
        <v>242</v>
      </c>
      <c r="D1" s="287" t="s">
        <v>243</v>
      </c>
      <c r="E1" s="287" t="s">
        <v>244</v>
      </c>
    </row>
    <row r="2" spans="1:5" ht="15.95" x14ac:dyDescent="0.2">
      <c r="A2" s="271" t="s">
        <v>109</v>
      </c>
      <c r="B2" s="147"/>
      <c r="C2" s="236">
        <f>AVERAGE(D2:E2)</f>
        <v>2211.91</v>
      </c>
      <c r="D2" s="288">
        <v>2179.2199999999998</v>
      </c>
      <c r="E2" s="288">
        <v>2244.6</v>
      </c>
    </row>
    <row r="3" spans="1:5" ht="15.95" x14ac:dyDescent="0.2">
      <c r="A3" s="271" t="s">
        <v>110</v>
      </c>
      <c r="B3" s="149">
        <v>0.9</v>
      </c>
      <c r="C3" s="289">
        <f>12*C2*$B$3</f>
        <v>23888.628000000001</v>
      </c>
    </row>
    <row r="4" spans="1:5" ht="15.95" x14ac:dyDescent="0.2">
      <c r="A4" s="271" t="s">
        <v>112</v>
      </c>
      <c r="B4" s="144">
        <v>0.08</v>
      </c>
      <c r="C4" s="289">
        <f>IF((B4*C3)&lt;D5,D5,(B4*C3))</f>
        <v>1934.78</v>
      </c>
      <c r="D4" s="290" t="s">
        <v>245</v>
      </c>
    </row>
    <row r="5" spans="1:5" ht="15.95" x14ac:dyDescent="0.2">
      <c r="A5" s="271" t="s">
        <v>113</v>
      </c>
      <c r="B5" s="151">
        <v>8.3299999999999999E-2</v>
      </c>
      <c r="C5" s="289">
        <f>IF((B5*C3)&lt;D6,D6,(B5*C3))</f>
        <v>2132.61</v>
      </c>
      <c r="D5" s="291">
        <v>1934.78</v>
      </c>
    </row>
    <row r="6" spans="1:5" ht="15.95" x14ac:dyDescent="0.2">
      <c r="A6" s="147" t="s">
        <v>114</v>
      </c>
      <c r="C6" s="289">
        <f>SUM(C3:C5)</f>
        <v>27956.018</v>
      </c>
      <c r="D6" s="291">
        <v>2132.61</v>
      </c>
    </row>
    <row r="7" spans="1:5" ht="15.95" x14ac:dyDescent="0.2">
      <c r="A7" s="271" t="s">
        <v>115</v>
      </c>
      <c r="B7" s="152">
        <f>'Declarabiliteit &amp; soc lasten HH'!C31</f>
        <v>0.26247497861891489</v>
      </c>
      <c r="C7" s="289">
        <f>$B$7*C6</f>
        <v>7337.7552268199997</v>
      </c>
    </row>
    <row r="8" spans="1:5" ht="15.95" x14ac:dyDescent="0.2">
      <c r="A8" s="147" t="s">
        <v>116</v>
      </c>
      <c r="C8" s="153">
        <f t="shared" ref="C8" si="0">SUM(C6:C7)</f>
        <v>35293.773226819998</v>
      </c>
      <c r="D8" s="292"/>
    </row>
    <row r="9" spans="1:5" ht="15.95" x14ac:dyDescent="0.2">
      <c r="A9" s="271" t="s">
        <v>117</v>
      </c>
      <c r="B9" s="149">
        <v>0.15</v>
      </c>
      <c r="C9" s="289">
        <f>$B$9*C8</f>
        <v>5294.0659840229991</v>
      </c>
    </row>
    <row r="10" spans="1:5" ht="15.95" x14ac:dyDescent="0.2">
      <c r="A10" s="271" t="s">
        <v>118</v>
      </c>
      <c r="B10" s="144">
        <v>0.02</v>
      </c>
      <c r="C10" s="289">
        <f>$B$10*(C8+C9)</f>
        <v>811.75678421685996</v>
      </c>
      <c r="D10" s="293"/>
    </row>
    <row r="11" spans="1:5" ht="15.95" x14ac:dyDescent="0.2">
      <c r="A11" s="147" t="s">
        <v>102</v>
      </c>
      <c r="C11" s="153">
        <f>SUM(C8:C10)</f>
        <v>41399.595995059855</v>
      </c>
    </row>
    <row r="12" spans="1:5" ht="15.95" x14ac:dyDescent="0.2">
      <c r="A12" s="271" t="s">
        <v>119</v>
      </c>
      <c r="B12" s="154"/>
      <c r="C12" s="294">
        <f>'Declarabiliteit &amp; soc lasten HH'!C14</f>
        <v>1462.9569999999999</v>
      </c>
    </row>
    <row r="13" spans="1:5" ht="15.95" x14ac:dyDescent="0.2">
      <c r="A13" s="271" t="s">
        <v>246</v>
      </c>
      <c r="B13" s="154"/>
      <c r="C13" s="295">
        <f>C11/C12</f>
        <v>28.298573365491848</v>
      </c>
    </row>
    <row r="14" spans="1:5" x14ac:dyDescent="0.25">
      <c r="A14" s="147" t="s">
        <v>247</v>
      </c>
      <c r="B14" s="147"/>
      <c r="C14" s="296">
        <f>(C11/C12)+0.35</f>
        <v>28.648573365491849</v>
      </c>
    </row>
    <row r="15" spans="1:5" ht="15.95" x14ac:dyDescent="0.2">
      <c r="A15" s="147" t="s">
        <v>190</v>
      </c>
      <c r="B15" s="147"/>
      <c r="C15" s="297" t="s">
        <v>192</v>
      </c>
    </row>
    <row r="16" spans="1:5" ht="15.95" x14ac:dyDescent="0.2">
      <c r="B16" s="147"/>
      <c r="C16" s="298"/>
    </row>
    <row r="17" spans="1:9" ht="15.95" x14ac:dyDescent="0.2">
      <c r="A17" s="290"/>
      <c r="C17" s="299"/>
    </row>
    <row r="18" spans="1:9" ht="15.95" x14ac:dyDescent="0.2">
      <c r="B18" s="162"/>
      <c r="C18" s="300"/>
    </row>
    <row r="19" spans="1:9" ht="15.95" x14ac:dyDescent="0.2">
      <c r="D19" s="301"/>
      <c r="E19" s="163"/>
    </row>
    <row r="29" spans="1:9" x14ac:dyDescent="0.25">
      <c r="H29" s="288"/>
      <c r="I29" s="28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1"/>
  <sheetViews>
    <sheetView workbookViewId="0">
      <selection activeCell="H12" sqref="H12"/>
    </sheetView>
  </sheetViews>
  <sheetFormatPr defaultColWidth="11.42578125" defaultRowHeight="15" x14ac:dyDescent="0.25"/>
  <cols>
    <col min="1" max="1" width="59.5703125" customWidth="1"/>
    <col min="2" max="2" width="7.42578125" customWidth="1"/>
  </cols>
  <sheetData>
    <row r="1" spans="1:3" ht="18.95" x14ac:dyDescent="0.25">
      <c r="A1" s="164" t="s">
        <v>123</v>
      </c>
      <c r="B1" s="140"/>
      <c r="C1" s="280" t="s">
        <v>201</v>
      </c>
    </row>
    <row r="2" spans="1:3" x14ac:dyDescent="0.2">
      <c r="A2" s="166" t="s">
        <v>127</v>
      </c>
      <c r="B2" s="140"/>
      <c r="C2" s="281">
        <v>1878</v>
      </c>
    </row>
    <row r="3" spans="1:3" x14ac:dyDescent="0.25">
      <c r="A3" s="167" t="s">
        <v>128</v>
      </c>
      <c r="C3" s="309">
        <v>243</v>
      </c>
    </row>
    <row r="4" spans="1:3" x14ac:dyDescent="0.25">
      <c r="A4" s="167" t="s">
        <v>129</v>
      </c>
      <c r="C4" s="309"/>
    </row>
    <row r="5" spans="1:3" x14ac:dyDescent="0.2">
      <c r="A5" s="167" t="s">
        <v>130</v>
      </c>
      <c r="B5" s="168">
        <v>6.1800000000000001E-2</v>
      </c>
      <c r="C5" s="282">
        <f>(C2-C3)*B5</f>
        <v>101.04300000000001</v>
      </c>
    </row>
    <row r="6" spans="1:3" x14ac:dyDescent="0.2">
      <c r="A6" s="166" t="s">
        <v>131</v>
      </c>
      <c r="B6" s="140"/>
      <c r="C6" s="283">
        <f>C2-C3-C4-C5</f>
        <v>1533.9569999999999</v>
      </c>
    </row>
    <row r="7" spans="1:3" x14ac:dyDescent="0.25">
      <c r="A7" s="171" t="s">
        <v>132</v>
      </c>
      <c r="C7" s="282"/>
    </row>
    <row r="8" spans="1:3" x14ac:dyDescent="0.2">
      <c r="A8" s="167" t="s">
        <v>133</v>
      </c>
      <c r="C8" s="282">
        <v>21</v>
      </c>
    </row>
    <row r="9" spans="1:3" x14ac:dyDescent="0.2">
      <c r="A9" s="167" t="s">
        <v>134</v>
      </c>
      <c r="C9" s="282">
        <v>15</v>
      </c>
    </row>
    <row r="10" spans="1:3" x14ac:dyDescent="0.2">
      <c r="A10" s="167" t="s">
        <v>135</v>
      </c>
      <c r="C10" s="282"/>
    </row>
    <row r="11" spans="1:3" x14ac:dyDescent="0.25">
      <c r="A11" s="166" t="s">
        <v>136</v>
      </c>
      <c r="B11" s="140"/>
      <c r="C11" s="281">
        <f>C6-(SUM(C8:C10))</f>
        <v>1497.9569999999999</v>
      </c>
    </row>
    <row r="12" spans="1:3" x14ac:dyDescent="0.2">
      <c r="A12" s="167" t="s">
        <v>137</v>
      </c>
      <c r="C12" s="282">
        <v>35</v>
      </c>
    </row>
    <row r="13" spans="1:3" x14ac:dyDescent="0.25">
      <c r="A13" s="167" t="s">
        <v>138</v>
      </c>
      <c r="B13" s="172"/>
      <c r="C13" s="282"/>
    </row>
    <row r="14" spans="1:3" x14ac:dyDescent="0.25">
      <c r="A14" s="167" t="s">
        <v>139</v>
      </c>
      <c r="B14" s="173"/>
      <c r="C14" s="284">
        <f>C11-C12-C13</f>
        <v>1462.9569999999999</v>
      </c>
    </row>
    <row r="17" spans="1:6" ht="18.95" x14ac:dyDescent="0.25">
      <c r="A17" s="164" t="s">
        <v>140</v>
      </c>
      <c r="B17" s="167"/>
      <c r="C17" s="285">
        <v>2021</v>
      </c>
      <c r="D17" s="167"/>
      <c r="E17" s="164" t="s">
        <v>220</v>
      </c>
    </row>
    <row r="18" spans="1:6" x14ac:dyDescent="0.2">
      <c r="A18" s="167" t="s">
        <v>141</v>
      </c>
      <c r="B18" s="167"/>
      <c r="C18" s="175">
        <v>7.5300000000000006E-2</v>
      </c>
      <c r="D18" s="167"/>
      <c r="E18" s="263">
        <v>0.125</v>
      </c>
      <c r="F18" t="s">
        <v>221</v>
      </c>
    </row>
    <row r="19" spans="1:6" x14ac:dyDescent="0.2">
      <c r="A19" s="167" t="s">
        <v>142</v>
      </c>
      <c r="B19" s="176">
        <v>0.85</v>
      </c>
      <c r="C19" s="175">
        <v>2.7E-2</v>
      </c>
      <c r="D19" s="167"/>
      <c r="E19" s="264">
        <v>12770</v>
      </c>
      <c r="F19" t="s">
        <v>222</v>
      </c>
    </row>
    <row r="20" spans="1:6" x14ac:dyDescent="0.2">
      <c r="A20" s="167" t="s">
        <v>143</v>
      </c>
      <c r="B20" s="176">
        <f>1-B19</f>
        <v>0.15000000000000002</v>
      </c>
      <c r="C20" s="175">
        <v>7.6999999999999999E-2</v>
      </c>
      <c r="D20" s="167"/>
      <c r="E20" s="263">
        <v>2.5000000000000001E-3</v>
      </c>
      <c r="F20" t="s">
        <v>223</v>
      </c>
    </row>
    <row r="21" spans="1:6" x14ac:dyDescent="0.2">
      <c r="A21" s="167" t="s">
        <v>144</v>
      </c>
      <c r="B21" s="167"/>
      <c r="C21" s="175">
        <v>7.0000000000000007E-2</v>
      </c>
      <c r="D21" s="167"/>
      <c r="E21" s="264">
        <v>21430</v>
      </c>
      <c r="F21" t="s">
        <v>224</v>
      </c>
    </row>
    <row r="22" spans="1:6" x14ac:dyDescent="0.2">
      <c r="A22" s="167" t="s">
        <v>145</v>
      </c>
      <c r="B22" s="167"/>
      <c r="C22" s="175">
        <v>1.2800000000000001E-2</v>
      </c>
      <c r="D22" s="167"/>
    </row>
    <row r="23" spans="1:6" x14ac:dyDescent="0.2">
      <c r="A23" s="167" t="s">
        <v>238</v>
      </c>
      <c r="B23" s="167"/>
      <c r="C23" s="175">
        <f>D23*E23*B20</f>
        <v>1.3900000000000002E-3</v>
      </c>
      <c r="D23" s="273">
        <v>2.7799999999999998E-2</v>
      </c>
      <c r="E23">
        <f>1/3</f>
        <v>0.33333333333333331</v>
      </c>
    </row>
    <row r="24" spans="1:6" x14ac:dyDescent="0.2">
      <c r="A24" s="167"/>
      <c r="B24" s="166" t="s">
        <v>241</v>
      </c>
      <c r="C24" s="274">
        <f>C18+(B19*C19)+(B20*C20)+C21+C22+C23</f>
        <v>0.19399000000000002</v>
      </c>
      <c r="D24" s="167"/>
    </row>
    <row r="25" spans="1:6" ht="18.95" x14ac:dyDescent="0.25">
      <c r="A25" s="164" t="s">
        <v>225</v>
      </c>
      <c r="B25" s="167"/>
      <c r="C25" s="167"/>
      <c r="D25" s="167"/>
    </row>
    <row r="26" spans="1:6" x14ac:dyDescent="0.2">
      <c r="A26" s="167" t="s">
        <v>226</v>
      </c>
      <c r="C26" s="266">
        <f>'[1]producten &amp; tarieven'!C6</f>
        <v>27956.018</v>
      </c>
    </row>
    <row r="27" spans="1:6" ht="15.95" x14ac:dyDescent="0.2">
      <c r="A27" s="267" t="s">
        <v>227</v>
      </c>
      <c r="C27" s="268">
        <f>E18*(C26-E19)</f>
        <v>1898.25225</v>
      </c>
    </row>
    <row r="28" spans="1:6" ht="15.95" x14ac:dyDescent="0.2">
      <c r="A28" s="267" t="s">
        <v>228</v>
      </c>
      <c r="C28" s="269">
        <f>E20*(C26-E21)</f>
        <v>16.315045000000001</v>
      </c>
    </row>
    <row r="29" spans="1:6" ht="15.95" x14ac:dyDescent="0.2">
      <c r="A29" s="267" t="s">
        <v>225</v>
      </c>
      <c r="C29" s="268">
        <f>SUM(C27:C28)</f>
        <v>1914.5672950000001</v>
      </c>
    </row>
    <row r="30" spans="1:6" ht="15.75" x14ac:dyDescent="0.25">
      <c r="A30" s="267" t="s">
        <v>229</v>
      </c>
      <c r="C30" s="270">
        <f>C29/C26</f>
        <v>6.8484978618914893E-2</v>
      </c>
    </row>
    <row r="31" spans="1:6" ht="15.75" x14ac:dyDescent="0.25">
      <c r="A31" s="267" t="s">
        <v>230</v>
      </c>
      <c r="C31" s="286">
        <f>C24+C30</f>
        <v>0.26247497861891489</v>
      </c>
    </row>
  </sheetData>
  <mergeCells count="1">
    <mergeCell ref="C3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14"/>
  <sheetViews>
    <sheetView workbookViewId="0"/>
  </sheetViews>
  <sheetFormatPr defaultColWidth="9.42578125" defaultRowHeight="16.5" outlineLevelRow="1" x14ac:dyDescent="0.3"/>
  <cols>
    <col min="1" max="1" width="3.42578125" style="103" customWidth="1"/>
    <col min="2" max="2" width="49.42578125" style="8" customWidth="1"/>
    <col min="3" max="3" width="17.42578125" style="98" customWidth="1"/>
    <col min="4" max="4" width="2.42578125" style="99" customWidth="1"/>
    <col min="5" max="8" width="16" style="8" customWidth="1"/>
    <col min="9" max="9" width="0.42578125" style="19" customWidth="1"/>
    <col min="10" max="10" width="2" style="19" customWidth="1"/>
    <col min="11" max="13" width="9.42578125" style="9" customWidth="1"/>
    <col min="14" max="14" width="10.42578125" style="9" customWidth="1"/>
    <col min="15" max="15" width="0.42578125" style="20" customWidth="1"/>
    <col min="16" max="16" width="14.42578125" style="9" customWidth="1"/>
    <col min="17" max="17" width="19.42578125" style="89" customWidth="1"/>
    <col min="18" max="18" width="1.42578125" style="20" customWidth="1"/>
    <col min="19" max="22" width="8.42578125" style="8" hidden="1" customWidth="1"/>
    <col min="23" max="23" width="0.42578125" style="19" hidden="1" customWidth="1"/>
    <col min="24" max="24" width="2" style="19" hidden="1" customWidth="1"/>
    <col min="25" max="27" width="9.42578125" style="9" hidden="1" customWidth="1"/>
    <col min="28" max="28" width="10.42578125" style="9" hidden="1" customWidth="1"/>
    <col min="29" max="29" width="0.42578125" style="8" hidden="1" customWidth="1"/>
    <col min="30" max="30" width="14.42578125" style="9" hidden="1" customWidth="1"/>
    <col min="31" max="31" width="14" style="89" hidden="1" customWidth="1"/>
    <col min="32" max="32" width="1.42578125" style="20" hidden="1" customWidth="1"/>
    <col min="33" max="36" width="9.42578125" style="8" hidden="1" customWidth="1"/>
    <col min="37" max="37" width="1" style="19" hidden="1" customWidth="1"/>
    <col min="38" max="38" width="2" style="19" hidden="1" customWidth="1"/>
    <col min="39" max="41" width="9.42578125" style="9" hidden="1" customWidth="1"/>
    <col min="42" max="42" width="10.42578125" style="9" hidden="1" customWidth="1"/>
    <col min="43" max="43" width="2" style="20" hidden="1" customWidth="1"/>
    <col min="44" max="44" width="14.42578125" style="9" hidden="1" customWidth="1"/>
    <col min="45" max="45" width="13.42578125" style="89" hidden="1" customWidth="1"/>
    <col min="46" max="46" width="0.42578125" style="81" hidden="1" customWidth="1"/>
    <col min="47" max="47" width="0.42578125" style="20" hidden="1" customWidth="1"/>
    <col min="48" max="51" width="9.42578125" style="8" hidden="1" customWidth="1"/>
    <col min="52" max="52" width="1" style="19" hidden="1" customWidth="1"/>
    <col min="53" max="53" width="2" style="19" hidden="1" customWidth="1"/>
    <col min="54" max="56" width="9.42578125" style="9" hidden="1" customWidth="1"/>
    <col min="57" max="57" width="10.42578125" style="9" hidden="1" customWidth="1"/>
    <col min="58" max="58" width="1" style="19" hidden="1" customWidth="1"/>
    <col min="59" max="59" width="13.42578125" style="9" hidden="1" customWidth="1"/>
    <col min="60" max="60" width="0.42578125" style="20" hidden="1" customWidth="1"/>
    <col min="61" max="61" width="16.42578125" style="92" hidden="1" customWidth="1"/>
    <col min="62" max="62" width="1.42578125" style="19" customWidth="1"/>
    <col min="63" max="63" width="11.42578125" style="8" customWidth="1"/>
    <col min="64" max="65" width="9.42578125" style="8" customWidth="1"/>
    <col min="66" max="66" width="8" style="8" customWidth="1"/>
    <col min="67" max="67" width="5.42578125" style="8" customWidth="1"/>
    <col min="68" max="68" width="8.42578125" style="8" customWidth="1" collapsed="1"/>
    <col min="69" max="69" width="10" style="8" customWidth="1"/>
    <col min="70" max="99" width="9.42578125" style="19"/>
    <col min="100" max="16384" width="9.42578125" style="8"/>
  </cols>
  <sheetData>
    <row r="1" spans="1:99" s="19" customFormat="1" ht="18.75" customHeight="1" x14ac:dyDescent="0.15">
      <c r="A1" s="103"/>
      <c r="C1" s="93"/>
      <c r="D1" s="99"/>
      <c r="E1" s="18" t="s">
        <v>98</v>
      </c>
      <c r="K1" s="18" t="s">
        <v>73</v>
      </c>
      <c r="L1" s="20"/>
      <c r="M1" s="20"/>
      <c r="N1" s="20"/>
      <c r="O1" s="20"/>
      <c r="P1" s="110"/>
      <c r="Q1" s="81"/>
      <c r="R1" s="20"/>
      <c r="S1" s="18" t="s">
        <v>99</v>
      </c>
      <c r="Y1" s="18" t="s">
        <v>75</v>
      </c>
      <c r="Z1" s="20"/>
      <c r="AA1" s="20"/>
      <c r="AB1" s="20"/>
      <c r="AD1" s="20"/>
      <c r="AE1" s="81"/>
      <c r="AF1" s="20"/>
      <c r="AG1" s="18" t="s">
        <v>100</v>
      </c>
      <c r="AM1" s="18" t="s">
        <v>77</v>
      </c>
      <c r="AN1" s="20"/>
      <c r="AO1" s="20"/>
      <c r="AP1" s="20"/>
      <c r="AQ1" s="20"/>
      <c r="AR1" s="20"/>
      <c r="AS1" s="81"/>
      <c r="AT1" s="81"/>
      <c r="AU1" s="20"/>
      <c r="AV1" s="18" t="s">
        <v>100</v>
      </c>
      <c r="BB1" s="18" t="s">
        <v>79</v>
      </c>
      <c r="BC1" s="20"/>
      <c r="BD1" s="20"/>
      <c r="BE1" s="20"/>
      <c r="BG1" s="20"/>
      <c r="BH1" s="20"/>
      <c r="BI1" s="90"/>
    </row>
    <row r="2" spans="1:99" s="6" customFormat="1" ht="40.5" customHeight="1" x14ac:dyDescent="0.15">
      <c r="A2" s="104"/>
      <c r="B2" s="36" t="s">
        <v>0</v>
      </c>
      <c r="C2" s="94" t="s">
        <v>43</v>
      </c>
      <c r="D2" s="99"/>
      <c r="E2" s="115" t="s">
        <v>94</v>
      </c>
      <c r="F2" s="115" t="s">
        <v>95</v>
      </c>
      <c r="G2" s="115" t="s">
        <v>101</v>
      </c>
      <c r="H2" s="115" t="s">
        <v>97</v>
      </c>
      <c r="I2" s="33"/>
      <c r="J2" s="33"/>
      <c r="K2" s="17" t="s">
        <v>94</v>
      </c>
      <c r="L2" s="17" t="s">
        <v>95</v>
      </c>
      <c r="M2" s="17" t="s">
        <v>101</v>
      </c>
      <c r="N2" s="17" t="s">
        <v>97</v>
      </c>
      <c r="O2" s="20"/>
      <c r="P2" s="37" t="s">
        <v>81</v>
      </c>
      <c r="Q2" s="82" t="s">
        <v>74</v>
      </c>
      <c r="R2" s="20"/>
      <c r="S2" s="17" t="s">
        <v>94</v>
      </c>
      <c r="T2" s="17" t="s">
        <v>95</v>
      </c>
      <c r="U2" s="17" t="s">
        <v>96</v>
      </c>
      <c r="V2" s="17" t="s">
        <v>97</v>
      </c>
      <c r="W2" s="19"/>
      <c r="X2" s="33"/>
      <c r="Y2" s="17" t="s">
        <v>24</v>
      </c>
      <c r="Z2" s="17" t="s">
        <v>29</v>
      </c>
      <c r="AA2" s="17" t="s">
        <v>25</v>
      </c>
      <c r="AB2" s="17" t="s">
        <v>26</v>
      </c>
      <c r="AC2" s="32"/>
      <c r="AD2" s="37" t="s">
        <v>82</v>
      </c>
      <c r="AE2" s="82" t="s">
        <v>76</v>
      </c>
      <c r="AF2" s="20"/>
      <c r="AG2" s="17" t="s">
        <v>94</v>
      </c>
      <c r="AH2" s="17" t="s">
        <v>95</v>
      </c>
      <c r="AI2" s="17" t="s">
        <v>96</v>
      </c>
      <c r="AJ2" s="17" t="s">
        <v>97</v>
      </c>
      <c r="AK2" s="19"/>
      <c r="AL2" s="33"/>
      <c r="AM2" s="17" t="s">
        <v>24</v>
      </c>
      <c r="AN2" s="17" t="s">
        <v>29</v>
      </c>
      <c r="AO2" s="17" t="s">
        <v>25</v>
      </c>
      <c r="AP2" s="17" t="s">
        <v>26</v>
      </c>
      <c r="AQ2" s="20"/>
      <c r="AR2" s="37" t="s">
        <v>83</v>
      </c>
      <c r="AS2" s="82" t="s">
        <v>78</v>
      </c>
      <c r="AT2" s="108"/>
      <c r="AU2" s="20"/>
      <c r="AV2" s="17" t="s">
        <v>94</v>
      </c>
      <c r="AW2" s="17" t="s">
        <v>95</v>
      </c>
      <c r="AX2" s="17" t="s">
        <v>96</v>
      </c>
      <c r="AY2" s="17" t="s">
        <v>97</v>
      </c>
      <c r="AZ2" s="19"/>
      <c r="BA2" s="33"/>
      <c r="BB2" s="17" t="s">
        <v>24</v>
      </c>
      <c r="BC2" s="17" t="s">
        <v>29</v>
      </c>
      <c r="BD2" s="17" t="s">
        <v>25</v>
      </c>
      <c r="BE2" s="17" t="s">
        <v>26</v>
      </c>
      <c r="BF2" s="19"/>
      <c r="BG2" s="37" t="s">
        <v>84</v>
      </c>
      <c r="BH2" s="20"/>
      <c r="BI2" s="82" t="s">
        <v>80</v>
      </c>
      <c r="BJ2" s="19"/>
      <c r="BK2" s="1" t="s">
        <v>85</v>
      </c>
      <c r="BL2" s="1" t="s">
        <v>17</v>
      </c>
      <c r="BM2" s="1" t="s">
        <v>19</v>
      </c>
      <c r="BN2" s="1" t="s">
        <v>86</v>
      </c>
      <c r="BO2" s="17" t="s">
        <v>9</v>
      </c>
      <c r="BP2" s="57" t="s">
        <v>28</v>
      </c>
      <c r="BQ2" s="17" t="s">
        <v>13</v>
      </c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</row>
    <row r="3" spans="1:99" ht="24" customHeight="1" thickBot="1" x14ac:dyDescent="0.2">
      <c r="A3" s="103">
        <v>1</v>
      </c>
      <c r="B3" s="113" t="s">
        <v>31</v>
      </c>
      <c r="C3" s="116">
        <f>ROUND(+BM3*BQ3*BP3*BN3,-4)</f>
        <v>1060000</v>
      </c>
      <c r="E3" s="134">
        <f>+K3/$C$3</f>
        <v>-5.6603773584905662E-2</v>
      </c>
      <c r="F3" s="134">
        <f t="shared" ref="F3:H3" si="0">+L3/$C$3</f>
        <v>-2.8301886792452831E-2</v>
      </c>
      <c r="G3" s="134">
        <f t="shared" si="0"/>
        <v>-6.6037735849056603E-2</v>
      </c>
      <c r="H3" s="134">
        <f t="shared" si="0"/>
        <v>-9.433962264150943E-3</v>
      </c>
      <c r="K3" s="138">
        <f>SUM(K4:K8)</f>
        <v>-60000</v>
      </c>
      <c r="L3" s="138">
        <f t="shared" ref="L3:N3" si="1">SUM(L4:L8)</f>
        <v>-30000</v>
      </c>
      <c r="M3" s="138">
        <f t="shared" si="1"/>
        <v>-70000</v>
      </c>
      <c r="N3" s="138">
        <f t="shared" si="1"/>
        <v>-10000</v>
      </c>
      <c r="P3" s="135">
        <f>SUM(J3:N3)</f>
        <v>-170000</v>
      </c>
      <c r="Q3" s="137">
        <f>+C3+P3</f>
        <v>890000</v>
      </c>
      <c r="S3" s="34"/>
      <c r="T3" s="34"/>
      <c r="U3" s="34"/>
      <c r="V3" s="34"/>
      <c r="Y3" s="41">
        <f t="shared" ref="Y3:AB7" si="2">ROUND((S3*$BM3)*$BN3*$BP3*$BQ3,-4)</f>
        <v>0</v>
      </c>
      <c r="Z3" s="41">
        <f t="shared" si="2"/>
        <v>0</v>
      </c>
      <c r="AA3" s="41">
        <f t="shared" si="2"/>
        <v>0</v>
      </c>
      <c r="AB3" s="41">
        <f t="shared" si="2"/>
        <v>0</v>
      </c>
      <c r="AD3" s="26">
        <f>SUM(X3:AB3)</f>
        <v>0</v>
      </c>
      <c r="AE3" s="83">
        <f>+Q3+AD3</f>
        <v>890000</v>
      </c>
      <c r="AG3" s="34"/>
      <c r="AH3" s="34"/>
      <c r="AI3" s="34"/>
      <c r="AJ3" s="34"/>
      <c r="AM3" s="41">
        <f t="shared" ref="AM3:AP7" si="3">ROUND((AG3*$BM3)*$BN3*$BP3*$BQ3,-4)</f>
        <v>0</v>
      </c>
      <c r="AN3" s="41">
        <f t="shared" si="3"/>
        <v>0</v>
      </c>
      <c r="AO3" s="41">
        <f t="shared" si="3"/>
        <v>0</v>
      </c>
      <c r="AP3" s="41">
        <f t="shared" si="3"/>
        <v>0</v>
      </c>
      <c r="AR3" s="26">
        <f>SUM(AL3:AP3)</f>
        <v>0</v>
      </c>
      <c r="AS3" s="83">
        <f>+AE3+AR3</f>
        <v>890000</v>
      </c>
      <c r="AT3" s="108"/>
      <c r="AV3" s="34"/>
      <c r="AW3" s="34"/>
      <c r="AX3" s="34"/>
      <c r="AY3" s="34"/>
      <c r="BB3" s="41">
        <f t="shared" ref="BB3:BE7" si="4">ROUND((AV3*$BM3)*$BN3*$BP3*$BQ3,-4)</f>
        <v>0</v>
      </c>
      <c r="BC3" s="41">
        <f t="shared" si="4"/>
        <v>0</v>
      </c>
      <c r="BD3" s="41">
        <f t="shared" si="4"/>
        <v>0</v>
      </c>
      <c r="BE3" s="41">
        <f t="shared" si="4"/>
        <v>0</v>
      </c>
      <c r="BG3" s="26">
        <f>SUM(BA3:BE3)</f>
        <v>0</v>
      </c>
      <c r="BI3" s="83">
        <f>+AS3+BG3</f>
        <v>890000</v>
      </c>
      <c r="BK3" s="46">
        <v>256.8</v>
      </c>
      <c r="BL3" s="12">
        <f>1030/1310</f>
        <v>0.7862595419847328</v>
      </c>
      <c r="BM3" s="13">
        <f t="shared" ref="BM3:BM27" si="5">+BL3*BK3</f>
        <v>201.9114503816794</v>
      </c>
      <c r="BN3" s="101">
        <v>32.5</v>
      </c>
      <c r="BO3" s="52" t="s">
        <v>11</v>
      </c>
      <c r="BP3" s="58">
        <v>3.5</v>
      </c>
      <c r="BQ3" s="59">
        <v>46</v>
      </c>
      <c r="BR3" s="27">
        <f>SUM(BK4:BK8)</f>
        <v>257</v>
      </c>
      <c r="BS3" s="27">
        <f>+BK3-BR3</f>
        <v>-0.19999999999998863</v>
      </c>
    </row>
    <row r="4" spans="1:99" ht="24" customHeight="1" outlineLevel="1" thickTop="1" x14ac:dyDescent="0.15">
      <c r="A4" s="106" t="s">
        <v>87</v>
      </c>
      <c r="B4" s="107" t="s">
        <v>45</v>
      </c>
      <c r="C4" s="117">
        <f t="shared" ref="C4:C8" si="6">ROUND(+BM4*BQ4*BP4*BN4,-4)</f>
        <v>540000</v>
      </c>
      <c r="D4" s="118"/>
      <c r="E4" s="119">
        <v>-0.05</v>
      </c>
      <c r="F4" s="119">
        <v>-0.02</v>
      </c>
      <c r="G4" s="119">
        <v>-0.1</v>
      </c>
      <c r="H4" s="119">
        <v>-0.02</v>
      </c>
      <c r="I4" s="120"/>
      <c r="J4" s="120"/>
      <c r="K4" s="41">
        <f t="shared" ref="K4:N8" si="7">ROUND((E4*$BM4)*$BN4*$BP4*$BQ4,-4)</f>
        <v>-30000</v>
      </c>
      <c r="L4" s="41">
        <f t="shared" si="7"/>
        <v>-10000</v>
      </c>
      <c r="M4" s="41">
        <f t="shared" si="7"/>
        <v>-50000</v>
      </c>
      <c r="N4" s="41">
        <f t="shared" si="7"/>
        <v>-10000</v>
      </c>
      <c r="O4" s="122"/>
      <c r="P4" s="26">
        <f t="shared" ref="P4:P8" si="8">SUM(J4:N4)</f>
        <v>-100000</v>
      </c>
      <c r="Q4" s="139">
        <f t="shared" ref="Q4:Q62" si="9">+C4+P4</f>
        <v>440000</v>
      </c>
      <c r="R4" s="122"/>
      <c r="S4" s="119"/>
      <c r="T4" s="119"/>
      <c r="U4" s="119"/>
      <c r="V4" s="119"/>
      <c r="W4" s="120"/>
      <c r="X4" s="120"/>
      <c r="Y4" s="121">
        <f t="shared" si="2"/>
        <v>0</v>
      </c>
      <c r="Z4" s="121">
        <f t="shared" si="2"/>
        <v>0</v>
      </c>
      <c r="AA4" s="121">
        <f t="shared" si="2"/>
        <v>0</v>
      </c>
      <c r="AB4" s="121">
        <f t="shared" si="2"/>
        <v>0</v>
      </c>
      <c r="AC4" s="125"/>
      <c r="AD4" s="123">
        <f>SUM(X4:AB4)</f>
        <v>0</v>
      </c>
      <c r="AE4" s="124"/>
      <c r="AF4" s="122"/>
      <c r="AG4" s="119"/>
      <c r="AH4" s="119"/>
      <c r="AI4" s="119"/>
      <c r="AJ4" s="119"/>
      <c r="AK4" s="120"/>
      <c r="AL4" s="120"/>
      <c r="AM4" s="121">
        <f t="shared" si="3"/>
        <v>0</v>
      </c>
      <c r="AN4" s="121">
        <f t="shared" si="3"/>
        <v>0</v>
      </c>
      <c r="AO4" s="121">
        <f t="shared" si="3"/>
        <v>0</v>
      </c>
      <c r="AP4" s="121">
        <f t="shared" si="3"/>
        <v>0</v>
      </c>
      <c r="AQ4" s="122"/>
      <c r="AR4" s="123">
        <f>SUM(AL4:AP4)</f>
        <v>0</v>
      </c>
      <c r="AS4" s="124"/>
      <c r="AT4" s="126"/>
      <c r="AU4" s="122"/>
      <c r="AV4" s="119"/>
      <c r="AW4" s="119"/>
      <c r="AX4" s="119"/>
      <c r="AY4" s="119"/>
      <c r="AZ4" s="120"/>
      <c r="BA4" s="120"/>
      <c r="BB4" s="121">
        <f t="shared" si="4"/>
        <v>0</v>
      </c>
      <c r="BC4" s="121">
        <f t="shared" si="4"/>
        <v>0</v>
      </c>
      <c r="BD4" s="121">
        <f t="shared" si="4"/>
        <v>0</v>
      </c>
      <c r="BE4" s="121">
        <f t="shared" si="4"/>
        <v>0</v>
      </c>
      <c r="BF4" s="120"/>
      <c r="BG4" s="123">
        <f>SUM(BA4:BE4)</f>
        <v>0</v>
      </c>
      <c r="BH4" s="122"/>
      <c r="BI4" s="124"/>
      <c r="BJ4" s="120"/>
      <c r="BK4" s="127">
        <v>132</v>
      </c>
      <c r="BL4" s="128">
        <f t="shared" ref="BL4:BL8" si="10">1030/1310</f>
        <v>0.7862595419847328</v>
      </c>
      <c r="BM4" s="129">
        <f t="shared" si="5"/>
        <v>103.78625954198473</v>
      </c>
      <c r="BN4" s="130">
        <v>32.5</v>
      </c>
      <c r="BO4" s="131" t="s">
        <v>11</v>
      </c>
      <c r="BP4" s="132">
        <v>3.5</v>
      </c>
      <c r="BQ4" s="133">
        <v>46</v>
      </c>
    </row>
    <row r="5" spans="1:99" ht="24" customHeight="1" outlineLevel="1" x14ac:dyDescent="0.15">
      <c r="A5" s="106" t="s">
        <v>88</v>
      </c>
      <c r="B5" s="107" t="s">
        <v>55</v>
      </c>
      <c r="C5" s="117">
        <f t="shared" si="6"/>
        <v>210000</v>
      </c>
      <c r="D5" s="118"/>
      <c r="E5" s="119">
        <v>-0.05</v>
      </c>
      <c r="F5" s="119">
        <v>0</v>
      </c>
      <c r="G5" s="119">
        <v>0</v>
      </c>
      <c r="H5" s="119">
        <v>-0.02</v>
      </c>
      <c r="I5" s="120"/>
      <c r="J5" s="120"/>
      <c r="K5" s="41">
        <f t="shared" si="7"/>
        <v>-10000</v>
      </c>
      <c r="L5" s="41">
        <f t="shared" si="7"/>
        <v>0</v>
      </c>
      <c r="M5" s="41">
        <f t="shared" si="7"/>
        <v>0</v>
      </c>
      <c r="N5" s="41">
        <f t="shared" si="7"/>
        <v>0</v>
      </c>
      <c r="O5" s="122"/>
      <c r="P5" s="26">
        <f t="shared" si="8"/>
        <v>-10000</v>
      </c>
      <c r="Q5" s="136">
        <f t="shared" si="9"/>
        <v>200000</v>
      </c>
      <c r="R5" s="122"/>
      <c r="S5" s="119"/>
      <c r="T5" s="119"/>
      <c r="U5" s="119"/>
      <c r="V5" s="119"/>
      <c r="W5" s="120"/>
      <c r="X5" s="120"/>
      <c r="Y5" s="121">
        <f t="shared" si="2"/>
        <v>0</v>
      </c>
      <c r="Z5" s="121">
        <f t="shared" si="2"/>
        <v>0</v>
      </c>
      <c r="AA5" s="121">
        <f t="shared" si="2"/>
        <v>0</v>
      </c>
      <c r="AB5" s="121">
        <f t="shared" si="2"/>
        <v>0</v>
      </c>
      <c r="AC5" s="125"/>
      <c r="AD5" s="123">
        <f>SUM(X5:AB5)</f>
        <v>0</v>
      </c>
      <c r="AE5" s="124"/>
      <c r="AF5" s="122"/>
      <c r="AG5" s="119"/>
      <c r="AH5" s="119"/>
      <c r="AI5" s="119"/>
      <c r="AJ5" s="119"/>
      <c r="AK5" s="120"/>
      <c r="AL5" s="120"/>
      <c r="AM5" s="121">
        <f t="shared" si="3"/>
        <v>0</v>
      </c>
      <c r="AN5" s="121">
        <f t="shared" si="3"/>
        <v>0</v>
      </c>
      <c r="AO5" s="121">
        <f t="shared" si="3"/>
        <v>0</v>
      </c>
      <c r="AP5" s="121">
        <f t="shared" si="3"/>
        <v>0</v>
      </c>
      <c r="AQ5" s="122"/>
      <c r="AR5" s="123">
        <f>SUM(AL5:AP5)</f>
        <v>0</v>
      </c>
      <c r="AS5" s="124"/>
      <c r="AT5" s="126"/>
      <c r="AU5" s="122"/>
      <c r="AV5" s="119"/>
      <c r="AW5" s="119"/>
      <c r="AX5" s="119"/>
      <c r="AY5" s="119"/>
      <c r="AZ5" s="120"/>
      <c r="BA5" s="120"/>
      <c r="BB5" s="121">
        <f t="shared" si="4"/>
        <v>0</v>
      </c>
      <c r="BC5" s="121">
        <f t="shared" si="4"/>
        <v>0</v>
      </c>
      <c r="BD5" s="121">
        <f t="shared" si="4"/>
        <v>0</v>
      </c>
      <c r="BE5" s="121">
        <f t="shared" si="4"/>
        <v>0</v>
      </c>
      <c r="BF5" s="120"/>
      <c r="BG5" s="123">
        <f>SUM(BA5:BE5)</f>
        <v>0</v>
      </c>
      <c r="BH5" s="122"/>
      <c r="BI5" s="124"/>
      <c r="BJ5" s="120"/>
      <c r="BK5" s="127">
        <v>50</v>
      </c>
      <c r="BL5" s="128">
        <f t="shared" si="10"/>
        <v>0.7862595419847328</v>
      </c>
      <c r="BM5" s="129">
        <f t="shared" si="5"/>
        <v>39.31297709923664</v>
      </c>
      <c r="BN5" s="130">
        <v>32.5</v>
      </c>
      <c r="BO5" s="131" t="s">
        <v>11</v>
      </c>
      <c r="BP5" s="132">
        <v>3.5</v>
      </c>
      <c r="BQ5" s="133">
        <v>46</v>
      </c>
    </row>
    <row r="6" spans="1:99" ht="24" customHeight="1" outlineLevel="1" x14ac:dyDescent="0.15">
      <c r="A6" s="106" t="s">
        <v>89</v>
      </c>
      <c r="B6" s="107" t="s">
        <v>58</v>
      </c>
      <c r="C6" s="117">
        <f t="shared" si="6"/>
        <v>160000</v>
      </c>
      <c r="D6" s="118"/>
      <c r="E6" s="119">
        <v>-0.05</v>
      </c>
      <c r="F6" s="119">
        <v>-0.05</v>
      </c>
      <c r="G6" s="119">
        <v>-0.05</v>
      </c>
      <c r="H6" s="119">
        <v>-0.02</v>
      </c>
      <c r="I6" s="120"/>
      <c r="J6" s="120"/>
      <c r="K6" s="41">
        <f t="shared" si="7"/>
        <v>-10000</v>
      </c>
      <c r="L6" s="41">
        <f t="shared" si="7"/>
        <v>-10000</v>
      </c>
      <c r="M6" s="41">
        <f t="shared" si="7"/>
        <v>-10000</v>
      </c>
      <c r="N6" s="41">
        <f t="shared" si="7"/>
        <v>0</v>
      </c>
      <c r="O6" s="122"/>
      <c r="P6" s="26">
        <f t="shared" si="8"/>
        <v>-30000</v>
      </c>
      <c r="Q6" s="136">
        <f t="shared" si="9"/>
        <v>130000</v>
      </c>
      <c r="R6" s="122"/>
      <c r="S6" s="119"/>
      <c r="T6" s="119"/>
      <c r="U6" s="119"/>
      <c r="V6" s="119"/>
      <c r="W6" s="120"/>
      <c r="X6" s="120"/>
      <c r="Y6" s="121">
        <f t="shared" si="2"/>
        <v>0</v>
      </c>
      <c r="Z6" s="121">
        <f t="shared" si="2"/>
        <v>0</v>
      </c>
      <c r="AA6" s="121">
        <f t="shared" si="2"/>
        <v>0</v>
      </c>
      <c r="AB6" s="121">
        <f t="shared" si="2"/>
        <v>0</v>
      </c>
      <c r="AC6" s="125"/>
      <c r="AD6" s="123">
        <f>SUM(X6:AB6)</f>
        <v>0</v>
      </c>
      <c r="AE6" s="124"/>
      <c r="AF6" s="122"/>
      <c r="AG6" s="119"/>
      <c r="AH6" s="119"/>
      <c r="AI6" s="119"/>
      <c r="AJ6" s="119"/>
      <c r="AK6" s="120"/>
      <c r="AL6" s="120"/>
      <c r="AM6" s="121">
        <f t="shared" si="3"/>
        <v>0</v>
      </c>
      <c r="AN6" s="121">
        <f t="shared" si="3"/>
        <v>0</v>
      </c>
      <c r="AO6" s="121">
        <f t="shared" si="3"/>
        <v>0</v>
      </c>
      <c r="AP6" s="121">
        <f t="shared" si="3"/>
        <v>0</v>
      </c>
      <c r="AQ6" s="122"/>
      <c r="AR6" s="123">
        <f>SUM(AL6:AP6)</f>
        <v>0</v>
      </c>
      <c r="AS6" s="124"/>
      <c r="AT6" s="126"/>
      <c r="AU6" s="122"/>
      <c r="AV6" s="119"/>
      <c r="AW6" s="119"/>
      <c r="AX6" s="119"/>
      <c r="AY6" s="119"/>
      <c r="AZ6" s="120"/>
      <c r="BA6" s="120"/>
      <c r="BB6" s="121">
        <f t="shared" si="4"/>
        <v>0</v>
      </c>
      <c r="BC6" s="121">
        <f t="shared" si="4"/>
        <v>0</v>
      </c>
      <c r="BD6" s="121">
        <f t="shared" si="4"/>
        <v>0</v>
      </c>
      <c r="BE6" s="121">
        <f t="shared" si="4"/>
        <v>0</v>
      </c>
      <c r="BF6" s="120"/>
      <c r="BG6" s="123">
        <f>SUM(BA6:BE6)</f>
        <v>0</v>
      </c>
      <c r="BH6" s="122"/>
      <c r="BI6" s="124"/>
      <c r="BJ6" s="120"/>
      <c r="BK6" s="127">
        <v>40</v>
      </c>
      <c r="BL6" s="128">
        <f t="shared" si="10"/>
        <v>0.7862595419847328</v>
      </c>
      <c r="BM6" s="129">
        <f t="shared" si="5"/>
        <v>31.450381679389313</v>
      </c>
      <c r="BN6" s="130">
        <v>32.5</v>
      </c>
      <c r="BO6" s="131" t="s">
        <v>11</v>
      </c>
      <c r="BP6" s="132">
        <v>3.5</v>
      </c>
      <c r="BQ6" s="133">
        <v>46</v>
      </c>
    </row>
    <row r="7" spans="1:99" ht="24" customHeight="1" outlineLevel="1" x14ac:dyDescent="0.15">
      <c r="A7" s="106" t="s">
        <v>90</v>
      </c>
      <c r="B7" s="107" t="s">
        <v>65</v>
      </c>
      <c r="C7" s="117">
        <f t="shared" si="6"/>
        <v>120000</v>
      </c>
      <c r="D7" s="118"/>
      <c r="E7" s="119">
        <v>-0.05</v>
      </c>
      <c r="F7" s="119">
        <v>-0.05</v>
      </c>
      <c r="G7" s="119">
        <v>-0.05</v>
      </c>
      <c r="H7" s="119">
        <v>-0.01</v>
      </c>
      <c r="I7" s="120"/>
      <c r="J7" s="120"/>
      <c r="K7" s="41">
        <f t="shared" si="7"/>
        <v>-10000</v>
      </c>
      <c r="L7" s="41">
        <f t="shared" si="7"/>
        <v>-10000</v>
      </c>
      <c r="M7" s="41">
        <f t="shared" si="7"/>
        <v>-10000</v>
      </c>
      <c r="N7" s="41">
        <f t="shared" si="7"/>
        <v>0</v>
      </c>
      <c r="O7" s="122"/>
      <c r="P7" s="26">
        <f t="shared" si="8"/>
        <v>-30000</v>
      </c>
      <c r="Q7" s="136">
        <f t="shared" si="9"/>
        <v>90000</v>
      </c>
      <c r="R7" s="122"/>
      <c r="S7" s="119"/>
      <c r="T7" s="119"/>
      <c r="U7" s="119"/>
      <c r="V7" s="119"/>
      <c r="W7" s="120"/>
      <c r="X7" s="120"/>
      <c r="Y7" s="121">
        <f t="shared" si="2"/>
        <v>0</v>
      </c>
      <c r="Z7" s="121">
        <f t="shared" si="2"/>
        <v>0</v>
      </c>
      <c r="AA7" s="121">
        <f t="shared" si="2"/>
        <v>0</v>
      </c>
      <c r="AB7" s="121">
        <f t="shared" si="2"/>
        <v>0</v>
      </c>
      <c r="AC7" s="125"/>
      <c r="AD7" s="123">
        <f>SUM(X7:AB7)</f>
        <v>0</v>
      </c>
      <c r="AE7" s="124"/>
      <c r="AF7" s="122"/>
      <c r="AG7" s="119"/>
      <c r="AH7" s="119"/>
      <c r="AI7" s="119"/>
      <c r="AJ7" s="119"/>
      <c r="AK7" s="120"/>
      <c r="AL7" s="120"/>
      <c r="AM7" s="121">
        <f t="shared" si="3"/>
        <v>0</v>
      </c>
      <c r="AN7" s="121">
        <f t="shared" si="3"/>
        <v>0</v>
      </c>
      <c r="AO7" s="121">
        <f t="shared" si="3"/>
        <v>0</v>
      </c>
      <c r="AP7" s="121">
        <f t="shared" si="3"/>
        <v>0</v>
      </c>
      <c r="AQ7" s="122"/>
      <c r="AR7" s="123">
        <f>SUM(AL7:AP7)</f>
        <v>0</v>
      </c>
      <c r="AS7" s="124"/>
      <c r="AT7" s="126"/>
      <c r="AU7" s="122"/>
      <c r="AV7" s="119"/>
      <c r="AW7" s="119"/>
      <c r="AX7" s="119"/>
      <c r="AY7" s="119"/>
      <c r="AZ7" s="120"/>
      <c r="BA7" s="120"/>
      <c r="BB7" s="121">
        <f t="shared" si="4"/>
        <v>0</v>
      </c>
      <c r="BC7" s="121">
        <f t="shared" si="4"/>
        <v>0</v>
      </c>
      <c r="BD7" s="121">
        <f t="shared" si="4"/>
        <v>0</v>
      </c>
      <c r="BE7" s="121">
        <f t="shared" si="4"/>
        <v>0</v>
      </c>
      <c r="BF7" s="120"/>
      <c r="BG7" s="123">
        <f>SUM(BA7:BE7)</f>
        <v>0</v>
      </c>
      <c r="BH7" s="122"/>
      <c r="BI7" s="124"/>
      <c r="BJ7" s="120"/>
      <c r="BK7" s="127">
        <v>30</v>
      </c>
      <c r="BL7" s="128">
        <f t="shared" si="10"/>
        <v>0.7862595419847328</v>
      </c>
      <c r="BM7" s="129">
        <f t="shared" si="5"/>
        <v>23.587786259541986</v>
      </c>
      <c r="BN7" s="130">
        <v>32.5</v>
      </c>
      <c r="BO7" s="131" t="s">
        <v>11</v>
      </c>
      <c r="BP7" s="132">
        <v>3.5</v>
      </c>
      <c r="BQ7" s="133">
        <v>46</v>
      </c>
    </row>
    <row r="8" spans="1:99" ht="24" customHeight="1" outlineLevel="1" x14ac:dyDescent="0.15">
      <c r="A8" s="106" t="s">
        <v>91</v>
      </c>
      <c r="B8" s="107" t="s">
        <v>72</v>
      </c>
      <c r="C8" s="117">
        <f t="shared" si="6"/>
        <v>20000</v>
      </c>
      <c r="D8" s="118"/>
      <c r="E8" s="119">
        <v>-0.05</v>
      </c>
      <c r="F8" s="119">
        <v>-0.05</v>
      </c>
      <c r="G8" s="119">
        <v>-0.05</v>
      </c>
      <c r="H8" s="119">
        <v>-0.01</v>
      </c>
      <c r="I8" s="120"/>
      <c r="J8" s="120"/>
      <c r="K8" s="41">
        <f t="shared" si="7"/>
        <v>0</v>
      </c>
      <c r="L8" s="41">
        <f t="shared" si="7"/>
        <v>0</v>
      </c>
      <c r="M8" s="41">
        <f t="shared" si="7"/>
        <v>0</v>
      </c>
      <c r="N8" s="41">
        <f t="shared" si="7"/>
        <v>0</v>
      </c>
      <c r="O8" s="122"/>
      <c r="P8" s="26">
        <f t="shared" si="8"/>
        <v>0</v>
      </c>
      <c r="Q8" s="136">
        <f t="shared" si="9"/>
        <v>20000</v>
      </c>
      <c r="R8" s="122"/>
      <c r="S8" s="119"/>
      <c r="T8" s="119"/>
      <c r="U8" s="119"/>
      <c r="V8" s="119"/>
      <c r="W8" s="120"/>
      <c r="X8" s="120"/>
      <c r="Y8" s="121"/>
      <c r="Z8" s="121"/>
      <c r="AA8" s="121"/>
      <c r="AB8" s="121"/>
      <c r="AC8" s="125"/>
      <c r="AD8" s="123"/>
      <c r="AE8" s="124"/>
      <c r="AF8" s="122"/>
      <c r="AG8" s="119"/>
      <c r="AH8" s="119"/>
      <c r="AI8" s="119"/>
      <c r="AJ8" s="119"/>
      <c r="AK8" s="120"/>
      <c r="AL8" s="120"/>
      <c r="AM8" s="121"/>
      <c r="AN8" s="121"/>
      <c r="AO8" s="121"/>
      <c r="AP8" s="121"/>
      <c r="AQ8" s="122"/>
      <c r="AR8" s="123"/>
      <c r="AS8" s="124"/>
      <c r="AT8" s="126"/>
      <c r="AU8" s="122"/>
      <c r="AV8" s="119"/>
      <c r="AW8" s="119"/>
      <c r="AX8" s="119"/>
      <c r="AY8" s="119"/>
      <c r="AZ8" s="120"/>
      <c r="BA8" s="120"/>
      <c r="BB8" s="121"/>
      <c r="BC8" s="121"/>
      <c r="BD8" s="121"/>
      <c r="BE8" s="121"/>
      <c r="BF8" s="120"/>
      <c r="BG8" s="123"/>
      <c r="BH8" s="122"/>
      <c r="BI8" s="124"/>
      <c r="BJ8" s="120"/>
      <c r="BK8" s="127">
        <v>5</v>
      </c>
      <c r="BL8" s="128">
        <f t="shared" si="10"/>
        <v>0.7862595419847328</v>
      </c>
      <c r="BM8" s="129">
        <f t="shared" si="5"/>
        <v>3.9312977099236641</v>
      </c>
      <c r="BN8" s="130">
        <v>32.5</v>
      </c>
      <c r="BO8" s="131" t="s">
        <v>11</v>
      </c>
      <c r="BP8" s="132">
        <v>3.5</v>
      </c>
      <c r="BQ8" s="133">
        <v>46</v>
      </c>
    </row>
    <row r="9" spans="1:99" ht="24" hidden="1" customHeight="1" x14ac:dyDescent="0.15">
      <c r="A9" s="103">
        <v>2</v>
      </c>
      <c r="B9" s="113" t="s">
        <v>32</v>
      </c>
      <c r="C9" s="95">
        <f>ROUND(+BM9*BQ9*BP9*BN9,-4)</f>
        <v>4680000</v>
      </c>
      <c r="E9" s="34"/>
      <c r="F9" s="34"/>
      <c r="G9" s="34"/>
      <c r="H9" s="34"/>
      <c r="K9" s="41">
        <f>ROUND((E9*$BM9)*$BN9*$BP9*$BQ9,-4)</f>
        <v>0</v>
      </c>
      <c r="L9" s="41">
        <f>ROUND((F9*$BM9)*$BN9*$BP9*$BQ9,-4)</f>
        <v>0</v>
      </c>
      <c r="M9" s="41">
        <f>ROUND((G9*$BM9)*$BN9*$BP9*$BQ9,-4)</f>
        <v>0</v>
      </c>
      <c r="N9" s="41">
        <f>ROUND((H9*$BM9)*$BN9*$BP9*$BQ9,-4)</f>
        <v>0</v>
      </c>
      <c r="P9" s="26">
        <f>SUM(K9:N9)</f>
        <v>0</v>
      </c>
      <c r="Q9" s="83">
        <f t="shared" si="9"/>
        <v>4680000</v>
      </c>
      <c r="S9" s="34"/>
      <c r="T9" s="34"/>
      <c r="U9" s="34"/>
      <c r="V9" s="34"/>
      <c r="Y9" s="41">
        <f t="shared" ref="Y9:AB13" si="11">ROUND((S9*$BM9)*$BN9*$BP9*$BQ9,-4)</f>
        <v>0</v>
      </c>
      <c r="Z9" s="41">
        <f t="shared" si="11"/>
        <v>0</v>
      </c>
      <c r="AA9" s="41">
        <f t="shared" si="11"/>
        <v>0</v>
      </c>
      <c r="AB9" s="41">
        <f t="shared" si="11"/>
        <v>0</v>
      </c>
      <c r="AD9" s="26">
        <f>SUM(X9:AB9)</f>
        <v>0</v>
      </c>
      <c r="AE9" s="83">
        <f>+Q9+AD9</f>
        <v>4680000</v>
      </c>
      <c r="AG9" s="34"/>
      <c r="AH9" s="34"/>
      <c r="AI9" s="34"/>
      <c r="AJ9" s="34"/>
      <c r="AM9" s="41">
        <f t="shared" ref="AM9:AP13" si="12">ROUND((AG9*$BM9)*$BN9*$BP9*$BQ9,-4)</f>
        <v>0</v>
      </c>
      <c r="AN9" s="41">
        <f t="shared" si="12"/>
        <v>0</v>
      </c>
      <c r="AO9" s="41">
        <f t="shared" si="12"/>
        <v>0</v>
      </c>
      <c r="AP9" s="41">
        <f t="shared" si="12"/>
        <v>0</v>
      </c>
      <c r="AR9" s="26">
        <f>SUM(AL9:AP9)</f>
        <v>0</v>
      </c>
      <c r="AS9" s="83">
        <f>+AE9+AR9</f>
        <v>4680000</v>
      </c>
      <c r="AT9" s="108"/>
      <c r="AV9" s="34"/>
      <c r="AW9" s="34"/>
      <c r="AX9" s="34"/>
      <c r="AY9" s="34"/>
      <c r="BB9" s="41">
        <f t="shared" ref="BB9:BE13" si="13">ROUND((AV9*$BM9)*$BN9*$BP9*$BQ9,-4)</f>
        <v>0</v>
      </c>
      <c r="BC9" s="41">
        <f t="shared" si="13"/>
        <v>0</v>
      </c>
      <c r="BD9" s="41">
        <f t="shared" si="13"/>
        <v>0</v>
      </c>
      <c r="BE9" s="41">
        <f t="shared" si="13"/>
        <v>0</v>
      </c>
      <c r="BG9" s="26">
        <f>SUM(BA9:BE9)</f>
        <v>0</v>
      </c>
      <c r="BI9" s="83">
        <f>+AS9+BG9</f>
        <v>4680000</v>
      </c>
      <c r="BK9" s="46">
        <v>926.4</v>
      </c>
      <c r="BL9" s="12">
        <f>4650/5650</f>
        <v>0.82300884955752207</v>
      </c>
      <c r="BM9" s="13">
        <f t="shared" si="5"/>
        <v>762.43539823008848</v>
      </c>
      <c r="BN9" s="101">
        <v>46</v>
      </c>
      <c r="BO9" s="52" t="s">
        <v>11</v>
      </c>
      <c r="BP9" s="58">
        <v>2.9</v>
      </c>
      <c r="BQ9" s="59">
        <v>46</v>
      </c>
    </row>
    <row r="10" spans="1:99" ht="24" hidden="1" customHeight="1" outlineLevel="1" x14ac:dyDescent="0.15">
      <c r="A10" s="106" t="s">
        <v>87</v>
      </c>
      <c r="B10" s="107" t="s">
        <v>45</v>
      </c>
      <c r="C10" s="95"/>
      <c r="E10" s="34"/>
      <c r="F10" s="34"/>
      <c r="G10" s="34"/>
      <c r="H10" s="34"/>
      <c r="K10" s="41"/>
      <c r="L10" s="41"/>
      <c r="M10" s="41"/>
      <c r="N10" s="41"/>
      <c r="P10" s="26">
        <f>SUM(K10:N10)</f>
        <v>0</v>
      </c>
      <c r="Q10" s="83">
        <f t="shared" si="9"/>
        <v>0</v>
      </c>
      <c r="S10" s="34"/>
      <c r="T10" s="34"/>
      <c r="U10" s="34"/>
      <c r="V10" s="34"/>
      <c r="Y10" s="41">
        <f t="shared" si="11"/>
        <v>0</v>
      </c>
      <c r="Z10" s="41">
        <f t="shared" si="11"/>
        <v>0</v>
      </c>
      <c r="AA10" s="41">
        <f t="shared" si="11"/>
        <v>0</v>
      </c>
      <c r="AB10" s="41">
        <f t="shared" si="11"/>
        <v>0</v>
      </c>
      <c r="AD10" s="26">
        <f>SUM(X10:AB10)</f>
        <v>0</v>
      </c>
      <c r="AE10" s="83"/>
      <c r="AG10" s="34"/>
      <c r="AH10" s="34"/>
      <c r="AI10" s="34"/>
      <c r="AJ10" s="34"/>
      <c r="AM10" s="41">
        <f t="shared" si="12"/>
        <v>0</v>
      </c>
      <c r="AN10" s="41">
        <f t="shared" si="12"/>
        <v>0</v>
      </c>
      <c r="AO10" s="41">
        <f t="shared" si="12"/>
        <v>0</v>
      </c>
      <c r="AP10" s="41">
        <f t="shared" si="12"/>
        <v>0</v>
      </c>
      <c r="AR10" s="26">
        <f>SUM(AL10:AP10)</f>
        <v>0</v>
      </c>
      <c r="AS10" s="83"/>
      <c r="AT10" s="108"/>
      <c r="AV10" s="34"/>
      <c r="AW10" s="34"/>
      <c r="AX10" s="34"/>
      <c r="AY10" s="34"/>
      <c r="BB10" s="41">
        <f t="shared" si="13"/>
        <v>0</v>
      </c>
      <c r="BC10" s="41">
        <f t="shared" si="13"/>
        <v>0</v>
      </c>
      <c r="BD10" s="41">
        <f t="shared" si="13"/>
        <v>0</v>
      </c>
      <c r="BE10" s="41">
        <f t="shared" si="13"/>
        <v>0</v>
      </c>
      <c r="BG10" s="26">
        <f>SUM(BA10:BE10)</f>
        <v>0</v>
      </c>
      <c r="BI10" s="83"/>
      <c r="BK10" s="46"/>
      <c r="BL10" s="12">
        <f t="shared" ref="BL10:BL14" si="14">4650/5650</f>
        <v>0.82300884955752207</v>
      </c>
      <c r="BM10" s="13">
        <f t="shared" si="5"/>
        <v>0</v>
      </c>
      <c r="BN10" s="101">
        <v>46</v>
      </c>
      <c r="BO10" s="52" t="s">
        <v>11</v>
      </c>
      <c r="BP10" s="58">
        <v>2.9</v>
      </c>
      <c r="BQ10" s="59">
        <v>46</v>
      </c>
    </row>
    <row r="11" spans="1:99" ht="24" hidden="1" customHeight="1" outlineLevel="1" x14ac:dyDescent="0.15">
      <c r="A11" s="106" t="s">
        <v>88</v>
      </c>
      <c r="B11" s="107" t="s">
        <v>55</v>
      </c>
      <c r="C11" s="95"/>
      <c r="E11" s="34"/>
      <c r="F11" s="34"/>
      <c r="G11" s="34"/>
      <c r="H11" s="34"/>
      <c r="K11" s="41"/>
      <c r="L11" s="41"/>
      <c r="M11" s="41"/>
      <c r="N11" s="41"/>
      <c r="P11" s="26">
        <f>SUM(K11:N11)</f>
        <v>0</v>
      </c>
      <c r="Q11" s="83">
        <f t="shared" si="9"/>
        <v>0</v>
      </c>
      <c r="S11" s="34"/>
      <c r="T11" s="34"/>
      <c r="U11" s="34"/>
      <c r="V11" s="34"/>
      <c r="Y11" s="41">
        <f t="shared" si="11"/>
        <v>0</v>
      </c>
      <c r="Z11" s="41">
        <f t="shared" si="11"/>
        <v>0</v>
      </c>
      <c r="AA11" s="41">
        <f t="shared" si="11"/>
        <v>0</v>
      </c>
      <c r="AB11" s="41">
        <f t="shared" si="11"/>
        <v>0</v>
      </c>
      <c r="AD11" s="26">
        <f>SUM(X11:AB11)</f>
        <v>0</v>
      </c>
      <c r="AE11" s="83"/>
      <c r="AG11" s="34"/>
      <c r="AH11" s="34"/>
      <c r="AI11" s="34"/>
      <c r="AJ11" s="34"/>
      <c r="AM11" s="41">
        <f t="shared" si="12"/>
        <v>0</v>
      </c>
      <c r="AN11" s="41">
        <f t="shared" si="12"/>
        <v>0</v>
      </c>
      <c r="AO11" s="41">
        <f t="shared" si="12"/>
        <v>0</v>
      </c>
      <c r="AP11" s="41">
        <f t="shared" si="12"/>
        <v>0</v>
      </c>
      <c r="AR11" s="26">
        <f>SUM(AL11:AP11)</f>
        <v>0</v>
      </c>
      <c r="AS11" s="83"/>
      <c r="AT11" s="108"/>
      <c r="AV11" s="34"/>
      <c r="AW11" s="34"/>
      <c r="AX11" s="34"/>
      <c r="AY11" s="34"/>
      <c r="BB11" s="41">
        <f t="shared" si="13"/>
        <v>0</v>
      </c>
      <c r="BC11" s="41">
        <f t="shared" si="13"/>
        <v>0</v>
      </c>
      <c r="BD11" s="41">
        <f t="shared" si="13"/>
        <v>0</v>
      </c>
      <c r="BE11" s="41">
        <f t="shared" si="13"/>
        <v>0</v>
      </c>
      <c r="BG11" s="26">
        <f>SUM(BA11:BE11)</f>
        <v>0</v>
      </c>
      <c r="BI11" s="83"/>
      <c r="BK11" s="46"/>
      <c r="BL11" s="12">
        <f t="shared" si="14"/>
        <v>0.82300884955752207</v>
      </c>
      <c r="BM11" s="13">
        <f t="shared" si="5"/>
        <v>0</v>
      </c>
      <c r="BN11" s="101">
        <v>46</v>
      </c>
      <c r="BO11" s="52" t="s">
        <v>11</v>
      </c>
      <c r="BP11" s="58">
        <v>2.9</v>
      </c>
      <c r="BQ11" s="59">
        <v>46</v>
      </c>
    </row>
    <row r="12" spans="1:99" ht="24" hidden="1" customHeight="1" outlineLevel="1" x14ac:dyDescent="0.15">
      <c r="A12" s="106" t="s">
        <v>89</v>
      </c>
      <c r="B12" s="107" t="s">
        <v>58</v>
      </c>
      <c r="C12" s="95"/>
      <c r="E12" s="34"/>
      <c r="F12" s="34"/>
      <c r="G12" s="34"/>
      <c r="H12" s="34"/>
      <c r="K12" s="41"/>
      <c r="L12" s="41"/>
      <c r="M12" s="41"/>
      <c r="N12" s="41"/>
      <c r="P12" s="26">
        <f>SUM(K12:N12)</f>
        <v>0</v>
      </c>
      <c r="Q12" s="83">
        <f t="shared" si="9"/>
        <v>0</v>
      </c>
      <c r="S12" s="34"/>
      <c r="T12" s="34"/>
      <c r="U12" s="34"/>
      <c r="V12" s="34"/>
      <c r="Y12" s="41">
        <f t="shared" si="11"/>
        <v>0</v>
      </c>
      <c r="Z12" s="41">
        <f t="shared" si="11"/>
        <v>0</v>
      </c>
      <c r="AA12" s="41">
        <f t="shared" si="11"/>
        <v>0</v>
      </c>
      <c r="AB12" s="41">
        <f t="shared" si="11"/>
        <v>0</v>
      </c>
      <c r="AD12" s="26">
        <f>SUM(X12:AB12)</f>
        <v>0</v>
      </c>
      <c r="AE12" s="83"/>
      <c r="AG12" s="34"/>
      <c r="AH12" s="34"/>
      <c r="AI12" s="34"/>
      <c r="AJ12" s="34"/>
      <c r="AM12" s="41">
        <f t="shared" si="12"/>
        <v>0</v>
      </c>
      <c r="AN12" s="41">
        <f t="shared" si="12"/>
        <v>0</v>
      </c>
      <c r="AO12" s="41">
        <f t="shared" si="12"/>
        <v>0</v>
      </c>
      <c r="AP12" s="41">
        <f t="shared" si="12"/>
        <v>0</v>
      </c>
      <c r="AR12" s="26">
        <f>SUM(AL12:AP12)</f>
        <v>0</v>
      </c>
      <c r="AS12" s="83"/>
      <c r="AT12" s="108"/>
      <c r="AV12" s="34"/>
      <c r="AW12" s="34"/>
      <c r="AX12" s="34"/>
      <c r="AY12" s="34"/>
      <c r="BB12" s="41">
        <f t="shared" si="13"/>
        <v>0</v>
      </c>
      <c r="BC12" s="41">
        <f t="shared" si="13"/>
        <v>0</v>
      </c>
      <c r="BD12" s="41">
        <f t="shared" si="13"/>
        <v>0</v>
      </c>
      <c r="BE12" s="41">
        <f t="shared" si="13"/>
        <v>0</v>
      </c>
      <c r="BG12" s="26">
        <f>SUM(BA12:BE12)</f>
        <v>0</v>
      </c>
      <c r="BI12" s="83"/>
      <c r="BK12" s="46"/>
      <c r="BL12" s="12">
        <f t="shared" si="14"/>
        <v>0.82300884955752207</v>
      </c>
      <c r="BM12" s="13">
        <f t="shared" si="5"/>
        <v>0</v>
      </c>
      <c r="BN12" s="101">
        <v>46</v>
      </c>
      <c r="BO12" s="52" t="s">
        <v>11</v>
      </c>
      <c r="BP12" s="58">
        <v>2.9</v>
      </c>
      <c r="BQ12" s="59">
        <v>46</v>
      </c>
    </row>
    <row r="13" spans="1:99" ht="24" hidden="1" customHeight="1" outlineLevel="1" x14ac:dyDescent="0.15">
      <c r="A13" s="106" t="s">
        <v>90</v>
      </c>
      <c r="B13" s="107" t="s">
        <v>65</v>
      </c>
      <c r="C13" s="95"/>
      <c r="E13" s="34"/>
      <c r="F13" s="34"/>
      <c r="G13" s="34"/>
      <c r="H13" s="34"/>
      <c r="K13" s="41"/>
      <c r="L13" s="41"/>
      <c r="M13" s="41"/>
      <c r="N13" s="41"/>
      <c r="P13" s="26">
        <f>SUM(K13:N13)</f>
        <v>0</v>
      </c>
      <c r="Q13" s="83">
        <f t="shared" si="9"/>
        <v>0</v>
      </c>
      <c r="S13" s="34"/>
      <c r="T13" s="34"/>
      <c r="U13" s="34"/>
      <c r="V13" s="34"/>
      <c r="Y13" s="41">
        <f t="shared" si="11"/>
        <v>0</v>
      </c>
      <c r="Z13" s="41">
        <f t="shared" si="11"/>
        <v>0</v>
      </c>
      <c r="AA13" s="41">
        <f t="shared" si="11"/>
        <v>0</v>
      </c>
      <c r="AB13" s="41">
        <f t="shared" si="11"/>
        <v>0</v>
      </c>
      <c r="AD13" s="26">
        <f>SUM(X13:AB13)</f>
        <v>0</v>
      </c>
      <c r="AE13" s="83"/>
      <c r="AG13" s="34"/>
      <c r="AH13" s="34"/>
      <c r="AI13" s="34"/>
      <c r="AJ13" s="34"/>
      <c r="AM13" s="41">
        <f t="shared" si="12"/>
        <v>0</v>
      </c>
      <c r="AN13" s="41">
        <f t="shared" si="12"/>
        <v>0</v>
      </c>
      <c r="AO13" s="41">
        <f t="shared" si="12"/>
        <v>0</v>
      </c>
      <c r="AP13" s="41">
        <f t="shared" si="12"/>
        <v>0</v>
      </c>
      <c r="AR13" s="26">
        <f>SUM(AL13:AP13)</f>
        <v>0</v>
      </c>
      <c r="AS13" s="83"/>
      <c r="AT13" s="108"/>
      <c r="AV13" s="34"/>
      <c r="AW13" s="34"/>
      <c r="AX13" s="34"/>
      <c r="AY13" s="34"/>
      <c r="BB13" s="41">
        <f t="shared" si="13"/>
        <v>0</v>
      </c>
      <c r="BC13" s="41">
        <f t="shared" si="13"/>
        <v>0</v>
      </c>
      <c r="BD13" s="41">
        <f t="shared" si="13"/>
        <v>0</v>
      </c>
      <c r="BE13" s="41">
        <f t="shared" si="13"/>
        <v>0</v>
      </c>
      <c r="BG13" s="26">
        <f>SUM(BA13:BE13)</f>
        <v>0</v>
      </c>
      <c r="BI13" s="83"/>
      <c r="BK13" s="46"/>
      <c r="BL13" s="12">
        <f t="shared" si="14"/>
        <v>0.82300884955752207</v>
      </c>
      <c r="BM13" s="13">
        <f t="shared" si="5"/>
        <v>0</v>
      </c>
      <c r="BN13" s="101">
        <v>46</v>
      </c>
      <c r="BO13" s="52" t="s">
        <v>11</v>
      </c>
      <c r="BP13" s="58">
        <v>2.9</v>
      </c>
      <c r="BQ13" s="59">
        <v>46</v>
      </c>
    </row>
    <row r="14" spans="1:99" ht="24" hidden="1" customHeight="1" outlineLevel="1" x14ac:dyDescent="0.15">
      <c r="A14" s="106" t="s">
        <v>91</v>
      </c>
      <c r="B14" s="107" t="s">
        <v>72</v>
      </c>
      <c r="C14" s="95"/>
      <c r="E14" s="34"/>
      <c r="F14" s="34"/>
      <c r="G14" s="34"/>
      <c r="H14" s="34"/>
      <c r="K14" s="41"/>
      <c r="L14" s="41"/>
      <c r="M14" s="41"/>
      <c r="N14" s="41"/>
      <c r="P14" s="26"/>
      <c r="Q14" s="83">
        <f t="shared" si="9"/>
        <v>0</v>
      </c>
      <c r="S14" s="34"/>
      <c r="T14" s="34"/>
      <c r="U14" s="34"/>
      <c r="V14" s="34"/>
      <c r="Y14" s="41"/>
      <c r="Z14" s="41"/>
      <c r="AA14" s="41"/>
      <c r="AB14" s="41"/>
      <c r="AD14" s="26"/>
      <c r="AE14" s="83"/>
      <c r="AG14" s="34"/>
      <c r="AH14" s="34"/>
      <c r="AI14" s="34"/>
      <c r="AJ14" s="34"/>
      <c r="AM14" s="41"/>
      <c r="AN14" s="41"/>
      <c r="AO14" s="41"/>
      <c r="AP14" s="41"/>
      <c r="AR14" s="26"/>
      <c r="AS14" s="83"/>
      <c r="AT14" s="108"/>
      <c r="AV14" s="34"/>
      <c r="AW14" s="34"/>
      <c r="AX14" s="34"/>
      <c r="AY14" s="34"/>
      <c r="BB14" s="41"/>
      <c r="BC14" s="41"/>
      <c r="BD14" s="41"/>
      <c r="BE14" s="41"/>
      <c r="BG14" s="26"/>
      <c r="BI14" s="83"/>
      <c r="BK14" s="46"/>
      <c r="BL14" s="12">
        <f t="shared" si="14"/>
        <v>0.82300884955752207</v>
      </c>
      <c r="BM14" s="13">
        <f t="shared" si="5"/>
        <v>0</v>
      </c>
      <c r="BN14" s="101">
        <v>46</v>
      </c>
      <c r="BO14" s="52" t="s">
        <v>11</v>
      </c>
      <c r="BP14" s="58">
        <v>2.9</v>
      </c>
      <c r="BQ14" s="59">
        <v>46</v>
      </c>
    </row>
    <row r="15" spans="1:99" ht="24" hidden="1" customHeight="1" collapsed="1" x14ac:dyDescent="0.15">
      <c r="A15" s="103">
        <v>3</v>
      </c>
      <c r="B15" s="113" t="s">
        <v>33</v>
      </c>
      <c r="C15" s="95">
        <f>ROUND(+BM15*BQ15*BP15*BN15,-4)</f>
        <v>700000</v>
      </c>
      <c r="E15" s="34"/>
      <c r="F15" s="34"/>
      <c r="G15" s="34"/>
      <c r="H15" s="34"/>
      <c r="K15" s="41">
        <f>ROUND((E15*$BM15)*$BN15*$BP15*$BQ15,-4)</f>
        <v>0</v>
      </c>
      <c r="L15" s="41">
        <f>ROUND((F15*$BM15)*$BN15*$BP15*$BQ15,-4)</f>
        <v>0</v>
      </c>
      <c r="M15" s="41">
        <f>ROUND((G15*$BM15)*$BN15*$BP15*$BQ15,-4)</f>
        <v>0</v>
      </c>
      <c r="N15" s="41">
        <f>ROUND((H15*$BM15)*$BN15*$BP15*$BQ15,-4)</f>
        <v>0</v>
      </c>
      <c r="P15" s="26">
        <f>SUM(K15:N15)</f>
        <v>0</v>
      </c>
      <c r="Q15" s="83">
        <f t="shared" si="9"/>
        <v>700000</v>
      </c>
      <c r="S15" s="34"/>
      <c r="T15" s="34"/>
      <c r="U15" s="34"/>
      <c r="V15" s="34"/>
      <c r="Y15" s="41">
        <f t="shared" ref="Y15:AB19" si="15">ROUND((S15*$BM15)*$BN15*$BP15*$BQ15,-4)</f>
        <v>0</v>
      </c>
      <c r="Z15" s="41">
        <f t="shared" si="15"/>
        <v>0</v>
      </c>
      <c r="AA15" s="41">
        <f t="shared" si="15"/>
        <v>0</v>
      </c>
      <c r="AB15" s="41">
        <f t="shared" si="15"/>
        <v>0</v>
      </c>
      <c r="AD15" s="26">
        <f>SUM(X15:AB15)</f>
        <v>0</v>
      </c>
      <c r="AE15" s="83">
        <f>+Q15+AD15</f>
        <v>700000</v>
      </c>
      <c r="AG15" s="34"/>
      <c r="AH15" s="34"/>
      <c r="AI15" s="34"/>
      <c r="AJ15" s="34"/>
      <c r="AM15" s="41">
        <f t="shared" ref="AM15:AP19" si="16">ROUND((AG15*$BM15)*$BN15*$BP15*$BQ15,-4)</f>
        <v>0</v>
      </c>
      <c r="AN15" s="41">
        <f t="shared" si="16"/>
        <v>0</v>
      </c>
      <c r="AO15" s="41">
        <f t="shared" si="16"/>
        <v>0</v>
      </c>
      <c r="AP15" s="41">
        <f t="shared" si="16"/>
        <v>0</v>
      </c>
      <c r="AR15" s="26">
        <f>SUM(AL15:AP15)</f>
        <v>0</v>
      </c>
      <c r="AS15" s="83">
        <f>+AE15+AR15</f>
        <v>700000</v>
      </c>
      <c r="AT15" s="108"/>
      <c r="AV15" s="34"/>
      <c r="AW15" s="34"/>
      <c r="AX15" s="34"/>
      <c r="AY15" s="34"/>
      <c r="BB15" s="41">
        <f t="shared" ref="BB15:BE19" si="17">ROUND((AV15*$BM15)*$BN15*$BP15*$BQ15,-4)</f>
        <v>0</v>
      </c>
      <c r="BC15" s="41">
        <f t="shared" si="17"/>
        <v>0</v>
      </c>
      <c r="BD15" s="41">
        <f t="shared" si="17"/>
        <v>0</v>
      </c>
      <c r="BE15" s="41">
        <f t="shared" si="17"/>
        <v>0</v>
      </c>
      <c r="BG15" s="26">
        <f>SUM(BA15:BE15)</f>
        <v>0</v>
      </c>
      <c r="BI15" s="83">
        <f>+AS15+BG15</f>
        <v>700000</v>
      </c>
      <c r="BK15" s="46">
        <v>90</v>
      </c>
      <c r="BL15" s="12">
        <f>700/740</f>
        <v>0.94594594594594594</v>
      </c>
      <c r="BM15" s="13">
        <f t="shared" si="5"/>
        <v>85.13513513513513</v>
      </c>
      <c r="BN15" s="101">
        <v>57.5</v>
      </c>
      <c r="BO15" s="52" t="s">
        <v>11</v>
      </c>
      <c r="BP15" s="58">
        <v>3.1</v>
      </c>
      <c r="BQ15" s="59">
        <v>46</v>
      </c>
    </row>
    <row r="16" spans="1:99" ht="24" hidden="1" customHeight="1" outlineLevel="1" x14ac:dyDescent="0.15">
      <c r="A16" s="106" t="s">
        <v>87</v>
      </c>
      <c r="B16" s="107" t="s">
        <v>45</v>
      </c>
      <c r="C16" s="95"/>
      <c r="E16" s="34"/>
      <c r="F16" s="34"/>
      <c r="G16" s="34"/>
      <c r="H16" s="34"/>
      <c r="K16" s="41"/>
      <c r="L16" s="41"/>
      <c r="M16" s="41"/>
      <c r="N16" s="41"/>
      <c r="P16" s="26">
        <f>SUM(K16:N16)</f>
        <v>0</v>
      </c>
      <c r="Q16" s="83">
        <f t="shared" si="9"/>
        <v>0</v>
      </c>
      <c r="S16" s="34"/>
      <c r="T16" s="34"/>
      <c r="U16" s="34"/>
      <c r="V16" s="34"/>
      <c r="Y16" s="41">
        <f t="shared" si="15"/>
        <v>0</v>
      </c>
      <c r="Z16" s="41">
        <f t="shared" si="15"/>
        <v>0</v>
      </c>
      <c r="AA16" s="41">
        <f t="shared" si="15"/>
        <v>0</v>
      </c>
      <c r="AB16" s="41">
        <f t="shared" si="15"/>
        <v>0</v>
      </c>
      <c r="AD16" s="26">
        <f>SUM(X16:AB16)</f>
        <v>0</v>
      </c>
      <c r="AE16" s="83"/>
      <c r="AG16" s="34"/>
      <c r="AH16" s="34"/>
      <c r="AI16" s="34"/>
      <c r="AJ16" s="34"/>
      <c r="AM16" s="41">
        <f t="shared" si="16"/>
        <v>0</v>
      </c>
      <c r="AN16" s="41">
        <f t="shared" si="16"/>
        <v>0</v>
      </c>
      <c r="AO16" s="41">
        <f t="shared" si="16"/>
        <v>0</v>
      </c>
      <c r="AP16" s="41">
        <f t="shared" si="16"/>
        <v>0</v>
      </c>
      <c r="AR16" s="26">
        <f>SUM(AL16:AP16)</f>
        <v>0</v>
      </c>
      <c r="AS16" s="83"/>
      <c r="AT16" s="108"/>
      <c r="AV16" s="34"/>
      <c r="AW16" s="34"/>
      <c r="AX16" s="34"/>
      <c r="AY16" s="34"/>
      <c r="BB16" s="41">
        <f t="shared" si="17"/>
        <v>0</v>
      </c>
      <c r="BC16" s="41">
        <f t="shared" si="17"/>
        <v>0</v>
      </c>
      <c r="BD16" s="41">
        <f t="shared" si="17"/>
        <v>0</v>
      </c>
      <c r="BE16" s="41">
        <f t="shared" si="17"/>
        <v>0</v>
      </c>
      <c r="BG16" s="26">
        <f>SUM(BA16:BE16)</f>
        <v>0</v>
      </c>
      <c r="BI16" s="83"/>
      <c r="BK16" s="46"/>
      <c r="BL16" s="12">
        <f t="shared" ref="BL16:BL20" si="18">700/740</f>
        <v>0.94594594594594594</v>
      </c>
      <c r="BM16" s="13">
        <f t="shared" si="5"/>
        <v>0</v>
      </c>
      <c r="BN16" s="101">
        <v>57.5</v>
      </c>
      <c r="BO16" s="52" t="s">
        <v>11</v>
      </c>
      <c r="BP16" s="58">
        <v>3.1</v>
      </c>
      <c r="BQ16" s="59">
        <v>46</v>
      </c>
    </row>
    <row r="17" spans="1:69" ht="24" hidden="1" customHeight="1" outlineLevel="1" x14ac:dyDescent="0.15">
      <c r="A17" s="106" t="s">
        <v>88</v>
      </c>
      <c r="B17" s="107" t="s">
        <v>55</v>
      </c>
      <c r="C17" s="95"/>
      <c r="E17" s="34"/>
      <c r="F17" s="34"/>
      <c r="G17" s="34"/>
      <c r="H17" s="34"/>
      <c r="K17" s="41"/>
      <c r="L17" s="41"/>
      <c r="M17" s="41"/>
      <c r="N17" s="41"/>
      <c r="P17" s="26">
        <f>SUM(K17:N17)</f>
        <v>0</v>
      </c>
      <c r="Q17" s="83">
        <f t="shared" si="9"/>
        <v>0</v>
      </c>
      <c r="S17" s="34"/>
      <c r="T17" s="34"/>
      <c r="U17" s="34"/>
      <c r="V17" s="34"/>
      <c r="Y17" s="41">
        <f t="shared" si="15"/>
        <v>0</v>
      </c>
      <c r="Z17" s="41">
        <f t="shared" si="15"/>
        <v>0</v>
      </c>
      <c r="AA17" s="41">
        <f t="shared" si="15"/>
        <v>0</v>
      </c>
      <c r="AB17" s="41">
        <f t="shared" si="15"/>
        <v>0</v>
      </c>
      <c r="AD17" s="26">
        <f>SUM(X17:AB17)</f>
        <v>0</v>
      </c>
      <c r="AE17" s="83"/>
      <c r="AG17" s="34"/>
      <c r="AH17" s="34"/>
      <c r="AI17" s="34"/>
      <c r="AJ17" s="34"/>
      <c r="AM17" s="41">
        <f t="shared" si="16"/>
        <v>0</v>
      </c>
      <c r="AN17" s="41">
        <f t="shared" si="16"/>
        <v>0</v>
      </c>
      <c r="AO17" s="41">
        <f t="shared" si="16"/>
        <v>0</v>
      </c>
      <c r="AP17" s="41">
        <f t="shared" si="16"/>
        <v>0</v>
      </c>
      <c r="AR17" s="26">
        <f>SUM(AL17:AP17)</f>
        <v>0</v>
      </c>
      <c r="AS17" s="83"/>
      <c r="AT17" s="108"/>
      <c r="AV17" s="34"/>
      <c r="AW17" s="34"/>
      <c r="AX17" s="34"/>
      <c r="AY17" s="34"/>
      <c r="BB17" s="41">
        <f t="shared" si="17"/>
        <v>0</v>
      </c>
      <c r="BC17" s="41">
        <f t="shared" si="17"/>
        <v>0</v>
      </c>
      <c r="BD17" s="41">
        <f t="shared" si="17"/>
        <v>0</v>
      </c>
      <c r="BE17" s="41">
        <f t="shared" si="17"/>
        <v>0</v>
      </c>
      <c r="BG17" s="26">
        <f>SUM(BA17:BE17)</f>
        <v>0</v>
      </c>
      <c r="BI17" s="83"/>
      <c r="BK17" s="46"/>
      <c r="BL17" s="12">
        <f t="shared" si="18"/>
        <v>0.94594594594594594</v>
      </c>
      <c r="BM17" s="13">
        <f t="shared" si="5"/>
        <v>0</v>
      </c>
      <c r="BN17" s="101">
        <v>57.5</v>
      </c>
      <c r="BO17" s="52" t="s">
        <v>11</v>
      </c>
      <c r="BP17" s="58">
        <v>3.1</v>
      </c>
      <c r="BQ17" s="59">
        <v>46</v>
      </c>
    </row>
    <row r="18" spans="1:69" ht="24" hidden="1" customHeight="1" outlineLevel="1" x14ac:dyDescent="0.15">
      <c r="A18" s="106" t="s">
        <v>89</v>
      </c>
      <c r="B18" s="107" t="s">
        <v>58</v>
      </c>
      <c r="C18" s="95"/>
      <c r="E18" s="34"/>
      <c r="F18" s="34"/>
      <c r="G18" s="34"/>
      <c r="H18" s="34"/>
      <c r="K18" s="41"/>
      <c r="L18" s="41"/>
      <c r="M18" s="41"/>
      <c r="N18" s="41"/>
      <c r="P18" s="26">
        <f>SUM(K18:N18)</f>
        <v>0</v>
      </c>
      <c r="Q18" s="83">
        <f t="shared" si="9"/>
        <v>0</v>
      </c>
      <c r="S18" s="34"/>
      <c r="T18" s="34"/>
      <c r="U18" s="34"/>
      <c r="V18" s="34"/>
      <c r="Y18" s="41">
        <f t="shared" si="15"/>
        <v>0</v>
      </c>
      <c r="Z18" s="41">
        <f t="shared" si="15"/>
        <v>0</v>
      </c>
      <c r="AA18" s="41">
        <f t="shared" si="15"/>
        <v>0</v>
      </c>
      <c r="AB18" s="41">
        <f t="shared" si="15"/>
        <v>0</v>
      </c>
      <c r="AD18" s="26">
        <f>SUM(X18:AB18)</f>
        <v>0</v>
      </c>
      <c r="AE18" s="83"/>
      <c r="AG18" s="34"/>
      <c r="AH18" s="34"/>
      <c r="AI18" s="34"/>
      <c r="AJ18" s="34"/>
      <c r="AM18" s="41">
        <f t="shared" si="16"/>
        <v>0</v>
      </c>
      <c r="AN18" s="41">
        <f t="shared" si="16"/>
        <v>0</v>
      </c>
      <c r="AO18" s="41">
        <f t="shared" si="16"/>
        <v>0</v>
      </c>
      <c r="AP18" s="41">
        <f t="shared" si="16"/>
        <v>0</v>
      </c>
      <c r="AR18" s="26">
        <f>SUM(AL18:AP18)</f>
        <v>0</v>
      </c>
      <c r="AS18" s="83"/>
      <c r="AT18" s="108"/>
      <c r="AV18" s="34"/>
      <c r="AW18" s="34"/>
      <c r="AX18" s="34"/>
      <c r="AY18" s="34"/>
      <c r="BB18" s="41">
        <f t="shared" si="17"/>
        <v>0</v>
      </c>
      <c r="BC18" s="41">
        <f t="shared" si="17"/>
        <v>0</v>
      </c>
      <c r="BD18" s="41">
        <f t="shared" si="17"/>
        <v>0</v>
      </c>
      <c r="BE18" s="41">
        <f t="shared" si="17"/>
        <v>0</v>
      </c>
      <c r="BG18" s="26">
        <f>SUM(BA18:BE18)</f>
        <v>0</v>
      </c>
      <c r="BI18" s="83"/>
      <c r="BK18" s="46"/>
      <c r="BL18" s="12">
        <f t="shared" si="18"/>
        <v>0.94594594594594594</v>
      </c>
      <c r="BM18" s="13">
        <f t="shared" si="5"/>
        <v>0</v>
      </c>
      <c r="BN18" s="101">
        <v>57.5</v>
      </c>
      <c r="BO18" s="52" t="s">
        <v>11</v>
      </c>
      <c r="BP18" s="58">
        <v>3.1</v>
      </c>
      <c r="BQ18" s="59">
        <v>46</v>
      </c>
    </row>
    <row r="19" spans="1:69" ht="24" hidden="1" customHeight="1" outlineLevel="1" x14ac:dyDescent="0.15">
      <c r="A19" s="106" t="s">
        <v>90</v>
      </c>
      <c r="B19" s="107" t="s">
        <v>65</v>
      </c>
      <c r="C19" s="95"/>
      <c r="E19" s="34"/>
      <c r="F19" s="34"/>
      <c r="G19" s="34"/>
      <c r="H19" s="34"/>
      <c r="K19" s="41"/>
      <c r="L19" s="41"/>
      <c r="M19" s="41"/>
      <c r="N19" s="41"/>
      <c r="P19" s="26">
        <f>SUM(K19:N19)</f>
        <v>0</v>
      </c>
      <c r="Q19" s="83">
        <f t="shared" si="9"/>
        <v>0</v>
      </c>
      <c r="S19" s="34"/>
      <c r="T19" s="34"/>
      <c r="U19" s="34"/>
      <c r="V19" s="34"/>
      <c r="Y19" s="41">
        <f t="shared" si="15"/>
        <v>0</v>
      </c>
      <c r="Z19" s="41">
        <f t="shared" si="15"/>
        <v>0</v>
      </c>
      <c r="AA19" s="41">
        <f t="shared" si="15"/>
        <v>0</v>
      </c>
      <c r="AB19" s="41">
        <f t="shared" si="15"/>
        <v>0</v>
      </c>
      <c r="AD19" s="26">
        <f>SUM(X19:AB19)</f>
        <v>0</v>
      </c>
      <c r="AE19" s="83"/>
      <c r="AG19" s="34"/>
      <c r="AH19" s="34"/>
      <c r="AI19" s="34"/>
      <c r="AJ19" s="34"/>
      <c r="AM19" s="41">
        <f t="shared" si="16"/>
        <v>0</v>
      </c>
      <c r="AN19" s="41">
        <f t="shared" si="16"/>
        <v>0</v>
      </c>
      <c r="AO19" s="41">
        <f t="shared" si="16"/>
        <v>0</v>
      </c>
      <c r="AP19" s="41">
        <f t="shared" si="16"/>
        <v>0</v>
      </c>
      <c r="AR19" s="26">
        <f>SUM(AL19:AP19)</f>
        <v>0</v>
      </c>
      <c r="AS19" s="83"/>
      <c r="AT19" s="108"/>
      <c r="AV19" s="34"/>
      <c r="AW19" s="34"/>
      <c r="AX19" s="34"/>
      <c r="AY19" s="34"/>
      <c r="BB19" s="41">
        <f t="shared" si="17"/>
        <v>0</v>
      </c>
      <c r="BC19" s="41">
        <f t="shared" si="17"/>
        <v>0</v>
      </c>
      <c r="BD19" s="41">
        <f t="shared" si="17"/>
        <v>0</v>
      </c>
      <c r="BE19" s="41">
        <f t="shared" si="17"/>
        <v>0</v>
      </c>
      <c r="BG19" s="26">
        <f>SUM(BA19:BE19)</f>
        <v>0</v>
      </c>
      <c r="BI19" s="83"/>
      <c r="BK19" s="46"/>
      <c r="BL19" s="12">
        <f t="shared" si="18"/>
        <v>0.94594594594594594</v>
      </c>
      <c r="BM19" s="13">
        <f t="shared" si="5"/>
        <v>0</v>
      </c>
      <c r="BN19" s="101">
        <v>57.5</v>
      </c>
      <c r="BO19" s="52" t="s">
        <v>11</v>
      </c>
      <c r="BP19" s="58">
        <v>3.1</v>
      </c>
      <c r="BQ19" s="59">
        <v>46</v>
      </c>
    </row>
    <row r="20" spans="1:69" ht="24" hidden="1" customHeight="1" outlineLevel="1" x14ac:dyDescent="0.15">
      <c r="A20" s="106" t="s">
        <v>91</v>
      </c>
      <c r="B20" s="107" t="s">
        <v>72</v>
      </c>
      <c r="C20" s="95"/>
      <c r="E20" s="34"/>
      <c r="F20" s="34"/>
      <c r="G20" s="34"/>
      <c r="H20" s="34"/>
      <c r="K20" s="41"/>
      <c r="L20" s="41"/>
      <c r="M20" s="41"/>
      <c r="N20" s="41"/>
      <c r="P20" s="26"/>
      <c r="Q20" s="83">
        <f t="shared" si="9"/>
        <v>0</v>
      </c>
      <c r="S20" s="34"/>
      <c r="T20" s="34"/>
      <c r="U20" s="34"/>
      <c r="V20" s="34"/>
      <c r="Y20" s="41"/>
      <c r="Z20" s="41"/>
      <c r="AA20" s="41"/>
      <c r="AB20" s="41"/>
      <c r="AD20" s="26"/>
      <c r="AE20" s="83"/>
      <c r="AG20" s="34"/>
      <c r="AH20" s="34"/>
      <c r="AI20" s="34"/>
      <c r="AJ20" s="34"/>
      <c r="AM20" s="41"/>
      <c r="AN20" s="41"/>
      <c r="AO20" s="41"/>
      <c r="AP20" s="41"/>
      <c r="AR20" s="26"/>
      <c r="AS20" s="83"/>
      <c r="AT20" s="108"/>
      <c r="AV20" s="34"/>
      <c r="AW20" s="34"/>
      <c r="AX20" s="34"/>
      <c r="AY20" s="34"/>
      <c r="BB20" s="41"/>
      <c r="BC20" s="41"/>
      <c r="BD20" s="41"/>
      <c r="BE20" s="41"/>
      <c r="BG20" s="26"/>
      <c r="BI20" s="83"/>
      <c r="BK20" s="46"/>
      <c r="BL20" s="12">
        <f t="shared" si="18"/>
        <v>0.94594594594594594</v>
      </c>
      <c r="BM20" s="13">
        <f t="shared" si="5"/>
        <v>0</v>
      </c>
      <c r="BN20" s="101">
        <v>57.5</v>
      </c>
      <c r="BO20" s="52" t="s">
        <v>11</v>
      </c>
      <c r="BP20" s="58">
        <v>3.1</v>
      </c>
      <c r="BQ20" s="59">
        <v>46</v>
      </c>
    </row>
    <row r="21" spans="1:69" ht="24" hidden="1" customHeight="1" collapsed="1" x14ac:dyDescent="0.15">
      <c r="A21" s="103">
        <v>5</v>
      </c>
      <c r="B21" s="112" t="s">
        <v>34</v>
      </c>
      <c r="C21" s="95">
        <f>ROUND(+BM21*BQ21*BP21*BN21,-4)</f>
        <v>50000</v>
      </c>
      <c r="E21" s="34"/>
      <c r="F21" s="34"/>
      <c r="G21" s="34"/>
      <c r="H21" s="34"/>
      <c r="K21" s="41">
        <f>ROUND((E21*$BM21)*$BN21*$BP21*$BQ21,-4)</f>
        <v>0</v>
      </c>
      <c r="L21" s="41">
        <f>ROUND((F21*$BM21)*$BN21*$BP21*$BQ21,-4)</f>
        <v>0</v>
      </c>
      <c r="M21" s="41">
        <f>ROUND((G21*$BM21)*$BN21*$BP21*$BQ21,-4)</f>
        <v>0</v>
      </c>
      <c r="N21" s="41">
        <f>ROUND((H21*$BM21)*$BN21*$BP21*$BQ21,-4)</f>
        <v>0</v>
      </c>
      <c r="P21" s="26">
        <f>SUM(K21:N21)</f>
        <v>0</v>
      </c>
      <c r="Q21" s="83">
        <f t="shared" si="9"/>
        <v>50000</v>
      </c>
      <c r="S21" s="34"/>
      <c r="T21" s="34"/>
      <c r="U21" s="34"/>
      <c r="V21" s="34"/>
      <c r="Y21" s="41">
        <f t="shared" ref="Y21:AB25" si="19">ROUND((S21*$BM21)*$BN21*$BP21*$BQ21,-4)</f>
        <v>0</v>
      </c>
      <c r="Z21" s="41">
        <f t="shared" si="19"/>
        <v>0</v>
      </c>
      <c r="AA21" s="41">
        <f t="shared" si="19"/>
        <v>0</v>
      </c>
      <c r="AB21" s="41">
        <f t="shared" si="19"/>
        <v>0</v>
      </c>
      <c r="AD21" s="26">
        <f>SUM(X21:AB21)</f>
        <v>0</v>
      </c>
      <c r="AE21" s="84">
        <f>+Q21+AD21</f>
        <v>50000</v>
      </c>
      <c r="AG21" s="34"/>
      <c r="AH21" s="34"/>
      <c r="AI21" s="34"/>
      <c r="AJ21" s="34"/>
      <c r="AM21" s="41">
        <f t="shared" ref="AM21:AP25" si="20">ROUND((AG21*$BM21)*$BN21*$BP21*$BQ21,-4)</f>
        <v>0</v>
      </c>
      <c r="AN21" s="41">
        <f t="shared" si="20"/>
        <v>0</v>
      </c>
      <c r="AO21" s="41">
        <f t="shared" si="20"/>
        <v>0</v>
      </c>
      <c r="AP21" s="41">
        <f t="shared" si="20"/>
        <v>0</v>
      </c>
      <c r="AR21" s="26">
        <f>SUM(AL21:AP21)</f>
        <v>0</v>
      </c>
      <c r="AS21" s="84">
        <f>+AE21+AR21</f>
        <v>50000</v>
      </c>
      <c r="AT21" s="108"/>
      <c r="AV21" s="34"/>
      <c r="AW21" s="34"/>
      <c r="AX21" s="34"/>
      <c r="AY21" s="34"/>
      <c r="BB21" s="41">
        <f t="shared" ref="BB21:BE25" si="21">ROUND((AV21*$BM21)*$BN21*$BP21*$BQ21,-4)</f>
        <v>0</v>
      </c>
      <c r="BC21" s="41">
        <f t="shared" si="21"/>
        <v>0</v>
      </c>
      <c r="BD21" s="41">
        <f t="shared" si="21"/>
        <v>0</v>
      </c>
      <c r="BE21" s="41">
        <f t="shared" si="21"/>
        <v>0</v>
      </c>
      <c r="BG21" s="26">
        <f>SUM(BA21:BE21)</f>
        <v>0</v>
      </c>
      <c r="BI21" s="84">
        <f>+AS21+BG21</f>
        <v>50000</v>
      </c>
      <c r="BK21" s="46">
        <v>85.2</v>
      </c>
      <c r="BL21" s="12">
        <f>50/60</f>
        <v>0.83333333333333337</v>
      </c>
      <c r="BM21" s="13">
        <f t="shared" si="5"/>
        <v>71</v>
      </c>
      <c r="BN21" s="102">
        <v>9</v>
      </c>
      <c r="BO21" s="52" t="s">
        <v>92</v>
      </c>
      <c r="BP21" s="58">
        <f>+BP3/2</f>
        <v>1.75</v>
      </c>
      <c r="BQ21" s="59">
        <v>46</v>
      </c>
    </row>
    <row r="22" spans="1:69" ht="24" hidden="1" customHeight="1" outlineLevel="1" x14ac:dyDescent="0.15">
      <c r="A22" s="106" t="s">
        <v>87</v>
      </c>
      <c r="B22" s="107" t="s">
        <v>45</v>
      </c>
      <c r="C22" s="95"/>
      <c r="E22" s="34"/>
      <c r="F22" s="34"/>
      <c r="G22" s="34"/>
      <c r="H22" s="34"/>
      <c r="K22" s="41"/>
      <c r="L22" s="41"/>
      <c r="M22" s="41"/>
      <c r="N22" s="41"/>
      <c r="P22" s="26">
        <f>SUM(K22:N22)</f>
        <v>0</v>
      </c>
      <c r="Q22" s="83">
        <f t="shared" si="9"/>
        <v>0</v>
      </c>
      <c r="S22" s="34"/>
      <c r="T22" s="34"/>
      <c r="U22" s="34"/>
      <c r="V22" s="34"/>
      <c r="Y22" s="41">
        <f t="shared" si="19"/>
        <v>0</v>
      </c>
      <c r="Z22" s="41">
        <f t="shared" si="19"/>
        <v>0</v>
      </c>
      <c r="AA22" s="41">
        <f t="shared" si="19"/>
        <v>0</v>
      </c>
      <c r="AB22" s="41">
        <f t="shared" si="19"/>
        <v>0</v>
      </c>
      <c r="AD22" s="26">
        <f>SUM(X22:AB22)</f>
        <v>0</v>
      </c>
      <c r="AE22" s="83"/>
      <c r="AG22" s="34"/>
      <c r="AH22" s="34"/>
      <c r="AI22" s="34"/>
      <c r="AJ22" s="34"/>
      <c r="AM22" s="41">
        <f t="shared" si="20"/>
        <v>0</v>
      </c>
      <c r="AN22" s="41">
        <f t="shared" si="20"/>
        <v>0</v>
      </c>
      <c r="AO22" s="41">
        <f t="shared" si="20"/>
        <v>0</v>
      </c>
      <c r="AP22" s="41">
        <f t="shared" si="20"/>
        <v>0</v>
      </c>
      <c r="AR22" s="26">
        <f>SUM(AL22:AP22)</f>
        <v>0</v>
      </c>
      <c r="AS22" s="83"/>
      <c r="AT22" s="108"/>
      <c r="AV22" s="34"/>
      <c r="AW22" s="34"/>
      <c r="AX22" s="34"/>
      <c r="AY22" s="34"/>
      <c r="BB22" s="41">
        <f t="shared" si="21"/>
        <v>0</v>
      </c>
      <c r="BC22" s="41">
        <f t="shared" si="21"/>
        <v>0</v>
      </c>
      <c r="BD22" s="41">
        <f t="shared" si="21"/>
        <v>0</v>
      </c>
      <c r="BE22" s="41">
        <f t="shared" si="21"/>
        <v>0</v>
      </c>
      <c r="BG22" s="26">
        <f>SUM(BA22:BE22)</f>
        <v>0</v>
      </c>
      <c r="BI22" s="83"/>
      <c r="BK22" s="46"/>
      <c r="BL22" s="12">
        <f t="shared" ref="BL22:BL26" si="22">50/60</f>
        <v>0.83333333333333337</v>
      </c>
      <c r="BM22" s="13">
        <f t="shared" si="5"/>
        <v>0</v>
      </c>
      <c r="BN22" s="102">
        <v>9</v>
      </c>
      <c r="BO22" s="52" t="s">
        <v>11</v>
      </c>
      <c r="BP22" s="58">
        <f t="shared" ref="BP22:BP26" si="23">+BP4/2</f>
        <v>1.75</v>
      </c>
      <c r="BQ22" s="59">
        <v>47</v>
      </c>
    </row>
    <row r="23" spans="1:69" ht="24" hidden="1" customHeight="1" outlineLevel="1" x14ac:dyDescent="0.15">
      <c r="A23" s="106" t="s">
        <v>88</v>
      </c>
      <c r="B23" s="107" t="s">
        <v>55</v>
      </c>
      <c r="C23" s="95"/>
      <c r="E23" s="34"/>
      <c r="F23" s="34"/>
      <c r="G23" s="34"/>
      <c r="H23" s="34"/>
      <c r="K23" s="41"/>
      <c r="L23" s="41"/>
      <c r="M23" s="41"/>
      <c r="N23" s="41"/>
      <c r="P23" s="26">
        <f>SUM(K23:N23)</f>
        <v>0</v>
      </c>
      <c r="Q23" s="83">
        <f t="shared" si="9"/>
        <v>0</v>
      </c>
      <c r="S23" s="34"/>
      <c r="T23" s="34"/>
      <c r="U23" s="34"/>
      <c r="V23" s="34"/>
      <c r="Y23" s="41">
        <f t="shared" si="19"/>
        <v>0</v>
      </c>
      <c r="Z23" s="41">
        <f t="shared" si="19"/>
        <v>0</v>
      </c>
      <c r="AA23" s="41">
        <f t="shared" si="19"/>
        <v>0</v>
      </c>
      <c r="AB23" s="41">
        <f t="shared" si="19"/>
        <v>0</v>
      </c>
      <c r="AD23" s="26">
        <f>SUM(X23:AB23)</f>
        <v>0</v>
      </c>
      <c r="AE23" s="83"/>
      <c r="AG23" s="34"/>
      <c r="AH23" s="34"/>
      <c r="AI23" s="34"/>
      <c r="AJ23" s="34"/>
      <c r="AM23" s="41">
        <f t="shared" si="20"/>
        <v>0</v>
      </c>
      <c r="AN23" s="41">
        <f t="shared" si="20"/>
        <v>0</v>
      </c>
      <c r="AO23" s="41">
        <f t="shared" si="20"/>
        <v>0</v>
      </c>
      <c r="AP23" s="41">
        <f t="shared" si="20"/>
        <v>0</v>
      </c>
      <c r="AR23" s="26">
        <f>SUM(AL23:AP23)</f>
        <v>0</v>
      </c>
      <c r="AS23" s="83"/>
      <c r="AT23" s="108"/>
      <c r="AV23" s="34"/>
      <c r="AW23" s="34"/>
      <c r="AX23" s="34"/>
      <c r="AY23" s="34"/>
      <c r="BB23" s="41">
        <f t="shared" si="21"/>
        <v>0</v>
      </c>
      <c r="BC23" s="41">
        <f t="shared" si="21"/>
        <v>0</v>
      </c>
      <c r="BD23" s="41">
        <f t="shared" si="21"/>
        <v>0</v>
      </c>
      <c r="BE23" s="41">
        <f t="shared" si="21"/>
        <v>0</v>
      </c>
      <c r="BG23" s="26">
        <f>SUM(BA23:BE23)</f>
        <v>0</v>
      </c>
      <c r="BI23" s="83"/>
      <c r="BK23" s="46"/>
      <c r="BL23" s="12">
        <f t="shared" si="22"/>
        <v>0.83333333333333337</v>
      </c>
      <c r="BM23" s="13">
        <f t="shared" si="5"/>
        <v>0</v>
      </c>
      <c r="BN23" s="102">
        <v>9</v>
      </c>
      <c r="BO23" s="52" t="s">
        <v>11</v>
      </c>
      <c r="BP23" s="58">
        <f t="shared" si="23"/>
        <v>1.75</v>
      </c>
      <c r="BQ23" s="59">
        <v>48</v>
      </c>
    </row>
    <row r="24" spans="1:69" ht="24" hidden="1" customHeight="1" outlineLevel="1" x14ac:dyDescent="0.15">
      <c r="A24" s="106" t="s">
        <v>89</v>
      </c>
      <c r="B24" s="107" t="s">
        <v>58</v>
      </c>
      <c r="C24" s="95"/>
      <c r="E24" s="34"/>
      <c r="F24" s="34"/>
      <c r="G24" s="34"/>
      <c r="H24" s="34"/>
      <c r="K24" s="41"/>
      <c r="L24" s="41"/>
      <c r="M24" s="41"/>
      <c r="N24" s="41"/>
      <c r="P24" s="26">
        <f>SUM(K24:N24)</f>
        <v>0</v>
      </c>
      <c r="Q24" s="83">
        <f t="shared" si="9"/>
        <v>0</v>
      </c>
      <c r="S24" s="34"/>
      <c r="T24" s="34"/>
      <c r="U24" s="34"/>
      <c r="V24" s="34"/>
      <c r="Y24" s="41">
        <f t="shared" si="19"/>
        <v>0</v>
      </c>
      <c r="Z24" s="41">
        <f t="shared" si="19"/>
        <v>0</v>
      </c>
      <c r="AA24" s="41">
        <f t="shared" si="19"/>
        <v>0</v>
      </c>
      <c r="AB24" s="41">
        <f t="shared" si="19"/>
        <v>0</v>
      </c>
      <c r="AD24" s="26">
        <f>SUM(X24:AB24)</f>
        <v>0</v>
      </c>
      <c r="AE24" s="83"/>
      <c r="AG24" s="34"/>
      <c r="AH24" s="34"/>
      <c r="AI24" s="34"/>
      <c r="AJ24" s="34"/>
      <c r="AM24" s="41">
        <f t="shared" si="20"/>
        <v>0</v>
      </c>
      <c r="AN24" s="41">
        <f t="shared" si="20"/>
        <v>0</v>
      </c>
      <c r="AO24" s="41">
        <f t="shared" si="20"/>
        <v>0</v>
      </c>
      <c r="AP24" s="41">
        <f t="shared" si="20"/>
        <v>0</v>
      </c>
      <c r="AR24" s="26">
        <f>SUM(AL24:AP24)</f>
        <v>0</v>
      </c>
      <c r="AS24" s="83"/>
      <c r="AT24" s="108"/>
      <c r="AV24" s="34"/>
      <c r="AW24" s="34"/>
      <c r="AX24" s="34"/>
      <c r="AY24" s="34"/>
      <c r="BB24" s="41">
        <f t="shared" si="21"/>
        <v>0</v>
      </c>
      <c r="BC24" s="41">
        <f t="shared" si="21"/>
        <v>0</v>
      </c>
      <c r="BD24" s="41">
        <f t="shared" si="21"/>
        <v>0</v>
      </c>
      <c r="BE24" s="41">
        <f t="shared" si="21"/>
        <v>0</v>
      </c>
      <c r="BG24" s="26">
        <f>SUM(BA24:BE24)</f>
        <v>0</v>
      </c>
      <c r="BI24" s="83"/>
      <c r="BK24" s="46"/>
      <c r="BL24" s="12">
        <f t="shared" si="22"/>
        <v>0.83333333333333337</v>
      </c>
      <c r="BM24" s="13">
        <f t="shared" si="5"/>
        <v>0</v>
      </c>
      <c r="BN24" s="102">
        <v>9</v>
      </c>
      <c r="BO24" s="52" t="s">
        <v>11</v>
      </c>
      <c r="BP24" s="58">
        <f t="shared" si="23"/>
        <v>1.75</v>
      </c>
      <c r="BQ24" s="59">
        <v>49</v>
      </c>
    </row>
    <row r="25" spans="1:69" ht="24" hidden="1" customHeight="1" outlineLevel="1" x14ac:dyDescent="0.15">
      <c r="A25" s="106" t="s">
        <v>90</v>
      </c>
      <c r="B25" s="107" t="s">
        <v>65</v>
      </c>
      <c r="C25" s="95"/>
      <c r="E25" s="34"/>
      <c r="F25" s="34"/>
      <c r="G25" s="34"/>
      <c r="H25" s="34"/>
      <c r="K25" s="41"/>
      <c r="L25" s="41"/>
      <c r="M25" s="41"/>
      <c r="N25" s="41"/>
      <c r="P25" s="26">
        <f>SUM(K25:N25)</f>
        <v>0</v>
      </c>
      <c r="Q25" s="83">
        <f t="shared" si="9"/>
        <v>0</v>
      </c>
      <c r="S25" s="34"/>
      <c r="T25" s="34"/>
      <c r="U25" s="34"/>
      <c r="V25" s="34"/>
      <c r="Y25" s="41">
        <f t="shared" si="19"/>
        <v>0</v>
      </c>
      <c r="Z25" s="41">
        <f t="shared" si="19"/>
        <v>0</v>
      </c>
      <c r="AA25" s="41">
        <f t="shared" si="19"/>
        <v>0</v>
      </c>
      <c r="AB25" s="41">
        <f t="shared" si="19"/>
        <v>0</v>
      </c>
      <c r="AD25" s="26">
        <f>SUM(X25:AB25)</f>
        <v>0</v>
      </c>
      <c r="AE25" s="83"/>
      <c r="AG25" s="34"/>
      <c r="AH25" s="34"/>
      <c r="AI25" s="34"/>
      <c r="AJ25" s="34"/>
      <c r="AM25" s="41">
        <f t="shared" si="20"/>
        <v>0</v>
      </c>
      <c r="AN25" s="41">
        <f t="shared" si="20"/>
        <v>0</v>
      </c>
      <c r="AO25" s="41">
        <f t="shared" si="20"/>
        <v>0</v>
      </c>
      <c r="AP25" s="41">
        <f t="shared" si="20"/>
        <v>0</v>
      </c>
      <c r="AR25" s="26">
        <f>SUM(AL25:AP25)</f>
        <v>0</v>
      </c>
      <c r="AS25" s="83"/>
      <c r="AT25" s="108"/>
      <c r="AV25" s="34"/>
      <c r="AW25" s="34"/>
      <c r="AX25" s="34"/>
      <c r="AY25" s="34"/>
      <c r="BB25" s="41">
        <f t="shared" si="21"/>
        <v>0</v>
      </c>
      <c r="BC25" s="41">
        <f t="shared" si="21"/>
        <v>0</v>
      </c>
      <c r="BD25" s="41">
        <f t="shared" si="21"/>
        <v>0</v>
      </c>
      <c r="BE25" s="41">
        <f t="shared" si="21"/>
        <v>0</v>
      </c>
      <c r="BG25" s="26">
        <f>SUM(BA25:BE25)</f>
        <v>0</v>
      </c>
      <c r="BI25" s="83"/>
      <c r="BK25" s="46"/>
      <c r="BL25" s="12">
        <f t="shared" si="22"/>
        <v>0.83333333333333337</v>
      </c>
      <c r="BM25" s="13">
        <f t="shared" si="5"/>
        <v>0</v>
      </c>
      <c r="BN25" s="102">
        <v>9</v>
      </c>
      <c r="BO25" s="52" t="s">
        <v>11</v>
      </c>
      <c r="BP25" s="58">
        <f t="shared" si="23"/>
        <v>1.75</v>
      </c>
      <c r="BQ25" s="59">
        <v>50</v>
      </c>
    </row>
    <row r="26" spans="1:69" ht="24" hidden="1" customHeight="1" outlineLevel="1" x14ac:dyDescent="0.15">
      <c r="A26" s="106" t="s">
        <v>91</v>
      </c>
      <c r="B26" s="107" t="s">
        <v>72</v>
      </c>
      <c r="C26" s="95"/>
      <c r="E26" s="34"/>
      <c r="F26" s="34"/>
      <c r="G26" s="34"/>
      <c r="H26" s="34"/>
      <c r="K26" s="41"/>
      <c r="L26" s="41"/>
      <c r="M26" s="41"/>
      <c r="N26" s="41"/>
      <c r="P26" s="26"/>
      <c r="Q26" s="83">
        <f t="shared" si="9"/>
        <v>0</v>
      </c>
      <c r="S26" s="34"/>
      <c r="T26" s="34"/>
      <c r="U26" s="34"/>
      <c r="V26" s="34"/>
      <c r="Y26" s="41"/>
      <c r="Z26" s="41"/>
      <c r="AA26" s="41"/>
      <c r="AB26" s="41"/>
      <c r="AD26" s="26"/>
      <c r="AE26" s="83"/>
      <c r="AG26" s="34"/>
      <c r="AH26" s="34"/>
      <c r="AI26" s="34"/>
      <c r="AJ26" s="34"/>
      <c r="AM26" s="41"/>
      <c r="AN26" s="41"/>
      <c r="AO26" s="41"/>
      <c r="AP26" s="41"/>
      <c r="AR26" s="26"/>
      <c r="AS26" s="83"/>
      <c r="AT26" s="108"/>
      <c r="AV26" s="34"/>
      <c r="AW26" s="34"/>
      <c r="AX26" s="34"/>
      <c r="AY26" s="34"/>
      <c r="BB26" s="41"/>
      <c r="BC26" s="41"/>
      <c r="BD26" s="41"/>
      <c r="BE26" s="41"/>
      <c r="BG26" s="26"/>
      <c r="BI26" s="83"/>
      <c r="BK26" s="46"/>
      <c r="BL26" s="12">
        <f t="shared" si="22"/>
        <v>0.83333333333333337</v>
      </c>
      <c r="BM26" s="13">
        <f t="shared" si="5"/>
        <v>0</v>
      </c>
      <c r="BN26" s="102">
        <v>9</v>
      </c>
      <c r="BO26" s="52" t="s">
        <v>11</v>
      </c>
      <c r="BP26" s="58">
        <f t="shared" si="23"/>
        <v>1.75</v>
      </c>
      <c r="BQ26" s="59">
        <v>51</v>
      </c>
    </row>
    <row r="27" spans="1:69" ht="24" hidden="1" customHeight="1" collapsed="1" x14ac:dyDescent="0.15">
      <c r="A27" s="103">
        <v>6</v>
      </c>
      <c r="B27" s="112" t="s">
        <v>35</v>
      </c>
      <c r="C27" s="95">
        <f>ROUND(+BM27*BQ27*BP27*BN27,-4)</f>
        <v>120000</v>
      </c>
      <c r="E27" s="34"/>
      <c r="F27" s="34"/>
      <c r="G27" s="34"/>
      <c r="H27" s="34"/>
      <c r="K27" s="41">
        <f>ROUND((E27*$BM27)*$BN27*$BP27*$BQ27,-4)</f>
        <v>0</v>
      </c>
      <c r="L27" s="41">
        <f>ROUND((F27*$BM27)*$BN27*$BP27*$BQ27,-4)</f>
        <v>0</v>
      </c>
      <c r="M27" s="41">
        <f>ROUND((G27*$BM27)*$BN27*$BP27*$BQ27,-4)</f>
        <v>0</v>
      </c>
      <c r="N27" s="41">
        <f>ROUND((H27*$BM27)*$BN27*$BP27*$BQ27,-4)</f>
        <v>0</v>
      </c>
      <c r="P27" s="26">
        <f>SUM(K27:N27)</f>
        <v>0</v>
      </c>
      <c r="Q27" s="83">
        <f t="shared" si="9"/>
        <v>120000</v>
      </c>
      <c r="S27" s="34"/>
      <c r="T27" s="34"/>
      <c r="U27" s="34"/>
      <c r="V27" s="34"/>
      <c r="Y27" s="41">
        <f t="shared" ref="Y27:AB28" si="24">ROUND((S27*$BM27)*$BN27*$BP27*$BQ27,-4)</f>
        <v>0</v>
      </c>
      <c r="Z27" s="41">
        <f t="shared" si="24"/>
        <v>0</v>
      </c>
      <c r="AA27" s="41">
        <f t="shared" si="24"/>
        <v>0</v>
      </c>
      <c r="AB27" s="41">
        <f t="shared" si="24"/>
        <v>0</v>
      </c>
      <c r="AD27" s="26">
        <f>SUM(X27:AB27)</f>
        <v>0</v>
      </c>
      <c r="AE27" s="84">
        <f>+Q27+AD27</f>
        <v>120000</v>
      </c>
      <c r="AG27" s="34"/>
      <c r="AH27" s="34"/>
      <c r="AI27" s="34"/>
      <c r="AJ27" s="34"/>
      <c r="AM27" s="41">
        <f t="shared" ref="AM27:AP28" si="25">ROUND((AG27*$BM27)*$BN27*$BP27*$BQ27,-4)</f>
        <v>0</v>
      </c>
      <c r="AN27" s="41">
        <f t="shared" si="25"/>
        <v>0</v>
      </c>
      <c r="AO27" s="41">
        <f t="shared" si="25"/>
        <v>0</v>
      </c>
      <c r="AP27" s="41">
        <f t="shared" si="25"/>
        <v>0</v>
      </c>
      <c r="AR27" s="26">
        <f>SUM(AL27:AP27)</f>
        <v>0</v>
      </c>
      <c r="AS27" s="84">
        <f>+AE27+AR27</f>
        <v>120000</v>
      </c>
      <c r="AT27" s="108"/>
      <c r="AV27" s="34"/>
      <c r="AW27" s="34"/>
      <c r="AX27" s="34"/>
      <c r="AY27" s="34"/>
      <c r="BB27" s="41">
        <f t="shared" ref="BB27:BE28" si="26">ROUND((AV27*$BM27)*$BN27*$BP27*$BQ27,-4)</f>
        <v>0</v>
      </c>
      <c r="BC27" s="41">
        <f t="shared" si="26"/>
        <v>0</v>
      </c>
      <c r="BD27" s="41">
        <f t="shared" si="26"/>
        <v>0</v>
      </c>
      <c r="BE27" s="41">
        <f t="shared" si="26"/>
        <v>0</v>
      </c>
      <c r="BG27" s="26">
        <f>SUM(BA27:BE27)</f>
        <v>0</v>
      </c>
      <c r="BI27" s="84">
        <f>+AS27+BG27</f>
        <v>120000</v>
      </c>
      <c r="BK27" s="46">
        <v>234</v>
      </c>
      <c r="BL27" s="12">
        <f>50/60</f>
        <v>0.83333333333333337</v>
      </c>
      <c r="BM27" s="13">
        <f t="shared" si="5"/>
        <v>195</v>
      </c>
      <c r="BN27" s="102">
        <v>9</v>
      </c>
      <c r="BO27" s="52" t="s">
        <v>92</v>
      </c>
      <c r="BP27" s="58">
        <f>+BP9/2</f>
        <v>1.45</v>
      </c>
      <c r="BQ27" s="59">
        <v>46</v>
      </c>
    </row>
    <row r="28" spans="1:69" ht="24" hidden="1" customHeight="1" outlineLevel="1" x14ac:dyDescent="0.15">
      <c r="A28" s="106" t="s">
        <v>87</v>
      </c>
      <c r="B28" s="107" t="s">
        <v>45</v>
      </c>
      <c r="C28" s="95"/>
      <c r="E28" s="34"/>
      <c r="F28" s="34"/>
      <c r="G28" s="34"/>
      <c r="H28" s="34"/>
      <c r="K28" s="41"/>
      <c r="L28" s="41"/>
      <c r="M28" s="41"/>
      <c r="N28" s="41"/>
      <c r="P28" s="26">
        <f>SUM(K28:N28)</f>
        <v>0</v>
      </c>
      <c r="Q28" s="83">
        <f t="shared" si="9"/>
        <v>0</v>
      </c>
      <c r="S28" s="34"/>
      <c r="T28" s="34"/>
      <c r="U28" s="34"/>
      <c r="V28" s="34"/>
      <c r="Y28" s="41">
        <f t="shared" si="24"/>
        <v>0</v>
      </c>
      <c r="Z28" s="41">
        <f t="shared" si="24"/>
        <v>0</v>
      </c>
      <c r="AA28" s="41">
        <f t="shared" si="24"/>
        <v>0</v>
      </c>
      <c r="AB28" s="41">
        <f t="shared" si="24"/>
        <v>0</v>
      </c>
      <c r="AD28" s="26">
        <f>SUM(X28:AB28)</f>
        <v>0</v>
      </c>
      <c r="AE28" s="83"/>
      <c r="AG28" s="34"/>
      <c r="AH28" s="34"/>
      <c r="AI28" s="34"/>
      <c r="AJ28" s="34"/>
      <c r="AM28" s="41">
        <f t="shared" si="25"/>
        <v>0</v>
      </c>
      <c r="AN28" s="41">
        <f t="shared" si="25"/>
        <v>0</v>
      </c>
      <c r="AO28" s="41">
        <f t="shared" si="25"/>
        <v>0</v>
      </c>
      <c r="AP28" s="41">
        <f t="shared" si="25"/>
        <v>0</v>
      </c>
      <c r="AR28" s="26">
        <f>SUM(AL28:AP28)</f>
        <v>0</v>
      </c>
      <c r="AS28" s="83"/>
      <c r="AT28" s="108"/>
      <c r="AV28" s="34"/>
      <c r="AW28" s="34"/>
      <c r="AX28" s="34"/>
      <c r="AY28" s="34"/>
      <c r="BB28" s="41">
        <f t="shared" si="26"/>
        <v>0</v>
      </c>
      <c r="BC28" s="41">
        <f t="shared" si="26"/>
        <v>0</v>
      </c>
      <c r="BD28" s="41">
        <f t="shared" si="26"/>
        <v>0</v>
      </c>
      <c r="BE28" s="41">
        <f t="shared" si="26"/>
        <v>0</v>
      </c>
      <c r="BG28" s="26">
        <f>SUM(BA28:BE28)</f>
        <v>0</v>
      </c>
      <c r="BI28" s="83"/>
      <c r="BK28" s="46"/>
      <c r="BL28" s="12">
        <f t="shared" ref="BL28:BL32" si="27">50/60</f>
        <v>0.83333333333333337</v>
      </c>
      <c r="BM28" s="13">
        <f t="shared" ref="BM28:BM38" si="28">+BL28*BK28</f>
        <v>0</v>
      </c>
      <c r="BN28" s="102">
        <v>9</v>
      </c>
      <c r="BO28" s="52"/>
      <c r="BP28" s="58">
        <f t="shared" ref="BP28:BP32" si="29">+BP10/2</f>
        <v>1.45</v>
      </c>
      <c r="BQ28" s="59">
        <v>47</v>
      </c>
    </row>
    <row r="29" spans="1:69" ht="24" hidden="1" customHeight="1" outlineLevel="1" x14ac:dyDescent="0.15">
      <c r="A29" s="106" t="s">
        <v>88</v>
      </c>
      <c r="B29" s="107" t="s">
        <v>55</v>
      </c>
      <c r="C29" s="95"/>
      <c r="E29" s="34"/>
      <c r="F29" s="34"/>
      <c r="G29" s="34"/>
      <c r="H29" s="34"/>
      <c r="K29" s="41"/>
      <c r="L29" s="41"/>
      <c r="M29" s="41"/>
      <c r="N29" s="41"/>
      <c r="P29" s="26"/>
      <c r="Q29" s="83">
        <f t="shared" si="9"/>
        <v>0</v>
      </c>
      <c r="S29" s="34"/>
      <c r="T29" s="34"/>
      <c r="U29" s="34"/>
      <c r="V29" s="34"/>
      <c r="Y29" s="41"/>
      <c r="Z29" s="41"/>
      <c r="AA29" s="41"/>
      <c r="AB29" s="41"/>
      <c r="AD29" s="26"/>
      <c r="AE29" s="83"/>
      <c r="AG29" s="34"/>
      <c r="AH29" s="34"/>
      <c r="AI29" s="34"/>
      <c r="AJ29" s="34"/>
      <c r="AM29" s="41"/>
      <c r="AN29" s="41"/>
      <c r="AO29" s="41"/>
      <c r="AP29" s="41"/>
      <c r="AR29" s="26"/>
      <c r="AS29" s="83"/>
      <c r="AT29" s="108"/>
      <c r="AV29" s="34"/>
      <c r="AW29" s="34"/>
      <c r="AX29" s="34"/>
      <c r="AY29" s="34"/>
      <c r="BB29" s="41"/>
      <c r="BC29" s="41"/>
      <c r="BD29" s="41"/>
      <c r="BE29" s="41"/>
      <c r="BG29" s="26"/>
      <c r="BI29" s="83"/>
      <c r="BK29" s="46"/>
      <c r="BL29" s="12">
        <f t="shared" si="27"/>
        <v>0.83333333333333337</v>
      </c>
      <c r="BM29" s="13">
        <f t="shared" si="28"/>
        <v>0</v>
      </c>
      <c r="BN29" s="102">
        <v>9</v>
      </c>
      <c r="BO29" s="52"/>
      <c r="BP29" s="58">
        <f t="shared" si="29"/>
        <v>1.45</v>
      </c>
      <c r="BQ29" s="59">
        <v>48</v>
      </c>
    </row>
    <row r="30" spans="1:69" ht="24" hidden="1" customHeight="1" outlineLevel="1" x14ac:dyDescent="0.15">
      <c r="A30" s="106" t="s">
        <v>89</v>
      </c>
      <c r="B30" s="107" t="s">
        <v>58</v>
      </c>
      <c r="C30" s="95"/>
      <c r="E30" s="34"/>
      <c r="F30" s="34"/>
      <c r="G30" s="34"/>
      <c r="H30" s="34"/>
      <c r="K30" s="41"/>
      <c r="L30" s="41"/>
      <c r="M30" s="41"/>
      <c r="N30" s="41"/>
      <c r="P30" s="26">
        <f>SUM(K30:N30)</f>
        <v>0</v>
      </c>
      <c r="Q30" s="83">
        <f t="shared" si="9"/>
        <v>0</v>
      </c>
      <c r="S30" s="34"/>
      <c r="T30" s="34"/>
      <c r="U30" s="34"/>
      <c r="V30" s="34"/>
      <c r="Y30" s="41">
        <f t="shared" ref="Y30:AB33" si="30">ROUND((S30*$BM30)*$BN30*$BP30*$BQ30,-4)</f>
        <v>0</v>
      </c>
      <c r="Z30" s="41">
        <f t="shared" si="30"/>
        <v>0</v>
      </c>
      <c r="AA30" s="41">
        <f t="shared" si="30"/>
        <v>0</v>
      </c>
      <c r="AB30" s="41">
        <f t="shared" si="30"/>
        <v>0</v>
      </c>
      <c r="AD30" s="26">
        <f>SUM(X30:AB30)</f>
        <v>0</v>
      </c>
      <c r="AE30" s="83"/>
      <c r="AG30" s="34"/>
      <c r="AH30" s="34"/>
      <c r="AI30" s="34"/>
      <c r="AJ30" s="34"/>
      <c r="AM30" s="41">
        <f t="shared" ref="AM30:AP33" si="31">ROUND((AG30*$BM30)*$BN30*$BP30*$BQ30,-4)</f>
        <v>0</v>
      </c>
      <c r="AN30" s="41">
        <f t="shared" si="31"/>
        <v>0</v>
      </c>
      <c r="AO30" s="41">
        <f t="shared" si="31"/>
        <v>0</v>
      </c>
      <c r="AP30" s="41">
        <f t="shared" si="31"/>
        <v>0</v>
      </c>
      <c r="AR30" s="26">
        <f>SUM(AL30:AP30)</f>
        <v>0</v>
      </c>
      <c r="AS30" s="83"/>
      <c r="AT30" s="108"/>
      <c r="AV30" s="34"/>
      <c r="AW30" s="34"/>
      <c r="AX30" s="34"/>
      <c r="AY30" s="34"/>
      <c r="BB30" s="41">
        <f t="shared" ref="BB30:BE33" si="32">ROUND((AV30*$BM30)*$BN30*$BP30*$BQ30,-4)</f>
        <v>0</v>
      </c>
      <c r="BC30" s="41">
        <f t="shared" si="32"/>
        <v>0</v>
      </c>
      <c r="BD30" s="41">
        <f t="shared" si="32"/>
        <v>0</v>
      </c>
      <c r="BE30" s="41">
        <f t="shared" si="32"/>
        <v>0</v>
      </c>
      <c r="BG30" s="26">
        <f>SUM(BA30:BE30)</f>
        <v>0</v>
      </c>
      <c r="BI30" s="83"/>
      <c r="BK30" s="46"/>
      <c r="BL30" s="12">
        <f t="shared" si="27"/>
        <v>0.83333333333333337</v>
      </c>
      <c r="BM30" s="13">
        <f t="shared" si="28"/>
        <v>0</v>
      </c>
      <c r="BN30" s="102">
        <v>9</v>
      </c>
      <c r="BO30" s="52"/>
      <c r="BP30" s="58">
        <f t="shared" si="29"/>
        <v>1.45</v>
      </c>
      <c r="BQ30" s="59">
        <v>49</v>
      </c>
    </row>
    <row r="31" spans="1:69" ht="24" hidden="1" customHeight="1" outlineLevel="1" x14ac:dyDescent="0.15">
      <c r="A31" s="106" t="s">
        <v>90</v>
      </c>
      <c r="B31" s="107" t="s">
        <v>65</v>
      </c>
      <c r="C31" s="95"/>
      <c r="E31" s="34"/>
      <c r="F31" s="34"/>
      <c r="G31" s="34"/>
      <c r="H31" s="34"/>
      <c r="K31" s="41"/>
      <c r="L31" s="41"/>
      <c r="M31" s="41"/>
      <c r="N31" s="41"/>
      <c r="P31" s="26">
        <f>SUM(K31:N31)</f>
        <v>0</v>
      </c>
      <c r="Q31" s="83">
        <f t="shared" si="9"/>
        <v>0</v>
      </c>
      <c r="S31" s="34"/>
      <c r="T31" s="34"/>
      <c r="U31" s="34"/>
      <c r="V31" s="34"/>
      <c r="Y31" s="41">
        <f t="shared" si="30"/>
        <v>0</v>
      </c>
      <c r="Z31" s="41">
        <f t="shared" si="30"/>
        <v>0</v>
      </c>
      <c r="AA31" s="41">
        <f t="shared" si="30"/>
        <v>0</v>
      </c>
      <c r="AB31" s="41">
        <f t="shared" si="30"/>
        <v>0</v>
      </c>
      <c r="AD31" s="26">
        <f>SUM(X31:AB31)</f>
        <v>0</v>
      </c>
      <c r="AE31" s="83"/>
      <c r="AG31" s="34"/>
      <c r="AH31" s="34"/>
      <c r="AI31" s="34"/>
      <c r="AJ31" s="34"/>
      <c r="AM31" s="41">
        <f t="shared" si="31"/>
        <v>0</v>
      </c>
      <c r="AN31" s="41">
        <f t="shared" si="31"/>
        <v>0</v>
      </c>
      <c r="AO31" s="41">
        <f t="shared" si="31"/>
        <v>0</v>
      </c>
      <c r="AP31" s="41">
        <f t="shared" si="31"/>
        <v>0</v>
      </c>
      <c r="AR31" s="26">
        <f>SUM(AL31:AP31)</f>
        <v>0</v>
      </c>
      <c r="AS31" s="83"/>
      <c r="AT31" s="108"/>
      <c r="AV31" s="34"/>
      <c r="AW31" s="34"/>
      <c r="AX31" s="34"/>
      <c r="AY31" s="34"/>
      <c r="BB31" s="41">
        <f t="shared" si="32"/>
        <v>0</v>
      </c>
      <c r="BC31" s="41">
        <f t="shared" si="32"/>
        <v>0</v>
      </c>
      <c r="BD31" s="41">
        <f t="shared" si="32"/>
        <v>0</v>
      </c>
      <c r="BE31" s="41">
        <f t="shared" si="32"/>
        <v>0</v>
      </c>
      <c r="BG31" s="26">
        <f>SUM(BA31:BE31)</f>
        <v>0</v>
      </c>
      <c r="BI31" s="83"/>
      <c r="BK31" s="46"/>
      <c r="BL31" s="12">
        <f t="shared" si="27"/>
        <v>0.83333333333333337</v>
      </c>
      <c r="BM31" s="13">
        <f t="shared" si="28"/>
        <v>0</v>
      </c>
      <c r="BN31" s="102">
        <v>9</v>
      </c>
      <c r="BO31" s="52"/>
      <c r="BP31" s="58">
        <f t="shared" si="29"/>
        <v>1.45</v>
      </c>
      <c r="BQ31" s="59">
        <v>50</v>
      </c>
    </row>
    <row r="32" spans="1:69" ht="24" hidden="1" customHeight="1" outlineLevel="1" x14ac:dyDescent="0.15">
      <c r="A32" s="106" t="s">
        <v>91</v>
      </c>
      <c r="B32" s="107" t="s">
        <v>72</v>
      </c>
      <c r="C32" s="95"/>
      <c r="E32" s="34"/>
      <c r="F32" s="34"/>
      <c r="G32" s="34"/>
      <c r="H32" s="34"/>
      <c r="K32" s="41"/>
      <c r="L32" s="41"/>
      <c r="M32" s="41"/>
      <c r="N32" s="41"/>
      <c r="P32" s="26">
        <f>SUM(K32:N32)</f>
        <v>0</v>
      </c>
      <c r="Q32" s="83">
        <f t="shared" si="9"/>
        <v>0</v>
      </c>
      <c r="S32" s="34"/>
      <c r="T32" s="34"/>
      <c r="U32" s="34"/>
      <c r="V32" s="34"/>
      <c r="Y32" s="41">
        <f t="shared" si="30"/>
        <v>0</v>
      </c>
      <c r="Z32" s="41">
        <f t="shared" si="30"/>
        <v>0</v>
      </c>
      <c r="AA32" s="41">
        <f t="shared" si="30"/>
        <v>0</v>
      </c>
      <c r="AB32" s="41">
        <f t="shared" si="30"/>
        <v>0</v>
      </c>
      <c r="AD32" s="26">
        <f>SUM(X32:AB32)</f>
        <v>0</v>
      </c>
      <c r="AE32" s="83"/>
      <c r="AG32" s="34"/>
      <c r="AH32" s="34"/>
      <c r="AI32" s="34"/>
      <c r="AJ32" s="34"/>
      <c r="AM32" s="41">
        <f t="shared" si="31"/>
        <v>0</v>
      </c>
      <c r="AN32" s="41">
        <f t="shared" si="31"/>
        <v>0</v>
      </c>
      <c r="AO32" s="41">
        <f t="shared" si="31"/>
        <v>0</v>
      </c>
      <c r="AP32" s="41">
        <f t="shared" si="31"/>
        <v>0</v>
      </c>
      <c r="AR32" s="26">
        <f>SUM(AL32:AP32)</f>
        <v>0</v>
      </c>
      <c r="AS32" s="83"/>
      <c r="AT32" s="108"/>
      <c r="AV32" s="34"/>
      <c r="AW32" s="34"/>
      <c r="AX32" s="34"/>
      <c r="AY32" s="34"/>
      <c r="BB32" s="41">
        <f t="shared" si="32"/>
        <v>0</v>
      </c>
      <c r="BC32" s="41">
        <f t="shared" si="32"/>
        <v>0</v>
      </c>
      <c r="BD32" s="41">
        <f t="shared" si="32"/>
        <v>0</v>
      </c>
      <c r="BE32" s="41">
        <f t="shared" si="32"/>
        <v>0</v>
      </c>
      <c r="BG32" s="26">
        <f>SUM(BA32:BE32)</f>
        <v>0</v>
      </c>
      <c r="BI32" s="83"/>
      <c r="BK32" s="46"/>
      <c r="BL32" s="12">
        <f t="shared" si="27"/>
        <v>0.83333333333333337</v>
      </c>
      <c r="BM32" s="13">
        <f t="shared" si="28"/>
        <v>0</v>
      </c>
      <c r="BN32" s="102">
        <v>9</v>
      </c>
      <c r="BO32" s="52"/>
      <c r="BP32" s="58">
        <f t="shared" si="29"/>
        <v>1.45</v>
      </c>
      <c r="BQ32" s="59">
        <v>51</v>
      </c>
    </row>
    <row r="33" spans="1:69" ht="24" hidden="1" customHeight="1" collapsed="1" x14ac:dyDescent="0.15">
      <c r="A33" s="103">
        <v>7</v>
      </c>
      <c r="B33" s="112" t="s">
        <v>93</v>
      </c>
      <c r="C33" s="95">
        <f>ROUND(+BM33*BQ33*BP33*BN33,-4)</f>
        <v>10000</v>
      </c>
      <c r="E33" s="34"/>
      <c r="F33" s="34"/>
      <c r="G33" s="34"/>
      <c r="H33" s="34"/>
      <c r="K33" s="41">
        <f>ROUND((E33*$BM33)*$BN33*$BP33*$BQ33,-4)</f>
        <v>0</v>
      </c>
      <c r="L33" s="41">
        <f>ROUND((F33*$BM33)*$BN33*$BP33*$BQ33,-4)</f>
        <v>0</v>
      </c>
      <c r="M33" s="41">
        <f>ROUND((G33*$BM33)*$BN33*$BP33*$BQ33,-4)</f>
        <v>0</v>
      </c>
      <c r="N33" s="41">
        <f>ROUND((H33*$BM33)*$BN33*$BP33*$BQ33,-4)</f>
        <v>0</v>
      </c>
      <c r="P33" s="26">
        <f>SUM(K33:N33)</f>
        <v>0</v>
      </c>
      <c r="Q33" s="83">
        <f t="shared" si="9"/>
        <v>10000</v>
      </c>
      <c r="S33" s="34"/>
      <c r="T33" s="34"/>
      <c r="U33" s="34"/>
      <c r="V33" s="34"/>
      <c r="Y33" s="41">
        <f t="shared" si="30"/>
        <v>0</v>
      </c>
      <c r="Z33" s="41">
        <f t="shared" si="30"/>
        <v>0</v>
      </c>
      <c r="AA33" s="41">
        <f t="shared" si="30"/>
        <v>0</v>
      </c>
      <c r="AB33" s="41">
        <f t="shared" si="30"/>
        <v>0</v>
      </c>
      <c r="AD33" s="26">
        <f>SUM(X33:AB33)</f>
        <v>0</v>
      </c>
      <c r="AE33" s="84">
        <f>+Q33+AD33</f>
        <v>10000</v>
      </c>
      <c r="AG33" s="34"/>
      <c r="AH33" s="34"/>
      <c r="AI33" s="34"/>
      <c r="AJ33" s="34"/>
      <c r="AM33" s="41">
        <f t="shared" si="31"/>
        <v>0</v>
      </c>
      <c r="AN33" s="41">
        <f t="shared" si="31"/>
        <v>0</v>
      </c>
      <c r="AO33" s="41">
        <f t="shared" si="31"/>
        <v>0</v>
      </c>
      <c r="AP33" s="41">
        <f t="shared" si="31"/>
        <v>0</v>
      </c>
      <c r="AR33" s="26">
        <f>SUM(AL33:AP33)</f>
        <v>0</v>
      </c>
      <c r="AS33" s="84">
        <f>+AE33+AR33</f>
        <v>10000</v>
      </c>
      <c r="AT33" s="108"/>
      <c r="AV33" s="34"/>
      <c r="AW33" s="34"/>
      <c r="AX33" s="34"/>
      <c r="AY33" s="34"/>
      <c r="BB33" s="41">
        <f t="shared" si="32"/>
        <v>0</v>
      </c>
      <c r="BC33" s="41">
        <f t="shared" si="32"/>
        <v>0</v>
      </c>
      <c r="BD33" s="41">
        <f t="shared" si="32"/>
        <v>0</v>
      </c>
      <c r="BE33" s="41">
        <f t="shared" si="32"/>
        <v>0</v>
      </c>
      <c r="BG33" s="26">
        <f>SUM(BA33:BE33)</f>
        <v>0</v>
      </c>
      <c r="BI33" s="84">
        <f>+AS33+BG33</f>
        <v>10000</v>
      </c>
      <c r="BK33" s="46">
        <v>26.4</v>
      </c>
      <c r="BL33" s="12">
        <f>50/60</f>
        <v>0.83333333333333337</v>
      </c>
      <c r="BM33" s="13">
        <f>+BL33*BK33</f>
        <v>22</v>
      </c>
      <c r="BN33" s="102">
        <v>9</v>
      </c>
      <c r="BO33" s="52" t="s">
        <v>92</v>
      </c>
      <c r="BP33" s="58">
        <f>+BP15/2</f>
        <v>1.55</v>
      </c>
      <c r="BQ33" s="59">
        <v>46</v>
      </c>
    </row>
    <row r="34" spans="1:69" ht="24" hidden="1" customHeight="1" outlineLevel="1" x14ac:dyDescent="0.15">
      <c r="A34" s="106" t="s">
        <v>87</v>
      </c>
      <c r="B34" s="107" t="s">
        <v>45</v>
      </c>
      <c r="C34" s="95"/>
      <c r="E34" s="34"/>
      <c r="F34" s="34"/>
      <c r="G34" s="34"/>
      <c r="H34" s="34"/>
      <c r="K34" s="41"/>
      <c r="L34" s="41"/>
      <c r="M34" s="41"/>
      <c r="N34" s="41"/>
      <c r="P34" s="26"/>
      <c r="Q34" s="83">
        <f t="shared" si="9"/>
        <v>0</v>
      </c>
      <c r="S34" s="34"/>
      <c r="T34" s="34"/>
      <c r="U34" s="34"/>
      <c r="V34" s="34"/>
      <c r="Y34" s="41"/>
      <c r="Z34" s="41"/>
      <c r="AA34" s="41"/>
      <c r="AB34" s="41"/>
      <c r="AD34" s="26"/>
      <c r="AE34" s="84"/>
      <c r="AG34" s="34"/>
      <c r="AH34" s="34"/>
      <c r="AI34" s="34"/>
      <c r="AJ34" s="34"/>
      <c r="AM34" s="41"/>
      <c r="AN34" s="41"/>
      <c r="AO34" s="41"/>
      <c r="AP34" s="41"/>
      <c r="AR34" s="26"/>
      <c r="AS34" s="84"/>
      <c r="AT34" s="108"/>
      <c r="AV34" s="34"/>
      <c r="AW34" s="34"/>
      <c r="AX34" s="34"/>
      <c r="AY34" s="34"/>
      <c r="BB34" s="41"/>
      <c r="BC34" s="41"/>
      <c r="BD34" s="41"/>
      <c r="BE34" s="41"/>
      <c r="BG34" s="26"/>
      <c r="BI34" s="84"/>
      <c r="BK34" s="46"/>
      <c r="BL34" s="12">
        <f t="shared" ref="BL34:BL38" si="33">50/60</f>
        <v>0.83333333333333337</v>
      </c>
      <c r="BM34" s="13">
        <f t="shared" si="28"/>
        <v>0</v>
      </c>
      <c r="BN34" s="102">
        <v>9</v>
      </c>
      <c r="BO34" s="52"/>
      <c r="BP34" s="58">
        <f t="shared" ref="BP34:BP38" si="34">+BP16/2</f>
        <v>1.55</v>
      </c>
      <c r="BQ34" s="59">
        <v>47</v>
      </c>
    </row>
    <row r="35" spans="1:69" ht="24" hidden="1" customHeight="1" outlineLevel="1" x14ac:dyDescent="0.15">
      <c r="A35" s="106" t="s">
        <v>88</v>
      </c>
      <c r="B35" s="107" t="s">
        <v>55</v>
      </c>
      <c r="C35" s="95"/>
      <c r="E35" s="34"/>
      <c r="F35" s="34"/>
      <c r="G35" s="34"/>
      <c r="H35" s="34"/>
      <c r="K35" s="41"/>
      <c r="L35" s="41"/>
      <c r="M35" s="41"/>
      <c r="N35" s="41"/>
      <c r="P35" s="26"/>
      <c r="Q35" s="83">
        <f t="shared" si="9"/>
        <v>0</v>
      </c>
      <c r="S35" s="34"/>
      <c r="T35" s="34"/>
      <c r="U35" s="34"/>
      <c r="V35" s="34"/>
      <c r="Y35" s="41"/>
      <c r="Z35" s="41"/>
      <c r="AA35" s="41"/>
      <c r="AB35" s="41"/>
      <c r="AD35" s="26"/>
      <c r="AE35" s="84"/>
      <c r="AG35" s="34"/>
      <c r="AH35" s="34"/>
      <c r="AI35" s="34"/>
      <c r="AJ35" s="34"/>
      <c r="AM35" s="41"/>
      <c r="AN35" s="41"/>
      <c r="AO35" s="41"/>
      <c r="AP35" s="41"/>
      <c r="AR35" s="26"/>
      <c r="AS35" s="84"/>
      <c r="AT35" s="108"/>
      <c r="AV35" s="34"/>
      <c r="AW35" s="34"/>
      <c r="AX35" s="34"/>
      <c r="AY35" s="34"/>
      <c r="BB35" s="41"/>
      <c r="BC35" s="41"/>
      <c r="BD35" s="41"/>
      <c r="BE35" s="41"/>
      <c r="BG35" s="26"/>
      <c r="BI35" s="84"/>
      <c r="BK35" s="46"/>
      <c r="BL35" s="12">
        <f t="shared" si="33"/>
        <v>0.83333333333333337</v>
      </c>
      <c r="BM35" s="13">
        <f t="shared" si="28"/>
        <v>0</v>
      </c>
      <c r="BN35" s="102">
        <v>9</v>
      </c>
      <c r="BO35" s="52"/>
      <c r="BP35" s="58">
        <f t="shared" si="34"/>
        <v>1.55</v>
      </c>
      <c r="BQ35" s="59">
        <v>48</v>
      </c>
    </row>
    <row r="36" spans="1:69" ht="24" hidden="1" customHeight="1" outlineLevel="1" x14ac:dyDescent="0.15">
      <c r="A36" s="106" t="s">
        <v>89</v>
      </c>
      <c r="B36" s="107" t="s">
        <v>58</v>
      </c>
      <c r="C36" s="95"/>
      <c r="E36" s="34"/>
      <c r="F36" s="34"/>
      <c r="G36" s="34"/>
      <c r="H36" s="34"/>
      <c r="K36" s="41"/>
      <c r="L36" s="41"/>
      <c r="M36" s="41"/>
      <c r="N36" s="41"/>
      <c r="P36" s="26"/>
      <c r="Q36" s="83">
        <f t="shared" si="9"/>
        <v>0</v>
      </c>
      <c r="S36" s="34"/>
      <c r="T36" s="34"/>
      <c r="U36" s="34"/>
      <c r="V36" s="34"/>
      <c r="Y36" s="41"/>
      <c r="Z36" s="41"/>
      <c r="AA36" s="41"/>
      <c r="AB36" s="41"/>
      <c r="AD36" s="26"/>
      <c r="AE36" s="84"/>
      <c r="AG36" s="34"/>
      <c r="AH36" s="34"/>
      <c r="AI36" s="34"/>
      <c r="AJ36" s="34"/>
      <c r="AM36" s="41"/>
      <c r="AN36" s="41"/>
      <c r="AO36" s="41"/>
      <c r="AP36" s="41"/>
      <c r="AR36" s="26"/>
      <c r="AS36" s="84"/>
      <c r="AT36" s="108"/>
      <c r="AV36" s="34"/>
      <c r="AW36" s="34"/>
      <c r="AX36" s="34"/>
      <c r="AY36" s="34"/>
      <c r="BB36" s="41"/>
      <c r="BC36" s="41"/>
      <c r="BD36" s="41"/>
      <c r="BE36" s="41"/>
      <c r="BG36" s="26"/>
      <c r="BI36" s="84"/>
      <c r="BK36" s="46"/>
      <c r="BL36" s="12">
        <f t="shared" si="33"/>
        <v>0.83333333333333337</v>
      </c>
      <c r="BM36" s="13">
        <f t="shared" si="28"/>
        <v>0</v>
      </c>
      <c r="BN36" s="102">
        <v>9</v>
      </c>
      <c r="BO36" s="52"/>
      <c r="BP36" s="58">
        <f t="shared" si="34"/>
        <v>1.55</v>
      </c>
      <c r="BQ36" s="59">
        <v>49</v>
      </c>
    </row>
    <row r="37" spans="1:69" ht="24" hidden="1" customHeight="1" outlineLevel="1" x14ac:dyDescent="0.15">
      <c r="A37" s="106" t="s">
        <v>90</v>
      </c>
      <c r="B37" s="107" t="s">
        <v>65</v>
      </c>
      <c r="C37" s="95"/>
      <c r="E37" s="34"/>
      <c r="F37" s="34"/>
      <c r="G37" s="34"/>
      <c r="H37" s="34"/>
      <c r="K37" s="41"/>
      <c r="L37" s="41"/>
      <c r="M37" s="41"/>
      <c r="N37" s="41"/>
      <c r="P37" s="26"/>
      <c r="Q37" s="83">
        <f t="shared" si="9"/>
        <v>0</v>
      </c>
      <c r="S37" s="34"/>
      <c r="T37" s="34"/>
      <c r="U37" s="34"/>
      <c r="V37" s="34"/>
      <c r="Y37" s="41"/>
      <c r="Z37" s="41"/>
      <c r="AA37" s="41"/>
      <c r="AB37" s="41"/>
      <c r="AD37" s="26"/>
      <c r="AE37" s="84"/>
      <c r="AG37" s="34"/>
      <c r="AH37" s="34"/>
      <c r="AI37" s="34"/>
      <c r="AJ37" s="34"/>
      <c r="AM37" s="41"/>
      <c r="AN37" s="41"/>
      <c r="AO37" s="41"/>
      <c r="AP37" s="41"/>
      <c r="AR37" s="26"/>
      <c r="AS37" s="84"/>
      <c r="AT37" s="108"/>
      <c r="AV37" s="34"/>
      <c r="AW37" s="34"/>
      <c r="AX37" s="34"/>
      <c r="AY37" s="34"/>
      <c r="BB37" s="41"/>
      <c r="BC37" s="41"/>
      <c r="BD37" s="41"/>
      <c r="BE37" s="41"/>
      <c r="BG37" s="26"/>
      <c r="BI37" s="84"/>
      <c r="BK37" s="46"/>
      <c r="BL37" s="12">
        <f t="shared" si="33"/>
        <v>0.83333333333333337</v>
      </c>
      <c r="BM37" s="13">
        <f t="shared" si="28"/>
        <v>0</v>
      </c>
      <c r="BN37" s="102">
        <v>9</v>
      </c>
      <c r="BO37" s="52"/>
      <c r="BP37" s="58">
        <f t="shared" si="34"/>
        <v>1.55</v>
      </c>
      <c r="BQ37" s="59">
        <v>50</v>
      </c>
    </row>
    <row r="38" spans="1:69" ht="24" hidden="1" customHeight="1" outlineLevel="1" x14ac:dyDescent="0.15">
      <c r="A38" s="106" t="s">
        <v>91</v>
      </c>
      <c r="B38" s="107" t="s">
        <v>72</v>
      </c>
      <c r="C38" s="95"/>
      <c r="E38" s="34"/>
      <c r="F38" s="34"/>
      <c r="G38" s="34"/>
      <c r="H38" s="34"/>
      <c r="K38" s="41"/>
      <c r="L38" s="41"/>
      <c r="M38" s="41"/>
      <c r="N38" s="41"/>
      <c r="P38" s="26"/>
      <c r="Q38" s="83">
        <f t="shared" si="9"/>
        <v>0</v>
      </c>
      <c r="S38" s="34"/>
      <c r="T38" s="34"/>
      <c r="U38" s="34"/>
      <c r="V38" s="34"/>
      <c r="Y38" s="41"/>
      <c r="Z38" s="41"/>
      <c r="AA38" s="41"/>
      <c r="AB38" s="41"/>
      <c r="AD38" s="26"/>
      <c r="AE38" s="84"/>
      <c r="AG38" s="34"/>
      <c r="AH38" s="34"/>
      <c r="AI38" s="34"/>
      <c r="AJ38" s="34"/>
      <c r="AM38" s="41"/>
      <c r="AN38" s="41"/>
      <c r="AO38" s="41"/>
      <c r="AP38" s="41"/>
      <c r="AR38" s="26"/>
      <c r="AS38" s="84"/>
      <c r="AT38" s="108"/>
      <c r="AV38" s="34"/>
      <c r="AW38" s="34"/>
      <c r="AX38" s="34"/>
      <c r="AY38" s="34"/>
      <c r="BB38" s="41"/>
      <c r="BC38" s="41"/>
      <c r="BD38" s="41"/>
      <c r="BE38" s="41"/>
      <c r="BG38" s="26"/>
      <c r="BI38" s="84"/>
      <c r="BK38" s="46"/>
      <c r="BL38" s="12">
        <f t="shared" si="33"/>
        <v>0.83333333333333337</v>
      </c>
      <c r="BM38" s="13">
        <f t="shared" si="28"/>
        <v>0</v>
      </c>
      <c r="BN38" s="102">
        <v>9</v>
      </c>
      <c r="BO38" s="52"/>
      <c r="BP38" s="58">
        <f t="shared" si="34"/>
        <v>1.55</v>
      </c>
      <c r="BQ38" s="59">
        <v>51</v>
      </c>
    </row>
    <row r="39" spans="1:69" ht="24" hidden="1" customHeight="1" collapsed="1" x14ac:dyDescent="0.15">
      <c r="A39" s="103">
        <v>8</v>
      </c>
      <c r="B39" s="111" t="s">
        <v>37</v>
      </c>
      <c r="C39" s="95">
        <f>ROUND(+BM39*BQ39*BP39*BN39,-4)</f>
        <v>180000</v>
      </c>
      <c r="E39" s="34"/>
      <c r="F39" s="34"/>
      <c r="G39" s="34"/>
      <c r="H39" s="34"/>
      <c r="K39" s="41">
        <f>ROUND((E39*$BM39)*$BN39*$BP39*$BQ39,-4)</f>
        <v>0</v>
      </c>
      <c r="L39" s="41">
        <f>ROUND((F39*$BM39)*$BN39*$BP39*$BQ39,-4)</f>
        <v>0</v>
      </c>
      <c r="M39" s="41">
        <f>ROUND((G39*$BM39)*$BN39*$BP39*$BQ39,-4)</f>
        <v>0</v>
      </c>
      <c r="N39" s="41">
        <f>ROUND((H39*$BM39)*$BN39*$BP39*$BQ39,-4)</f>
        <v>0</v>
      </c>
      <c r="P39" s="26">
        <f>SUM(K39:N39)</f>
        <v>0</v>
      </c>
      <c r="Q39" s="83">
        <f t="shared" si="9"/>
        <v>180000</v>
      </c>
      <c r="S39" s="34"/>
      <c r="T39" s="34"/>
      <c r="U39" s="34"/>
      <c r="V39" s="34"/>
      <c r="Y39" s="41">
        <f>ROUND((S39*$BM39)*$BN39*$BP39*$BQ39,-4)</f>
        <v>0</v>
      </c>
      <c r="Z39" s="41">
        <f>ROUND((T39*$BM39)*$BN39*$BP39*$BQ39,-4)</f>
        <v>0</v>
      </c>
      <c r="AA39" s="41">
        <f>ROUND((U39*$BM39)*$BN39*$BP39*$BQ39,-4)</f>
        <v>0</v>
      </c>
      <c r="AB39" s="41">
        <f>ROUND((V39*$BM39)*$BN39*$BP39*$BQ39,-4)</f>
        <v>0</v>
      </c>
      <c r="AD39" s="26">
        <f>SUM(X39:AB39)</f>
        <v>0</v>
      </c>
      <c r="AE39" s="85">
        <f>+Q39+AD39</f>
        <v>180000</v>
      </c>
      <c r="AG39" s="34"/>
      <c r="AH39" s="34"/>
      <c r="AI39" s="34"/>
      <c r="AJ39" s="34"/>
      <c r="AM39" s="41">
        <f>ROUND((AG39*$BM39)*$BN39*$BP39*$BQ39,-4)</f>
        <v>0</v>
      </c>
      <c r="AN39" s="41">
        <f>ROUND((AH39*$BM39)*$BN39*$BP39*$BQ39,-4)</f>
        <v>0</v>
      </c>
      <c r="AO39" s="41">
        <f>ROUND((AI39*$BM39)*$BN39*$BP39*$BQ39,-4)</f>
        <v>0</v>
      </c>
      <c r="AP39" s="41">
        <f>ROUND((AJ39*$BM39)*$BN39*$BP39*$BQ39,-4)</f>
        <v>0</v>
      </c>
      <c r="AR39" s="26">
        <f>SUM(AL39:AP39)</f>
        <v>0</v>
      </c>
      <c r="AS39" s="85">
        <f>+AE39+AR39</f>
        <v>180000</v>
      </c>
      <c r="AT39" s="108"/>
      <c r="AV39" s="34"/>
      <c r="AW39" s="34"/>
      <c r="AX39" s="34"/>
      <c r="AY39" s="34"/>
      <c r="BB39" s="41">
        <f>ROUND((AV39*$BM39)*$BN39*$BP39*$BQ39,-4)</f>
        <v>0</v>
      </c>
      <c r="BC39" s="41">
        <f>ROUND((AW39*$BM39)*$BN39*$BP39*$BQ39,-4)</f>
        <v>0</v>
      </c>
      <c r="BD39" s="41">
        <f>ROUND((AX39*$BM39)*$BN39*$BP39*$BQ39,-4)</f>
        <v>0</v>
      </c>
      <c r="BE39" s="41">
        <f>ROUND((AY39*$BM39)*$BN39*$BP39*$BQ39,-4)</f>
        <v>0</v>
      </c>
      <c r="BG39" s="26">
        <f>SUM(BA39:BE39)</f>
        <v>0</v>
      </c>
      <c r="BI39" s="85">
        <f>+AS39+BG39</f>
        <v>180000</v>
      </c>
      <c r="BK39" s="46">
        <v>210</v>
      </c>
      <c r="BL39" s="12">
        <f>180/580</f>
        <v>0.31034482758620691</v>
      </c>
      <c r="BM39" s="13">
        <f>+BL39*BK39</f>
        <v>65.172413793103445</v>
      </c>
      <c r="BN39" s="101">
        <v>25</v>
      </c>
      <c r="BO39" s="52" t="s">
        <v>10</v>
      </c>
      <c r="BP39" s="58">
        <v>2.4</v>
      </c>
      <c r="BQ39" s="59">
        <v>46</v>
      </c>
    </row>
    <row r="40" spans="1:69" ht="24" hidden="1" customHeight="1" outlineLevel="1" x14ac:dyDescent="0.15">
      <c r="A40" s="106" t="s">
        <v>87</v>
      </c>
      <c r="B40" s="107" t="s">
        <v>45</v>
      </c>
      <c r="C40" s="95"/>
      <c r="E40" s="34"/>
      <c r="F40" s="34"/>
      <c r="G40" s="34"/>
      <c r="H40" s="34"/>
      <c r="K40" s="41"/>
      <c r="L40" s="41"/>
      <c r="M40" s="41"/>
      <c r="N40" s="41"/>
      <c r="P40" s="26"/>
      <c r="Q40" s="83">
        <f t="shared" si="9"/>
        <v>0</v>
      </c>
      <c r="S40" s="34"/>
      <c r="T40" s="34"/>
      <c r="U40" s="34"/>
      <c r="V40" s="34"/>
      <c r="Y40" s="41"/>
      <c r="Z40" s="41"/>
      <c r="AA40" s="41"/>
      <c r="AB40" s="41"/>
      <c r="AD40" s="26"/>
      <c r="AE40" s="84"/>
      <c r="AG40" s="34"/>
      <c r="AH40" s="34"/>
      <c r="AI40" s="34"/>
      <c r="AJ40" s="34"/>
      <c r="AM40" s="41"/>
      <c r="AN40" s="41"/>
      <c r="AO40" s="41"/>
      <c r="AP40" s="41"/>
      <c r="AR40" s="26"/>
      <c r="AS40" s="84"/>
      <c r="AT40" s="108"/>
      <c r="AV40" s="34"/>
      <c r="AW40" s="34"/>
      <c r="AX40" s="34"/>
      <c r="AY40" s="34"/>
      <c r="BB40" s="41"/>
      <c r="BC40" s="41"/>
      <c r="BD40" s="41"/>
      <c r="BE40" s="41"/>
      <c r="BG40" s="26"/>
      <c r="BI40" s="84"/>
      <c r="BK40" s="46"/>
      <c r="BL40" s="12">
        <f t="shared" ref="BL40:BL44" si="35">180/580</f>
        <v>0.31034482758620691</v>
      </c>
      <c r="BM40" s="13">
        <f t="shared" ref="BM40:BM44" si="36">+BL40*BK40</f>
        <v>0</v>
      </c>
      <c r="BN40" s="101">
        <v>25</v>
      </c>
      <c r="BO40" s="52"/>
      <c r="BP40" s="58">
        <v>2.4</v>
      </c>
      <c r="BQ40" s="59">
        <v>46</v>
      </c>
    </row>
    <row r="41" spans="1:69" ht="24" hidden="1" customHeight="1" outlineLevel="1" x14ac:dyDescent="0.15">
      <c r="A41" s="106" t="s">
        <v>88</v>
      </c>
      <c r="B41" s="107" t="s">
        <v>55</v>
      </c>
      <c r="C41" s="95"/>
      <c r="E41" s="34"/>
      <c r="F41" s="34"/>
      <c r="G41" s="34"/>
      <c r="H41" s="34"/>
      <c r="K41" s="41"/>
      <c r="L41" s="41"/>
      <c r="M41" s="41"/>
      <c r="N41" s="41"/>
      <c r="P41" s="26"/>
      <c r="Q41" s="83">
        <f t="shared" si="9"/>
        <v>0</v>
      </c>
      <c r="S41" s="34"/>
      <c r="T41" s="34"/>
      <c r="U41" s="34"/>
      <c r="V41" s="34"/>
      <c r="Y41" s="41"/>
      <c r="Z41" s="41"/>
      <c r="AA41" s="41"/>
      <c r="AB41" s="41"/>
      <c r="AD41" s="26"/>
      <c r="AE41" s="84"/>
      <c r="AG41" s="34"/>
      <c r="AH41" s="34"/>
      <c r="AI41" s="34"/>
      <c r="AJ41" s="34"/>
      <c r="AM41" s="41"/>
      <c r="AN41" s="41"/>
      <c r="AO41" s="41"/>
      <c r="AP41" s="41"/>
      <c r="AR41" s="26"/>
      <c r="AS41" s="84"/>
      <c r="AT41" s="108"/>
      <c r="AV41" s="34"/>
      <c r="AW41" s="34"/>
      <c r="AX41" s="34"/>
      <c r="AY41" s="34"/>
      <c r="BB41" s="41"/>
      <c r="BC41" s="41"/>
      <c r="BD41" s="41"/>
      <c r="BE41" s="41"/>
      <c r="BG41" s="26"/>
      <c r="BI41" s="84"/>
      <c r="BK41" s="46"/>
      <c r="BL41" s="12">
        <f t="shared" si="35"/>
        <v>0.31034482758620691</v>
      </c>
      <c r="BM41" s="13">
        <f t="shared" si="36"/>
        <v>0</v>
      </c>
      <c r="BN41" s="101">
        <v>25</v>
      </c>
      <c r="BO41" s="52"/>
      <c r="BP41" s="58">
        <v>2.4</v>
      </c>
      <c r="BQ41" s="59">
        <v>46</v>
      </c>
    </row>
    <row r="42" spans="1:69" ht="24" hidden="1" customHeight="1" outlineLevel="1" x14ac:dyDescent="0.15">
      <c r="A42" s="106" t="s">
        <v>89</v>
      </c>
      <c r="B42" s="107" t="s">
        <v>58</v>
      </c>
      <c r="C42" s="95"/>
      <c r="E42" s="34"/>
      <c r="F42" s="34"/>
      <c r="G42" s="34"/>
      <c r="H42" s="34"/>
      <c r="K42" s="41"/>
      <c r="L42" s="41"/>
      <c r="M42" s="41"/>
      <c r="N42" s="41"/>
      <c r="P42" s="26"/>
      <c r="Q42" s="83">
        <f t="shared" si="9"/>
        <v>0</v>
      </c>
      <c r="S42" s="34"/>
      <c r="T42" s="34"/>
      <c r="U42" s="34"/>
      <c r="V42" s="34"/>
      <c r="Y42" s="41"/>
      <c r="Z42" s="41"/>
      <c r="AA42" s="41"/>
      <c r="AB42" s="41"/>
      <c r="AD42" s="26"/>
      <c r="AE42" s="84"/>
      <c r="AG42" s="34"/>
      <c r="AH42" s="34"/>
      <c r="AI42" s="34"/>
      <c r="AJ42" s="34"/>
      <c r="AM42" s="41"/>
      <c r="AN42" s="41"/>
      <c r="AO42" s="41"/>
      <c r="AP42" s="41"/>
      <c r="AR42" s="26"/>
      <c r="AS42" s="84"/>
      <c r="AT42" s="108"/>
      <c r="AV42" s="34"/>
      <c r="AW42" s="34"/>
      <c r="AX42" s="34"/>
      <c r="AY42" s="34"/>
      <c r="BB42" s="41"/>
      <c r="BC42" s="41"/>
      <c r="BD42" s="41"/>
      <c r="BE42" s="41"/>
      <c r="BG42" s="26"/>
      <c r="BI42" s="84"/>
      <c r="BK42" s="46"/>
      <c r="BL42" s="12">
        <f t="shared" si="35"/>
        <v>0.31034482758620691</v>
      </c>
      <c r="BM42" s="13">
        <f t="shared" si="36"/>
        <v>0</v>
      </c>
      <c r="BN42" s="101">
        <v>25</v>
      </c>
      <c r="BO42" s="52"/>
      <c r="BP42" s="58">
        <v>2.4</v>
      </c>
      <c r="BQ42" s="59">
        <v>46</v>
      </c>
    </row>
    <row r="43" spans="1:69" ht="24" hidden="1" customHeight="1" outlineLevel="1" x14ac:dyDescent="0.15">
      <c r="A43" s="106" t="s">
        <v>90</v>
      </c>
      <c r="B43" s="107" t="s">
        <v>65</v>
      </c>
      <c r="C43" s="95"/>
      <c r="E43" s="34"/>
      <c r="F43" s="34"/>
      <c r="G43" s="34"/>
      <c r="H43" s="34"/>
      <c r="K43" s="41"/>
      <c r="L43" s="41"/>
      <c r="M43" s="41"/>
      <c r="N43" s="41"/>
      <c r="P43" s="26"/>
      <c r="Q43" s="83">
        <f t="shared" si="9"/>
        <v>0</v>
      </c>
      <c r="S43" s="34"/>
      <c r="T43" s="34"/>
      <c r="U43" s="34"/>
      <c r="V43" s="34"/>
      <c r="Y43" s="41"/>
      <c r="Z43" s="41"/>
      <c r="AA43" s="41"/>
      <c r="AB43" s="41"/>
      <c r="AD43" s="26"/>
      <c r="AE43" s="84"/>
      <c r="AG43" s="34"/>
      <c r="AH43" s="34"/>
      <c r="AI43" s="34"/>
      <c r="AJ43" s="34"/>
      <c r="AM43" s="41"/>
      <c r="AN43" s="41"/>
      <c r="AO43" s="41"/>
      <c r="AP43" s="41"/>
      <c r="AR43" s="26"/>
      <c r="AS43" s="84"/>
      <c r="AT43" s="108"/>
      <c r="AV43" s="34"/>
      <c r="AW43" s="34"/>
      <c r="AX43" s="34"/>
      <c r="AY43" s="34"/>
      <c r="BB43" s="41"/>
      <c r="BC43" s="41"/>
      <c r="BD43" s="41"/>
      <c r="BE43" s="41"/>
      <c r="BG43" s="26"/>
      <c r="BI43" s="84"/>
      <c r="BK43" s="46"/>
      <c r="BL43" s="12">
        <f t="shared" si="35"/>
        <v>0.31034482758620691</v>
      </c>
      <c r="BM43" s="13">
        <f t="shared" si="36"/>
        <v>0</v>
      </c>
      <c r="BN43" s="101">
        <v>25</v>
      </c>
      <c r="BO43" s="52"/>
      <c r="BP43" s="58">
        <v>2.4</v>
      </c>
      <c r="BQ43" s="59">
        <v>46</v>
      </c>
    </row>
    <row r="44" spans="1:69" ht="24" hidden="1" customHeight="1" outlineLevel="1" x14ac:dyDescent="0.15">
      <c r="A44" s="106" t="s">
        <v>91</v>
      </c>
      <c r="B44" s="107" t="s">
        <v>72</v>
      </c>
      <c r="C44" s="95"/>
      <c r="E44" s="34"/>
      <c r="F44" s="34"/>
      <c r="G44" s="34"/>
      <c r="H44" s="34"/>
      <c r="K44" s="41"/>
      <c r="L44" s="41"/>
      <c r="M44" s="41"/>
      <c r="N44" s="41"/>
      <c r="P44" s="26"/>
      <c r="Q44" s="83">
        <f t="shared" si="9"/>
        <v>0</v>
      </c>
      <c r="S44" s="34"/>
      <c r="T44" s="34"/>
      <c r="U44" s="34"/>
      <c r="V44" s="34"/>
      <c r="Y44" s="41"/>
      <c r="Z44" s="41"/>
      <c r="AA44" s="41"/>
      <c r="AB44" s="41"/>
      <c r="AD44" s="26"/>
      <c r="AE44" s="84"/>
      <c r="AG44" s="34"/>
      <c r="AH44" s="34"/>
      <c r="AI44" s="34"/>
      <c r="AJ44" s="34"/>
      <c r="AM44" s="41"/>
      <c r="AN44" s="41"/>
      <c r="AO44" s="41"/>
      <c r="AP44" s="41"/>
      <c r="AR44" s="26"/>
      <c r="AS44" s="84"/>
      <c r="AT44" s="108"/>
      <c r="AV44" s="34"/>
      <c r="AW44" s="34"/>
      <c r="AX44" s="34"/>
      <c r="AY44" s="34"/>
      <c r="BB44" s="41"/>
      <c r="BC44" s="41"/>
      <c r="BD44" s="41"/>
      <c r="BE44" s="41"/>
      <c r="BG44" s="26"/>
      <c r="BI44" s="84"/>
      <c r="BK44" s="46"/>
      <c r="BL44" s="12">
        <f t="shared" si="35"/>
        <v>0.31034482758620691</v>
      </c>
      <c r="BM44" s="13">
        <f t="shared" si="36"/>
        <v>0</v>
      </c>
      <c r="BN44" s="101">
        <v>25</v>
      </c>
      <c r="BO44" s="52"/>
      <c r="BP44" s="58">
        <v>2.4</v>
      </c>
      <c r="BQ44" s="59">
        <v>46</v>
      </c>
    </row>
    <row r="45" spans="1:69" ht="24" hidden="1" customHeight="1" collapsed="1" x14ac:dyDescent="0.15">
      <c r="A45" s="103">
        <v>9</v>
      </c>
      <c r="B45" s="111" t="s">
        <v>38</v>
      </c>
      <c r="C45" s="95">
        <f>ROUND(+BM45*BQ45*BP45*BN45,-4)</f>
        <v>6260000</v>
      </c>
      <c r="E45" s="34"/>
      <c r="F45" s="34"/>
      <c r="G45" s="34"/>
      <c r="H45" s="34"/>
      <c r="K45" s="41">
        <f>ROUND((E45*$BM45)*$BN45*$BP45*$BQ45,-4)</f>
        <v>0</v>
      </c>
      <c r="L45" s="41">
        <f>ROUND((F45*$BM45)*$BN45*$BP45*$BQ45,-4)</f>
        <v>0</v>
      </c>
      <c r="M45" s="41">
        <f>ROUND((G45*$BM45)*$BN45*$BP45*$BQ45,-4)</f>
        <v>0</v>
      </c>
      <c r="N45" s="41">
        <f>ROUND((H45*$BM45)*$BN45*$BP45*$BQ45,-4)</f>
        <v>0</v>
      </c>
      <c r="P45" s="26">
        <f>SUM(K45:N45)</f>
        <v>0</v>
      </c>
      <c r="Q45" s="83">
        <f t="shared" si="9"/>
        <v>6260000</v>
      </c>
      <c r="S45" s="34"/>
      <c r="T45" s="34"/>
      <c r="U45" s="34"/>
      <c r="V45" s="34"/>
      <c r="Y45" s="41">
        <f>ROUND((S45*$BM45)*$BN45*$BP45*$BQ45,-4)</f>
        <v>0</v>
      </c>
      <c r="Z45" s="41">
        <f>ROUND((T45*$BM45)*$BN45*$BP45*$BQ45,-4)</f>
        <v>0</v>
      </c>
      <c r="AA45" s="41">
        <f>ROUND((U45*$BM45)*$BN45*$BP45*$BQ45,-4)</f>
        <v>0</v>
      </c>
      <c r="AB45" s="41">
        <f>ROUND((V45*$BM45)*$BN45*$BP45*$BQ45,-4)</f>
        <v>0</v>
      </c>
      <c r="AD45" s="26">
        <f>SUM(X45:AB45)</f>
        <v>0</v>
      </c>
      <c r="AE45" s="85">
        <f>+Q45+AD45</f>
        <v>6260000</v>
      </c>
      <c r="AG45" s="34"/>
      <c r="AH45" s="34"/>
      <c r="AI45" s="34"/>
      <c r="AJ45" s="34"/>
      <c r="AM45" s="41">
        <f>ROUND((AG45*$BM45)*$BN45*$BP45*$BQ45,-4)</f>
        <v>0</v>
      </c>
      <c r="AN45" s="41">
        <f>ROUND((AH45*$BM45)*$BN45*$BP45*$BQ45,-4)</f>
        <v>0</v>
      </c>
      <c r="AO45" s="41">
        <f>ROUND((AI45*$BM45)*$BN45*$BP45*$BQ45,-4)</f>
        <v>0</v>
      </c>
      <c r="AP45" s="41">
        <f>ROUND((AJ45*$BM45)*$BN45*$BP45*$BQ45,-4)</f>
        <v>0</v>
      </c>
      <c r="AR45" s="26">
        <f>SUM(AL45:AP45)</f>
        <v>0</v>
      </c>
      <c r="AS45" s="85">
        <f>+AE45+AR45</f>
        <v>6260000</v>
      </c>
      <c r="AT45" s="108"/>
      <c r="AV45" s="34"/>
      <c r="AW45" s="34"/>
      <c r="AX45" s="34"/>
      <c r="AY45" s="34"/>
      <c r="BB45" s="41">
        <f>ROUND((AV45*$BM45)*$BN45*$BP45*$BQ45,-4)</f>
        <v>0</v>
      </c>
      <c r="BC45" s="41">
        <f>ROUND((AW45*$BM45)*$BN45*$BP45*$BQ45,-4)</f>
        <v>0</v>
      </c>
      <c r="BD45" s="41">
        <f>ROUND((AX45*$BM45)*$BN45*$BP45*$BQ45,-4)</f>
        <v>0</v>
      </c>
      <c r="BE45" s="41">
        <f>ROUND((AY45*$BM45)*$BN45*$BP45*$BQ45,-4)</f>
        <v>0</v>
      </c>
      <c r="BG45" s="26">
        <f>SUM(BA45:BE45)</f>
        <v>0</v>
      </c>
      <c r="BI45" s="85">
        <f>+AS45+BG45</f>
        <v>6260000</v>
      </c>
      <c r="BK45" s="46">
        <v>2086.7999999999997</v>
      </c>
      <c r="BL45" s="12">
        <f>6330/8760</f>
        <v>0.7226027397260274</v>
      </c>
      <c r="BM45" s="13">
        <f>+BL45*BK45</f>
        <v>1507.9273972602739</v>
      </c>
      <c r="BN45" s="101">
        <v>47.5</v>
      </c>
      <c r="BO45" s="52" t="s">
        <v>10</v>
      </c>
      <c r="BP45" s="58">
        <v>1.9</v>
      </c>
      <c r="BQ45" s="59">
        <v>46</v>
      </c>
    </row>
    <row r="46" spans="1:69" ht="24" hidden="1" customHeight="1" outlineLevel="1" x14ac:dyDescent="0.15">
      <c r="A46" s="106" t="s">
        <v>87</v>
      </c>
      <c r="B46" s="107" t="s">
        <v>45</v>
      </c>
      <c r="C46" s="95"/>
      <c r="E46" s="34"/>
      <c r="F46" s="34"/>
      <c r="G46" s="34"/>
      <c r="H46" s="34"/>
      <c r="K46" s="41"/>
      <c r="L46" s="41"/>
      <c r="M46" s="41"/>
      <c r="N46" s="41"/>
      <c r="P46" s="26"/>
      <c r="Q46" s="83">
        <f t="shared" si="9"/>
        <v>0</v>
      </c>
      <c r="S46" s="34"/>
      <c r="T46" s="34"/>
      <c r="U46" s="34"/>
      <c r="V46" s="34"/>
      <c r="Y46" s="41"/>
      <c r="Z46" s="41"/>
      <c r="AA46" s="41"/>
      <c r="AB46" s="41"/>
      <c r="AD46" s="26"/>
      <c r="AE46" s="84"/>
      <c r="AG46" s="34"/>
      <c r="AH46" s="34"/>
      <c r="AI46" s="34"/>
      <c r="AJ46" s="34"/>
      <c r="AM46" s="41"/>
      <c r="AN46" s="41"/>
      <c r="AO46" s="41"/>
      <c r="AP46" s="41"/>
      <c r="AR46" s="26"/>
      <c r="AS46" s="84"/>
      <c r="AT46" s="108"/>
      <c r="AV46" s="34"/>
      <c r="AW46" s="34"/>
      <c r="AX46" s="34"/>
      <c r="AY46" s="34"/>
      <c r="BB46" s="41"/>
      <c r="BC46" s="41"/>
      <c r="BD46" s="41"/>
      <c r="BE46" s="41"/>
      <c r="BG46" s="26"/>
      <c r="BI46" s="84"/>
      <c r="BK46" s="46"/>
      <c r="BL46" s="12">
        <f t="shared" ref="BL46:BL50" si="37">6330/8760</f>
        <v>0.7226027397260274</v>
      </c>
      <c r="BM46" s="13">
        <f t="shared" ref="BM46:BM50" si="38">+BL46*BK46</f>
        <v>0</v>
      </c>
      <c r="BN46" s="101">
        <v>47.5</v>
      </c>
      <c r="BO46" s="52"/>
      <c r="BP46" s="58">
        <v>1.9</v>
      </c>
      <c r="BQ46" s="59">
        <v>46</v>
      </c>
    </row>
    <row r="47" spans="1:69" ht="24" hidden="1" customHeight="1" outlineLevel="1" x14ac:dyDescent="0.15">
      <c r="A47" s="106" t="s">
        <v>88</v>
      </c>
      <c r="B47" s="107" t="s">
        <v>55</v>
      </c>
      <c r="C47" s="95"/>
      <c r="E47" s="34"/>
      <c r="F47" s="34"/>
      <c r="G47" s="34"/>
      <c r="H47" s="34"/>
      <c r="K47" s="41"/>
      <c r="L47" s="41"/>
      <c r="M47" s="41"/>
      <c r="N47" s="41"/>
      <c r="P47" s="26"/>
      <c r="Q47" s="83">
        <f t="shared" si="9"/>
        <v>0</v>
      </c>
      <c r="S47" s="34"/>
      <c r="T47" s="34"/>
      <c r="U47" s="34"/>
      <c r="V47" s="34"/>
      <c r="Y47" s="41"/>
      <c r="Z47" s="41"/>
      <c r="AA47" s="41"/>
      <c r="AB47" s="41"/>
      <c r="AD47" s="26"/>
      <c r="AE47" s="84"/>
      <c r="AG47" s="34"/>
      <c r="AH47" s="34"/>
      <c r="AI47" s="34"/>
      <c r="AJ47" s="34"/>
      <c r="AM47" s="41"/>
      <c r="AN47" s="41"/>
      <c r="AO47" s="41"/>
      <c r="AP47" s="41"/>
      <c r="AR47" s="26"/>
      <c r="AS47" s="84"/>
      <c r="AT47" s="108"/>
      <c r="AV47" s="34"/>
      <c r="AW47" s="34"/>
      <c r="AX47" s="34"/>
      <c r="AY47" s="34"/>
      <c r="BB47" s="41"/>
      <c r="BC47" s="41"/>
      <c r="BD47" s="41"/>
      <c r="BE47" s="41"/>
      <c r="BG47" s="26"/>
      <c r="BI47" s="84"/>
      <c r="BK47" s="46"/>
      <c r="BL47" s="12">
        <f t="shared" si="37"/>
        <v>0.7226027397260274</v>
      </c>
      <c r="BM47" s="13">
        <f t="shared" si="38"/>
        <v>0</v>
      </c>
      <c r="BN47" s="101">
        <v>47.5</v>
      </c>
      <c r="BO47" s="52"/>
      <c r="BP47" s="58">
        <v>1.9</v>
      </c>
      <c r="BQ47" s="59">
        <v>46</v>
      </c>
    </row>
    <row r="48" spans="1:69" ht="24" hidden="1" customHeight="1" outlineLevel="1" x14ac:dyDescent="0.15">
      <c r="A48" s="106" t="s">
        <v>89</v>
      </c>
      <c r="B48" s="107" t="s">
        <v>58</v>
      </c>
      <c r="C48" s="95"/>
      <c r="E48" s="34"/>
      <c r="F48" s="34"/>
      <c r="G48" s="34"/>
      <c r="H48" s="34"/>
      <c r="K48" s="41"/>
      <c r="L48" s="41"/>
      <c r="M48" s="41"/>
      <c r="N48" s="41"/>
      <c r="P48" s="26"/>
      <c r="Q48" s="83">
        <f t="shared" si="9"/>
        <v>0</v>
      </c>
      <c r="S48" s="34"/>
      <c r="T48" s="34"/>
      <c r="U48" s="34"/>
      <c r="V48" s="34"/>
      <c r="Y48" s="41"/>
      <c r="Z48" s="41"/>
      <c r="AA48" s="41"/>
      <c r="AB48" s="41"/>
      <c r="AD48" s="26"/>
      <c r="AE48" s="84"/>
      <c r="AG48" s="34"/>
      <c r="AH48" s="34"/>
      <c r="AI48" s="34"/>
      <c r="AJ48" s="34"/>
      <c r="AM48" s="41"/>
      <c r="AN48" s="41"/>
      <c r="AO48" s="41"/>
      <c r="AP48" s="41"/>
      <c r="AR48" s="26"/>
      <c r="AS48" s="84"/>
      <c r="AT48" s="108"/>
      <c r="AV48" s="34"/>
      <c r="AW48" s="34"/>
      <c r="AX48" s="34"/>
      <c r="AY48" s="34"/>
      <c r="BB48" s="41"/>
      <c r="BC48" s="41"/>
      <c r="BD48" s="41"/>
      <c r="BE48" s="41"/>
      <c r="BG48" s="26"/>
      <c r="BI48" s="84"/>
      <c r="BK48" s="46"/>
      <c r="BL48" s="12">
        <f t="shared" si="37"/>
        <v>0.7226027397260274</v>
      </c>
      <c r="BM48" s="13">
        <f t="shared" si="38"/>
        <v>0</v>
      </c>
      <c r="BN48" s="101">
        <v>47.5</v>
      </c>
      <c r="BO48" s="52"/>
      <c r="BP48" s="58">
        <v>1.9</v>
      </c>
      <c r="BQ48" s="59">
        <v>46</v>
      </c>
    </row>
    <row r="49" spans="1:69" ht="24" hidden="1" customHeight="1" outlineLevel="1" x14ac:dyDescent="0.15">
      <c r="A49" s="106" t="s">
        <v>90</v>
      </c>
      <c r="B49" s="107" t="s">
        <v>65</v>
      </c>
      <c r="C49" s="95"/>
      <c r="E49" s="34"/>
      <c r="F49" s="34"/>
      <c r="G49" s="34"/>
      <c r="H49" s="34"/>
      <c r="K49" s="41"/>
      <c r="L49" s="41"/>
      <c r="M49" s="41"/>
      <c r="N49" s="41"/>
      <c r="P49" s="26"/>
      <c r="Q49" s="83">
        <f t="shared" si="9"/>
        <v>0</v>
      </c>
      <c r="S49" s="34"/>
      <c r="T49" s="34"/>
      <c r="U49" s="34"/>
      <c r="V49" s="34"/>
      <c r="Y49" s="41"/>
      <c r="Z49" s="41"/>
      <c r="AA49" s="41"/>
      <c r="AB49" s="41"/>
      <c r="AD49" s="26"/>
      <c r="AE49" s="84"/>
      <c r="AG49" s="34"/>
      <c r="AH49" s="34"/>
      <c r="AI49" s="34"/>
      <c r="AJ49" s="34"/>
      <c r="AM49" s="41"/>
      <c r="AN49" s="41"/>
      <c r="AO49" s="41"/>
      <c r="AP49" s="41"/>
      <c r="AR49" s="26"/>
      <c r="AS49" s="84"/>
      <c r="AT49" s="108"/>
      <c r="AV49" s="34"/>
      <c r="AW49" s="34"/>
      <c r="AX49" s="34"/>
      <c r="AY49" s="34"/>
      <c r="BB49" s="41"/>
      <c r="BC49" s="41"/>
      <c r="BD49" s="41"/>
      <c r="BE49" s="41"/>
      <c r="BG49" s="26"/>
      <c r="BI49" s="84"/>
      <c r="BK49" s="46"/>
      <c r="BL49" s="12">
        <f t="shared" si="37"/>
        <v>0.7226027397260274</v>
      </c>
      <c r="BM49" s="13">
        <f t="shared" si="38"/>
        <v>0</v>
      </c>
      <c r="BN49" s="101">
        <v>47.5</v>
      </c>
      <c r="BO49" s="52"/>
      <c r="BP49" s="58">
        <v>1.9</v>
      </c>
      <c r="BQ49" s="59">
        <v>46</v>
      </c>
    </row>
    <row r="50" spans="1:69" ht="24" hidden="1" customHeight="1" outlineLevel="1" x14ac:dyDescent="0.15">
      <c r="A50" s="106" t="s">
        <v>91</v>
      </c>
      <c r="B50" s="107" t="s">
        <v>72</v>
      </c>
      <c r="C50" s="95"/>
      <c r="E50" s="34"/>
      <c r="F50" s="34"/>
      <c r="G50" s="34"/>
      <c r="H50" s="34"/>
      <c r="K50" s="41"/>
      <c r="L50" s="41"/>
      <c r="M50" s="41"/>
      <c r="N50" s="41"/>
      <c r="P50" s="26"/>
      <c r="Q50" s="83">
        <f t="shared" si="9"/>
        <v>0</v>
      </c>
      <c r="S50" s="34"/>
      <c r="T50" s="34"/>
      <c r="U50" s="34"/>
      <c r="V50" s="34"/>
      <c r="Y50" s="41"/>
      <c r="Z50" s="41"/>
      <c r="AA50" s="41"/>
      <c r="AB50" s="41"/>
      <c r="AD50" s="26"/>
      <c r="AE50" s="84"/>
      <c r="AG50" s="34"/>
      <c r="AH50" s="34"/>
      <c r="AI50" s="34"/>
      <c r="AJ50" s="34"/>
      <c r="AM50" s="41"/>
      <c r="AN50" s="41"/>
      <c r="AO50" s="41"/>
      <c r="AP50" s="41"/>
      <c r="AR50" s="26"/>
      <c r="AS50" s="84"/>
      <c r="AT50" s="108"/>
      <c r="AV50" s="34"/>
      <c r="AW50" s="34"/>
      <c r="AX50" s="34"/>
      <c r="AY50" s="34"/>
      <c r="BB50" s="41"/>
      <c r="BC50" s="41"/>
      <c r="BD50" s="41"/>
      <c r="BE50" s="41"/>
      <c r="BG50" s="26"/>
      <c r="BI50" s="84"/>
      <c r="BK50" s="46"/>
      <c r="BL50" s="12">
        <f t="shared" si="37"/>
        <v>0.7226027397260274</v>
      </c>
      <c r="BM50" s="13">
        <f t="shared" si="38"/>
        <v>0</v>
      </c>
      <c r="BN50" s="101">
        <v>47.5</v>
      </c>
      <c r="BO50" s="52"/>
      <c r="BP50" s="58">
        <v>1.9</v>
      </c>
      <c r="BQ50" s="59">
        <v>46</v>
      </c>
    </row>
    <row r="51" spans="1:69" ht="24" hidden="1" customHeight="1" collapsed="1" x14ac:dyDescent="0.15">
      <c r="A51" s="103">
        <v>10</v>
      </c>
      <c r="B51" s="111" t="s">
        <v>39</v>
      </c>
      <c r="C51" s="95">
        <f>ROUND(+BM51*BQ51*BP51*BN51,-4)</f>
        <v>3540000</v>
      </c>
      <c r="E51" s="34"/>
      <c r="F51" s="34"/>
      <c r="G51" s="34"/>
      <c r="H51" s="34"/>
      <c r="K51" s="41">
        <f>ROUND((E51*$BM51)*$BN51*$BP51*$BQ51,-4)</f>
        <v>0</v>
      </c>
      <c r="L51" s="41">
        <f>ROUND((F51*$BM51)*$BN51*$BP51*$BQ51,-4)</f>
        <v>0</v>
      </c>
      <c r="M51" s="41">
        <f>ROUND((G51*$BM51)*$BN51*$BP51*$BQ51,-4)</f>
        <v>0</v>
      </c>
      <c r="N51" s="41">
        <f>ROUND((H51*$BM51)*$BN51*$BP51*$BQ51,-4)</f>
        <v>0</v>
      </c>
      <c r="P51" s="26">
        <f>SUM(K51:N51)</f>
        <v>0</v>
      </c>
      <c r="Q51" s="83">
        <f t="shared" si="9"/>
        <v>3540000</v>
      </c>
      <c r="S51" s="34"/>
      <c r="T51" s="34"/>
      <c r="U51" s="34"/>
      <c r="V51" s="34"/>
      <c r="Y51" s="41">
        <f>ROUND((S51*$BM51)*$BN51*$BP51*$BQ51,-4)</f>
        <v>0</v>
      </c>
      <c r="Z51" s="41">
        <f>ROUND((T51*$BM51)*$BN51*$BP51*$BQ51,-4)</f>
        <v>0</v>
      </c>
      <c r="AA51" s="41">
        <f>ROUND((U51*$BM51)*$BN51*$BP51*$BQ51,-4)</f>
        <v>0</v>
      </c>
      <c r="AB51" s="41">
        <f>ROUND((V51*$BM51)*$BN51*$BP51*$BQ51,-4)</f>
        <v>0</v>
      </c>
      <c r="AD51" s="26">
        <f>SUM(X51:AB51)</f>
        <v>0</v>
      </c>
      <c r="AE51" s="85">
        <f>+Q51+AD51</f>
        <v>3540000</v>
      </c>
      <c r="AG51" s="34"/>
      <c r="AH51" s="34"/>
      <c r="AI51" s="34"/>
      <c r="AJ51" s="34"/>
      <c r="AM51" s="41">
        <f>ROUND((AG51*$BM51)*$BN51*$BP51*$BQ51,-4)</f>
        <v>0</v>
      </c>
      <c r="AN51" s="41">
        <f>ROUND((AH51*$BM51)*$BN51*$BP51*$BQ51,-4)</f>
        <v>0</v>
      </c>
      <c r="AO51" s="41">
        <f>ROUND((AI51*$BM51)*$BN51*$BP51*$BQ51,-4)</f>
        <v>0</v>
      </c>
      <c r="AP51" s="41">
        <f>ROUND((AJ51*$BM51)*$BN51*$BP51*$BQ51,-4)</f>
        <v>0</v>
      </c>
      <c r="AR51" s="26">
        <f>SUM(AL51:AP51)</f>
        <v>0</v>
      </c>
      <c r="AS51" s="85">
        <f>+AE51+AR51</f>
        <v>3540000</v>
      </c>
      <c r="AT51" s="108"/>
      <c r="AV51" s="34"/>
      <c r="AW51" s="34"/>
      <c r="AX51" s="34"/>
      <c r="AY51" s="34"/>
      <c r="BB51" s="41">
        <f>ROUND((AV51*$BM51)*$BN51*$BP51*$BQ51,-4)</f>
        <v>0</v>
      </c>
      <c r="BC51" s="41">
        <f>ROUND((AW51*$BM51)*$BN51*$BP51*$BQ51,-4)</f>
        <v>0</v>
      </c>
      <c r="BD51" s="41">
        <f>ROUND((AX51*$BM51)*$BN51*$BP51*$BQ51,-4)</f>
        <v>0</v>
      </c>
      <c r="BE51" s="41">
        <f>ROUND((AY51*$BM51)*$BN51*$BP51*$BQ51,-4)</f>
        <v>0</v>
      </c>
      <c r="BG51" s="26">
        <f>SUM(BA51:BE51)</f>
        <v>0</v>
      </c>
      <c r="BI51" s="85">
        <f>+AS51+BG51</f>
        <v>3540000</v>
      </c>
      <c r="BK51" s="46">
        <v>631.19999999999993</v>
      </c>
      <c r="BL51" s="12">
        <f>3510/3870</f>
        <v>0.90697674418604646</v>
      </c>
      <c r="BM51" s="13">
        <f>+BL51*BK51</f>
        <v>572.48372093023249</v>
      </c>
      <c r="BN51" s="101">
        <v>69</v>
      </c>
      <c r="BO51" s="52" t="s">
        <v>10</v>
      </c>
      <c r="BP51" s="58">
        <v>1.95</v>
      </c>
      <c r="BQ51" s="59">
        <v>46</v>
      </c>
    </row>
    <row r="52" spans="1:69" ht="24" hidden="1" customHeight="1" outlineLevel="1" x14ac:dyDescent="0.15">
      <c r="A52" s="106" t="s">
        <v>87</v>
      </c>
      <c r="B52" s="107" t="s">
        <v>45</v>
      </c>
      <c r="C52" s="95"/>
      <c r="E52" s="34"/>
      <c r="F52" s="34"/>
      <c r="G52" s="34"/>
      <c r="H52" s="34"/>
      <c r="K52" s="41"/>
      <c r="L52" s="41"/>
      <c r="M52" s="41"/>
      <c r="N52" s="41"/>
      <c r="P52" s="26"/>
      <c r="Q52" s="83">
        <f t="shared" si="9"/>
        <v>0</v>
      </c>
      <c r="S52" s="34"/>
      <c r="T52" s="34"/>
      <c r="U52" s="34"/>
      <c r="V52" s="34"/>
      <c r="Y52" s="41"/>
      <c r="Z52" s="41"/>
      <c r="AA52" s="41"/>
      <c r="AB52" s="41"/>
      <c r="AD52" s="26"/>
      <c r="AE52" s="84"/>
      <c r="AG52" s="34"/>
      <c r="AH52" s="34"/>
      <c r="AI52" s="34"/>
      <c r="AJ52" s="34"/>
      <c r="AM52" s="41"/>
      <c r="AN52" s="41"/>
      <c r="AO52" s="41"/>
      <c r="AP52" s="41"/>
      <c r="AR52" s="26"/>
      <c r="AS52" s="84"/>
      <c r="AT52" s="108"/>
      <c r="AV52" s="34"/>
      <c r="AW52" s="34"/>
      <c r="AX52" s="34"/>
      <c r="AY52" s="34"/>
      <c r="BB52" s="41"/>
      <c r="BC52" s="41"/>
      <c r="BD52" s="41"/>
      <c r="BE52" s="41"/>
      <c r="BG52" s="26"/>
      <c r="BI52" s="84"/>
      <c r="BK52" s="46"/>
      <c r="BL52" s="12">
        <f t="shared" ref="BL52:BL56" si="39">3510/3870</f>
        <v>0.90697674418604646</v>
      </c>
      <c r="BM52" s="13">
        <f t="shared" ref="BM52:BM56" si="40">+BL52*BK52</f>
        <v>0</v>
      </c>
      <c r="BN52" s="101">
        <v>69</v>
      </c>
      <c r="BO52" s="52"/>
      <c r="BP52" s="58">
        <v>1.95</v>
      </c>
      <c r="BQ52" s="59">
        <v>46</v>
      </c>
    </row>
    <row r="53" spans="1:69" ht="24" hidden="1" customHeight="1" outlineLevel="1" x14ac:dyDescent="0.15">
      <c r="A53" s="106" t="s">
        <v>88</v>
      </c>
      <c r="B53" s="107" t="s">
        <v>55</v>
      </c>
      <c r="C53" s="95"/>
      <c r="E53" s="34"/>
      <c r="F53" s="34"/>
      <c r="G53" s="34"/>
      <c r="H53" s="34"/>
      <c r="K53" s="41"/>
      <c r="L53" s="41"/>
      <c r="M53" s="41"/>
      <c r="N53" s="41"/>
      <c r="P53" s="26"/>
      <c r="Q53" s="83">
        <f t="shared" si="9"/>
        <v>0</v>
      </c>
      <c r="S53" s="34"/>
      <c r="T53" s="34"/>
      <c r="U53" s="34"/>
      <c r="V53" s="34"/>
      <c r="Y53" s="41"/>
      <c r="Z53" s="41"/>
      <c r="AA53" s="41"/>
      <c r="AB53" s="41"/>
      <c r="AD53" s="26"/>
      <c r="AE53" s="84"/>
      <c r="AG53" s="34"/>
      <c r="AH53" s="34"/>
      <c r="AI53" s="34"/>
      <c r="AJ53" s="34"/>
      <c r="AM53" s="41"/>
      <c r="AN53" s="41"/>
      <c r="AO53" s="41"/>
      <c r="AP53" s="41"/>
      <c r="AR53" s="26"/>
      <c r="AS53" s="84"/>
      <c r="AT53" s="108"/>
      <c r="AV53" s="34"/>
      <c r="AW53" s="34"/>
      <c r="AX53" s="34"/>
      <c r="AY53" s="34"/>
      <c r="BB53" s="41"/>
      <c r="BC53" s="41"/>
      <c r="BD53" s="41"/>
      <c r="BE53" s="41"/>
      <c r="BG53" s="26"/>
      <c r="BI53" s="84"/>
      <c r="BK53" s="46"/>
      <c r="BL53" s="12">
        <f t="shared" si="39"/>
        <v>0.90697674418604646</v>
      </c>
      <c r="BM53" s="13">
        <f t="shared" si="40"/>
        <v>0</v>
      </c>
      <c r="BN53" s="101">
        <v>69</v>
      </c>
      <c r="BO53" s="52"/>
      <c r="BP53" s="58">
        <v>1.95</v>
      </c>
      <c r="BQ53" s="59">
        <v>46</v>
      </c>
    </row>
    <row r="54" spans="1:69" ht="24" hidden="1" customHeight="1" outlineLevel="1" x14ac:dyDescent="0.15">
      <c r="A54" s="106" t="s">
        <v>89</v>
      </c>
      <c r="B54" s="107" t="s">
        <v>58</v>
      </c>
      <c r="C54" s="95"/>
      <c r="E54" s="34"/>
      <c r="F54" s="34"/>
      <c r="G54" s="34"/>
      <c r="H54" s="34"/>
      <c r="K54" s="41"/>
      <c r="L54" s="41"/>
      <c r="M54" s="41"/>
      <c r="N54" s="41"/>
      <c r="P54" s="26"/>
      <c r="Q54" s="83">
        <f t="shared" si="9"/>
        <v>0</v>
      </c>
      <c r="S54" s="34"/>
      <c r="T54" s="34"/>
      <c r="U54" s="34"/>
      <c r="V54" s="34"/>
      <c r="Y54" s="41"/>
      <c r="Z54" s="41"/>
      <c r="AA54" s="41"/>
      <c r="AB54" s="41"/>
      <c r="AD54" s="26"/>
      <c r="AE54" s="84"/>
      <c r="AG54" s="34"/>
      <c r="AH54" s="34"/>
      <c r="AI54" s="34"/>
      <c r="AJ54" s="34"/>
      <c r="AM54" s="41"/>
      <c r="AN54" s="41"/>
      <c r="AO54" s="41"/>
      <c r="AP54" s="41"/>
      <c r="AR54" s="26"/>
      <c r="AS54" s="84"/>
      <c r="AT54" s="108"/>
      <c r="AV54" s="34"/>
      <c r="AW54" s="34"/>
      <c r="AX54" s="34"/>
      <c r="AY54" s="34"/>
      <c r="BB54" s="41"/>
      <c r="BC54" s="41"/>
      <c r="BD54" s="41"/>
      <c r="BE54" s="41"/>
      <c r="BG54" s="26"/>
      <c r="BI54" s="84"/>
      <c r="BK54" s="46"/>
      <c r="BL54" s="12">
        <f t="shared" si="39"/>
        <v>0.90697674418604646</v>
      </c>
      <c r="BM54" s="13">
        <f t="shared" si="40"/>
        <v>0</v>
      </c>
      <c r="BN54" s="101">
        <v>69</v>
      </c>
      <c r="BO54" s="52"/>
      <c r="BP54" s="58">
        <v>1.95</v>
      </c>
      <c r="BQ54" s="59">
        <v>46</v>
      </c>
    </row>
    <row r="55" spans="1:69" ht="24" hidden="1" customHeight="1" outlineLevel="1" x14ac:dyDescent="0.15">
      <c r="A55" s="106" t="s">
        <v>90</v>
      </c>
      <c r="B55" s="107" t="s">
        <v>65</v>
      </c>
      <c r="C55" s="95"/>
      <c r="E55" s="34"/>
      <c r="F55" s="34"/>
      <c r="G55" s="34"/>
      <c r="H55" s="34"/>
      <c r="K55" s="41"/>
      <c r="L55" s="41"/>
      <c r="M55" s="41"/>
      <c r="N55" s="41"/>
      <c r="P55" s="26"/>
      <c r="Q55" s="83">
        <f t="shared" si="9"/>
        <v>0</v>
      </c>
      <c r="S55" s="34"/>
      <c r="T55" s="34"/>
      <c r="U55" s="34"/>
      <c r="V55" s="34"/>
      <c r="Y55" s="41"/>
      <c r="Z55" s="41"/>
      <c r="AA55" s="41"/>
      <c r="AB55" s="41"/>
      <c r="AD55" s="26"/>
      <c r="AE55" s="84"/>
      <c r="AG55" s="34"/>
      <c r="AH55" s="34"/>
      <c r="AI55" s="34"/>
      <c r="AJ55" s="34"/>
      <c r="AM55" s="41"/>
      <c r="AN55" s="41"/>
      <c r="AO55" s="41"/>
      <c r="AP55" s="41"/>
      <c r="AR55" s="26"/>
      <c r="AS55" s="84"/>
      <c r="AT55" s="108"/>
      <c r="AV55" s="34"/>
      <c r="AW55" s="34"/>
      <c r="AX55" s="34"/>
      <c r="AY55" s="34"/>
      <c r="BB55" s="41"/>
      <c r="BC55" s="41"/>
      <c r="BD55" s="41"/>
      <c r="BE55" s="41"/>
      <c r="BG55" s="26"/>
      <c r="BI55" s="84"/>
      <c r="BK55" s="46"/>
      <c r="BL55" s="12">
        <f t="shared" si="39"/>
        <v>0.90697674418604646</v>
      </c>
      <c r="BM55" s="13">
        <f t="shared" si="40"/>
        <v>0</v>
      </c>
      <c r="BN55" s="101">
        <v>69</v>
      </c>
      <c r="BO55" s="52"/>
      <c r="BP55" s="58">
        <v>1.95</v>
      </c>
      <c r="BQ55" s="59">
        <v>46</v>
      </c>
    </row>
    <row r="56" spans="1:69" ht="24" hidden="1" customHeight="1" outlineLevel="1" x14ac:dyDescent="0.15">
      <c r="A56" s="106" t="s">
        <v>91</v>
      </c>
      <c r="B56" s="107" t="s">
        <v>72</v>
      </c>
      <c r="C56" s="95"/>
      <c r="E56" s="34"/>
      <c r="F56" s="34"/>
      <c r="G56" s="34"/>
      <c r="H56" s="34"/>
      <c r="K56" s="41"/>
      <c r="L56" s="41"/>
      <c r="M56" s="41"/>
      <c r="N56" s="41"/>
      <c r="P56" s="26"/>
      <c r="Q56" s="83">
        <f t="shared" si="9"/>
        <v>0</v>
      </c>
      <c r="S56" s="34"/>
      <c r="T56" s="34"/>
      <c r="U56" s="34"/>
      <c r="V56" s="34"/>
      <c r="Y56" s="41"/>
      <c r="Z56" s="41"/>
      <c r="AA56" s="41"/>
      <c r="AB56" s="41"/>
      <c r="AD56" s="26"/>
      <c r="AE56" s="84"/>
      <c r="AG56" s="34"/>
      <c r="AH56" s="34"/>
      <c r="AI56" s="34"/>
      <c r="AJ56" s="34"/>
      <c r="AM56" s="41"/>
      <c r="AN56" s="41"/>
      <c r="AO56" s="41"/>
      <c r="AP56" s="41"/>
      <c r="AR56" s="26"/>
      <c r="AS56" s="84"/>
      <c r="AT56" s="108"/>
      <c r="AV56" s="34"/>
      <c r="AW56" s="34"/>
      <c r="AX56" s="34"/>
      <c r="AY56" s="34"/>
      <c r="BB56" s="41"/>
      <c r="BC56" s="41"/>
      <c r="BD56" s="41"/>
      <c r="BE56" s="41"/>
      <c r="BG56" s="26"/>
      <c r="BI56" s="84"/>
      <c r="BK56" s="46"/>
      <c r="BL56" s="12">
        <f t="shared" si="39"/>
        <v>0.90697674418604646</v>
      </c>
      <c r="BM56" s="13">
        <f t="shared" si="40"/>
        <v>0</v>
      </c>
      <c r="BN56" s="101">
        <v>69</v>
      </c>
      <c r="BO56" s="52"/>
      <c r="BP56" s="58">
        <v>1.95</v>
      </c>
      <c r="BQ56" s="59">
        <v>46</v>
      </c>
    </row>
    <row r="57" spans="1:69" ht="24" hidden="1" customHeight="1" collapsed="1" x14ac:dyDescent="0.15">
      <c r="A57" s="103">
        <v>11</v>
      </c>
      <c r="B57" s="114" t="s">
        <v>14</v>
      </c>
      <c r="C57" s="95" t="s">
        <v>16</v>
      </c>
      <c r="E57" s="34"/>
      <c r="F57" s="34"/>
      <c r="G57" s="34"/>
      <c r="H57" s="34"/>
      <c r="I57" s="40"/>
      <c r="J57" s="40"/>
      <c r="K57" s="42" t="s">
        <v>16</v>
      </c>
      <c r="L57" s="42" t="s">
        <v>16</v>
      </c>
      <c r="M57" s="42" t="s">
        <v>16</v>
      </c>
      <c r="N57" s="42" t="s">
        <v>16</v>
      </c>
      <c r="P57" s="26" t="s">
        <v>16</v>
      </c>
      <c r="Q57" s="83" t="e">
        <f t="shared" si="9"/>
        <v>#VALUE!</v>
      </c>
      <c r="S57" s="34"/>
      <c r="T57" s="34"/>
      <c r="U57" s="34"/>
      <c r="V57" s="34"/>
      <c r="X57" s="40"/>
      <c r="Y57" s="42" t="s">
        <v>16</v>
      </c>
      <c r="Z57" s="42" t="s">
        <v>16</v>
      </c>
      <c r="AA57" s="42" t="s">
        <v>16</v>
      </c>
      <c r="AB57" s="42" t="s">
        <v>16</v>
      </c>
      <c r="AC57" s="28"/>
      <c r="AD57" s="26" t="s">
        <v>16</v>
      </c>
      <c r="AE57" s="86" t="s">
        <v>16</v>
      </c>
      <c r="AG57" s="34"/>
      <c r="AH57" s="34"/>
      <c r="AI57" s="34"/>
      <c r="AJ57" s="34"/>
      <c r="AL57" s="40"/>
      <c r="AM57" s="42" t="s">
        <v>16</v>
      </c>
      <c r="AN57" s="42" t="s">
        <v>16</v>
      </c>
      <c r="AO57" s="42" t="s">
        <v>16</v>
      </c>
      <c r="AP57" s="42" t="s">
        <v>16</v>
      </c>
      <c r="AR57" s="26" t="s">
        <v>16</v>
      </c>
      <c r="AS57" s="86" t="s">
        <v>16</v>
      </c>
      <c r="AT57" s="109"/>
      <c r="AV57" s="34"/>
      <c r="AW57" s="34"/>
      <c r="AX57" s="34"/>
      <c r="AY57" s="34"/>
      <c r="BA57" s="40"/>
      <c r="BB57" s="42" t="s">
        <v>16</v>
      </c>
      <c r="BC57" s="42" t="s">
        <v>16</v>
      </c>
      <c r="BD57" s="42" t="s">
        <v>16</v>
      </c>
      <c r="BE57" s="42" t="s">
        <v>16</v>
      </c>
      <c r="BG57" s="26">
        <f>SUM(BA57:BE57)</f>
        <v>0</v>
      </c>
      <c r="BI57" s="86" t="s">
        <v>16</v>
      </c>
      <c r="BK57" s="47" t="s">
        <v>16</v>
      </c>
      <c r="BL57" s="29">
        <f>40/50</f>
        <v>0.8</v>
      </c>
      <c r="BM57" s="30" t="s">
        <v>16</v>
      </c>
      <c r="BN57" s="102">
        <v>100</v>
      </c>
      <c r="BO57" s="52" t="s">
        <v>92</v>
      </c>
      <c r="BP57" s="60" t="s">
        <v>16</v>
      </c>
      <c r="BQ57" s="59">
        <v>46</v>
      </c>
    </row>
    <row r="58" spans="1:69" ht="24" hidden="1" customHeight="1" outlineLevel="1" x14ac:dyDescent="0.15">
      <c r="A58" s="106" t="s">
        <v>87</v>
      </c>
      <c r="B58" s="107" t="s">
        <v>45</v>
      </c>
      <c r="C58" s="95"/>
      <c r="E58" s="34"/>
      <c r="F58" s="34"/>
      <c r="G58" s="34"/>
      <c r="H58" s="34"/>
      <c r="K58" s="41"/>
      <c r="L58" s="41"/>
      <c r="M58" s="41"/>
      <c r="N58" s="41"/>
      <c r="P58" s="26"/>
      <c r="Q58" s="83">
        <f t="shared" si="9"/>
        <v>0</v>
      </c>
      <c r="S58" s="34"/>
      <c r="T58" s="34"/>
      <c r="U58" s="34"/>
      <c r="V58" s="34"/>
      <c r="Y58" s="41"/>
      <c r="Z58" s="41"/>
      <c r="AA58" s="41"/>
      <c r="AB58" s="41"/>
      <c r="AD58" s="26"/>
      <c r="AE58" s="84"/>
      <c r="AG58" s="34"/>
      <c r="AH58" s="34"/>
      <c r="AI58" s="34"/>
      <c r="AJ58" s="34"/>
      <c r="AM58" s="41"/>
      <c r="AN58" s="41"/>
      <c r="AO58" s="41"/>
      <c r="AP58" s="41"/>
      <c r="AR58" s="26"/>
      <c r="AS58" s="84"/>
      <c r="AT58" s="108"/>
      <c r="AV58" s="34"/>
      <c r="AW58" s="34"/>
      <c r="AX58" s="34"/>
      <c r="AY58" s="34"/>
      <c r="BB58" s="41"/>
      <c r="BC58" s="41"/>
      <c r="BD58" s="41"/>
      <c r="BE58" s="41"/>
      <c r="BG58" s="26"/>
      <c r="BI58" s="84"/>
      <c r="BK58" s="46"/>
      <c r="BL58" s="29">
        <f t="shared" ref="BL58:BL62" si="41">40/50</f>
        <v>0.8</v>
      </c>
      <c r="BM58" s="30" t="s">
        <v>16</v>
      </c>
      <c r="BN58" s="102">
        <v>100</v>
      </c>
      <c r="BO58" s="52"/>
      <c r="BP58" s="60" t="s">
        <v>16</v>
      </c>
      <c r="BQ58" s="59">
        <v>47</v>
      </c>
    </row>
    <row r="59" spans="1:69" ht="24" hidden="1" customHeight="1" outlineLevel="1" x14ac:dyDescent="0.15">
      <c r="A59" s="106" t="s">
        <v>88</v>
      </c>
      <c r="B59" s="107" t="s">
        <v>55</v>
      </c>
      <c r="C59" s="95"/>
      <c r="E59" s="34"/>
      <c r="F59" s="34"/>
      <c r="G59" s="34"/>
      <c r="H59" s="34"/>
      <c r="K59" s="41"/>
      <c r="L59" s="41"/>
      <c r="M59" s="41"/>
      <c r="N59" s="41"/>
      <c r="P59" s="26"/>
      <c r="Q59" s="83">
        <f t="shared" si="9"/>
        <v>0</v>
      </c>
      <c r="S59" s="34"/>
      <c r="T59" s="34"/>
      <c r="U59" s="34"/>
      <c r="V59" s="34"/>
      <c r="Y59" s="41"/>
      <c r="Z59" s="41"/>
      <c r="AA59" s="41"/>
      <c r="AB59" s="41"/>
      <c r="AD59" s="26"/>
      <c r="AE59" s="84"/>
      <c r="AG59" s="34"/>
      <c r="AH59" s="34"/>
      <c r="AI59" s="34"/>
      <c r="AJ59" s="34"/>
      <c r="AM59" s="41"/>
      <c r="AN59" s="41"/>
      <c r="AO59" s="41"/>
      <c r="AP59" s="41"/>
      <c r="AR59" s="26"/>
      <c r="AS59" s="84"/>
      <c r="AT59" s="108"/>
      <c r="AV59" s="34"/>
      <c r="AW59" s="34"/>
      <c r="AX59" s="34"/>
      <c r="AY59" s="34"/>
      <c r="BB59" s="41"/>
      <c r="BC59" s="41"/>
      <c r="BD59" s="41"/>
      <c r="BE59" s="41"/>
      <c r="BG59" s="26"/>
      <c r="BI59" s="84"/>
      <c r="BK59" s="46"/>
      <c r="BL59" s="29">
        <f t="shared" si="41"/>
        <v>0.8</v>
      </c>
      <c r="BM59" s="30" t="s">
        <v>16</v>
      </c>
      <c r="BN59" s="102">
        <v>100</v>
      </c>
      <c r="BO59" s="52"/>
      <c r="BP59" s="60" t="s">
        <v>16</v>
      </c>
      <c r="BQ59" s="59">
        <v>48</v>
      </c>
    </row>
    <row r="60" spans="1:69" ht="24" hidden="1" customHeight="1" outlineLevel="1" x14ac:dyDescent="0.15">
      <c r="A60" s="106" t="s">
        <v>89</v>
      </c>
      <c r="B60" s="107" t="s">
        <v>58</v>
      </c>
      <c r="C60" s="95"/>
      <c r="E60" s="34"/>
      <c r="F60" s="34"/>
      <c r="G60" s="34"/>
      <c r="H60" s="34"/>
      <c r="K60" s="41"/>
      <c r="L60" s="41"/>
      <c r="M60" s="41"/>
      <c r="N60" s="41"/>
      <c r="P60" s="26"/>
      <c r="Q60" s="83">
        <f t="shared" si="9"/>
        <v>0</v>
      </c>
      <c r="S60" s="34"/>
      <c r="T60" s="34"/>
      <c r="U60" s="34"/>
      <c r="V60" s="34"/>
      <c r="Y60" s="41"/>
      <c r="Z60" s="41"/>
      <c r="AA60" s="41"/>
      <c r="AB60" s="41"/>
      <c r="AD60" s="26"/>
      <c r="AE60" s="84"/>
      <c r="AG60" s="34"/>
      <c r="AH60" s="34"/>
      <c r="AI60" s="34"/>
      <c r="AJ60" s="34"/>
      <c r="AM60" s="41"/>
      <c r="AN60" s="41"/>
      <c r="AO60" s="41"/>
      <c r="AP60" s="41"/>
      <c r="AR60" s="26"/>
      <c r="AS60" s="84"/>
      <c r="AT60" s="108"/>
      <c r="AV60" s="34"/>
      <c r="AW60" s="34"/>
      <c r="AX60" s="34"/>
      <c r="AY60" s="34"/>
      <c r="BB60" s="41"/>
      <c r="BC60" s="41"/>
      <c r="BD60" s="41"/>
      <c r="BE60" s="41"/>
      <c r="BG60" s="26"/>
      <c r="BI60" s="84"/>
      <c r="BK60" s="46"/>
      <c r="BL60" s="29">
        <f t="shared" si="41"/>
        <v>0.8</v>
      </c>
      <c r="BM60" s="30" t="s">
        <v>16</v>
      </c>
      <c r="BN60" s="102">
        <v>100</v>
      </c>
      <c r="BO60" s="52"/>
      <c r="BP60" s="60" t="s">
        <v>16</v>
      </c>
      <c r="BQ60" s="59">
        <v>49</v>
      </c>
    </row>
    <row r="61" spans="1:69" ht="24" hidden="1" customHeight="1" outlineLevel="1" x14ac:dyDescent="0.15">
      <c r="A61" s="106" t="s">
        <v>90</v>
      </c>
      <c r="B61" s="107" t="s">
        <v>65</v>
      </c>
      <c r="C61" s="95"/>
      <c r="E61" s="34"/>
      <c r="F61" s="34"/>
      <c r="G61" s="34"/>
      <c r="H61" s="34"/>
      <c r="K61" s="41"/>
      <c r="L61" s="41"/>
      <c r="M61" s="41"/>
      <c r="N61" s="41"/>
      <c r="P61" s="26"/>
      <c r="Q61" s="83">
        <f t="shared" si="9"/>
        <v>0</v>
      </c>
      <c r="S61" s="34"/>
      <c r="T61" s="34"/>
      <c r="U61" s="34"/>
      <c r="V61" s="34"/>
      <c r="Y61" s="41"/>
      <c r="Z61" s="41"/>
      <c r="AA61" s="41"/>
      <c r="AB61" s="41"/>
      <c r="AD61" s="26"/>
      <c r="AE61" s="84"/>
      <c r="AG61" s="34"/>
      <c r="AH61" s="34"/>
      <c r="AI61" s="34"/>
      <c r="AJ61" s="34"/>
      <c r="AM61" s="41"/>
      <c r="AN61" s="41"/>
      <c r="AO61" s="41"/>
      <c r="AP61" s="41"/>
      <c r="AR61" s="26"/>
      <c r="AS61" s="84"/>
      <c r="AT61" s="108"/>
      <c r="AV61" s="34"/>
      <c r="AW61" s="34"/>
      <c r="AX61" s="34"/>
      <c r="AY61" s="34"/>
      <c r="BB61" s="41"/>
      <c r="BC61" s="41"/>
      <c r="BD61" s="41"/>
      <c r="BE61" s="41"/>
      <c r="BG61" s="26"/>
      <c r="BI61" s="84"/>
      <c r="BK61" s="46"/>
      <c r="BL61" s="29">
        <f t="shared" si="41"/>
        <v>0.8</v>
      </c>
      <c r="BM61" s="30" t="s">
        <v>16</v>
      </c>
      <c r="BN61" s="102">
        <v>100</v>
      </c>
      <c r="BO61" s="52"/>
      <c r="BP61" s="60" t="s">
        <v>16</v>
      </c>
      <c r="BQ61" s="59">
        <v>50</v>
      </c>
    </row>
    <row r="62" spans="1:69" ht="24" hidden="1" customHeight="1" outlineLevel="1" x14ac:dyDescent="0.15">
      <c r="A62" s="106" t="s">
        <v>91</v>
      </c>
      <c r="B62" s="107" t="s">
        <v>72</v>
      </c>
      <c r="C62" s="95"/>
      <c r="E62" s="34"/>
      <c r="F62" s="34"/>
      <c r="G62" s="34"/>
      <c r="H62" s="34"/>
      <c r="K62" s="41"/>
      <c r="L62" s="41"/>
      <c r="M62" s="41"/>
      <c r="N62" s="41"/>
      <c r="P62" s="26"/>
      <c r="Q62" s="83">
        <f t="shared" si="9"/>
        <v>0</v>
      </c>
      <c r="S62" s="34"/>
      <c r="T62" s="34"/>
      <c r="U62" s="34"/>
      <c r="V62" s="34"/>
      <c r="Y62" s="41"/>
      <c r="Z62" s="41"/>
      <c r="AA62" s="41"/>
      <c r="AB62" s="41"/>
      <c r="AD62" s="26"/>
      <c r="AE62" s="84"/>
      <c r="AG62" s="34"/>
      <c r="AH62" s="34"/>
      <c r="AI62" s="34"/>
      <c r="AJ62" s="34"/>
      <c r="AM62" s="41"/>
      <c r="AN62" s="41"/>
      <c r="AO62" s="41"/>
      <c r="AP62" s="41"/>
      <c r="AR62" s="26"/>
      <c r="AS62" s="84"/>
      <c r="AT62" s="108"/>
      <c r="AV62" s="34"/>
      <c r="AW62" s="34"/>
      <c r="AX62" s="34"/>
      <c r="AY62" s="34"/>
      <c r="BB62" s="41"/>
      <c r="BC62" s="41"/>
      <c r="BD62" s="41"/>
      <c r="BE62" s="41"/>
      <c r="BG62" s="26"/>
      <c r="BI62" s="84"/>
      <c r="BK62" s="46"/>
      <c r="BL62" s="29">
        <f t="shared" si="41"/>
        <v>0.8</v>
      </c>
      <c r="BM62" s="30" t="s">
        <v>16</v>
      </c>
      <c r="BN62" s="102">
        <v>100</v>
      </c>
      <c r="BO62" s="52"/>
      <c r="BP62" s="60" t="s">
        <v>16</v>
      </c>
      <c r="BQ62" s="59">
        <v>51</v>
      </c>
    </row>
    <row r="63" spans="1:69" s="19" customFormat="1" ht="15" collapsed="1" thickBot="1" x14ac:dyDescent="0.2">
      <c r="A63" s="103"/>
      <c r="C63" s="96">
        <f>SUM(C3:C62)</f>
        <v>17650000</v>
      </c>
      <c r="D63" s="99"/>
      <c r="E63" s="62"/>
      <c r="F63" s="62"/>
      <c r="G63" s="62"/>
      <c r="H63" s="62"/>
      <c r="K63" s="61"/>
      <c r="L63" s="61"/>
      <c r="M63" s="61"/>
      <c r="N63" s="61"/>
      <c r="O63" s="20"/>
      <c r="P63" s="31"/>
      <c r="Q63" s="96"/>
      <c r="R63" s="20"/>
      <c r="S63" s="62"/>
      <c r="T63" s="62"/>
      <c r="U63" s="62"/>
      <c r="V63" s="62"/>
      <c r="Y63" s="61"/>
      <c r="Z63" s="61"/>
      <c r="AA63" s="61"/>
      <c r="AB63" s="61"/>
      <c r="AD63" s="31"/>
      <c r="AE63" s="87"/>
      <c r="AF63" s="20"/>
      <c r="AG63" s="62"/>
      <c r="AH63" s="62"/>
      <c r="AI63" s="62"/>
      <c r="AJ63" s="62"/>
      <c r="AM63" s="61"/>
      <c r="AN63" s="61"/>
      <c r="AO63" s="61"/>
      <c r="AP63" s="61"/>
      <c r="AQ63" s="20"/>
      <c r="AR63" s="31"/>
      <c r="AS63" s="87"/>
      <c r="AT63" s="100"/>
      <c r="AU63" s="20"/>
      <c r="AV63" s="62"/>
      <c r="AW63" s="62"/>
      <c r="AX63" s="62"/>
      <c r="AY63" s="62"/>
      <c r="BB63" s="61">
        <f>SUM(BB39:BB62)</f>
        <v>0</v>
      </c>
      <c r="BC63" s="61">
        <f>SUM(BC39:BC62)</f>
        <v>0</v>
      </c>
      <c r="BD63" s="61">
        <f>SUM(BD39:BD62)</f>
        <v>0</v>
      </c>
      <c r="BE63" s="61">
        <f>SUM(BE39:BE62)</f>
        <v>0</v>
      </c>
      <c r="BG63" s="31">
        <f>SUM(BG3:BG62)</f>
        <v>0</v>
      </c>
      <c r="BH63" s="20"/>
      <c r="BI63" s="87">
        <f>SUM(BI3:BI62)</f>
        <v>16430000</v>
      </c>
      <c r="BK63" s="27">
        <f>SUM(BK3:BK62)</f>
        <v>4803.8</v>
      </c>
    </row>
    <row r="64" spans="1:69" s="22" customFormat="1" ht="15" thickTop="1" x14ac:dyDescent="0.15">
      <c r="A64" s="105"/>
      <c r="C64" s="97"/>
      <c r="D64" s="99"/>
      <c r="O64" s="20"/>
      <c r="Q64" s="88"/>
      <c r="R64" s="20"/>
      <c r="W64" s="19"/>
      <c r="AE64" s="88"/>
      <c r="AF64" s="20"/>
      <c r="AK64" s="19"/>
      <c r="AQ64" s="20"/>
      <c r="AS64" s="88"/>
      <c r="AT64" s="88"/>
      <c r="AU64" s="20"/>
      <c r="AZ64" s="19"/>
      <c r="BF64" s="19"/>
      <c r="BH64" s="20"/>
      <c r="BI64" s="91"/>
      <c r="BJ64" s="19"/>
    </row>
    <row r="65" spans="1:63" s="19" customFormat="1" ht="14.1" x14ac:dyDescent="0.15">
      <c r="A65" s="103"/>
      <c r="C65" s="93"/>
      <c r="D65" s="99"/>
      <c r="K65" s="20"/>
      <c r="L65" s="20"/>
      <c r="M65" s="20"/>
      <c r="N65" s="20"/>
      <c r="O65" s="20"/>
      <c r="P65" s="20"/>
      <c r="Q65" s="81"/>
      <c r="R65" s="20"/>
      <c r="Y65" s="20"/>
      <c r="Z65" s="20"/>
      <c r="AA65" s="20"/>
      <c r="AB65" s="20"/>
      <c r="AD65" s="20"/>
      <c r="AE65" s="81"/>
      <c r="AF65" s="20"/>
      <c r="AM65" s="20"/>
      <c r="AN65" s="20"/>
      <c r="AO65" s="20"/>
      <c r="AP65" s="20"/>
      <c r="AQ65" s="20"/>
      <c r="AR65" s="20"/>
      <c r="AS65" s="81"/>
      <c r="AT65" s="81"/>
      <c r="AU65" s="20"/>
      <c r="BB65" s="20"/>
      <c r="BC65" s="20"/>
      <c r="BD65" s="20"/>
      <c r="BE65" s="20"/>
      <c r="BG65" s="20"/>
      <c r="BH65" s="20"/>
      <c r="BI65" s="90"/>
    </row>
    <row r="66" spans="1:63" s="19" customFormat="1" ht="14.1" x14ac:dyDescent="0.15">
      <c r="A66" s="103"/>
      <c r="C66" s="93"/>
      <c r="D66" s="99"/>
      <c r="K66" s="20"/>
      <c r="L66" s="20"/>
      <c r="M66" s="20"/>
      <c r="N66" s="20"/>
      <c r="O66" s="20"/>
      <c r="P66" s="110"/>
      <c r="Q66" s="81"/>
      <c r="R66" s="20"/>
      <c r="Y66" s="20"/>
      <c r="Z66" s="20"/>
      <c r="AA66" s="20"/>
      <c r="AB66" s="20"/>
      <c r="AD66" s="20"/>
      <c r="AE66" s="81"/>
      <c r="AF66" s="20"/>
      <c r="AM66" s="20"/>
      <c r="AN66" s="20"/>
      <c r="AO66" s="20"/>
      <c r="AP66" s="20"/>
      <c r="AQ66" s="20"/>
      <c r="AR66" s="20"/>
      <c r="AS66" s="81"/>
      <c r="AT66" s="81"/>
      <c r="AU66" s="20"/>
      <c r="BB66" s="20"/>
      <c r="BC66" s="20"/>
      <c r="BD66" s="20"/>
      <c r="BE66" s="20"/>
      <c r="BG66" s="20"/>
      <c r="BH66" s="20"/>
      <c r="BI66" s="90"/>
    </row>
    <row r="67" spans="1:63" s="19" customFormat="1" ht="14.1" x14ac:dyDescent="0.15">
      <c r="A67" s="103"/>
      <c r="C67" s="93"/>
      <c r="D67" s="99"/>
      <c r="K67" s="20"/>
      <c r="L67" s="20"/>
      <c r="M67" s="20"/>
      <c r="N67" s="20"/>
      <c r="O67" s="20"/>
      <c r="P67" s="20"/>
      <c r="Q67" s="81"/>
      <c r="R67" s="20"/>
      <c r="Y67" s="20"/>
      <c r="Z67" s="20"/>
      <c r="AA67" s="20"/>
      <c r="AB67" s="20"/>
      <c r="AD67" s="20">
        <f>0.08*Q63</f>
        <v>0</v>
      </c>
      <c r="AE67" s="81"/>
      <c r="AF67" s="20"/>
      <c r="AM67" s="20"/>
      <c r="AN67" s="20"/>
      <c r="AO67" s="20"/>
      <c r="AP67" s="20"/>
      <c r="AQ67" s="20"/>
      <c r="AR67" s="20">
        <f>0.08*AE63</f>
        <v>0</v>
      </c>
      <c r="AS67" s="81"/>
      <c r="AT67" s="81"/>
      <c r="AU67" s="20"/>
      <c r="BB67" s="20"/>
      <c r="BC67" s="20"/>
      <c r="BD67" s="20"/>
      <c r="BE67" s="20"/>
      <c r="BG67" s="20">
        <f>0.08*AS63</f>
        <v>0</v>
      </c>
      <c r="BH67" s="20"/>
      <c r="BI67" s="90"/>
      <c r="BK67" s="19">
        <f>32/27</f>
        <v>1.1851851851851851</v>
      </c>
    </row>
    <row r="68" spans="1:63" s="19" customFormat="1" ht="14.1" x14ac:dyDescent="0.15">
      <c r="A68" s="103"/>
      <c r="C68" s="93"/>
      <c r="D68" s="99"/>
      <c r="K68" s="20"/>
      <c r="L68" s="20"/>
      <c r="M68" s="20"/>
      <c r="N68" s="20"/>
      <c r="O68" s="20"/>
      <c r="P68" s="20"/>
      <c r="Q68" s="81"/>
      <c r="R68" s="20"/>
      <c r="Y68" s="20"/>
      <c r="Z68" s="20"/>
      <c r="AA68" s="20"/>
      <c r="AB68" s="20"/>
      <c r="AD68" s="20"/>
      <c r="AE68" s="81"/>
      <c r="AF68" s="20"/>
      <c r="AM68" s="20"/>
      <c r="AN68" s="20"/>
      <c r="AO68" s="20"/>
      <c r="AP68" s="20"/>
      <c r="AQ68" s="20"/>
      <c r="AR68" s="20"/>
      <c r="AS68" s="81"/>
      <c r="AT68" s="81"/>
      <c r="AU68" s="20"/>
      <c r="BB68" s="20"/>
      <c r="BC68" s="20"/>
      <c r="BD68" s="20"/>
      <c r="BE68" s="20"/>
      <c r="BG68" s="20"/>
      <c r="BH68" s="20"/>
      <c r="BI68" s="90"/>
    </row>
    <row r="69" spans="1:63" s="19" customFormat="1" ht="14.1" x14ac:dyDescent="0.15">
      <c r="A69" s="103"/>
      <c r="C69" s="93"/>
      <c r="D69" s="99"/>
      <c r="K69" s="20"/>
      <c r="L69" s="20"/>
      <c r="M69" s="20"/>
      <c r="N69" s="20"/>
      <c r="O69" s="20"/>
      <c r="P69" s="20"/>
      <c r="Q69" s="81"/>
      <c r="R69" s="20"/>
      <c r="Y69" s="20"/>
      <c r="Z69" s="20"/>
      <c r="AA69" s="20"/>
      <c r="AB69" s="20"/>
      <c r="AD69" s="20"/>
      <c r="AE69" s="81"/>
      <c r="AF69" s="20"/>
      <c r="AM69" s="20"/>
      <c r="AN69" s="20"/>
      <c r="AO69" s="20"/>
      <c r="AP69" s="20"/>
      <c r="AQ69" s="20"/>
      <c r="AR69" s="20"/>
      <c r="AS69" s="81"/>
      <c r="AT69" s="81"/>
      <c r="AU69" s="20"/>
      <c r="BB69" s="20"/>
      <c r="BC69" s="20"/>
      <c r="BD69" s="20"/>
      <c r="BE69" s="20"/>
      <c r="BG69" s="20"/>
      <c r="BH69" s="20"/>
      <c r="BI69" s="90"/>
    </row>
    <row r="70" spans="1:63" s="19" customFormat="1" ht="14.1" x14ac:dyDescent="0.15">
      <c r="A70" s="103"/>
      <c r="C70" s="93"/>
      <c r="D70" s="99"/>
      <c r="K70" s="20"/>
      <c r="L70" s="20"/>
      <c r="M70" s="20"/>
      <c r="N70" s="20"/>
      <c r="O70" s="20"/>
      <c r="P70" s="20"/>
      <c r="Q70" s="81"/>
      <c r="R70" s="20"/>
      <c r="Y70" s="20"/>
      <c r="Z70" s="20"/>
      <c r="AA70" s="20"/>
      <c r="AB70" s="20"/>
      <c r="AD70" s="20"/>
      <c r="AE70" s="81"/>
      <c r="AF70" s="20"/>
      <c r="AM70" s="20"/>
      <c r="AN70" s="20"/>
      <c r="AO70" s="20"/>
      <c r="AP70" s="20"/>
      <c r="AQ70" s="20"/>
      <c r="AR70" s="20"/>
      <c r="AS70" s="81"/>
      <c r="AT70" s="81"/>
      <c r="AU70" s="20"/>
      <c r="BB70" s="20"/>
      <c r="BC70" s="20"/>
      <c r="BD70" s="20"/>
      <c r="BE70" s="20"/>
      <c r="BG70" s="20"/>
      <c r="BH70" s="20"/>
      <c r="BI70" s="90"/>
    </row>
    <row r="71" spans="1:63" s="19" customFormat="1" ht="14.1" x14ac:dyDescent="0.15">
      <c r="A71" s="103"/>
      <c r="C71" s="93"/>
      <c r="D71" s="99"/>
      <c r="K71" s="20"/>
      <c r="L71" s="20"/>
      <c r="M71" s="20"/>
      <c r="N71" s="20"/>
      <c r="O71" s="20"/>
      <c r="P71" s="20"/>
      <c r="Q71" s="81"/>
      <c r="R71" s="20"/>
      <c r="Y71" s="20"/>
      <c r="Z71" s="20"/>
      <c r="AA71" s="20"/>
      <c r="AB71" s="20"/>
      <c r="AD71" s="20"/>
      <c r="AE71" s="81"/>
      <c r="AF71" s="20"/>
      <c r="AM71" s="20"/>
      <c r="AN71" s="20"/>
      <c r="AO71" s="20"/>
      <c r="AP71" s="20"/>
      <c r="AQ71" s="20"/>
      <c r="AR71" s="20"/>
      <c r="AS71" s="81"/>
      <c r="AT71" s="81"/>
      <c r="AU71" s="20"/>
      <c r="BB71" s="20"/>
      <c r="BC71" s="20"/>
      <c r="BD71" s="20"/>
      <c r="BE71" s="20"/>
      <c r="BG71" s="20"/>
      <c r="BH71" s="20"/>
      <c r="BI71" s="90"/>
    </row>
    <row r="72" spans="1:63" s="19" customFormat="1" ht="14.1" x14ac:dyDescent="0.15">
      <c r="A72" s="103"/>
      <c r="C72" s="93"/>
      <c r="D72" s="99"/>
      <c r="K72" s="20"/>
      <c r="L72" s="20"/>
      <c r="M72" s="20"/>
      <c r="N72" s="20"/>
      <c r="O72" s="20"/>
      <c r="P72" s="20"/>
      <c r="Q72" s="81"/>
      <c r="R72" s="20"/>
      <c r="Y72" s="20"/>
      <c r="Z72" s="20"/>
      <c r="AA72" s="20"/>
      <c r="AB72" s="20"/>
      <c r="AD72" s="20"/>
      <c r="AE72" s="81"/>
      <c r="AF72" s="20"/>
      <c r="AM72" s="20"/>
      <c r="AN72" s="20"/>
      <c r="AO72" s="20"/>
      <c r="AP72" s="20"/>
      <c r="AQ72" s="20"/>
      <c r="AR72" s="20"/>
      <c r="AS72" s="81"/>
      <c r="AT72" s="81"/>
      <c r="AU72" s="20"/>
      <c r="BB72" s="20"/>
      <c r="BC72" s="20"/>
      <c r="BD72" s="20"/>
      <c r="BE72" s="20"/>
      <c r="BG72" s="20"/>
      <c r="BH72" s="20"/>
      <c r="BI72" s="90"/>
    </row>
    <row r="73" spans="1:63" s="19" customFormat="1" ht="14.1" x14ac:dyDescent="0.15">
      <c r="A73" s="103"/>
      <c r="C73" s="93"/>
      <c r="D73" s="99"/>
      <c r="K73" s="20"/>
      <c r="L73" s="20"/>
      <c r="M73" s="20"/>
      <c r="N73" s="20"/>
      <c r="O73" s="20"/>
      <c r="P73" s="20"/>
      <c r="Q73" s="81"/>
      <c r="R73" s="20"/>
      <c r="Y73" s="20"/>
      <c r="Z73" s="20"/>
      <c r="AA73" s="20"/>
      <c r="AB73" s="20"/>
      <c r="AD73" s="20"/>
      <c r="AE73" s="81"/>
      <c r="AF73" s="20"/>
      <c r="AM73" s="20"/>
      <c r="AN73" s="20"/>
      <c r="AO73" s="20"/>
      <c r="AP73" s="20"/>
      <c r="AQ73" s="20"/>
      <c r="AR73" s="20"/>
      <c r="AS73" s="81"/>
      <c r="AT73" s="81"/>
      <c r="AU73" s="20"/>
      <c r="BB73" s="20"/>
      <c r="BC73" s="20"/>
      <c r="BD73" s="20"/>
      <c r="BE73" s="20"/>
      <c r="BG73" s="20"/>
      <c r="BH73" s="20"/>
      <c r="BI73" s="90"/>
    </row>
    <row r="74" spans="1:63" s="19" customFormat="1" ht="14.1" x14ac:dyDescent="0.15">
      <c r="A74" s="103"/>
      <c r="C74" s="93"/>
      <c r="D74" s="99"/>
      <c r="K74" s="20"/>
      <c r="L74" s="20"/>
      <c r="M74" s="20"/>
      <c r="N74" s="20"/>
      <c r="O74" s="20"/>
      <c r="P74" s="20"/>
      <c r="Q74" s="81"/>
      <c r="R74" s="20"/>
      <c r="Y74" s="20"/>
      <c r="Z74" s="20"/>
      <c r="AA74" s="20"/>
      <c r="AB74" s="20"/>
      <c r="AD74" s="20"/>
      <c r="AE74" s="81"/>
      <c r="AF74" s="20"/>
      <c r="AM74" s="20"/>
      <c r="AN74" s="20"/>
      <c r="AO74" s="20"/>
      <c r="AP74" s="20"/>
      <c r="AQ74" s="20"/>
      <c r="AR74" s="20"/>
      <c r="AS74" s="81"/>
      <c r="AT74" s="81"/>
      <c r="AU74" s="20"/>
      <c r="BB74" s="20"/>
      <c r="BC74" s="20"/>
      <c r="BD74" s="20"/>
      <c r="BE74" s="20"/>
      <c r="BG74" s="20"/>
      <c r="BH74" s="20"/>
      <c r="BI74" s="90"/>
    </row>
    <row r="75" spans="1:63" s="19" customFormat="1" ht="14.1" x14ac:dyDescent="0.15">
      <c r="A75" s="103"/>
      <c r="C75" s="93"/>
      <c r="D75" s="99"/>
      <c r="K75" s="20"/>
      <c r="L75" s="20"/>
      <c r="M75" s="20"/>
      <c r="N75" s="20"/>
      <c r="O75" s="20"/>
      <c r="P75" s="20"/>
      <c r="Q75" s="81"/>
      <c r="R75" s="20"/>
      <c r="Y75" s="20"/>
      <c r="Z75" s="20"/>
      <c r="AA75" s="20"/>
      <c r="AB75" s="20"/>
      <c r="AD75" s="20"/>
      <c r="AE75" s="81"/>
      <c r="AF75" s="20"/>
      <c r="AM75" s="20"/>
      <c r="AN75" s="20"/>
      <c r="AO75" s="20"/>
      <c r="AP75" s="20"/>
      <c r="AQ75" s="20"/>
      <c r="AR75" s="20"/>
      <c r="AS75" s="81"/>
      <c r="AT75" s="81"/>
      <c r="AU75" s="20"/>
      <c r="BB75" s="20"/>
      <c r="BC75" s="20"/>
      <c r="BD75" s="20"/>
      <c r="BE75" s="20"/>
      <c r="BG75" s="20"/>
      <c r="BH75" s="20"/>
      <c r="BI75" s="90"/>
    </row>
    <row r="76" spans="1:63" s="19" customFormat="1" ht="14.1" x14ac:dyDescent="0.15">
      <c r="A76" s="103"/>
      <c r="C76" s="93"/>
      <c r="D76" s="99"/>
      <c r="K76" s="20"/>
      <c r="L76" s="20"/>
      <c r="M76" s="20"/>
      <c r="N76" s="20"/>
      <c r="O76" s="20"/>
      <c r="P76" s="20"/>
      <c r="Q76" s="81"/>
      <c r="R76" s="20"/>
      <c r="Y76" s="20"/>
      <c r="Z76" s="20"/>
      <c r="AA76" s="20"/>
      <c r="AB76" s="20"/>
      <c r="AD76" s="20"/>
      <c r="AE76" s="81"/>
      <c r="AF76" s="20"/>
      <c r="AM76" s="20"/>
      <c r="AN76" s="20"/>
      <c r="AO76" s="20"/>
      <c r="AP76" s="20"/>
      <c r="AQ76" s="20"/>
      <c r="AR76" s="20"/>
      <c r="AS76" s="81"/>
      <c r="AT76" s="81"/>
      <c r="AU76" s="20"/>
      <c r="BB76" s="20"/>
      <c r="BC76" s="20"/>
      <c r="BD76" s="20"/>
      <c r="BE76" s="20"/>
      <c r="BG76" s="20"/>
      <c r="BH76" s="20"/>
      <c r="BI76" s="90"/>
    </row>
    <row r="77" spans="1:63" s="19" customFormat="1" ht="14.1" x14ac:dyDescent="0.15">
      <c r="A77" s="103"/>
      <c r="C77" s="93"/>
      <c r="D77" s="99"/>
      <c r="K77" s="20"/>
      <c r="L77" s="20"/>
      <c r="M77" s="20"/>
      <c r="N77" s="20"/>
      <c r="O77" s="20"/>
      <c r="P77" s="20"/>
      <c r="Q77" s="81"/>
      <c r="R77" s="20"/>
      <c r="Y77" s="20"/>
      <c r="Z77" s="20"/>
      <c r="AA77" s="20"/>
      <c r="AB77" s="20"/>
      <c r="AD77" s="20"/>
      <c r="AE77" s="81"/>
      <c r="AF77" s="20"/>
      <c r="AM77" s="20"/>
      <c r="AN77" s="20"/>
      <c r="AO77" s="20"/>
      <c r="AP77" s="20"/>
      <c r="AQ77" s="20"/>
      <c r="AR77" s="20"/>
      <c r="AS77" s="81"/>
      <c r="AT77" s="81"/>
      <c r="AU77" s="20"/>
      <c r="BB77" s="20"/>
      <c r="BC77" s="20"/>
      <c r="BD77" s="20"/>
      <c r="BE77" s="20"/>
      <c r="BG77" s="20"/>
      <c r="BH77" s="20"/>
      <c r="BI77" s="90"/>
    </row>
    <row r="78" spans="1:63" s="19" customFormat="1" ht="14.1" x14ac:dyDescent="0.15">
      <c r="A78" s="103"/>
      <c r="C78" s="93"/>
      <c r="D78" s="99"/>
      <c r="K78" s="20"/>
      <c r="L78" s="20"/>
      <c r="M78" s="20"/>
      <c r="N78" s="20"/>
      <c r="O78" s="20"/>
      <c r="P78" s="20"/>
      <c r="Q78" s="81"/>
      <c r="R78" s="20"/>
      <c r="Y78" s="20"/>
      <c r="Z78" s="20"/>
      <c r="AA78" s="20"/>
      <c r="AB78" s="20"/>
      <c r="AD78" s="20"/>
      <c r="AE78" s="81"/>
      <c r="AF78" s="20"/>
      <c r="AM78" s="20"/>
      <c r="AN78" s="20"/>
      <c r="AO78" s="20"/>
      <c r="AP78" s="20"/>
      <c r="AQ78" s="20"/>
      <c r="AR78" s="20"/>
      <c r="AS78" s="81"/>
      <c r="AT78" s="81"/>
      <c r="AU78" s="20"/>
      <c r="BB78" s="20"/>
      <c r="BC78" s="20"/>
      <c r="BD78" s="20"/>
      <c r="BE78" s="20"/>
      <c r="BG78" s="20"/>
      <c r="BH78" s="20"/>
      <c r="BI78" s="90"/>
    </row>
    <row r="79" spans="1:63" s="19" customFormat="1" ht="14.1" x14ac:dyDescent="0.15">
      <c r="A79" s="103"/>
      <c r="C79" s="93"/>
      <c r="D79" s="99"/>
      <c r="K79" s="20"/>
      <c r="L79" s="20"/>
      <c r="M79" s="20"/>
      <c r="N79" s="20"/>
      <c r="O79" s="20"/>
      <c r="P79" s="20"/>
      <c r="Q79" s="81"/>
      <c r="R79" s="20"/>
      <c r="Y79" s="20"/>
      <c r="Z79" s="20"/>
      <c r="AA79" s="20"/>
      <c r="AB79" s="20"/>
      <c r="AD79" s="20"/>
      <c r="AE79" s="81"/>
      <c r="AF79" s="20"/>
      <c r="AM79" s="20"/>
      <c r="AN79" s="20"/>
      <c r="AO79" s="20"/>
      <c r="AP79" s="20"/>
      <c r="AQ79" s="20"/>
      <c r="AR79" s="20"/>
      <c r="AS79" s="81"/>
      <c r="AT79" s="81"/>
      <c r="AU79" s="20"/>
      <c r="BB79" s="20"/>
      <c r="BC79" s="20"/>
      <c r="BD79" s="20"/>
      <c r="BE79" s="20"/>
      <c r="BG79" s="20"/>
      <c r="BH79" s="20"/>
      <c r="BI79" s="90"/>
    </row>
    <row r="80" spans="1:63" s="19" customFormat="1" ht="14.1" x14ac:dyDescent="0.15">
      <c r="A80" s="103"/>
      <c r="C80" s="93"/>
      <c r="D80" s="99"/>
      <c r="K80" s="20"/>
      <c r="L80" s="20"/>
      <c r="M80" s="20"/>
      <c r="N80" s="20"/>
      <c r="O80" s="20"/>
      <c r="P80" s="20"/>
      <c r="Q80" s="81"/>
      <c r="R80" s="20"/>
      <c r="Y80" s="20"/>
      <c r="Z80" s="20"/>
      <c r="AA80" s="20"/>
      <c r="AB80" s="20"/>
      <c r="AD80" s="20"/>
      <c r="AE80" s="81"/>
      <c r="AF80" s="20"/>
      <c r="AM80" s="20"/>
      <c r="AN80" s="20"/>
      <c r="AO80" s="20"/>
      <c r="AP80" s="20"/>
      <c r="AQ80" s="20"/>
      <c r="AR80" s="20"/>
      <c r="AS80" s="81"/>
      <c r="AT80" s="81"/>
      <c r="AU80" s="20"/>
      <c r="BB80" s="20"/>
      <c r="BC80" s="20"/>
      <c r="BD80" s="20"/>
      <c r="BE80" s="20"/>
      <c r="BG80" s="20"/>
      <c r="BH80" s="20"/>
      <c r="BI80" s="90"/>
    </row>
    <row r="81" spans="1:61" s="19" customFormat="1" x14ac:dyDescent="0.3">
      <c r="A81" s="103"/>
      <c r="C81" s="93"/>
      <c r="D81" s="99"/>
      <c r="K81" s="20"/>
      <c r="L81" s="20"/>
      <c r="M81" s="20"/>
      <c r="N81" s="20"/>
      <c r="O81" s="20"/>
      <c r="P81" s="20"/>
      <c r="Q81" s="81"/>
      <c r="R81" s="20"/>
      <c r="Y81" s="20"/>
      <c r="Z81" s="20"/>
      <c r="AA81" s="20"/>
      <c r="AB81" s="20"/>
      <c r="AD81" s="20"/>
      <c r="AE81" s="81"/>
      <c r="AF81" s="20"/>
      <c r="AM81" s="20"/>
      <c r="AN81" s="20"/>
      <c r="AO81" s="20"/>
      <c r="AP81" s="20"/>
      <c r="AQ81" s="20"/>
      <c r="AR81" s="20"/>
      <c r="AS81" s="81"/>
      <c r="AT81" s="81"/>
      <c r="AU81" s="20"/>
      <c r="BB81" s="20"/>
      <c r="BC81" s="20"/>
      <c r="BD81" s="20"/>
      <c r="BE81" s="20"/>
      <c r="BG81" s="20"/>
      <c r="BH81" s="20"/>
      <c r="BI81" s="90"/>
    </row>
    <row r="82" spans="1:61" s="19" customFormat="1" x14ac:dyDescent="0.3">
      <c r="A82" s="103"/>
      <c r="C82" s="93"/>
      <c r="D82" s="99"/>
      <c r="K82" s="20"/>
      <c r="L82" s="20"/>
      <c r="M82" s="20"/>
      <c r="N82" s="20"/>
      <c r="O82" s="20"/>
      <c r="P82" s="20"/>
      <c r="Q82" s="81"/>
      <c r="R82" s="20"/>
      <c r="Y82" s="20"/>
      <c r="Z82" s="20"/>
      <c r="AA82" s="20"/>
      <c r="AB82" s="20"/>
      <c r="AD82" s="20"/>
      <c r="AE82" s="81"/>
      <c r="AF82" s="20"/>
      <c r="AM82" s="20"/>
      <c r="AN82" s="20"/>
      <c r="AO82" s="20"/>
      <c r="AP82" s="20"/>
      <c r="AQ82" s="20"/>
      <c r="AR82" s="20"/>
      <c r="AS82" s="81"/>
      <c r="AT82" s="81"/>
      <c r="AU82" s="20"/>
      <c r="BB82" s="20"/>
      <c r="BC82" s="20"/>
      <c r="BD82" s="20"/>
      <c r="BE82" s="20"/>
      <c r="BG82" s="20"/>
      <c r="BH82" s="20"/>
      <c r="BI82" s="90"/>
    </row>
    <row r="83" spans="1:61" s="19" customFormat="1" x14ac:dyDescent="0.3">
      <c r="A83" s="103"/>
      <c r="C83" s="93"/>
      <c r="D83" s="99"/>
      <c r="K83" s="20"/>
      <c r="L83" s="20"/>
      <c r="M83" s="20"/>
      <c r="N83" s="20"/>
      <c r="O83" s="20"/>
      <c r="P83" s="20"/>
      <c r="Q83" s="81"/>
      <c r="R83" s="20"/>
      <c r="Y83" s="20"/>
      <c r="Z83" s="20"/>
      <c r="AA83" s="20"/>
      <c r="AB83" s="20"/>
      <c r="AD83" s="20"/>
      <c r="AE83" s="81"/>
      <c r="AF83" s="20"/>
      <c r="AM83" s="20"/>
      <c r="AN83" s="20"/>
      <c r="AO83" s="20"/>
      <c r="AP83" s="20"/>
      <c r="AQ83" s="20"/>
      <c r="AR83" s="20"/>
      <c r="AS83" s="81"/>
      <c r="AT83" s="81"/>
      <c r="AU83" s="20"/>
      <c r="BB83" s="20"/>
      <c r="BC83" s="20"/>
      <c r="BD83" s="20"/>
      <c r="BE83" s="20"/>
      <c r="BG83" s="20"/>
      <c r="BH83" s="20"/>
      <c r="BI83" s="90"/>
    </row>
    <row r="84" spans="1:61" s="19" customFormat="1" x14ac:dyDescent="0.3">
      <c r="A84" s="103"/>
      <c r="C84" s="93"/>
      <c r="D84" s="99"/>
      <c r="K84" s="20"/>
      <c r="L84" s="20"/>
      <c r="M84" s="20"/>
      <c r="N84" s="20"/>
      <c r="O84" s="20"/>
      <c r="P84" s="20"/>
      <c r="Q84" s="81"/>
      <c r="R84" s="20"/>
      <c r="Y84" s="20"/>
      <c r="Z84" s="20"/>
      <c r="AA84" s="20"/>
      <c r="AB84" s="20"/>
      <c r="AD84" s="20"/>
      <c r="AE84" s="81"/>
      <c r="AF84" s="20"/>
      <c r="AM84" s="20"/>
      <c r="AN84" s="20"/>
      <c r="AO84" s="20"/>
      <c r="AP84" s="20"/>
      <c r="AQ84" s="20"/>
      <c r="AR84" s="20"/>
      <c r="AS84" s="81"/>
      <c r="AT84" s="81"/>
      <c r="AU84" s="20"/>
      <c r="BB84" s="20"/>
      <c r="BC84" s="20"/>
      <c r="BD84" s="20"/>
      <c r="BE84" s="20"/>
      <c r="BG84" s="20"/>
      <c r="BH84" s="20"/>
      <c r="BI84" s="90"/>
    </row>
    <row r="85" spans="1:61" s="19" customFormat="1" x14ac:dyDescent="0.3">
      <c r="A85" s="103"/>
      <c r="C85" s="93"/>
      <c r="D85" s="99"/>
      <c r="K85" s="20"/>
      <c r="L85" s="20"/>
      <c r="M85" s="20"/>
      <c r="N85" s="20"/>
      <c r="O85" s="20"/>
      <c r="P85" s="20"/>
      <c r="Q85" s="81"/>
      <c r="R85" s="20"/>
      <c r="Y85" s="20"/>
      <c r="Z85" s="20"/>
      <c r="AA85" s="20"/>
      <c r="AB85" s="20"/>
      <c r="AD85" s="20"/>
      <c r="AE85" s="81"/>
      <c r="AF85" s="20"/>
      <c r="AM85" s="20"/>
      <c r="AN85" s="20"/>
      <c r="AO85" s="20"/>
      <c r="AP85" s="20"/>
      <c r="AQ85" s="20"/>
      <c r="AR85" s="20"/>
      <c r="AS85" s="81"/>
      <c r="AT85" s="81"/>
      <c r="AU85" s="20"/>
      <c r="BB85" s="20"/>
      <c r="BC85" s="20"/>
      <c r="BD85" s="20"/>
      <c r="BE85" s="20"/>
      <c r="BG85" s="20"/>
      <c r="BH85" s="20"/>
      <c r="BI85" s="90"/>
    </row>
    <row r="86" spans="1:61" s="19" customFormat="1" x14ac:dyDescent="0.3">
      <c r="A86" s="103"/>
      <c r="C86" s="93"/>
      <c r="D86" s="99"/>
      <c r="K86" s="20"/>
      <c r="L86" s="20"/>
      <c r="M86" s="20"/>
      <c r="N86" s="20"/>
      <c r="O86" s="20"/>
      <c r="P86" s="20"/>
      <c r="Q86" s="81"/>
      <c r="R86" s="20"/>
      <c r="Y86" s="20"/>
      <c r="Z86" s="20"/>
      <c r="AA86" s="20"/>
      <c r="AB86" s="20"/>
      <c r="AD86" s="20"/>
      <c r="AE86" s="81"/>
      <c r="AF86" s="20"/>
      <c r="AM86" s="20"/>
      <c r="AN86" s="20"/>
      <c r="AO86" s="20"/>
      <c r="AP86" s="20"/>
      <c r="AQ86" s="20"/>
      <c r="AR86" s="20"/>
      <c r="AS86" s="81"/>
      <c r="AT86" s="81"/>
      <c r="AU86" s="20"/>
      <c r="BB86" s="20"/>
      <c r="BC86" s="20"/>
      <c r="BD86" s="20"/>
      <c r="BE86" s="20"/>
      <c r="BG86" s="20"/>
      <c r="BH86" s="20"/>
      <c r="BI86" s="90"/>
    </row>
    <row r="87" spans="1:61" s="19" customFormat="1" x14ac:dyDescent="0.3">
      <c r="A87" s="103"/>
      <c r="C87" s="93"/>
      <c r="D87" s="99"/>
      <c r="K87" s="20"/>
      <c r="L87" s="20"/>
      <c r="M87" s="20"/>
      <c r="N87" s="20"/>
      <c r="O87" s="20"/>
      <c r="P87" s="20"/>
      <c r="Q87" s="81"/>
      <c r="R87" s="20"/>
      <c r="Y87" s="20"/>
      <c r="Z87" s="20"/>
      <c r="AA87" s="20"/>
      <c r="AB87" s="20"/>
      <c r="AD87" s="20"/>
      <c r="AE87" s="81"/>
      <c r="AF87" s="20"/>
      <c r="AM87" s="20"/>
      <c r="AN87" s="20"/>
      <c r="AO87" s="20"/>
      <c r="AP87" s="20"/>
      <c r="AQ87" s="20"/>
      <c r="AR87" s="20"/>
      <c r="AS87" s="81"/>
      <c r="AT87" s="81"/>
      <c r="AU87" s="20"/>
      <c r="BB87" s="20"/>
      <c r="BC87" s="20"/>
      <c r="BD87" s="20"/>
      <c r="BE87" s="20"/>
      <c r="BG87" s="20"/>
      <c r="BH87" s="20"/>
      <c r="BI87" s="90"/>
    </row>
    <row r="88" spans="1:61" s="19" customFormat="1" x14ac:dyDescent="0.3">
      <c r="A88" s="103"/>
      <c r="C88" s="93"/>
      <c r="D88" s="99"/>
      <c r="K88" s="20"/>
      <c r="L88" s="20"/>
      <c r="M88" s="20"/>
      <c r="N88" s="20"/>
      <c r="O88" s="20"/>
      <c r="P88" s="20"/>
      <c r="Q88" s="81"/>
      <c r="R88" s="20"/>
      <c r="Y88" s="20"/>
      <c r="Z88" s="20"/>
      <c r="AA88" s="20"/>
      <c r="AB88" s="20"/>
      <c r="AD88" s="20"/>
      <c r="AE88" s="81"/>
      <c r="AF88" s="20"/>
      <c r="AM88" s="20"/>
      <c r="AN88" s="20"/>
      <c r="AO88" s="20"/>
      <c r="AP88" s="20"/>
      <c r="AQ88" s="20"/>
      <c r="AR88" s="20"/>
      <c r="AS88" s="81"/>
      <c r="AT88" s="81"/>
      <c r="AU88" s="20"/>
      <c r="BB88" s="20"/>
      <c r="BC88" s="20"/>
      <c r="BD88" s="20"/>
      <c r="BE88" s="20"/>
      <c r="BG88" s="20"/>
      <c r="BH88" s="20"/>
      <c r="BI88" s="90"/>
    </row>
    <row r="89" spans="1:61" s="19" customFormat="1" x14ac:dyDescent="0.3">
      <c r="A89" s="103"/>
      <c r="C89" s="93"/>
      <c r="D89" s="99"/>
      <c r="K89" s="20"/>
      <c r="L89" s="20"/>
      <c r="M89" s="20"/>
      <c r="N89" s="20"/>
      <c r="O89" s="20"/>
      <c r="P89" s="20"/>
      <c r="Q89" s="81"/>
      <c r="R89" s="20"/>
      <c r="Y89" s="20"/>
      <c r="Z89" s="20"/>
      <c r="AA89" s="20"/>
      <c r="AB89" s="20"/>
      <c r="AD89" s="20"/>
      <c r="AE89" s="81"/>
      <c r="AF89" s="20"/>
      <c r="AM89" s="20"/>
      <c r="AN89" s="20"/>
      <c r="AO89" s="20"/>
      <c r="AP89" s="20"/>
      <c r="AQ89" s="20"/>
      <c r="AR89" s="20"/>
      <c r="AS89" s="81"/>
      <c r="AT89" s="81"/>
      <c r="AU89" s="20"/>
      <c r="BB89" s="20"/>
      <c r="BC89" s="20"/>
      <c r="BD89" s="20"/>
      <c r="BE89" s="20"/>
      <c r="BG89" s="20"/>
      <c r="BH89" s="20"/>
      <c r="BI89" s="90"/>
    </row>
    <row r="90" spans="1:61" s="19" customFormat="1" x14ac:dyDescent="0.3">
      <c r="A90" s="103"/>
      <c r="C90" s="93"/>
      <c r="D90" s="99"/>
      <c r="K90" s="20"/>
      <c r="L90" s="20"/>
      <c r="M90" s="20"/>
      <c r="N90" s="20"/>
      <c r="O90" s="20"/>
      <c r="P90" s="20"/>
      <c r="Q90" s="81"/>
      <c r="R90" s="20"/>
      <c r="Y90" s="20"/>
      <c r="Z90" s="20"/>
      <c r="AA90" s="20"/>
      <c r="AB90" s="20"/>
      <c r="AD90" s="20"/>
      <c r="AE90" s="81"/>
      <c r="AF90" s="20"/>
      <c r="AM90" s="20"/>
      <c r="AN90" s="20"/>
      <c r="AO90" s="20"/>
      <c r="AP90" s="20"/>
      <c r="AQ90" s="20"/>
      <c r="AR90" s="20"/>
      <c r="AS90" s="81"/>
      <c r="AT90" s="81"/>
      <c r="AU90" s="20"/>
      <c r="BB90" s="20"/>
      <c r="BC90" s="20"/>
      <c r="BD90" s="20"/>
      <c r="BE90" s="20"/>
      <c r="BG90" s="20"/>
      <c r="BH90" s="20"/>
      <c r="BI90" s="90"/>
    </row>
    <row r="91" spans="1:61" s="19" customFormat="1" x14ac:dyDescent="0.3">
      <c r="A91" s="103"/>
      <c r="C91" s="93"/>
      <c r="D91" s="99"/>
      <c r="K91" s="20"/>
      <c r="L91" s="20"/>
      <c r="M91" s="20"/>
      <c r="N91" s="20"/>
      <c r="O91" s="20"/>
      <c r="P91" s="20"/>
      <c r="Q91" s="81"/>
      <c r="R91" s="20"/>
      <c r="Y91" s="20"/>
      <c r="Z91" s="20"/>
      <c r="AA91" s="20"/>
      <c r="AB91" s="20"/>
      <c r="AD91" s="20"/>
      <c r="AE91" s="81"/>
      <c r="AF91" s="20"/>
      <c r="AM91" s="20"/>
      <c r="AN91" s="20"/>
      <c r="AO91" s="20"/>
      <c r="AP91" s="20"/>
      <c r="AQ91" s="20"/>
      <c r="AR91" s="20"/>
      <c r="AS91" s="81"/>
      <c r="AT91" s="81"/>
      <c r="AU91" s="20"/>
      <c r="BB91" s="20"/>
      <c r="BC91" s="20"/>
      <c r="BD91" s="20"/>
      <c r="BE91" s="20"/>
      <c r="BG91" s="20"/>
      <c r="BH91" s="20"/>
      <c r="BI91" s="90"/>
    </row>
    <row r="92" spans="1:61" s="19" customFormat="1" x14ac:dyDescent="0.3">
      <c r="A92" s="103"/>
      <c r="C92" s="93"/>
      <c r="D92" s="99"/>
      <c r="K92" s="20"/>
      <c r="L92" s="20"/>
      <c r="M92" s="20"/>
      <c r="N92" s="20"/>
      <c r="O92" s="20"/>
      <c r="P92" s="20"/>
      <c r="Q92" s="81"/>
      <c r="R92" s="20"/>
      <c r="Y92" s="20"/>
      <c r="Z92" s="20"/>
      <c r="AA92" s="20"/>
      <c r="AB92" s="20"/>
      <c r="AD92" s="20"/>
      <c r="AE92" s="81"/>
      <c r="AF92" s="20"/>
      <c r="AM92" s="20"/>
      <c r="AN92" s="20"/>
      <c r="AO92" s="20"/>
      <c r="AP92" s="20"/>
      <c r="AQ92" s="20"/>
      <c r="AR92" s="20"/>
      <c r="AS92" s="81"/>
      <c r="AT92" s="81"/>
      <c r="AU92" s="20"/>
      <c r="BB92" s="20"/>
      <c r="BC92" s="20"/>
      <c r="BD92" s="20"/>
      <c r="BE92" s="20"/>
      <c r="BG92" s="20"/>
      <c r="BH92" s="20"/>
      <c r="BI92" s="90"/>
    </row>
    <row r="93" spans="1:61" s="19" customFormat="1" x14ac:dyDescent="0.3">
      <c r="A93" s="103"/>
      <c r="C93" s="93"/>
      <c r="D93" s="99"/>
      <c r="K93" s="20"/>
      <c r="L93" s="20"/>
      <c r="M93" s="20"/>
      <c r="N93" s="20"/>
      <c r="O93" s="20"/>
      <c r="P93" s="20"/>
      <c r="Q93" s="81"/>
      <c r="R93" s="20"/>
      <c r="Y93" s="20"/>
      <c r="Z93" s="20"/>
      <c r="AA93" s="20"/>
      <c r="AB93" s="20"/>
      <c r="AD93" s="20"/>
      <c r="AE93" s="81"/>
      <c r="AF93" s="20"/>
      <c r="AM93" s="20"/>
      <c r="AN93" s="20"/>
      <c r="AO93" s="20"/>
      <c r="AP93" s="20"/>
      <c r="AQ93" s="20"/>
      <c r="AR93" s="20"/>
      <c r="AS93" s="81"/>
      <c r="AT93" s="81"/>
      <c r="AU93" s="20"/>
      <c r="BB93" s="20"/>
      <c r="BC93" s="20"/>
      <c r="BD93" s="20"/>
      <c r="BE93" s="20"/>
      <c r="BG93" s="20"/>
      <c r="BH93" s="20"/>
      <c r="BI93" s="90"/>
    </row>
    <row r="94" spans="1:61" s="19" customFormat="1" x14ac:dyDescent="0.3">
      <c r="A94" s="103"/>
      <c r="C94" s="93"/>
      <c r="D94" s="99"/>
      <c r="K94" s="20"/>
      <c r="L94" s="20"/>
      <c r="M94" s="20"/>
      <c r="N94" s="20"/>
      <c r="O94" s="20"/>
      <c r="P94" s="20"/>
      <c r="Q94" s="81"/>
      <c r="R94" s="20"/>
      <c r="Y94" s="20"/>
      <c r="Z94" s="20"/>
      <c r="AA94" s="20"/>
      <c r="AB94" s="20"/>
      <c r="AD94" s="20"/>
      <c r="AE94" s="81"/>
      <c r="AF94" s="20"/>
      <c r="AM94" s="20"/>
      <c r="AN94" s="20"/>
      <c r="AO94" s="20"/>
      <c r="AP94" s="20"/>
      <c r="AQ94" s="20"/>
      <c r="AR94" s="20"/>
      <c r="AS94" s="81"/>
      <c r="AT94" s="81"/>
      <c r="AU94" s="20"/>
      <c r="BB94" s="20"/>
      <c r="BC94" s="20"/>
      <c r="BD94" s="20"/>
      <c r="BE94" s="20"/>
      <c r="BG94" s="20"/>
      <c r="BH94" s="20"/>
      <c r="BI94" s="90"/>
    </row>
    <row r="95" spans="1:61" s="19" customFormat="1" x14ac:dyDescent="0.3">
      <c r="A95" s="103"/>
      <c r="C95" s="93"/>
      <c r="D95" s="99"/>
      <c r="K95" s="20"/>
      <c r="L95" s="20"/>
      <c r="M95" s="20"/>
      <c r="N95" s="20"/>
      <c r="O95" s="20"/>
      <c r="P95" s="20"/>
      <c r="Q95" s="81"/>
      <c r="R95" s="20"/>
      <c r="Y95" s="20"/>
      <c r="Z95" s="20"/>
      <c r="AA95" s="20"/>
      <c r="AB95" s="20"/>
      <c r="AD95" s="20"/>
      <c r="AE95" s="81"/>
      <c r="AF95" s="20"/>
      <c r="AM95" s="20"/>
      <c r="AN95" s="20"/>
      <c r="AO95" s="20"/>
      <c r="AP95" s="20"/>
      <c r="AQ95" s="20"/>
      <c r="AR95" s="20"/>
      <c r="AS95" s="81"/>
      <c r="AT95" s="81"/>
      <c r="AU95" s="20"/>
      <c r="BB95" s="20"/>
      <c r="BC95" s="20"/>
      <c r="BD95" s="20"/>
      <c r="BE95" s="20"/>
      <c r="BG95" s="20"/>
      <c r="BH95" s="20"/>
      <c r="BI95" s="90"/>
    </row>
    <row r="96" spans="1:61" s="19" customFormat="1" x14ac:dyDescent="0.3">
      <c r="A96" s="103"/>
      <c r="C96" s="93"/>
      <c r="D96" s="99"/>
      <c r="K96" s="20"/>
      <c r="L96" s="20"/>
      <c r="M96" s="20"/>
      <c r="N96" s="20"/>
      <c r="O96" s="20"/>
      <c r="P96" s="20"/>
      <c r="Q96" s="81"/>
      <c r="R96" s="20"/>
      <c r="Y96" s="20"/>
      <c r="Z96" s="20"/>
      <c r="AA96" s="20"/>
      <c r="AB96" s="20"/>
      <c r="AD96" s="20"/>
      <c r="AE96" s="81"/>
      <c r="AF96" s="20"/>
      <c r="AM96" s="20"/>
      <c r="AN96" s="20"/>
      <c r="AO96" s="20"/>
      <c r="AP96" s="20"/>
      <c r="AQ96" s="20"/>
      <c r="AR96" s="20"/>
      <c r="AS96" s="81"/>
      <c r="AT96" s="81"/>
      <c r="AU96" s="20"/>
      <c r="BB96" s="20"/>
      <c r="BC96" s="20"/>
      <c r="BD96" s="20"/>
      <c r="BE96" s="20"/>
      <c r="BG96" s="20"/>
      <c r="BH96" s="20"/>
      <c r="BI96" s="90"/>
    </row>
    <row r="97" spans="1:61" s="19" customFormat="1" x14ac:dyDescent="0.3">
      <c r="A97" s="103"/>
      <c r="C97" s="93"/>
      <c r="D97" s="99"/>
      <c r="K97" s="20"/>
      <c r="L97" s="20"/>
      <c r="M97" s="20"/>
      <c r="N97" s="20"/>
      <c r="O97" s="20"/>
      <c r="P97" s="20"/>
      <c r="Q97" s="81"/>
      <c r="R97" s="20"/>
      <c r="Y97" s="20"/>
      <c r="Z97" s="20"/>
      <c r="AA97" s="20"/>
      <c r="AB97" s="20"/>
      <c r="AD97" s="20"/>
      <c r="AE97" s="81"/>
      <c r="AF97" s="20"/>
      <c r="AM97" s="20"/>
      <c r="AN97" s="20"/>
      <c r="AO97" s="20"/>
      <c r="AP97" s="20"/>
      <c r="AQ97" s="20"/>
      <c r="AR97" s="20"/>
      <c r="AS97" s="81"/>
      <c r="AT97" s="81"/>
      <c r="AU97" s="20"/>
      <c r="BB97" s="20"/>
      <c r="BC97" s="20"/>
      <c r="BD97" s="20"/>
      <c r="BE97" s="20"/>
      <c r="BG97" s="20"/>
      <c r="BH97" s="20"/>
      <c r="BI97" s="90"/>
    </row>
    <row r="98" spans="1:61" s="19" customFormat="1" x14ac:dyDescent="0.3">
      <c r="A98" s="103"/>
      <c r="C98" s="93"/>
      <c r="D98" s="99"/>
      <c r="K98" s="20"/>
      <c r="L98" s="20"/>
      <c r="M98" s="20"/>
      <c r="N98" s="20"/>
      <c r="O98" s="20"/>
      <c r="P98" s="20"/>
      <c r="Q98" s="81"/>
      <c r="R98" s="20"/>
      <c r="Y98" s="20"/>
      <c r="Z98" s="20"/>
      <c r="AA98" s="20"/>
      <c r="AB98" s="20"/>
      <c r="AD98" s="20"/>
      <c r="AE98" s="81"/>
      <c r="AF98" s="20"/>
      <c r="AM98" s="20"/>
      <c r="AN98" s="20"/>
      <c r="AO98" s="20"/>
      <c r="AP98" s="20"/>
      <c r="AQ98" s="20"/>
      <c r="AR98" s="20"/>
      <c r="AS98" s="81"/>
      <c r="AT98" s="81"/>
      <c r="AU98" s="20"/>
      <c r="BB98" s="20"/>
      <c r="BC98" s="20"/>
      <c r="BD98" s="20"/>
      <c r="BE98" s="20"/>
      <c r="BG98" s="20"/>
      <c r="BH98" s="20"/>
      <c r="BI98" s="90"/>
    </row>
    <row r="99" spans="1:61" s="19" customFormat="1" x14ac:dyDescent="0.3">
      <c r="A99" s="103"/>
      <c r="C99" s="93"/>
      <c r="D99" s="99"/>
      <c r="K99" s="20"/>
      <c r="L99" s="20"/>
      <c r="M99" s="20"/>
      <c r="N99" s="20"/>
      <c r="O99" s="20"/>
      <c r="P99" s="20"/>
      <c r="Q99" s="81"/>
      <c r="R99" s="20"/>
      <c r="Y99" s="20"/>
      <c r="Z99" s="20"/>
      <c r="AA99" s="20"/>
      <c r="AB99" s="20"/>
      <c r="AD99" s="20"/>
      <c r="AE99" s="81"/>
      <c r="AF99" s="20"/>
      <c r="AM99" s="20"/>
      <c r="AN99" s="20"/>
      <c r="AO99" s="20"/>
      <c r="AP99" s="20"/>
      <c r="AQ99" s="20"/>
      <c r="AR99" s="20"/>
      <c r="AS99" s="81"/>
      <c r="AT99" s="81"/>
      <c r="AU99" s="20"/>
      <c r="BB99" s="20"/>
      <c r="BC99" s="20"/>
      <c r="BD99" s="20"/>
      <c r="BE99" s="20"/>
      <c r="BG99" s="20"/>
      <c r="BH99" s="20"/>
      <c r="BI99" s="90"/>
    </row>
    <row r="100" spans="1:61" s="19" customFormat="1" x14ac:dyDescent="0.3">
      <c r="A100" s="103"/>
      <c r="C100" s="93"/>
      <c r="D100" s="99"/>
      <c r="K100" s="20"/>
      <c r="L100" s="20"/>
      <c r="M100" s="20"/>
      <c r="N100" s="20"/>
      <c r="O100" s="20"/>
      <c r="P100" s="20"/>
      <c r="Q100" s="81"/>
      <c r="R100" s="20"/>
      <c r="Y100" s="20"/>
      <c r="Z100" s="20"/>
      <c r="AA100" s="20"/>
      <c r="AB100" s="20"/>
      <c r="AD100" s="20"/>
      <c r="AE100" s="81"/>
      <c r="AF100" s="20"/>
      <c r="AM100" s="20"/>
      <c r="AN100" s="20"/>
      <c r="AO100" s="20"/>
      <c r="AP100" s="20"/>
      <c r="AQ100" s="20"/>
      <c r="AR100" s="20"/>
      <c r="AS100" s="81"/>
      <c r="AT100" s="81"/>
      <c r="AU100" s="20"/>
      <c r="BB100" s="20"/>
      <c r="BC100" s="20"/>
      <c r="BD100" s="20"/>
      <c r="BE100" s="20"/>
      <c r="BG100" s="20"/>
      <c r="BH100" s="20"/>
      <c r="BI100" s="90"/>
    </row>
    <row r="101" spans="1:61" s="19" customFormat="1" x14ac:dyDescent="0.3">
      <c r="A101" s="103"/>
      <c r="C101" s="93"/>
      <c r="D101" s="99"/>
      <c r="K101" s="20"/>
      <c r="L101" s="20"/>
      <c r="M101" s="20"/>
      <c r="N101" s="20"/>
      <c r="O101" s="20"/>
      <c r="P101" s="20"/>
      <c r="Q101" s="81"/>
      <c r="R101" s="20"/>
      <c r="Y101" s="20"/>
      <c r="Z101" s="20"/>
      <c r="AA101" s="20"/>
      <c r="AB101" s="20"/>
      <c r="AD101" s="20"/>
      <c r="AE101" s="81"/>
      <c r="AF101" s="20"/>
      <c r="AM101" s="20"/>
      <c r="AN101" s="20"/>
      <c r="AO101" s="20"/>
      <c r="AP101" s="20"/>
      <c r="AQ101" s="20"/>
      <c r="AR101" s="20"/>
      <c r="AS101" s="81"/>
      <c r="AT101" s="81"/>
      <c r="AU101" s="20"/>
      <c r="BB101" s="20"/>
      <c r="BC101" s="20"/>
      <c r="BD101" s="20"/>
      <c r="BE101" s="20"/>
      <c r="BG101" s="20"/>
      <c r="BH101" s="20"/>
      <c r="BI101" s="90"/>
    </row>
    <row r="102" spans="1:61" s="19" customFormat="1" x14ac:dyDescent="0.3">
      <c r="A102" s="103"/>
      <c r="C102" s="93"/>
      <c r="D102" s="99"/>
      <c r="K102" s="20"/>
      <c r="L102" s="20"/>
      <c r="M102" s="20"/>
      <c r="N102" s="20"/>
      <c r="O102" s="20"/>
      <c r="P102" s="20"/>
      <c r="Q102" s="81"/>
      <c r="R102" s="20"/>
      <c r="Y102" s="20"/>
      <c r="Z102" s="20"/>
      <c r="AA102" s="20"/>
      <c r="AB102" s="20"/>
      <c r="AD102" s="20"/>
      <c r="AE102" s="81"/>
      <c r="AF102" s="20"/>
      <c r="AM102" s="20"/>
      <c r="AN102" s="20"/>
      <c r="AO102" s="20"/>
      <c r="AP102" s="20"/>
      <c r="AQ102" s="20"/>
      <c r="AR102" s="20"/>
      <c r="AS102" s="81"/>
      <c r="AT102" s="81"/>
      <c r="AU102" s="20"/>
      <c r="BB102" s="20"/>
      <c r="BC102" s="20"/>
      <c r="BD102" s="20"/>
      <c r="BE102" s="20"/>
      <c r="BG102" s="20"/>
      <c r="BH102" s="20"/>
      <c r="BI102" s="90"/>
    </row>
    <row r="103" spans="1:61" s="19" customFormat="1" x14ac:dyDescent="0.3">
      <c r="A103" s="103"/>
      <c r="C103" s="93"/>
      <c r="D103" s="99"/>
      <c r="K103" s="20"/>
      <c r="L103" s="20"/>
      <c r="M103" s="20"/>
      <c r="N103" s="20"/>
      <c r="O103" s="20"/>
      <c r="P103" s="20"/>
      <c r="Q103" s="81"/>
      <c r="R103" s="20"/>
      <c r="Y103" s="20"/>
      <c r="Z103" s="20"/>
      <c r="AA103" s="20"/>
      <c r="AB103" s="20"/>
      <c r="AD103" s="20"/>
      <c r="AE103" s="81"/>
      <c r="AF103" s="20"/>
      <c r="AM103" s="20"/>
      <c r="AN103" s="20"/>
      <c r="AO103" s="20"/>
      <c r="AP103" s="20"/>
      <c r="AQ103" s="20"/>
      <c r="AR103" s="20"/>
      <c r="AS103" s="81"/>
      <c r="AT103" s="81"/>
      <c r="AU103" s="20"/>
      <c r="BB103" s="20"/>
      <c r="BC103" s="20"/>
      <c r="BD103" s="20"/>
      <c r="BE103" s="20"/>
      <c r="BG103" s="20"/>
      <c r="BH103" s="20"/>
      <c r="BI103" s="90"/>
    </row>
    <row r="104" spans="1:61" s="19" customFormat="1" x14ac:dyDescent="0.3">
      <c r="A104" s="103"/>
      <c r="C104" s="93"/>
      <c r="D104" s="99"/>
      <c r="K104" s="20"/>
      <c r="L104" s="20"/>
      <c r="M104" s="20"/>
      <c r="N104" s="20"/>
      <c r="O104" s="20"/>
      <c r="P104" s="20"/>
      <c r="Q104" s="81"/>
      <c r="R104" s="20"/>
      <c r="Y104" s="20"/>
      <c r="Z104" s="20"/>
      <c r="AA104" s="20"/>
      <c r="AB104" s="20"/>
      <c r="AD104" s="20"/>
      <c r="AE104" s="81"/>
      <c r="AF104" s="20"/>
      <c r="AM104" s="20"/>
      <c r="AN104" s="20"/>
      <c r="AO104" s="20"/>
      <c r="AP104" s="20"/>
      <c r="AQ104" s="20"/>
      <c r="AR104" s="20"/>
      <c r="AS104" s="81"/>
      <c r="AT104" s="81"/>
      <c r="AU104" s="20"/>
      <c r="BB104" s="20"/>
      <c r="BC104" s="20"/>
      <c r="BD104" s="20"/>
      <c r="BE104" s="20"/>
      <c r="BG104" s="20"/>
      <c r="BH104" s="20"/>
      <c r="BI104" s="90"/>
    </row>
    <row r="105" spans="1:61" s="19" customFormat="1" x14ac:dyDescent="0.3">
      <c r="A105" s="103"/>
      <c r="C105" s="93"/>
      <c r="D105" s="99"/>
      <c r="K105" s="20"/>
      <c r="L105" s="20"/>
      <c r="M105" s="20"/>
      <c r="N105" s="20"/>
      <c r="O105" s="20"/>
      <c r="P105" s="20"/>
      <c r="Q105" s="81"/>
      <c r="R105" s="20"/>
      <c r="Y105" s="20"/>
      <c r="Z105" s="20"/>
      <c r="AA105" s="20"/>
      <c r="AB105" s="20"/>
      <c r="AD105" s="20"/>
      <c r="AE105" s="81"/>
      <c r="AF105" s="20"/>
      <c r="AM105" s="20"/>
      <c r="AN105" s="20"/>
      <c r="AO105" s="20"/>
      <c r="AP105" s="20"/>
      <c r="AQ105" s="20"/>
      <c r="AR105" s="20"/>
      <c r="AS105" s="81"/>
      <c r="AT105" s="81"/>
      <c r="AU105" s="20"/>
      <c r="BB105" s="20"/>
      <c r="BC105" s="20"/>
      <c r="BD105" s="20"/>
      <c r="BE105" s="20"/>
      <c r="BG105" s="20"/>
      <c r="BH105" s="20"/>
      <c r="BI105" s="90"/>
    </row>
    <row r="106" spans="1:61" s="19" customFormat="1" x14ac:dyDescent="0.3">
      <c r="A106" s="103"/>
      <c r="C106" s="93"/>
      <c r="D106" s="99"/>
      <c r="K106" s="20"/>
      <c r="L106" s="20"/>
      <c r="M106" s="20"/>
      <c r="N106" s="20"/>
      <c r="O106" s="20"/>
      <c r="P106" s="20"/>
      <c r="Q106" s="81"/>
      <c r="R106" s="20"/>
      <c r="Y106" s="20"/>
      <c r="Z106" s="20"/>
      <c r="AA106" s="20"/>
      <c r="AB106" s="20"/>
      <c r="AD106" s="20"/>
      <c r="AE106" s="81"/>
      <c r="AF106" s="20"/>
      <c r="AM106" s="20"/>
      <c r="AN106" s="20"/>
      <c r="AO106" s="20"/>
      <c r="AP106" s="20"/>
      <c r="AQ106" s="20"/>
      <c r="AR106" s="20"/>
      <c r="AS106" s="81"/>
      <c r="AT106" s="81"/>
      <c r="AU106" s="20"/>
      <c r="BB106" s="20"/>
      <c r="BC106" s="20"/>
      <c r="BD106" s="20"/>
      <c r="BE106" s="20"/>
      <c r="BG106" s="20"/>
      <c r="BH106" s="20"/>
      <c r="BI106" s="90"/>
    </row>
    <row r="107" spans="1:61" s="19" customFormat="1" x14ac:dyDescent="0.3">
      <c r="A107" s="103"/>
      <c r="C107" s="93"/>
      <c r="D107" s="99"/>
      <c r="K107" s="20"/>
      <c r="L107" s="20"/>
      <c r="M107" s="20"/>
      <c r="N107" s="20"/>
      <c r="O107" s="20"/>
      <c r="P107" s="20"/>
      <c r="Q107" s="81"/>
      <c r="R107" s="20"/>
      <c r="Y107" s="20"/>
      <c r="Z107" s="20"/>
      <c r="AA107" s="20"/>
      <c r="AB107" s="20"/>
      <c r="AD107" s="20"/>
      <c r="AE107" s="81"/>
      <c r="AF107" s="20"/>
      <c r="AM107" s="20"/>
      <c r="AN107" s="20"/>
      <c r="AO107" s="20"/>
      <c r="AP107" s="20"/>
      <c r="AQ107" s="20"/>
      <c r="AR107" s="20"/>
      <c r="AS107" s="81"/>
      <c r="AT107" s="81"/>
      <c r="AU107" s="20"/>
      <c r="BB107" s="20"/>
      <c r="BC107" s="20"/>
      <c r="BD107" s="20"/>
      <c r="BE107" s="20"/>
      <c r="BG107" s="20"/>
      <c r="BH107" s="20"/>
      <c r="BI107" s="90"/>
    </row>
    <row r="108" spans="1:61" s="19" customFormat="1" x14ac:dyDescent="0.3">
      <c r="A108" s="103"/>
      <c r="C108" s="93"/>
      <c r="D108" s="99"/>
      <c r="K108" s="20"/>
      <c r="L108" s="20"/>
      <c r="M108" s="20"/>
      <c r="N108" s="20"/>
      <c r="O108" s="20"/>
      <c r="P108" s="20"/>
      <c r="Q108" s="81"/>
      <c r="R108" s="20"/>
      <c r="Y108" s="20"/>
      <c r="Z108" s="20"/>
      <c r="AA108" s="20"/>
      <c r="AB108" s="20"/>
      <c r="AD108" s="20"/>
      <c r="AE108" s="81"/>
      <c r="AF108" s="20"/>
      <c r="AM108" s="20"/>
      <c r="AN108" s="20"/>
      <c r="AO108" s="20"/>
      <c r="AP108" s="20"/>
      <c r="AQ108" s="20"/>
      <c r="AR108" s="20"/>
      <c r="AS108" s="81"/>
      <c r="AT108" s="81"/>
      <c r="AU108" s="20"/>
      <c r="BB108" s="20"/>
      <c r="BC108" s="20"/>
      <c r="BD108" s="20"/>
      <c r="BE108" s="20"/>
      <c r="BG108" s="20"/>
      <c r="BH108" s="20"/>
      <c r="BI108" s="90"/>
    </row>
    <row r="109" spans="1:61" s="19" customFormat="1" x14ac:dyDescent="0.3">
      <c r="A109" s="103"/>
      <c r="C109" s="93"/>
      <c r="D109" s="99"/>
      <c r="K109" s="20"/>
      <c r="L109" s="20"/>
      <c r="M109" s="20"/>
      <c r="N109" s="20"/>
      <c r="O109" s="20"/>
      <c r="P109" s="20"/>
      <c r="Q109" s="81"/>
      <c r="R109" s="20"/>
      <c r="Y109" s="20"/>
      <c r="Z109" s="20"/>
      <c r="AA109" s="20"/>
      <c r="AB109" s="20"/>
      <c r="AD109" s="20"/>
      <c r="AE109" s="81"/>
      <c r="AF109" s="20"/>
      <c r="AM109" s="20"/>
      <c r="AN109" s="20"/>
      <c r="AO109" s="20"/>
      <c r="AP109" s="20"/>
      <c r="AQ109" s="20"/>
      <c r="AR109" s="20"/>
      <c r="AS109" s="81"/>
      <c r="AT109" s="81"/>
      <c r="AU109" s="20"/>
      <c r="BB109" s="20"/>
      <c r="BC109" s="20"/>
      <c r="BD109" s="20"/>
      <c r="BE109" s="20"/>
      <c r="BG109" s="20"/>
      <c r="BH109" s="20"/>
      <c r="BI109" s="90"/>
    </row>
    <row r="110" spans="1:61" s="19" customFormat="1" x14ac:dyDescent="0.3">
      <c r="A110" s="103"/>
      <c r="C110" s="93"/>
      <c r="D110" s="99"/>
      <c r="K110" s="20"/>
      <c r="L110" s="20"/>
      <c r="M110" s="20"/>
      <c r="N110" s="20"/>
      <c r="O110" s="20"/>
      <c r="P110" s="20"/>
      <c r="Q110" s="81"/>
      <c r="R110" s="20"/>
      <c r="Y110" s="20"/>
      <c r="Z110" s="20"/>
      <c r="AA110" s="20"/>
      <c r="AB110" s="20"/>
      <c r="AD110" s="20"/>
      <c r="AE110" s="81"/>
      <c r="AF110" s="20"/>
      <c r="AM110" s="20"/>
      <c r="AN110" s="20"/>
      <c r="AO110" s="20"/>
      <c r="AP110" s="20"/>
      <c r="AQ110" s="20"/>
      <c r="AR110" s="20"/>
      <c r="AS110" s="81"/>
      <c r="AT110" s="81"/>
      <c r="AU110" s="20"/>
      <c r="BB110" s="20"/>
      <c r="BC110" s="20"/>
      <c r="BD110" s="20"/>
      <c r="BE110" s="20"/>
      <c r="BG110" s="20"/>
      <c r="BH110" s="20"/>
      <c r="BI110" s="90"/>
    </row>
    <row r="111" spans="1:61" s="19" customFormat="1" x14ac:dyDescent="0.3">
      <c r="A111" s="103"/>
      <c r="C111" s="93"/>
      <c r="D111" s="99"/>
      <c r="K111" s="20"/>
      <c r="L111" s="20"/>
      <c r="M111" s="20"/>
      <c r="N111" s="20"/>
      <c r="O111" s="20"/>
      <c r="P111" s="20"/>
      <c r="Q111" s="81"/>
      <c r="R111" s="20"/>
      <c r="Y111" s="20"/>
      <c r="Z111" s="20"/>
      <c r="AA111" s="20"/>
      <c r="AB111" s="20"/>
      <c r="AD111" s="20"/>
      <c r="AE111" s="81"/>
      <c r="AF111" s="20"/>
      <c r="AM111" s="20"/>
      <c r="AN111" s="20"/>
      <c r="AO111" s="20"/>
      <c r="AP111" s="20"/>
      <c r="AQ111" s="20"/>
      <c r="AR111" s="20"/>
      <c r="AS111" s="81"/>
      <c r="AT111" s="81"/>
      <c r="AU111" s="20"/>
      <c r="BB111" s="20"/>
      <c r="BC111" s="20"/>
      <c r="BD111" s="20"/>
      <c r="BE111" s="20"/>
      <c r="BG111" s="20"/>
      <c r="BH111" s="20"/>
      <c r="BI111" s="90"/>
    </row>
    <row r="112" spans="1:61" s="19" customFormat="1" x14ac:dyDescent="0.3">
      <c r="A112" s="103"/>
      <c r="C112" s="93"/>
      <c r="D112" s="99"/>
      <c r="K112" s="20"/>
      <c r="L112" s="20"/>
      <c r="M112" s="20"/>
      <c r="N112" s="20"/>
      <c r="O112" s="20"/>
      <c r="P112" s="20"/>
      <c r="Q112" s="81"/>
      <c r="R112" s="20"/>
      <c r="Y112" s="20"/>
      <c r="Z112" s="20"/>
      <c r="AA112" s="20"/>
      <c r="AB112" s="20"/>
      <c r="AD112" s="20"/>
      <c r="AE112" s="81"/>
      <c r="AF112" s="20"/>
      <c r="AM112" s="20"/>
      <c r="AN112" s="20"/>
      <c r="AO112" s="20"/>
      <c r="AP112" s="20"/>
      <c r="AQ112" s="20"/>
      <c r="AR112" s="20"/>
      <c r="AS112" s="81"/>
      <c r="AT112" s="81"/>
      <c r="AU112" s="20"/>
      <c r="BB112" s="20"/>
      <c r="BC112" s="20"/>
      <c r="BD112" s="20"/>
      <c r="BE112" s="20"/>
      <c r="BG112" s="20"/>
      <c r="BH112" s="20"/>
      <c r="BI112" s="90"/>
    </row>
    <row r="113" spans="1:61" s="19" customFormat="1" x14ac:dyDescent="0.3">
      <c r="A113" s="103"/>
      <c r="C113" s="93"/>
      <c r="D113" s="99"/>
      <c r="K113" s="20"/>
      <c r="L113" s="20"/>
      <c r="M113" s="20"/>
      <c r="N113" s="20"/>
      <c r="O113" s="20"/>
      <c r="P113" s="20"/>
      <c r="Q113" s="81"/>
      <c r="R113" s="20"/>
      <c r="Y113" s="20"/>
      <c r="Z113" s="20"/>
      <c r="AA113" s="20"/>
      <c r="AB113" s="20"/>
      <c r="AD113" s="20"/>
      <c r="AE113" s="81"/>
      <c r="AF113" s="20"/>
      <c r="AM113" s="20"/>
      <c r="AN113" s="20"/>
      <c r="AO113" s="20"/>
      <c r="AP113" s="20"/>
      <c r="AQ113" s="20"/>
      <c r="AR113" s="20"/>
      <c r="AS113" s="81"/>
      <c r="AT113" s="81"/>
      <c r="AU113" s="20"/>
      <c r="BB113" s="20"/>
      <c r="BC113" s="20"/>
      <c r="BD113" s="20"/>
      <c r="BE113" s="20"/>
      <c r="BG113" s="20"/>
      <c r="BH113" s="20"/>
      <c r="BI113" s="90"/>
    </row>
    <row r="114" spans="1:61" s="19" customFormat="1" x14ac:dyDescent="0.3">
      <c r="A114" s="103"/>
      <c r="C114" s="93"/>
      <c r="D114" s="99"/>
      <c r="K114" s="20"/>
      <c r="L114" s="20"/>
      <c r="M114" s="20"/>
      <c r="N114" s="20"/>
      <c r="O114" s="20"/>
      <c r="P114" s="20"/>
      <c r="Q114" s="81"/>
      <c r="R114" s="20"/>
      <c r="Y114" s="20"/>
      <c r="Z114" s="20"/>
      <c r="AA114" s="20"/>
      <c r="AB114" s="20"/>
      <c r="AD114" s="20"/>
      <c r="AE114" s="81"/>
      <c r="AF114" s="20"/>
      <c r="AM114" s="20"/>
      <c r="AN114" s="20"/>
      <c r="AO114" s="20"/>
      <c r="AP114" s="20"/>
      <c r="AQ114" s="20"/>
      <c r="AR114" s="20"/>
      <c r="AS114" s="81"/>
      <c r="AT114" s="81"/>
      <c r="AU114" s="20"/>
      <c r="BB114" s="20"/>
      <c r="BC114" s="20"/>
      <c r="BD114" s="20"/>
      <c r="BE114" s="20"/>
      <c r="BG114" s="20"/>
      <c r="BH114" s="20"/>
      <c r="BI114" s="90"/>
    </row>
  </sheetData>
  <pageMargins left="0.70866141732283472" right="0.70866141732283472" top="0.74803149606299213" bottom="0.74803149606299213" header="0.31496062992125984" footer="0.31496062992125984"/>
  <pageSetup paperSize="8" scale="69" fitToHeight="0" orientation="landscape" r:id="rId1"/>
  <headerFooter>
    <oddHeader>&amp;C&amp;"-,Vet"&amp;14Dashboard uitgaven Wmo 18+ Maatwerk  Groningen</oddHeader>
    <oddFooter>&amp;L&amp;V Vertrouwelijk&amp;V&amp;C&amp;D&amp;RPagina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/>
  </sheetViews>
  <sheetFormatPr defaultColWidth="9.42578125" defaultRowHeight="15" x14ac:dyDescent="0.25"/>
  <cols>
    <col min="1" max="1" width="4" style="76" bestFit="1" customWidth="1"/>
    <col min="2" max="2" width="98.42578125" style="77" customWidth="1"/>
    <col min="3" max="3" width="9.42578125" style="77"/>
    <col min="4" max="5" width="7.42578125" style="77" customWidth="1"/>
    <col min="6" max="6" width="1.42578125" style="77" customWidth="1"/>
    <col min="7" max="8" width="7.42578125" style="77" customWidth="1"/>
    <col min="9" max="9" width="2.42578125" style="77" customWidth="1"/>
    <col min="10" max="11" width="7.42578125" style="77" customWidth="1"/>
    <col min="12" max="12" width="2.42578125" style="77" customWidth="1"/>
    <col min="13" max="15" width="7.42578125" style="77" customWidth="1"/>
    <col min="16" max="16384" width="9.42578125" style="77"/>
  </cols>
  <sheetData>
    <row r="1" spans="1:15" ht="24.95" thickBot="1" x14ac:dyDescent="0.25">
      <c r="D1" s="66" t="s">
        <v>46</v>
      </c>
      <c r="E1" s="67" t="s">
        <v>47</v>
      </c>
      <c r="F1" s="68"/>
      <c r="G1" s="66" t="s">
        <v>46</v>
      </c>
      <c r="H1" s="67" t="s">
        <v>48</v>
      </c>
      <c r="I1" s="68"/>
      <c r="J1" s="66" t="s">
        <v>47</v>
      </c>
      <c r="K1" s="67" t="s">
        <v>48</v>
      </c>
      <c r="L1" s="68"/>
      <c r="M1" s="66" t="s">
        <v>46</v>
      </c>
      <c r="N1" s="69" t="s">
        <v>47</v>
      </c>
      <c r="O1" s="67" t="s">
        <v>48</v>
      </c>
    </row>
    <row r="2" spans="1:15" s="65" customFormat="1" ht="18.95" x14ac:dyDescent="0.25">
      <c r="A2" s="63">
        <v>1</v>
      </c>
      <c r="B2" s="64" t="s">
        <v>45</v>
      </c>
    </row>
    <row r="3" spans="1:15" s="71" customFormat="1" x14ac:dyDescent="0.2">
      <c r="A3" s="70" t="s">
        <v>49</v>
      </c>
      <c r="B3" s="71" t="s">
        <v>50</v>
      </c>
      <c r="D3" s="72"/>
      <c r="E3" s="73"/>
      <c r="F3" s="74"/>
      <c r="G3" s="72"/>
      <c r="H3" s="73"/>
      <c r="I3" s="74"/>
      <c r="J3" s="72"/>
      <c r="K3" s="73"/>
      <c r="L3" s="74"/>
      <c r="M3" s="72"/>
      <c r="N3" s="74"/>
      <c r="O3" s="73"/>
    </row>
    <row r="4" spans="1:15" s="71" customFormat="1" x14ac:dyDescent="0.2">
      <c r="A4" s="70" t="s">
        <v>51</v>
      </c>
      <c r="B4" s="71" t="s">
        <v>52</v>
      </c>
      <c r="D4" s="72" t="s">
        <v>53</v>
      </c>
      <c r="E4" s="73" t="s">
        <v>53</v>
      </c>
      <c r="F4" s="74"/>
      <c r="G4" s="72" t="s">
        <v>53</v>
      </c>
      <c r="H4" s="73" t="s">
        <v>53</v>
      </c>
      <c r="I4" s="74"/>
      <c r="J4" s="72" t="s">
        <v>53</v>
      </c>
      <c r="K4" s="73" t="s">
        <v>53</v>
      </c>
      <c r="L4" s="74"/>
      <c r="M4" s="72" t="s">
        <v>53</v>
      </c>
      <c r="N4" s="75" t="s">
        <v>53</v>
      </c>
      <c r="O4" s="73" t="s">
        <v>53</v>
      </c>
    </row>
    <row r="5" spans="1:15" x14ac:dyDescent="0.2">
      <c r="D5" s="72" t="s">
        <v>53</v>
      </c>
      <c r="E5" s="73" t="s">
        <v>54</v>
      </c>
      <c r="F5" s="74"/>
      <c r="G5" s="72" t="s">
        <v>53</v>
      </c>
      <c r="H5" s="73" t="s">
        <v>54</v>
      </c>
      <c r="I5" s="74"/>
      <c r="J5" s="72" t="s">
        <v>53</v>
      </c>
      <c r="K5" s="73" t="s">
        <v>54</v>
      </c>
      <c r="L5" s="74"/>
      <c r="M5" s="72" t="s">
        <v>53</v>
      </c>
      <c r="N5" s="75" t="s">
        <v>53</v>
      </c>
      <c r="O5" s="73" t="s">
        <v>54</v>
      </c>
    </row>
    <row r="6" spans="1:15" s="65" customFormat="1" ht="18.95" x14ac:dyDescent="0.25">
      <c r="A6" s="63">
        <v>2</v>
      </c>
      <c r="B6" s="64" t="s">
        <v>55</v>
      </c>
      <c r="D6" s="72" t="s">
        <v>53</v>
      </c>
      <c r="E6" s="73" t="s">
        <v>56</v>
      </c>
      <c r="F6" s="74"/>
      <c r="G6" s="72" t="s">
        <v>53</v>
      </c>
      <c r="H6" s="73" t="s">
        <v>56</v>
      </c>
      <c r="I6" s="74"/>
      <c r="J6" s="72" t="s">
        <v>53</v>
      </c>
      <c r="K6" s="73" t="s">
        <v>56</v>
      </c>
      <c r="L6" s="74"/>
      <c r="M6" s="72" t="s">
        <v>53</v>
      </c>
      <c r="N6" s="75" t="s">
        <v>53</v>
      </c>
      <c r="O6" s="73" t="s">
        <v>56</v>
      </c>
    </row>
    <row r="7" spans="1:15" x14ac:dyDescent="0.2">
      <c r="B7" s="77" t="s">
        <v>57</v>
      </c>
      <c r="D7" s="72"/>
      <c r="E7" s="73"/>
      <c r="F7" s="74"/>
      <c r="G7" s="72"/>
      <c r="H7" s="73"/>
      <c r="I7" s="74"/>
      <c r="J7" s="72"/>
      <c r="K7" s="73"/>
      <c r="L7" s="74"/>
      <c r="M7" s="72"/>
      <c r="N7" s="74"/>
      <c r="O7" s="73"/>
    </row>
    <row r="8" spans="1:15" s="65" customFormat="1" ht="18.95" x14ac:dyDescent="0.25">
      <c r="A8" s="63">
        <v>3</v>
      </c>
      <c r="B8" s="64" t="s">
        <v>58</v>
      </c>
      <c r="D8" s="72" t="s">
        <v>54</v>
      </c>
      <c r="E8" s="73" t="s">
        <v>53</v>
      </c>
      <c r="F8" s="74"/>
      <c r="G8" s="72" t="s">
        <v>54</v>
      </c>
      <c r="H8" s="73" t="s">
        <v>53</v>
      </c>
      <c r="I8" s="74"/>
      <c r="J8" s="72" t="s">
        <v>54</v>
      </c>
      <c r="K8" s="73" t="s">
        <v>53</v>
      </c>
      <c r="L8" s="74"/>
      <c r="M8" s="72" t="s">
        <v>53</v>
      </c>
      <c r="N8" s="75" t="s">
        <v>54</v>
      </c>
      <c r="O8" s="73" t="s">
        <v>53</v>
      </c>
    </row>
    <row r="9" spans="1:15" s="71" customFormat="1" x14ac:dyDescent="0.2">
      <c r="A9" s="70" t="s">
        <v>59</v>
      </c>
      <c r="B9" s="71" t="s">
        <v>60</v>
      </c>
      <c r="D9" s="72" t="s">
        <v>54</v>
      </c>
      <c r="E9" s="73" t="s">
        <v>54</v>
      </c>
      <c r="F9" s="74"/>
      <c r="G9" s="72" t="s">
        <v>54</v>
      </c>
      <c r="H9" s="73" t="s">
        <v>54</v>
      </c>
      <c r="I9" s="74"/>
      <c r="J9" s="72" t="s">
        <v>54</v>
      </c>
      <c r="K9" s="73" t="s">
        <v>54</v>
      </c>
      <c r="L9" s="74"/>
      <c r="M9" s="72" t="s">
        <v>53</v>
      </c>
      <c r="N9" s="75" t="s">
        <v>54</v>
      </c>
      <c r="O9" s="73" t="s">
        <v>54</v>
      </c>
    </row>
    <row r="10" spans="1:15" s="71" customFormat="1" x14ac:dyDescent="0.2">
      <c r="A10" s="70" t="s">
        <v>61</v>
      </c>
      <c r="B10" s="71" t="s">
        <v>62</v>
      </c>
      <c r="D10" s="72" t="s">
        <v>54</v>
      </c>
      <c r="E10" s="73" t="s">
        <v>56</v>
      </c>
      <c r="F10" s="74"/>
      <c r="G10" s="72" t="s">
        <v>54</v>
      </c>
      <c r="H10" s="73" t="s">
        <v>56</v>
      </c>
      <c r="I10" s="74"/>
      <c r="J10" s="72" t="s">
        <v>54</v>
      </c>
      <c r="K10" s="73" t="s">
        <v>56</v>
      </c>
      <c r="L10" s="74"/>
      <c r="M10" s="72" t="s">
        <v>53</v>
      </c>
      <c r="N10" s="75" t="s">
        <v>54</v>
      </c>
      <c r="O10" s="73" t="s">
        <v>56</v>
      </c>
    </row>
    <row r="11" spans="1:15" s="71" customFormat="1" x14ac:dyDescent="0.2">
      <c r="A11" s="70" t="s">
        <v>63</v>
      </c>
      <c r="B11" s="71" t="s">
        <v>64</v>
      </c>
      <c r="D11" s="72"/>
      <c r="E11" s="73"/>
      <c r="F11" s="74"/>
      <c r="G11" s="72"/>
      <c r="H11" s="73"/>
      <c r="I11" s="74"/>
      <c r="J11" s="72"/>
      <c r="K11" s="73"/>
      <c r="L11" s="74"/>
      <c r="M11" s="72"/>
      <c r="N11" s="74"/>
      <c r="O11" s="73"/>
    </row>
    <row r="12" spans="1:15" x14ac:dyDescent="0.2">
      <c r="D12" s="72" t="s">
        <v>56</v>
      </c>
      <c r="E12" s="73" t="s">
        <v>53</v>
      </c>
      <c r="F12" s="74"/>
      <c r="G12" s="72" t="s">
        <v>56</v>
      </c>
      <c r="H12" s="73" t="s">
        <v>53</v>
      </c>
      <c r="I12" s="74"/>
      <c r="J12" s="72" t="s">
        <v>56</v>
      </c>
      <c r="K12" s="73" t="s">
        <v>53</v>
      </c>
      <c r="L12" s="74"/>
      <c r="M12" s="72" t="s">
        <v>53</v>
      </c>
      <c r="N12" s="75" t="s">
        <v>56</v>
      </c>
      <c r="O12" s="73" t="s">
        <v>53</v>
      </c>
    </row>
    <row r="13" spans="1:15" s="65" customFormat="1" ht="18.95" x14ac:dyDescent="0.25">
      <c r="A13" s="63">
        <v>4</v>
      </c>
      <c r="B13" s="64" t="s">
        <v>65</v>
      </c>
      <c r="D13" s="72" t="s">
        <v>56</v>
      </c>
      <c r="E13" s="73" t="s">
        <v>54</v>
      </c>
      <c r="F13" s="74"/>
      <c r="G13" s="72" t="s">
        <v>56</v>
      </c>
      <c r="H13" s="73" t="s">
        <v>54</v>
      </c>
      <c r="I13" s="74"/>
      <c r="J13" s="72" t="s">
        <v>56</v>
      </c>
      <c r="K13" s="73" t="s">
        <v>54</v>
      </c>
      <c r="L13" s="74"/>
      <c r="M13" s="72" t="s">
        <v>53</v>
      </c>
      <c r="N13" s="75" t="s">
        <v>56</v>
      </c>
      <c r="O13" s="73" t="s">
        <v>54</v>
      </c>
    </row>
    <row r="14" spans="1:15" s="71" customFormat="1" ht="15.95" thickBot="1" x14ac:dyDescent="0.25">
      <c r="A14" s="70" t="s">
        <v>66</v>
      </c>
      <c r="B14" s="71" t="s">
        <v>67</v>
      </c>
      <c r="D14" s="78" t="s">
        <v>56</v>
      </c>
      <c r="E14" s="79" t="s">
        <v>56</v>
      </c>
      <c r="F14" s="74"/>
      <c r="G14" s="78" t="s">
        <v>56</v>
      </c>
      <c r="H14" s="79" t="s">
        <v>56</v>
      </c>
      <c r="I14" s="74"/>
      <c r="J14" s="78" t="s">
        <v>56</v>
      </c>
      <c r="K14" s="79" t="s">
        <v>56</v>
      </c>
      <c r="L14" s="74"/>
      <c r="M14" s="72" t="s">
        <v>53</v>
      </c>
      <c r="N14" s="75" t="s">
        <v>56</v>
      </c>
      <c r="O14" s="73" t="s">
        <v>56</v>
      </c>
    </row>
    <row r="15" spans="1:15" s="71" customFormat="1" x14ac:dyDescent="0.2">
      <c r="A15" s="70" t="s">
        <v>68</v>
      </c>
      <c r="B15" s="71" t="s">
        <v>69</v>
      </c>
      <c r="D15" s="74"/>
      <c r="E15" s="74"/>
      <c r="F15" s="74"/>
      <c r="G15" s="74"/>
      <c r="H15" s="74"/>
      <c r="I15" s="74"/>
      <c r="J15" s="74"/>
      <c r="K15" s="74"/>
      <c r="L15" s="74"/>
      <c r="M15" s="72"/>
      <c r="N15" s="74"/>
      <c r="O15" s="73"/>
    </row>
    <row r="16" spans="1:15" s="71" customFormat="1" x14ac:dyDescent="0.2">
      <c r="A16" s="70" t="s">
        <v>70</v>
      </c>
      <c r="B16" s="71" t="s">
        <v>71</v>
      </c>
      <c r="D16" s="74"/>
      <c r="E16" s="74"/>
      <c r="F16" s="74"/>
      <c r="G16" s="74"/>
      <c r="H16" s="74"/>
      <c r="I16" s="74"/>
      <c r="J16" s="74"/>
      <c r="K16" s="74"/>
      <c r="L16" s="74"/>
      <c r="M16" s="72" t="s">
        <v>54</v>
      </c>
      <c r="N16" s="75" t="s">
        <v>53</v>
      </c>
      <c r="O16" s="73" t="s">
        <v>53</v>
      </c>
    </row>
    <row r="17" spans="1:15" x14ac:dyDescent="0.2">
      <c r="B17" s="77" t="s">
        <v>57</v>
      </c>
      <c r="D17" s="74"/>
      <c r="E17" s="74"/>
      <c r="F17" s="74"/>
      <c r="G17" s="74"/>
      <c r="H17" s="74"/>
      <c r="I17" s="74"/>
      <c r="J17" s="74"/>
      <c r="K17" s="74"/>
      <c r="L17" s="74"/>
      <c r="M17" s="72" t="s">
        <v>54</v>
      </c>
      <c r="N17" s="75" t="s">
        <v>53</v>
      </c>
      <c r="O17" s="73" t="s">
        <v>54</v>
      </c>
    </row>
    <row r="18" spans="1:15" s="65" customFormat="1" ht="18.95" x14ac:dyDescent="0.25">
      <c r="A18" s="63">
        <v>5</v>
      </c>
      <c r="B18" s="64" t="s">
        <v>72</v>
      </c>
      <c r="D18" s="74"/>
      <c r="E18" s="74"/>
      <c r="F18" s="74"/>
      <c r="G18" s="74"/>
      <c r="H18" s="74"/>
      <c r="I18" s="74"/>
      <c r="J18" s="74"/>
      <c r="K18" s="74"/>
      <c r="L18" s="74"/>
      <c r="M18" s="72" t="s">
        <v>54</v>
      </c>
      <c r="N18" s="75" t="s">
        <v>53</v>
      </c>
      <c r="O18" s="73" t="s">
        <v>56</v>
      </c>
    </row>
    <row r="19" spans="1:15" x14ac:dyDescent="0.2">
      <c r="B19" s="77" t="s">
        <v>57</v>
      </c>
      <c r="D19" s="74"/>
      <c r="E19" s="74"/>
      <c r="F19" s="74"/>
      <c r="G19" s="74"/>
      <c r="H19" s="74"/>
      <c r="I19" s="74"/>
      <c r="J19" s="74"/>
      <c r="K19" s="74"/>
      <c r="L19" s="74"/>
      <c r="M19" s="72"/>
      <c r="N19" s="74"/>
      <c r="O19" s="73"/>
    </row>
    <row r="20" spans="1:15" x14ac:dyDescent="0.2">
      <c r="B20" s="77" t="s">
        <v>57</v>
      </c>
      <c r="D20" s="74"/>
      <c r="E20" s="74"/>
      <c r="F20" s="74"/>
      <c r="G20" s="74"/>
      <c r="H20" s="74"/>
      <c r="I20" s="74"/>
      <c r="J20" s="74"/>
      <c r="K20" s="74"/>
      <c r="L20" s="74"/>
      <c r="M20" s="72" t="s">
        <v>54</v>
      </c>
      <c r="N20" s="75" t="s">
        <v>54</v>
      </c>
      <c r="O20" s="73" t="s">
        <v>53</v>
      </c>
    </row>
    <row r="21" spans="1:15" x14ac:dyDescent="0.2">
      <c r="D21" s="74"/>
      <c r="E21" s="74"/>
      <c r="F21" s="74"/>
      <c r="G21" s="74"/>
      <c r="H21" s="74"/>
      <c r="I21" s="74"/>
      <c r="J21" s="74"/>
      <c r="K21" s="74"/>
      <c r="L21" s="74"/>
      <c r="M21" s="72" t="s">
        <v>54</v>
      </c>
      <c r="N21" s="75" t="s">
        <v>54</v>
      </c>
      <c r="O21" s="73" t="s">
        <v>54</v>
      </c>
    </row>
    <row r="22" spans="1:15" x14ac:dyDescent="0.2">
      <c r="D22" s="74"/>
      <c r="E22" s="74"/>
      <c r="F22" s="74"/>
      <c r="G22" s="74"/>
      <c r="H22" s="74"/>
      <c r="I22" s="74"/>
      <c r="J22" s="74"/>
      <c r="K22" s="74"/>
      <c r="L22" s="74"/>
      <c r="M22" s="72" t="s">
        <v>54</v>
      </c>
      <c r="N22" s="75" t="s">
        <v>54</v>
      </c>
      <c r="O22" s="73" t="s">
        <v>56</v>
      </c>
    </row>
    <row r="23" spans="1:15" x14ac:dyDescent="0.2">
      <c r="D23" s="74"/>
      <c r="E23" s="74"/>
      <c r="F23" s="74"/>
      <c r="G23" s="74"/>
      <c r="H23" s="74"/>
      <c r="I23" s="74"/>
      <c r="J23" s="74"/>
      <c r="K23" s="74"/>
      <c r="L23" s="74"/>
      <c r="M23" s="72"/>
      <c r="N23" s="74"/>
      <c r="O23" s="73"/>
    </row>
    <row r="24" spans="1:15" x14ac:dyDescent="0.2">
      <c r="D24" s="74"/>
      <c r="E24" s="74"/>
      <c r="F24" s="74"/>
      <c r="G24" s="74"/>
      <c r="H24" s="74"/>
      <c r="I24" s="74"/>
      <c r="J24" s="74"/>
      <c r="K24" s="74"/>
      <c r="L24" s="74"/>
      <c r="M24" s="72" t="s">
        <v>54</v>
      </c>
      <c r="N24" s="75" t="s">
        <v>56</v>
      </c>
      <c r="O24" s="73" t="s">
        <v>53</v>
      </c>
    </row>
    <row r="25" spans="1:15" x14ac:dyDescent="0.2">
      <c r="D25" s="74"/>
      <c r="E25" s="74"/>
      <c r="F25" s="74"/>
      <c r="G25" s="74"/>
      <c r="H25" s="74"/>
      <c r="I25" s="74"/>
      <c r="J25" s="74"/>
      <c r="K25" s="74"/>
      <c r="L25" s="74"/>
      <c r="M25" s="72" t="s">
        <v>54</v>
      </c>
      <c r="N25" s="75" t="s">
        <v>56</v>
      </c>
      <c r="O25" s="73" t="s">
        <v>54</v>
      </c>
    </row>
    <row r="26" spans="1:15" x14ac:dyDescent="0.2">
      <c r="D26" s="74"/>
      <c r="E26" s="74"/>
      <c r="F26" s="74"/>
      <c r="G26" s="74"/>
      <c r="H26" s="74"/>
      <c r="I26" s="74"/>
      <c r="J26" s="74"/>
      <c r="K26" s="74"/>
      <c r="L26" s="74"/>
      <c r="M26" s="72" t="s">
        <v>54</v>
      </c>
      <c r="N26" s="75" t="s">
        <v>56</v>
      </c>
      <c r="O26" s="73" t="s">
        <v>56</v>
      </c>
    </row>
    <row r="27" spans="1:15" x14ac:dyDescent="0.2">
      <c r="D27" s="74"/>
      <c r="E27" s="74"/>
      <c r="F27" s="74"/>
      <c r="G27" s="74"/>
      <c r="H27" s="74"/>
      <c r="I27" s="74"/>
      <c r="J27" s="74"/>
      <c r="K27" s="74"/>
      <c r="L27" s="74"/>
      <c r="M27" s="72"/>
      <c r="N27" s="74"/>
      <c r="O27" s="73"/>
    </row>
    <row r="28" spans="1:15" x14ac:dyDescent="0.2">
      <c r="D28" s="74"/>
      <c r="E28" s="74"/>
      <c r="F28" s="74"/>
      <c r="G28" s="74"/>
      <c r="H28" s="74"/>
      <c r="I28" s="74"/>
      <c r="J28" s="74"/>
      <c r="K28" s="74"/>
      <c r="L28" s="74"/>
      <c r="M28" s="72" t="s">
        <v>56</v>
      </c>
      <c r="N28" s="75" t="s">
        <v>53</v>
      </c>
      <c r="O28" s="73" t="s">
        <v>53</v>
      </c>
    </row>
    <row r="29" spans="1:15" x14ac:dyDescent="0.25">
      <c r="D29" s="74"/>
      <c r="E29" s="74"/>
      <c r="F29" s="74"/>
      <c r="G29" s="74"/>
      <c r="H29" s="74"/>
      <c r="I29" s="74"/>
      <c r="J29" s="74"/>
      <c r="K29" s="74"/>
      <c r="L29" s="74"/>
      <c r="M29" s="72" t="s">
        <v>56</v>
      </c>
      <c r="N29" s="75" t="s">
        <v>53</v>
      </c>
      <c r="O29" s="73" t="s">
        <v>54</v>
      </c>
    </row>
    <row r="30" spans="1:15" x14ac:dyDescent="0.25">
      <c r="D30" s="74"/>
      <c r="E30" s="74"/>
      <c r="F30" s="74"/>
      <c r="G30" s="74"/>
      <c r="H30" s="74"/>
      <c r="I30" s="74"/>
      <c r="J30" s="74"/>
      <c r="K30" s="74"/>
      <c r="L30" s="74"/>
      <c r="M30" s="72" t="s">
        <v>56</v>
      </c>
      <c r="N30" s="75" t="s">
        <v>53</v>
      </c>
      <c r="O30" s="73" t="s">
        <v>56</v>
      </c>
    </row>
    <row r="31" spans="1:15" x14ac:dyDescent="0.25">
      <c r="D31" s="74"/>
      <c r="E31" s="74"/>
      <c r="F31" s="74"/>
      <c r="G31" s="74"/>
      <c r="H31" s="74"/>
      <c r="I31" s="74"/>
      <c r="J31" s="74"/>
      <c r="K31" s="74"/>
      <c r="L31" s="74"/>
      <c r="M31" s="72"/>
      <c r="N31" s="74"/>
      <c r="O31" s="73"/>
    </row>
    <row r="32" spans="1:15" x14ac:dyDescent="0.25">
      <c r="D32" s="74"/>
      <c r="E32" s="74"/>
      <c r="F32" s="74"/>
      <c r="G32" s="74"/>
      <c r="H32" s="74"/>
      <c r="I32" s="74"/>
      <c r="J32" s="74"/>
      <c r="K32" s="74"/>
      <c r="L32" s="74"/>
      <c r="M32" s="72" t="s">
        <v>56</v>
      </c>
      <c r="N32" s="75" t="s">
        <v>54</v>
      </c>
      <c r="O32" s="73" t="s">
        <v>53</v>
      </c>
    </row>
    <row r="33" spans="4:15" x14ac:dyDescent="0.25">
      <c r="D33" s="74"/>
      <c r="E33" s="74"/>
      <c r="F33" s="74"/>
      <c r="G33" s="74"/>
      <c r="H33" s="74"/>
      <c r="I33" s="74"/>
      <c r="J33" s="74"/>
      <c r="K33" s="74"/>
      <c r="L33" s="74"/>
      <c r="M33" s="72" t="s">
        <v>56</v>
      </c>
      <c r="N33" s="75" t="s">
        <v>54</v>
      </c>
      <c r="O33" s="73" t="s">
        <v>54</v>
      </c>
    </row>
    <row r="34" spans="4:15" x14ac:dyDescent="0.25">
      <c r="D34" s="74"/>
      <c r="E34" s="74"/>
      <c r="F34" s="74"/>
      <c r="G34" s="74"/>
      <c r="H34" s="74"/>
      <c r="I34" s="74"/>
      <c r="J34" s="74"/>
      <c r="K34" s="74"/>
      <c r="L34" s="74"/>
      <c r="M34" s="72" t="s">
        <v>56</v>
      </c>
      <c r="N34" s="75" t="s">
        <v>54</v>
      </c>
      <c r="O34" s="73" t="s">
        <v>56</v>
      </c>
    </row>
    <row r="35" spans="4:15" x14ac:dyDescent="0.25">
      <c r="D35" s="74"/>
      <c r="E35" s="74"/>
      <c r="F35" s="74"/>
      <c r="G35" s="74"/>
      <c r="H35" s="74"/>
      <c r="I35" s="74"/>
      <c r="J35" s="74"/>
      <c r="K35" s="74"/>
      <c r="L35" s="74"/>
      <c r="M35" s="72"/>
      <c r="N35" s="74"/>
      <c r="O35" s="73"/>
    </row>
    <row r="36" spans="4:15" x14ac:dyDescent="0.25">
      <c r="D36" s="74"/>
      <c r="E36" s="74"/>
      <c r="F36" s="74"/>
      <c r="G36" s="74"/>
      <c r="H36" s="74"/>
      <c r="I36" s="74"/>
      <c r="J36" s="74"/>
      <c r="K36" s="74"/>
      <c r="L36" s="74"/>
      <c r="M36" s="72" t="s">
        <v>56</v>
      </c>
      <c r="N36" s="75" t="s">
        <v>56</v>
      </c>
      <c r="O36" s="73" t="s">
        <v>53</v>
      </c>
    </row>
    <row r="37" spans="4:15" x14ac:dyDescent="0.25">
      <c r="D37" s="74"/>
      <c r="E37" s="74"/>
      <c r="F37" s="74"/>
      <c r="G37" s="74"/>
      <c r="H37" s="74"/>
      <c r="I37" s="74"/>
      <c r="J37" s="74"/>
      <c r="K37" s="74"/>
      <c r="L37" s="74"/>
      <c r="M37" s="72" t="s">
        <v>56</v>
      </c>
      <c r="N37" s="75" t="s">
        <v>56</v>
      </c>
      <c r="O37" s="73" t="s">
        <v>54</v>
      </c>
    </row>
    <row r="38" spans="4:15" ht="15.75" thickBot="1" x14ac:dyDescent="0.3">
      <c r="D38" s="74"/>
      <c r="E38" s="74"/>
      <c r="F38" s="74"/>
      <c r="G38" s="74"/>
      <c r="H38" s="74"/>
      <c r="I38" s="74"/>
      <c r="J38" s="74"/>
      <c r="K38" s="74"/>
      <c r="L38" s="74"/>
      <c r="M38" s="78" t="s">
        <v>56</v>
      </c>
      <c r="N38" s="80" t="s">
        <v>56</v>
      </c>
      <c r="O38" s="79" t="s">
        <v>56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3</vt:i4>
      </vt:variant>
    </vt:vector>
  </HeadingPairs>
  <TitlesOfParts>
    <vt:vector size="13" baseType="lpstr">
      <vt:lpstr>obv begroting</vt:lpstr>
      <vt:lpstr>producten &amp; tarieven</vt:lpstr>
      <vt:lpstr>Declarabiliteit &amp; soc lasten</vt:lpstr>
      <vt:lpstr>Salarissen</vt:lpstr>
      <vt:lpstr>Tarief HH</vt:lpstr>
      <vt:lpstr>Declarabiliteit &amp; soc lasten HH</vt:lpstr>
      <vt:lpstr>Denkrichting transformatie</vt:lpstr>
      <vt:lpstr>klantgroepen</vt:lpstr>
      <vt:lpstr>Blad2</vt:lpstr>
      <vt:lpstr>Per maatregel</vt:lpstr>
      <vt:lpstr>'Denkrichting transformatie'!Afdrukbereik</vt:lpstr>
      <vt:lpstr>'obv begroting'!Afdrukbereik</vt:lpstr>
      <vt:lpstr>'Per maatregel'!Afdrukbereik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Koers</dc:creator>
  <cp:lastModifiedBy>Douwe Sibma</cp:lastModifiedBy>
  <cp:lastPrinted>2020-11-16T12:52:45Z</cp:lastPrinted>
  <dcterms:created xsi:type="dcterms:W3CDTF">2018-02-26T12:36:58Z</dcterms:created>
  <dcterms:modified xsi:type="dcterms:W3CDTF">2020-12-23T07:11:34Z</dcterms:modified>
</cp:coreProperties>
</file>