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aanbestedingen\Compressoren en gasafzuiging\Aanbestedingsdocumenten\Nieuw\"/>
    </mc:Choice>
  </mc:AlternateContent>
  <bookViews>
    <workbookView xWindow="0" yWindow="0" windowWidth="23040" windowHeight="10632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4" i="1" l="1"/>
  <c r="AF83" i="1"/>
  <c r="AE83" i="1"/>
  <c r="AF82" i="1"/>
  <c r="AE82" i="1"/>
  <c r="AF80" i="1"/>
  <c r="AF85" i="1" s="1"/>
  <c r="AE80" i="1"/>
  <c r="DF79" i="1"/>
  <c r="DG77" i="1"/>
  <c r="CU77" i="1"/>
  <c r="CR77" i="1"/>
  <c r="CQ77" i="1"/>
  <c r="CN77" i="1"/>
  <c r="CK77" i="1"/>
  <c r="CJ77" i="1"/>
  <c r="CH77" i="1"/>
  <c r="CG77" i="1"/>
  <c r="CF77" i="1"/>
  <c r="CE77" i="1"/>
  <c r="CD77" i="1"/>
  <c r="CC77" i="1"/>
  <c r="CB77" i="1"/>
  <c r="CA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DI76" i="1"/>
  <c r="CW76" i="1"/>
  <c r="CX76" i="1" s="1"/>
  <c r="CV76" i="1"/>
  <c r="CP76" i="1"/>
  <c r="DE76" i="1" s="1"/>
  <c r="CM76" i="1"/>
  <c r="BY76" i="1"/>
  <c r="CS76" i="1" s="1"/>
  <c r="CT76" i="1" s="1"/>
  <c r="DH76" i="1" s="1"/>
  <c r="DJ76" i="1" s="1"/>
  <c r="BL76" i="1"/>
  <c r="AZ76" i="1"/>
  <c r="AS76" i="1"/>
  <c r="AR76" i="1"/>
  <c r="CL76" i="1" s="1"/>
  <c r="CO76" i="1" s="1"/>
  <c r="AO76" i="1"/>
  <c r="AN76" i="1"/>
  <c r="Y76" i="1"/>
  <c r="Z76" i="1" s="1"/>
  <c r="V76" i="1"/>
  <c r="T76" i="1"/>
  <c r="X76" i="1" s="1"/>
  <c r="Q76" i="1"/>
  <c r="DI75" i="1"/>
  <c r="DE75" i="1"/>
  <c r="CZ75" i="1"/>
  <c r="CY75" i="1"/>
  <c r="DB75" i="1" s="1"/>
  <c r="CV75" i="1"/>
  <c r="CT75" i="1"/>
  <c r="DH75" i="1" s="1"/>
  <c r="DJ75" i="1" s="1"/>
  <c r="CS75" i="1"/>
  <c r="CP75" i="1"/>
  <c r="CM75" i="1"/>
  <c r="BY75" i="1"/>
  <c r="BL75" i="1"/>
  <c r="CW75" i="1" s="1"/>
  <c r="CX75" i="1" s="1"/>
  <c r="BC75" i="1"/>
  <c r="BB75" i="1"/>
  <c r="AZ75" i="1"/>
  <c r="AV75" i="1"/>
  <c r="AS75" i="1"/>
  <c r="AR75" i="1"/>
  <c r="CL75" i="1" s="1"/>
  <c r="CO75" i="1" s="1"/>
  <c r="AP75" i="1"/>
  <c r="AO75" i="1"/>
  <c r="AN75" i="1"/>
  <c r="AM75" i="1"/>
  <c r="U75" i="1"/>
  <c r="Q75" i="1"/>
  <c r="W75" i="1" s="1"/>
  <c r="DI74" i="1"/>
  <c r="CW74" i="1"/>
  <c r="CX74" i="1" s="1"/>
  <c r="CV74" i="1"/>
  <c r="CP74" i="1"/>
  <c r="DB74" i="1" s="1"/>
  <c r="CM74" i="1"/>
  <c r="BY74" i="1"/>
  <c r="BB74" i="1" s="1"/>
  <c r="BL74" i="1"/>
  <c r="AR74" i="1"/>
  <c r="AQ74" i="1"/>
  <c r="CL74" i="1" s="1"/>
  <c r="CO74" i="1" s="1"/>
  <c r="AP74" i="1"/>
  <c r="AO74" i="1"/>
  <c r="AN74" i="1"/>
  <c r="AM74" i="1"/>
  <c r="T74" i="1"/>
  <c r="X74" i="1" s="1"/>
  <c r="Q74" i="1"/>
  <c r="DI73" i="1"/>
  <c r="CW73" i="1"/>
  <c r="CX73" i="1" s="1"/>
  <c r="CV73" i="1"/>
  <c r="CP73" i="1"/>
  <c r="DB73" i="1" s="1"/>
  <c r="CM73" i="1"/>
  <c r="BY73" i="1"/>
  <c r="AV73" i="1" s="1"/>
  <c r="BC73" i="1" s="1"/>
  <c r="BL73" i="1"/>
  <c r="AZ73" i="1"/>
  <c r="AS73" i="1"/>
  <c r="AR73" i="1"/>
  <c r="CL73" i="1" s="1"/>
  <c r="CO73" i="1" s="1"/>
  <c r="AP73" i="1"/>
  <c r="AO73" i="1"/>
  <c r="AN73" i="1"/>
  <c r="AM73" i="1"/>
  <c r="X73" i="1"/>
  <c r="V73" i="1"/>
  <c r="U73" i="1"/>
  <c r="T73" i="1"/>
  <c r="Q73" i="1"/>
  <c r="CV72" i="1"/>
  <c r="DB72" i="1" s="1"/>
  <c r="CP72" i="1"/>
  <c r="DE72" i="1" s="1"/>
  <c r="CM72" i="1"/>
  <c r="BY72" i="1"/>
  <c r="BL72" i="1"/>
  <c r="CW72" i="1" s="1"/>
  <c r="CX72" i="1" s="1"/>
  <c r="BB72" i="1"/>
  <c r="AZ72" i="1"/>
  <c r="AR72" i="1"/>
  <c r="AQ72" i="1"/>
  <c r="CL72" i="1" s="1"/>
  <c r="CO72" i="1" s="1"/>
  <c r="AP72" i="1"/>
  <c r="AO72" i="1"/>
  <c r="AN72" i="1"/>
  <c r="AM72" i="1"/>
  <c r="U72" i="1"/>
  <c r="T72" i="1"/>
  <c r="X72" i="1" s="1"/>
  <c r="Q72" i="1"/>
  <c r="W72" i="1" s="1"/>
  <c r="DI71" i="1"/>
  <c r="CW71" i="1"/>
  <c r="CX71" i="1" s="1"/>
  <c r="CV71" i="1"/>
  <c r="CP71" i="1"/>
  <c r="DB71" i="1" s="1"/>
  <c r="CM71" i="1"/>
  <c r="BY71" i="1"/>
  <c r="AV71" i="1" s="1"/>
  <c r="BC71" i="1" s="1"/>
  <c r="BL71" i="1"/>
  <c r="AZ71" i="1"/>
  <c r="AS71" i="1"/>
  <c r="AR71" i="1"/>
  <c r="AQ71" i="1"/>
  <c r="CL71" i="1" s="1"/>
  <c r="CO71" i="1" s="1"/>
  <c r="AP71" i="1"/>
  <c r="AO71" i="1"/>
  <c r="AN71" i="1"/>
  <c r="U71" i="1"/>
  <c r="Q71" i="1"/>
  <c r="DI70" i="1"/>
  <c r="CW70" i="1"/>
  <c r="CX70" i="1" s="1"/>
  <c r="CV70" i="1"/>
  <c r="CP70" i="1"/>
  <c r="DB70" i="1" s="1"/>
  <c r="CM70" i="1"/>
  <c r="BY70" i="1"/>
  <c r="AV70" i="1" s="1"/>
  <c r="BC70" i="1" s="1"/>
  <c r="BL70" i="1"/>
  <c r="AZ70" i="1"/>
  <c r="AS70" i="1"/>
  <c r="AR70" i="1"/>
  <c r="AQ70" i="1"/>
  <c r="CL70" i="1" s="1"/>
  <c r="CO70" i="1" s="1"/>
  <c r="AP70" i="1"/>
  <c r="AO70" i="1"/>
  <c r="AN70" i="1"/>
  <c r="X70" i="1"/>
  <c r="V70" i="1"/>
  <c r="U70" i="1"/>
  <c r="T70" i="1"/>
  <c r="Q70" i="1"/>
  <c r="DI69" i="1"/>
  <c r="CW69" i="1"/>
  <c r="CX69" i="1" s="1"/>
  <c r="CV69" i="1"/>
  <c r="CP69" i="1"/>
  <c r="DB69" i="1" s="1"/>
  <c r="CM69" i="1"/>
  <c r="BY69" i="1"/>
  <c r="AV69" i="1" s="1"/>
  <c r="BC69" i="1" s="1"/>
  <c r="BL69" i="1"/>
  <c r="AZ69" i="1"/>
  <c r="AR69" i="1"/>
  <c r="AQ69" i="1"/>
  <c r="CL69" i="1" s="1"/>
  <c r="CO69" i="1" s="1"/>
  <c r="AP69" i="1"/>
  <c r="AO69" i="1"/>
  <c r="AN69" i="1"/>
  <c r="AM69" i="1"/>
  <c r="X69" i="1"/>
  <c r="T69" i="1"/>
  <c r="DI68" i="1"/>
  <c r="DE68" i="1"/>
  <c r="CX68" i="1"/>
  <c r="CW68" i="1"/>
  <c r="CV68" i="1"/>
  <c r="CS68" i="1"/>
  <c r="CT68" i="1" s="1"/>
  <c r="DH68" i="1" s="1"/>
  <c r="DJ68" i="1" s="1"/>
  <c r="CP68" i="1"/>
  <c r="DB68" i="1" s="1"/>
  <c r="CM68" i="1"/>
  <c r="CL68" i="1"/>
  <c r="CO68" i="1" s="1"/>
  <c r="BY68" i="1"/>
  <c r="AV68" i="1" s="1"/>
  <c r="BC68" i="1" s="1"/>
  <c r="BL68" i="1"/>
  <c r="BB68" i="1"/>
  <c r="AZ68" i="1"/>
  <c r="AR68" i="1"/>
  <c r="AQ68" i="1"/>
  <c r="AP68" i="1"/>
  <c r="AO68" i="1"/>
  <c r="AN68" i="1"/>
  <c r="AM68" i="1"/>
  <c r="U68" i="1"/>
  <c r="Q68" i="1"/>
  <c r="DE67" i="1"/>
  <c r="CV67" i="1"/>
  <c r="DI67" i="1" s="1"/>
  <c r="CT67" i="1"/>
  <c r="DH67" i="1" s="1"/>
  <c r="CS67" i="1"/>
  <c r="CP67" i="1"/>
  <c r="DB67" i="1" s="1"/>
  <c r="CM67" i="1"/>
  <c r="BY67" i="1"/>
  <c r="BL67" i="1"/>
  <c r="CW67" i="1" s="1"/>
  <c r="CX67" i="1" s="1"/>
  <c r="BC67" i="1"/>
  <c r="BB67" i="1"/>
  <c r="AZ67" i="1"/>
  <c r="AV67" i="1"/>
  <c r="AS67" i="1"/>
  <c r="AR67" i="1"/>
  <c r="AP67" i="1"/>
  <c r="AO67" i="1"/>
  <c r="AN67" i="1"/>
  <c r="AM67" i="1"/>
  <c r="U67" i="1"/>
  <c r="Q67" i="1"/>
  <c r="W67" i="1" s="1"/>
  <c r="DB66" i="1"/>
  <c r="CV66" i="1"/>
  <c r="DI66" i="1" s="1"/>
  <c r="CP66" i="1"/>
  <c r="DE66" i="1" s="1"/>
  <c r="CO66" i="1"/>
  <c r="CM66" i="1"/>
  <c r="BY66" i="1"/>
  <c r="BL66" i="1"/>
  <c r="CW66" i="1" s="1"/>
  <c r="CX66" i="1" s="1"/>
  <c r="BB66" i="1"/>
  <c r="AZ66" i="1"/>
  <c r="AS66" i="1"/>
  <c r="AR66" i="1"/>
  <c r="CL66" i="1" s="1"/>
  <c r="AP66" i="1"/>
  <c r="AO66" i="1"/>
  <c r="AN66" i="1"/>
  <c r="AM66" i="1"/>
  <c r="V66" i="1"/>
  <c r="U66" i="1"/>
  <c r="T66" i="1"/>
  <c r="Q66" i="1"/>
  <c r="W66" i="1" s="1"/>
  <c r="DI65" i="1"/>
  <c r="DE65" i="1"/>
  <c r="CX65" i="1"/>
  <c r="CW65" i="1"/>
  <c r="CV65" i="1"/>
  <c r="CP65" i="1"/>
  <c r="DB65" i="1" s="1"/>
  <c r="CM65" i="1"/>
  <c r="CL65" i="1"/>
  <c r="CO65" i="1" s="1"/>
  <c r="BY65" i="1"/>
  <c r="BB65" i="1" s="1"/>
  <c r="BL65" i="1"/>
  <c r="BD65" i="1"/>
  <c r="AV65" i="1"/>
  <c r="BC65" i="1" s="1"/>
  <c r="BE65" i="1" s="1"/>
  <c r="CS65" i="1" s="1"/>
  <c r="CT65" i="1" s="1"/>
  <c r="DH65" i="1" s="1"/>
  <c r="DJ65" i="1" s="1"/>
  <c r="AS65" i="1"/>
  <c r="AR65" i="1"/>
  <c r="AP65" i="1"/>
  <c r="AO65" i="1"/>
  <c r="AN65" i="1"/>
  <c r="AM65" i="1"/>
  <c r="V65" i="1"/>
  <c r="U65" i="1"/>
  <c r="T65" i="1"/>
  <c r="X65" i="1" s="1"/>
  <c r="Q65" i="1"/>
  <c r="W65" i="1" s="1"/>
  <c r="CV64" i="1"/>
  <c r="DI64" i="1" s="1"/>
  <c r="CP64" i="1"/>
  <c r="DE64" i="1" s="1"/>
  <c r="CM64" i="1"/>
  <c r="BY64" i="1"/>
  <c r="BL64" i="1"/>
  <c r="CW64" i="1" s="1"/>
  <c r="CX64" i="1" s="1"/>
  <c r="BB64" i="1"/>
  <c r="AZ64" i="1"/>
  <c r="AS64" i="1"/>
  <c r="AR64" i="1"/>
  <c r="CL64" i="1" s="1"/>
  <c r="CO64" i="1" s="1"/>
  <c r="AP64" i="1"/>
  <c r="AO64" i="1"/>
  <c r="AN64" i="1"/>
  <c r="AM64" i="1"/>
  <c r="V64" i="1"/>
  <c r="U64" i="1"/>
  <c r="T64" i="1"/>
  <c r="X64" i="1" s="1"/>
  <c r="Q64" i="1"/>
  <c r="W64" i="1" s="1"/>
  <c r="DB63" i="1"/>
  <c r="CV63" i="1"/>
  <c r="DI63" i="1" s="1"/>
  <c r="CP63" i="1"/>
  <c r="DE63" i="1" s="1"/>
  <c r="CM63" i="1"/>
  <c r="BY63" i="1"/>
  <c r="CS63" i="1" s="1"/>
  <c r="CT63" i="1" s="1"/>
  <c r="DH63" i="1" s="1"/>
  <c r="BL63" i="1"/>
  <c r="CW63" i="1" s="1"/>
  <c r="CX63" i="1" s="1"/>
  <c r="AZ63" i="1"/>
  <c r="AV63" i="1"/>
  <c r="BC63" i="1" s="1"/>
  <c r="AS63" i="1"/>
  <c r="AQ63" i="1"/>
  <c r="CL63" i="1" s="1"/>
  <c r="CO63" i="1" s="1"/>
  <c r="AP63" i="1"/>
  <c r="AO63" i="1"/>
  <c r="AN63" i="1"/>
  <c r="AM63" i="1"/>
  <c r="AA63" i="1"/>
  <c r="Z63" i="1"/>
  <c r="Y63" i="1"/>
  <c r="V63" i="1"/>
  <c r="U63" i="1"/>
  <c r="T63" i="1"/>
  <c r="X63" i="1" s="1"/>
  <c r="Q63" i="1"/>
  <c r="DI62" i="1"/>
  <c r="DE62" i="1"/>
  <c r="CX62" i="1"/>
  <c r="CW62" i="1"/>
  <c r="CV62" i="1"/>
  <c r="CS62" i="1"/>
  <c r="CT62" i="1" s="1"/>
  <c r="DH62" i="1" s="1"/>
  <c r="DJ62" i="1" s="1"/>
  <c r="CP62" i="1"/>
  <c r="DB62" i="1" s="1"/>
  <c r="CM62" i="1"/>
  <c r="BY62" i="1"/>
  <c r="AV62" i="1" s="1"/>
  <c r="BC62" i="1" s="1"/>
  <c r="BL62" i="1"/>
  <c r="BB62" i="1"/>
  <c r="AZ62" i="1"/>
  <c r="AS62" i="1"/>
  <c r="AR62" i="1"/>
  <c r="CL62" i="1" s="1"/>
  <c r="CO62" i="1" s="1"/>
  <c r="AP62" i="1"/>
  <c r="AO62" i="1"/>
  <c r="AN62" i="1"/>
  <c r="AM62" i="1"/>
  <c r="V62" i="1"/>
  <c r="U62" i="1"/>
  <c r="T62" i="1"/>
  <c r="X62" i="1" s="1"/>
  <c r="Q62" i="1"/>
  <c r="W62" i="1" s="1"/>
  <c r="DI61" i="1"/>
  <c r="DE61" i="1"/>
  <c r="CX61" i="1"/>
  <c r="CW61" i="1"/>
  <c r="CV61" i="1"/>
  <c r="CP61" i="1"/>
  <c r="DB61" i="1" s="1"/>
  <c r="CM61" i="1"/>
  <c r="CL61" i="1"/>
  <c r="CO61" i="1" s="1"/>
  <c r="BY61" i="1"/>
  <c r="BB61" i="1" s="1"/>
  <c r="BL61" i="1"/>
  <c r="AZ61" i="1"/>
  <c r="AV61" i="1"/>
  <c r="BC61" i="1" s="1"/>
  <c r="AS61" i="1"/>
  <c r="AR61" i="1"/>
  <c r="AP61" i="1"/>
  <c r="AO61" i="1"/>
  <c r="AN61" i="1"/>
  <c r="AM61" i="1"/>
  <c r="X61" i="1"/>
  <c r="V61" i="1"/>
  <c r="U61" i="1"/>
  <c r="T61" i="1"/>
  <c r="Q61" i="1"/>
  <c r="DB60" i="1"/>
  <c r="CV60" i="1"/>
  <c r="DI60" i="1" s="1"/>
  <c r="CP60" i="1"/>
  <c r="DE60" i="1" s="1"/>
  <c r="CM60" i="1"/>
  <c r="BY60" i="1"/>
  <c r="AZ60" i="1" s="1"/>
  <c r="BL60" i="1"/>
  <c r="CW60" i="1" s="1"/>
  <c r="CX60" i="1" s="1"/>
  <c r="BB60" i="1"/>
  <c r="AS60" i="1"/>
  <c r="AR60" i="1"/>
  <c r="CL60" i="1" s="1"/>
  <c r="CO60" i="1" s="1"/>
  <c r="AO60" i="1"/>
  <c r="AN60" i="1"/>
  <c r="AM60" i="1"/>
  <c r="AA60" i="1"/>
  <c r="Z60" i="1"/>
  <c r="Y60" i="1"/>
  <c r="X60" i="1"/>
  <c r="V60" i="1"/>
  <c r="U60" i="1"/>
  <c r="T60" i="1"/>
  <c r="Q60" i="1"/>
  <c r="CV59" i="1"/>
  <c r="DI59" i="1" s="1"/>
  <c r="CP59" i="1"/>
  <c r="DE59" i="1" s="1"/>
  <c r="CO59" i="1"/>
  <c r="CM59" i="1"/>
  <c r="BY59" i="1"/>
  <c r="AZ59" i="1" s="1"/>
  <c r="BL59" i="1"/>
  <c r="CW59" i="1" s="1"/>
  <c r="CX59" i="1" s="1"/>
  <c r="BB59" i="1"/>
  <c r="AS59" i="1"/>
  <c r="AR59" i="1"/>
  <c r="CL59" i="1" s="1"/>
  <c r="AP59" i="1"/>
  <c r="AO59" i="1"/>
  <c r="AN59" i="1"/>
  <c r="AM59" i="1"/>
  <c r="Y59" i="1"/>
  <c r="AA59" i="1" s="1"/>
  <c r="X59" i="1"/>
  <c r="V59" i="1"/>
  <c r="U59" i="1"/>
  <c r="T59" i="1"/>
  <c r="DI58" i="1"/>
  <c r="CW58" i="1"/>
  <c r="CX58" i="1" s="1"/>
  <c r="CV58" i="1"/>
  <c r="CP58" i="1"/>
  <c r="CM58" i="1"/>
  <c r="BY58" i="1"/>
  <c r="BL58" i="1"/>
  <c r="AZ58" i="1"/>
  <c r="AR58" i="1"/>
  <c r="AQ58" i="1"/>
  <c r="CL58" i="1" s="1"/>
  <c r="CO58" i="1" s="1"/>
  <c r="AP58" i="1"/>
  <c r="AO58" i="1"/>
  <c r="AN58" i="1"/>
  <c r="AM58" i="1"/>
  <c r="X58" i="1"/>
  <c r="T58" i="1"/>
  <c r="DE57" i="1"/>
  <c r="CV57" i="1"/>
  <c r="DI57" i="1" s="1"/>
  <c r="CP57" i="1"/>
  <c r="CM57" i="1"/>
  <c r="BY57" i="1"/>
  <c r="BL57" i="1"/>
  <c r="CW57" i="1" s="1"/>
  <c r="CX57" i="1" s="1"/>
  <c r="BE57" i="1"/>
  <c r="CS57" i="1" s="1"/>
  <c r="CT57" i="1" s="1"/>
  <c r="DH57" i="1" s="1"/>
  <c r="DJ57" i="1" s="1"/>
  <c r="BB57" i="1"/>
  <c r="AZ57" i="1"/>
  <c r="AV57" i="1"/>
  <c r="BC57" i="1" s="1"/>
  <c r="BD57" i="1" s="1"/>
  <c r="AS57" i="1"/>
  <c r="AR57" i="1"/>
  <c r="CL57" i="1" s="1"/>
  <c r="CO57" i="1" s="1"/>
  <c r="DD57" i="1" s="1"/>
  <c r="DF57" i="1" s="1"/>
  <c r="DK57" i="1" s="1"/>
  <c r="AO57" i="1"/>
  <c r="AN57" i="1"/>
  <c r="AM57" i="1"/>
  <c r="X57" i="1"/>
  <c r="V57" i="1"/>
  <c r="T57" i="1"/>
  <c r="Q57" i="1"/>
  <c r="DJ56" i="1"/>
  <c r="DI56" i="1"/>
  <c r="DE56" i="1"/>
  <c r="CX56" i="1"/>
  <c r="CW56" i="1"/>
  <c r="CV56" i="1"/>
  <c r="CS56" i="1"/>
  <c r="CT56" i="1" s="1"/>
  <c r="DH56" i="1" s="1"/>
  <c r="CP56" i="1"/>
  <c r="DB56" i="1" s="1"/>
  <c r="CM56" i="1"/>
  <c r="BY56" i="1"/>
  <c r="AV56" i="1" s="1"/>
  <c r="BC56" i="1" s="1"/>
  <c r="BL56" i="1"/>
  <c r="BB56" i="1"/>
  <c r="AZ56" i="1"/>
  <c r="AS56" i="1"/>
  <c r="AR56" i="1"/>
  <c r="CL56" i="1" s="1"/>
  <c r="CO56" i="1" s="1"/>
  <c r="AO56" i="1"/>
  <c r="AN56" i="1"/>
  <c r="AM56" i="1"/>
  <c r="X56" i="1"/>
  <c r="V56" i="1"/>
  <c r="T56" i="1"/>
  <c r="Q56" i="1"/>
  <c r="W56" i="1" s="1"/>
  <c r="DD55" i="1"/>
  <c r="CV55" i="1"/>
  <c r="DI55" i="1" s="1"/>
  <c r="CP55" i="1"/>
  <c r="CM55" i="1"/>
  <c r="BY55" i="1"/>
  <c r="BL55" i="1"/>
  <c r="CW55" i="1" s="1"/>
  <c r="CX55" i="1" s="1"/>
  <c r="AR55" i="1"/>
  <c r="AQ55" i="1"/>
  <c r="CL55" i="1" s="1"/>
  <c r="CO55" i="1" s="1"/>
  <c r="AP55" i="1"/>
  <c r="AO55" i="1"/>
  <c r="AN55" i="1"/>
  <c r="AM55" i="1"/>
  <c r="X55" i="1"/>
  <c r="T55" i="1"/>
  <c r="DE54" i="1"/>
  <c r="CV54" i="1"/>
  <c r="DI54" i="1" s="1"/>
  <c r="CT54" i="1"/>
  <c r="DH54" i="1" s="1"/>
  <c r="DJ54" i="1" s="1"/>
  <c r="CS54" i="1"/>
  <c r="CP54" i="1"/>
  <c r="CM54" i="1"/>
  <c r="BY54" i="1"/>
  <c r="BL54" i="1"/>
  <c r="CW54" i="1" s="1"/>
  <c r="CX54" i="1" s="1"/>
  <c r="BC54" i="1"/>
  <c r="BB54" i="1"/>
  <c r="AZ54" i="1"/>
  <c r="AV54" i="1"/>
  <c r="AS54" i="1"/>
  <c r="AR54" i="1"/>
  <c r="CL54" i="1" s="1"/>
  <c r="CO54" i="1" s="1"/>
  <c r="AP54" i="1"/>
  <c r="AO54" i="1"/>
  <c r="AN54" i="1"/>
  <c r="AM54" i="1"/>
  <c r="W54" i="1"/>
  <c r="U54" i="1"/>
  <c r="T54" i="1"/>
  <c r="X54" i="1" s="1"/>
  <c r="Q54" i="1"/>
  <c r="DI53" i="1"/>
  <c r="DE53" i="1"/>
  <c r="CX53" i="1"/>
  <c r="CW53" i="1"/>
  <c r="CV53" i="1"/>
  <c r="CS53" i="1"/>
  <c r="CT53" i="1" s="1"/>
  <c r="DH53" i="1" s="1"/>
  <c r="DJ53" i="1" s="1"/>
  <c r="CP53" i="1"/>
  <c r="DB53" i="1" s="1"/>
  <c r="CM53" i="1"/>
  <c r="BY53" i="1"/>
  <c r="AV53" i="1" s="1"/>
  <c r="BC53" i="1" s="1"/>
  <c r="BL53" i="1"/>
  <c r="BB53" i="1"/>
  <c r="AZ53" i="1"/>
  <c r="AS53" i="1"/>
  <c r="CL53" i="1" s="1"/>
  <c r="CO53" i="1" s="1"/>
  <c r="AQ53" i="1"/>
  <c r="AP53" i="1"/>
  <c r="AO53" i="1"/>
  <c r="AN53" i="1"/>
  <c r="AM53" i="1"/>
  <c r="U53" i="1"/>
  <c r="T53" i="1"/>
  <c r="X53" i="1" s="1"/>
  <c r="Q53" i="1"/>
  <c r="W53" i="1" s="1"/>
  <c r="DI52" i="1"/>
  <c r="DE52" i="1"/>
  <c r="CW52" i="1"/>
  <c r="CX52" i="1" s="1"/>
  <c r="CV52" i="1"/>
  <c r="CS52" i="1"/>
  <c r="CT52" i="1" s="1"/>
  <c r="DH52" i="1" s="1"/>
  <c r="DJ52" i="1" s="1"/>
  <c r="CP52" i="1"/>
  <c r="DB52" i="1" s="1"/>
  <c r="CM52" i="1"/>
  <c r="BY52" i="1"/>
  <c r="BL52" i="1"/>
  <c r="AV52" i="1"/>
  <c r="BC52" i="1" s="1"/>
  <c r="AS52" i="1"/>
  <c r="AQ52" i="1"/>
  <c r="AP52" i="1"/>
  <c r="AO52" i="1"/>
  <c r="AN52" i="1"/>
  <c r="AM52" i="1"/>
  <c r="X52" i="1"/>
  <c r="W52" i="1"/>
  <c r="U52" i="1"/>
  <c r="T52" i="1"/>
  <c r="Q52" i="1"/>
  <c r="CW51" i="1"/>
  <c r="CX51" i="1" s="1"/>
  <c r="CV51" i="1"/>
  <c r="DI51" i="1" s="1"/>
  <c r="CP51" i="1"/>
  <c r="DE51" i="1" s="1"/>
  <c r="CM51" i="1"/>
  <c r="BY51" i="1"/>
  <c r="BL51" i="1"/>
  <c r="BB51" i="1"/>
  <c r="AZ51" i="1"/>
  <c r="AS51" i="1"/>
  <c r="AQ51" i="1"/>
  <c r="CL51" i="1" s="1"/>
  <c r="AP51" i="1"/>
  <c r="AO51" i="1"/>
  <c r="AN51" i="1"/>
  <c r="AM51" i="1"/>
  <c r="V51" i="1"/>
  <c r="U51" i="1"/>
  <c r="T51" i="1"/>
  <c r="X51" i="1" s="1"/>
  <c r="Q51" i="1"/>
  <c r="W51" i="1" s="1"/>
  <c r="DI50" i="1"/>
  <c r="CW50" i="1"/>
  <c r="CX50" i="1" s="1"/>
  <c r="CV50" i="1"/>
  <c r="CP50" i="1"/>
  <c r="DB50" i="1" s="1"/>
  <c r="CM50" i="1"/>
  <c r="CL50" i="1"/>
  <c r="CO50" i="1" s="1"/>
  <c r="DD50" i="1" s="1"/>
  <c r="BY50" i="1"/>
  <c r="AV50" i="1" s="1"/>
  <c r="BL50" i="1"/>
  <c r="BC50" i="1"/>
  <c r="BB50" i="1"/>
  <c r="AZ50" i="1"/>
  <c r="AS50" i="1"/>
  <c r="AQ50" i="1"/>
  <c r="AP50" i="1"/>
  <c r="AO50" i="1"/>
  <c r="AN50" i="1"/>
  <c r="AM50" i="1"/>
  <c r="X50" i="1"/>
  <c r="V50" i="1"/>
  <c r="U50" i="1"/>
  <c r="T50" i="1"/>
  <c r="Q50" i="1"/>
  <c r="W50" i="1" s="1"/>
  <c r="DI49" i="1"/>
  <c r="CZ49" i="1"/>
  <c r="CY49" i="1"/>
  <c r="CW49" i="1"/>
  <c r="CX49" i="1" s="1"/>
  <c r="CV49" i="1"/>
  <c r="CP49" i="1"/>
  <c r="CM49" i="1"/>
  <c r="BY49" i="1"/>
  <c r="BL49" i="1"/>
  <c r="AZ49" i="1"/>
  <c r="AR49" i="1"/>
  <c r="AQ49" i="1"/>
  <c r="CL49" i="1" s="1"/>
  <c r="CO49" i="1" s="1"/>
  <c r="DD49" i="1" s="1"/>
  <c r="AP49" i="1"/>
  <c r="AO49" i="1"/>
  <c r="AN49" i="1"/>
  <c r="AM49" i="1"/>
  <c r="AA49" i="1"/>
  <c r="Y49" i="1"/>
  <c r="Z49" i="1" s="1"/>
  <c r="W49" i="1"/>
  <c r="U49" i="1"/>
  <c r="Q49" i="1"/>
  <c r="DI48" i="1"/>
  <c r="CW48" i="1"/>
  <c r="CX48" i="1" s="1"/>
  <c r="CV48" i="1"/>
  <c r="CP48" i="1"/>
  <c r="CM48" i="1"/>
  <c r="BY48" i="1"/>
  <c r="BL48" i="1"/>
  <c r="AS48" i="1"/>
  <c r="CL48" i="1" s="1"/>
  <c r="CO48" i="1" s="1"/>
  <c r="AR48" i="1"/>
  <c r="AP48" i="1"/>
  <c r="AO48" i="1"/>
  <c r="AN48" i="1"/>
  <c r="AM48" i="1"/>
  <c r="Y48" i="1"/>
  <c r="V48" i="1"/>
  <c r="U48" i="1"/>
  <c r="T48" i="1"/>
  <c r="Q48" i="1"/>
  <c r="W48" i="1" s="1"/>
  <c r="CV47" i="1"/>
  <c r="DI47" i="1" s="1"/>
  <c r="CP47" i="1"/>
  <c r="DE47" i="1" s="1"/>
  <c r="CM47" i="1"/>
  <c r="BY47" i="1"/>
  <c r="CS47" i="1" s="1"/>
  <c r="CT47" i="1" s="1"/>
  <c r="DH47" i="1" s="1"/>
  <c r="DJ47" i="1" s="1"/>
  <c r="BL47" i="1"/>
  <c r="CW47" i="1" s="1"/>
  <c r="CX47" i="1" s="1"/>
  <c r="BC47" i="1"/>
  <c r="AZ47" i="1"/>
  <c r="AV47" i="1"/>
  <c r="AS47" i="1"/>
  <c r="AR47" i="1"/>
  <c r="AQ47" i="1"/>
  <c r="AP47" i="1"/>
  <c r="AN47" i="1"/>
  <c r="U47" i="1"/>
  <c r="Q47" i="1"/>
  <c r="DE46" i="1"/>
  <c r="CX46" i="1"/>
  <c r="CV46" i="1"/>
  <c r="DI46" i="1" s="1"/>
  <c r="CS46" i="1"/>
  <c r="CT46" i="1" s="1"/>
  <c r="DH46" i="1" s="1"/>
  <c r="DJ46" i="1" s="1"/>
  <c r="CP46" i="1"/>
  <c r="CM46" i="1"/>
  <c r="BY46" i="1"/>
  <c r="BL46" i="1"/>
  <c r="CW46" i="1" s="1"/>
  <c r="BC46" i="1"/>
  <c r="BB46" i="1"/>
  <c r="AZ46" i="1"/>
  <c r="AV46" i="1"/>
  <c r="AS46" i="1"/>
  <c r="AR46" i="1"/>
  <c r="CL46" i="1" s="1"/>
  <c r="CO46" i="1" s="1"/>
  <c r="AP46" i="1"/>
  <c r="AO46" i="1"/>
  <c r="AN46" i="1"/>
  <c r="AM46" i="1"/>
  <c r="U46" i="1"/>
  <c r="Q46" i="1"/>
  <c r="DE45" i="1"/>
  <c r="CX45" i="1"/>
  <c r="CV45" i="1"/>
  <c r="DI45" i="1" s="1"/>
  <c r="CS45" i="1"/>
  <c r="CT45" i="1" s="1"/>
  <c r="DH45" i="1" s="1"/>
  <c r="DJ45" i="1" s="1"/>
  <c r="CP45" i="1"/>
  <c r="CM45" i="1"/>
  <c r="BY45" i="1"/>
  <c r="BL45" i="1"/>
  <c r="CW45" i="1" s="1"/>
  <c r="BC45" i="1"/>
  <c r="BB45" i="1"/>
  <c r="AZ45" i="1"/>
  <c r="AV45" i="1"/>
  <c r="AS45" i="1"/>
  <c r="AR45" i="1"/>
  <c r="CL45" i="1" s="1"/>
  <c r="CO45" i="1" s="1"/>
  <c r="AQ45" i="1"/>
  <c r="AP45" i="1"/>
  <c r="AO45" i="1"/>
  <c r="AN45" i="1"/>
  <c r="W45" i="1"/>
  <c r="U45" i="1"/>
  <c r="T45" i="1"/>
  <c r="X45" i="1" s="1"/>
  <c r="Q45" i="1"/>
  <c r="DI44" i="1"/>
  <c r="CW44" i="1"/>
  <c r="CX44" i="1" s="1"/>
  <c r="CV44" i="1"/>
  <c r="CP44" i="1"/>
  <c r="CM44" i="1"/>
  <c r="BY44" i="1"/>
  <c r="BL44" i="1"/>
  <c r="AS44" i="1"/>
  <c r="CL44" i="1" s="1"/>
  <c r="CO44" i="1" s="1"/>
  <c r="AR44" i="1"/>
  <c r="AQ44" i="1"/>
  <c r="AP44" i="1"/>
  <c r="AO44" i="1"/>
  <c r="AN44" i="1"/>
  <c r="U44" i="1"/>
  <c r="Q44" i="1"/>
  <c r="DB43" i="1"/>
  <c r="CV43" i="1"/>
  <c r="DI43" i="1" s="1"/>
  <c r="CP43" i="1"/>
  <c r="DE43" i="1" s="1"/>
  <c r="CM43" i="1"/>
  <c r="BY43" i="1"/>
  <c r="CS43" i="1" s="1"/>
  <c r="CT43" i="1" s="1"/>
  <c r="DH43" i="1" s="1"/>
  <c r="DJ43" i="1" s="1"/>
  <c r="BL43" i="1"/>
  <c r="CW43" i="1" s="1"/>
  <c r="CX43" i="1" s="1"/>
  <c r="AZ43" i="1"/>
  <c r="AV43" i="1"/>
  <c r="BC43" i="1" s="1"/>
  <c r="AS43" i="1"/>
  <c r="AR43" i="1"/>
  <c r="CL43" i="1" s="1"/>
  <c r="CO43" i="1" s="1"/>
  <c r="AP43" i="1"/>
  <c r="AO43" i="1"/>
  <c r="AN43" i="1"/>
  <c r="AM43" i="1"/>
  <c r="U43" i="1"/>
  <c r="Q43" i="1"/>
  <c r="DB42" i="1"/>
  <c r="CV42" i="1"/>
  <c r="DI42" i="1" s="1"/>
  <c r="CP42" i="1"/>
  <c r="DE42" i="1" s="1"/>
  <c r="CM42" i="1"/>
  <c r="BY42" i="1"/>
  <c r="CS42" i="1" s="1"/>
  <c r="CT42" i="1" s="1"/>
  <c r="DH42" i="1" s="1"/>
  <c r="DJ42" i="1" s="1"/>
  <c r="BL42" i="1"/>
  <c r="CW42" i="1" s="1"/>
  <c r="CX42" i="1" s="1"/>
  <c r="BC42" i="1"/>
  <c r="AZ42" i="1"/>
  <c r="AV42" i="1"/>
  <c r="AR42" i="1"/>
  <c r="AQ42" i="1"/>
  <c r="AP42" i="1"/>
  <c r="AN42" i="1"/>
  <c r="AM42" i="1"/>
  <c r="U42" i="1"/>
  <c r="Q42" i="1"/>
  <c r="DE41" i="1"/>
  <c r="CV41" i="1"/>
  <c r="DI41" i="1" s="1"/>
  <c r="CP41" i="1"/>
  <c r="CM41" i="1"/>
  <c r="CL41" i="1"/>
  <c r="CO41" i="1" s="1"/>
  <c r="DD41" i="1" s="1"/>
  <c r="DF41" i="1" s="1"/>
  <c r="BY41" i="1"/>
  <c r="BL41" i="1"/>
  <c r="CW41" i="1" s="1"/>
  <c r="CX41" i="1" s="1"/>
  <c r="BD41" i="1"/>
  <c r="BB41" i="1"/>
  <c r="AZ41" i="1"/>
  <c r="AV41" i="1"/>
  <c r="BC41" i="1" s="1"/>
  <c r="BE41" i="1" s="1"/>
  <c r="CS41" i="1" s="1"/>
  <c r="CT41" i="1" s="1"/>
  <c r="DH41" i="1" s="1"/>
  <c r="DJ41" i="1" s="1"/>
  <c r="AS41" i="1"/>
  <c r="AR41" i="1"/>
  <c r="AP41" i="1"/>
  <c r="AO41" i="1"/>
  <c r="AN41" i="1"/>
  <c r="AM41" i="1"/>
  <c r="X41" i="1"/>
  <c r="V41" i="1"/>
  <c r="U41" i="1"/>
  <c r="T41" i="1"/>
  <c r="Q41" i="1"/>
  <c r="W41" i="1" s="1"/>
  <c r="DI40" i="1"/>
  <c r="DE40" i="1"/>
  <c r="CX40" i="1"/>
  <c r="CW40" i="1"/>
  <c r="CV40" i="1"/>
  <c r="CP40" i="1"/>
  <c r="DB40" i="1" s="1"/>
  <c r="CM40" i="1"/>
  <c r="CL40" i="1"/>
  <c r="CO40" i="1" s="1"/>
  <c r="BY40" i="1"/>
  <c r="BB40" i="1" s="1"/>
  <c r="BL40" i="1"/>
  <c r="AZ40" i="1"/>
  <c r="AS40" i="1"/>
  <c r="AQ40" i="1"/>
  <c r="AO40" i="1"/>
  <c r="AN40" i="1"/>
  <c r="AM40" i="1"/>
  <c r="AA40" i="1"/>
  <c r="Z40" i="1"/>
  <c r="Y40" i="1"/>
  <c r="V40" i="1"/>
  <c r="T40" i="1"/>
  <c r="X40" i="1" s="1"/>
  <c r="DI39" i="1"/>
  <c r="DE39" i="1"/>
  <c r="CW39" i="1"/>
  <c r="CX39" i="1" s="1"/>
  <c r="CV39" i="1"/>
  <c r="CP39" i="1"/>
  <c r="DB39" i="1" s="1"/>
  <c r="CM39" i="1"/>
  <c r="BY39" i="1"/>
  <c r="BL39" i="1"/>
  <c r="AV39" i="1"/>
  <c r="BC39" i="1" s="1"/>
  <c r="BE39" i="1" s="1"/>
  <c r="AS39" i="1"/>
  <c r="AQ39" i="1"/>
  <c r="AO39" i="1"/>
  <c r="AN39" i="1"/>
  <c r="AM39" i="1"/>
  <c r="Y39" i="1"/>
  <c r="X39" i="1"/>
  <c r="V39" i="1"/>
  <c r="T39" i="1"/>
  <c r="Q39" i="1"/>
  <c r="W39" i="1" s="1"/>
  <c r="DB38" i="1"/>
  <c r="CW38" i="1"/>
  <c r="CX38" i="1" s="1"/>
  <c r="CV38" i="1"/>
  <c r="DI38" i="1" s="1"/>
  <c r="CP38" i="1"/>
  <c r="DE38" i="1" s="1"/>
  <c r="CM38" i="1"/>
  <c r="BY38" i="1"/>
  <c r="Q38" i="1" s="1"/>
  <c r="BL38" i="1"/>
  <c r="BC38" i="1"/>
  <c r="AV38" i="1"/>
  <c r="AS38" i="1"/>
  <c r="AQ38" i="1"/>
  <c r="CL38" i="1" s="1"/>
  <c r="CO38" i="1" s="1"/>
  <c r="AO38" i="1"/>
  <c r="AN38" i="1"/>
  <c r="AM38" i="1"/>
  <c r="AA38" i="1"/>
  <c r="Y38" i="1"/>
  <c r="Z38" i="1" s="1"/>
  <c r="V38" i="1"/>
  <c r="U38" i="1"/>
  <c r="T38" i="1"/>
  <c r="X38" i="1" s="1"/>
  <c r="DE37" i="1"/>
  <c r="DB37" i="1"/>
  <c r="CV37" i="1"/>
  <c r="DI37" i="1" s="1"/>
  <c r="CS37" i="1"/>
  <c r="CT37" i="1" s="1"/>
  <c r="DH37" i="1" s="1"/>
  <c r="DJ37" i="1" s="1"/>
  <c r="CP37" i="1"/>
  <c r="CM37" i="1"/>
  <c r="BY37" i="1"/>
  <c r="BL37" i="1"/>
  <c r="CW37" i="1" s="1"/>
  <c r="CX37" i="1" s="1"/>
  <c r="BB37" i="1"/>
  <c r="AZ37" i="1"/>
  <c r="AV37" i="1"/>
  <c r="BC37" i="1" s="1"/>
  <c r="AS37" i="1"/>
  <c r="AR37" i="1"/>
  <c r="CL37" i="1" s="1"/>
  <c r="CO37" i="1" s="1"/>
  <c r="AP37" i="1"/>
  <c r="AO37" i="1"/>
  <c r="AN37" i="1"/>
  <c r="AM37" i="1"/>
  <c r="Z37" i="1"/>
  <c r="Y37" i="1"/>
  <c r="AA37" i="1" s="1"/>
  <c r="V37" i="1"/>
  <c r="T37" i="1"/>
  <c r="X37" i="1" s="1"/>
  <c r="Q37" i="1"/>
  <c r="DI36" i="1"/>
  <c r="CW36" i="1"/>
  <c r="CX36" i="1" s="1"/>
  <c r="CV36" i="1"/>
  <c r="CP36" i="1"/>
  <c r="CM36" i="1"/>
  <c r="BY36" i="1"/>
  <c r="BL36" i="1"/>
  <c r="AS36" i="1"/>
  <c r="AR36" i="1"/>
  <c r="AO36" i="1"/>
  <c r="AN36" i="1"/>
  <c r="AM36" i="1"/>
  <c r="T36" i="1"/>
  <c r="X36" i="1" s="1"/>
  <c r="DE35" i="1"/>
  <c r="DB35" i="1"/>
  <c r="CV35" i="1"/>
  <c r="DI35" i="1" s="1"/>
  <c r="CS35" i="1"/>
  <c r="CT35" i="1" s="1"/>
  <c r="DH35" i="1" s="1"/>
  <c r="DJ35" i="1" s="1"/>
  <c r="CP35" i="1"/>
  <c r="CM35" i="1"/>
  <c r="BY35" i="1"/>
  <c r="BL35" i="1"/>
  <c r="CW35" i="1" s="1"/>
  <c r="CX35" i="1" s="1"/>
  <c r="BB35" i="1"/>
  <c r="AZ35" i="1"/>
  <c r="AV35" i="1"/>
  <c r="BC35" i="1" s="1"/>
  <c r="AS35" i="1"/>
  <c r="AR35" i="1"/>
  <c r="CL35" i="1" s="1"/>
  <c r="CO35" i="1" s="1"/>
  <c r="AQ35" i="1"/>
  <c r="AO35" i="1"/>
  <c r="AN35" i="1"/>
  <c r="AM35" i="1"/>
  <c r="Z35" i="1"/>
  <c r="Y35" i="1"/>
  <c r="AA35" i="1" s="1"/>
  <c r="V35" i="1"/>
  <c r="T35" i="1"/>
  <c r="X35" i="1" s="1"/>
  <c r="Q35" i="1"/>
  <c r="DE34" i="1"/>
  <c r="CV34" i="1"/>
  <c r="DI34" i="1" s="1"/>
  <c r="CS34" i="1"/>
  <c r="CT34" i="1" s="1"/>
  <c r="DH34" i="1" s="1"/>
  <c r="DJ34" i="1" s="1"/>
  <c r="CP34" i="1"/>
  <c r="CM34" i="1"/>
  <c r="BY34" i="1"/>
  <c r="BL34" i="1"/>
  <c r="CW34" i="1" s="1"/>
  <c r="CX34" i="1" s="1"/>
  <c r="BB34" i="1"/>
  <c r="AZ34" i="1"/>
  <c r="AV34" i="1"/>
  <c r="BC34" i="1" s="1"/>
  <c r="AS34" i="1"/>
  <c r="AR34" i="1"/>
  <c r="CL34" i="1" s="1"/>
  <c r="CO34" i="1" s="1"/>
  <c r="AP34" i="1"/>
  <c r="AO34" i="1"/>
  <c r="AN34" i="1"/>
  <c r="AM34" i="1"/>
  <c r="V34" i="1"/>
  <c r="U34" i="1"/>
  <c r="T34" i="1"/>
  <c r="X34" i="1" s="1"/>
  <c r="Q34" i="1"/>
  <c r="W34" i="1" s="1"/>
  <c r="DI33" i="1"/>
  <c r="DF33" i="1"/>
  <c r="CW33" i="1"/>
  <c r="CX33" i="1" s="1"/>
  <c r="CV33" i="1"/>
  <c r="CP33" i="1"/>
  <c r="DE33" i="1" s="1"/>
  <c r="CM33" i="1"/>
  <c r="BY33" i="1"/>
  <c r="BL33" i="1"/>
  <c r="AZ33" i="1"/>
  <c r="AS33" i="1"/>
  <c r="CL33" i="1" s="1"/>
  <c r="CO33" i="1" s="1"/>
  <c r="DD33" i="1" s="1"/>
  <c r="AR33" i="1"/>
  <c r="AP33" i="1"/>
  <c r="AO33" i="1"/>
  <c r="AN33" i="1"/>
  <c r="AM33" i="1"/>
  <c r="U33" i="1"/>
  <c r="Q33" i="1"/>
  <c r="DI32" i="1"/>
  <c r="DD32" i="1"/>
  <c r="CW32" i="1"/>
  <c r="CX32" i="1" s="1"/>
  <c r="CV32" i="1"/>
  <c r="CP32" i="1"/>
  <c r="CM32" i="1"/>
  <c r="BY32" i="1"/>
  <c r="AZ32" i="1" s="1"/>
  <c r="BL32" i="1"/>
  <c r="AS32" i="1"/>
  <c r="AQ32" i="1"/>
  <c r="CL32" i="1" s="1"/>
  <c r="CO32" i="1" s="1"/>
  <c r="AP32" i="1"/>
  <c r="AO32" i="1"/>
  <c r="AN32" i="1"/>
  <c r="U32" i="1"/>
  <c r="T32" i="1"/>
  <c r="Q32" i="1"/>
  <c r="DI31" i="1"/>
  <c r="CW31" i="1"/>
  <c r="CX31" i="1" s="1"/>
  <c r="CV31" i="1"/>
  <c r="CP31" i="1"/>
  <c r="DE31" i="1" s="1"/>
  <c r="CM31" i="1"/>
  <c r="BY31" i="1"/>
  <c r="CS31" i="1" s="1"/>
  <c r="CT31" i="1" s="1"/>
  <c r="DH31" i="1" s="1"/>
  <c r="DJ31" i="1" s="1"/>
  <c r="BL31" i="1"/>
  <c r="AZ31" i="1"/>
  <c r="AS31" i="1"/>
  <c r="AR31" i="1"/>
  <c r="AQ31" i="1"/>
  <c r="AP31" i="1"/>
  <c r="AN31" i="1"/>
  <c r="AA31" i="1"/>
  <c r="Z31" i="1"/>
  <c r="Y31" i="1"/>
  <c r="U31" i="1"/>
  <c r="Q31" i="1"/>
  <c r="DI30" i="1"/>
  <c r="CW30" i="1"/>
  <c r="CX30" i="1" s="1"/>
  <c r="CV30" i="1"/>
  <c r="CP30" i="1"/>
  <c r="CM30" i="1"/>
  <c r="BY30" i="1"/>
  <c r="BL30" i="1"/>
  <c r="AS30" i="1"/>
  <c r="AR30" i="1"/>
  <c r="AP30" i="1"/>
  <c r="AO30" i="1"/>
  <c r="AN30" i="1"/>
  <c r="AM30" i="1"/>
  <c r="V30" i="1"/>
  <c r="U30" i="1"/>
  <c r="T30" i="1"/>
  <c r="X30" i="1" s="1"/>
  <c r="Q30" i="1"/>
  <c r="W30" i="1" s="1"/>
  <c r="DE29" i="1"/>
  <c r="DB29" i="1"/>
  <c r="CV29" i="1"/>
  <c r="DI29" i="1" s="1"/>
  <c r="CP29" i="1"/>
  <c r="CM29" i="1"/>
  <c r="BY29" i="1"/>
  <c r="BL29" i="1"/>
  <c r="CW29" i="1" s="1"/>
  <c r="CX29" i="1" s="1"/>
  <c r="BB29" i="1"/>
  <c r="AZ29" i="1"/>
  <c r="AV29" i="1"/>
  <c r="BC29" i="1" s="1"/>
  <c r="AS29" i="1"/>
  <c r="AR29" i="1"/>
  <c r="CL29" i="1" s="1"/>
  <c r="CO29" i="1" s="1"/>
  <c r="AP29" i="1"/>
  <c r="AO29" i="1"/>
  <c r="AN29" i="1"/>
  <c r="AM29" i="1"/>
  <c r="V29" i="1"/>
  <c r="U29" i="1"/>
  <c r="T29" i="1"/>
  <c r="X29" i="1" s="1"/>
  <c r="Q29" i="1"/>
  <c r="DI28" i="1"/>
  <c r="CW28" i="1"/>
  <c r="CX28" i="1" s="1"/>
  <c r="CV28" i="1"/>
  <c r="CP28" i="1"/>
  <c r="CM28" i="1"/>
  <c r="BY28" i="1"/>
  <c r="BL28" i="1"/>
  <c r="AS28" i="1"/>
  <c r="AR28" i="1"/>
  <c r="CL28" i="1" s="1"/>
  <c r="CO28" i="1" s="1"/>
  <c r="AP28" i="1"/>
  <c r="AO28" i="1"/>
  <c r="AN28" i="1"/>
  <c r="AM28" i="1"/>
  <c r="U28" i="1"/>
  <c r="T28" i="1"/>
  <c r="X28" i="1" s="1"/>
  <c r="Q28" i="1"/>
  <c r="DE27" i="1"/>
  <c r="CV27" i="1"/>
  <c r="DI27" i="1" s="1"/>
  <c r="CP27" i="1"/>
  <c r="CM27" i="1"/>
  <c r="CL27" i="1"/>
  <c r="CO27" i="1" s="1"/>
  <c r="BY27" i="1"/>
  <c r="AZ27" i="1" s="1"/>
  <c r="BL27" i="1"/>
  <c r="CW27" i="1" s="1"/>
  <c r="CX27" i="1" s="1"/>
  <c r="BD27" i="1"/>
  <c r="BB27" i="1"/>
  <c r="AV27" i="1"/>
  <c r="BC27" i="1" s="1"/>
  <c r="BE27" i="1" s="1"/>
  <c r="CS27" i="1" s="1"/>
  <c r="CT27" i="1" s="1"/>
  <c r="DH27" i="1" s="1"/>
  <c r="DJ27" i="1" s="1"/>
  <c r="AS27" i="1"/>
  <c r="AQ27" i="1"/>
  <c r="AO27" i="1"/>
  <c r="AN27" i="1"/>
  <c r="AM27" i="1"/>
  <c r="Y27" i="1"/>
  <c r="X27" i="1"/>
  <c r="V27" i="1"/>
  <c r="T27" i="1"/>
  <c r="Q27" i="1"/>
  <c r="DE26" i="1"/>
  <c r="DB26" i="1"/>
  <c r="CV26" i="1"/>
  <c r="DI26" i="1" s="1"/>
  <c r="CS26" i="1"/>
  <c r="CT26" i="1" s="1"/>
  <c r="DH26" i="1" s="1"/>
  <c r="DJ26" i="1" s="1"/>
  <c r="CP26" i="1"/>
  <c r="CM26" i="1"/>
  <c r="BY26" i="1"/>
  <c r="BL26" i="1"/>
  <c r="CW26" i="1" s="1"/>
  <c r="CX26" i="1" s="1"/>
  <c r="BB26" i="1"/>
  <c r="AZ26" i="1"/>
  <c r="AV26" i="1"/>
  <c r="BC26" i="1" s="1"/>
  <c r="AR26" i="1"/>
  <c r="AQ26" i="1"/>
  <c r="CL26" i="1" s="1"/>
  <c r="CO26" i="1" s="1"/>
  <c r="AP26" i="1"/>
  <c r="AO26" i="1"/>
  <c r="AN26" i="1"/>
  <c r="AM26" i="1"/>
  <c r="V26" i="1"/>
  <c r="U26" i="1"/>
  <c r="T26" i="1"/>
  <c r="X26" i="1" s="1"/>
  <c r="Q26" i="1"/>
  <c r="DE25" i="1"/>
  <c r="DB25" i="1"/>
  <c r="CV25" i="1"/>
  <c r="DI25" i="1" s="1"/>
  <c r="CP25" i="1"/>
  <c r="CM25" i="1"/>
  <c r="BY25" i="1"/>
  <c r="BL25" i="1"/>
  <c r="CW25" i="1" s="1"/>
  <c r="CX25" i="1" s="1"/>
  <c r="BB25" i="1"/>
  <c r="AZ25" i="1"/>
  <c r="AV25" i="1"/>
  <c r="BC25" i="1" s="1"/>
  <c r="AS25" i="1"/>
  <c r="AQ25" i="1"/>
  <c r="CL25" i="1" s="1"/>
  <c r="CO25" i="1" s="1"/>
  <c r="AP25" i="1"/>
  <c r="AO25" i="1"/>
  <c r="AN25" i="1"/>
  <c r="AM25" i="1"/>
  <c r="V25" i="1"/>
  <c r="U25" i="1"/>
  <c r="T25" i="1"/>
  <c r="Q25" i="1"/>
  <c r="W25" i="1" s="1"/>
  <c r="DI24" i="1"/>
  <c r="CW24" i="1"/>
  <c r="CX24" i="1" s="1"/>
  <c r="CV24" i="1"/>
  <c r="CP24" i="1"/>
  <c r="DE24" i="1" s="1"/>
  <c r="CM24" i="1"/>
  <c r="BY24" i="1"/>
  <c r="CS24" i="1" s="1"/>
  <c r="CT24" i="1" s="1"/>
  <c r="DH24" i="1" s="1"/>
  <c r="DJ24" i="1" s="1"/>
  <c r="BL24" i="1"/>
  <c r="AZ24" i="1"/>
  <c r="AS24" i="1"/>
  <c r="AR24" i="1"/>
  <c r="AQ24" i="1"/>
  <c r="AP24" i="1"/>
  <c r="AO24" i="1"/>
  <c r="AN24" i="1"/>
  <c r="U24" i="1"/>
  <c r="Q24" i="1"/>
  <c r="DI23" i="1"/>
  <c r="CW23" i="1"/>
  <c r="CX23" i="1" s="1"/>
  <c r="CV23" i="1"/>
  <c r="CT23" i="1"/>
  <c r="DH23" i="1" s="1"/>
  <c r="DJ23" i="1" s="1"/>
  <c r="CP23" i="1"/>
  <c r="DE23" i="1" s="1"/>
  <c r="CM23" i="1"/>
  <c r="BY23" i="1"/>
  <c r="CS23" i="1" s="1"/>
  <c r="BL23" i="1"/>
  <c r="AZ23" i="1"/>
  <c r="AR23" i="1"/>
  <c r="AQ23" i="1"/>
  <c r="CL23" i="1" s="1"/>
  <c r="AP23" i="1"/>
  <c r="AO23" i="1"/>
  <c r="AN23" i="1"/>
  <c r="AM23" i="1"/>
  <c r="U23" i="1"/>
  <c r="Q23" i="1"/>
  <c r="DI22" i="1"/>
  <c r="CW22" i="1"/>
  <c r="CX22" i="1" s="1"/>
  <c r="CV22" i="1"/>
  <c r="CT22" i="1"/>
  <c r="DH22" i="1" s="1"/>
  <c r="DJ22" i="1" s="1"/>
  <c r="CP22" i="1"/>
  <c r="DE22" i="1" s="1"/>
  <c r="CM22" i="1"/>
  <c r="BY22" i="1"/>
  <c r="CS22" i="1" s="1"/>
  <c r="BL22" i="1"/>
  <c r="AZ22" i="1"/>
  <c r="AS22" i="1"/>
  <c r="AR22" i="1"/>
  <c r="CL22" i="1" s="1"/>
  <c r="CO22" i="1" s="1"/>
  <c r="DD22" i="1" s="1"/>
  <c r="DF22" i="1" s="1"/>
  <c r="DK22" i="1" s="1"/>
  <c r="DM24" i="1" s="1"/>
  <c r="AP22" i="1"/>
  <c r="AO22" i="1"/>
  <c r="AN22" i="1"/>
  <c r="AM22" i="1"/>
  <c r="U22" i="1"/>
  <c r="Q22" i="1"/>
  <c r="DE21" i="1"/>
  <c r="CV21" i="1"/>
  <c r="DI21" i="1" s="1"/>
  <c r="CP21" i="1"/>
  <c r="CM21" i="1"/>
  <c r="BY21" i="1"/>
  <c r="BL21" i="1"/>
  <c r="CW21" i="1" s="1"/>
  <c r="CX21" i="1" s="1"/>
  <c r="BB21" i="1"/>
  <c r="AZ21" i="1"/>
  <c r="AV21" i="1"/>
  <c r="BC21" i="1" s="1"/>
  <c r="AS21" i="1"/>
  <c r="AR21" i="1"/>
  <c r="CL21" i="1" s="1"/>
  <c r="CO21" i="1" s="1"/>
  <c r="AQ21" i="1"/>
  <c r="AP21" i="1"/>
  <c r="AO21" i="1"/>
  <c r="AN21" i="1"/>
  <c r="AA21" i="1"/>
  <c r="Z21" i="1"/>
  <c r="Y21" i="1"/>
  <c r="W21" i="1"/>
  <c r="V21" i="1"/>
  <c r="U21" i="1"/>
  <c r="Q21" i="1"/>
  <c r="DE20" i="1"/>
  <c r="DB20" i="1"/>
  <c r="CV20" i="1"/>
  <c r="DI20" i="1" s="1"/>
  <c r="CP20" i="1"/>
  <c r="CM20" i="1"/>
  <c r="BY20" i="1"/>
  <c r="BL20" i="1"/>
  <c r="CW20" i="1" s="1"/>
  <c r="CX20" i="1" s="1"/>
  <c r="BB20" i="1"/>
  <c r="AZ20" i="1"/>
  <c r="AV20" i="1"/>
  <c r="BC20" i="1" s="1"/>
  <c r="AS20" i="1"/>
  <c r="AR20" i="1"/>
  <c r="CL20" i="1" s="1"/>
  <c r="CO20" i="1" s="1"/>
  <c r="AP20" i="1"/>
  <c r="AO20" i="1"/>
  <c r="AN20" i="1"/>
  <c r="AM20" i="1"/>
  <c r="U20" i="1"/>
  <c r="X20" i="1" s="1"/>
  <c r="T20" i="1"/>
  <c r="Q20" i="1"/>
  <c r="DE19" i="1"/>
  <c r="DB19" i="1"/>
  <c r="CV19" i="1"/>
  <c r="DI19" i="1" s="1"/>
  <c r="CS19" i="1"/>
  <c r="CT19" i="1" s="1"/>
  <c r="DH19" i="1" s="1"/>
  <c r="DJ19" i="1" s="1"/>
  <c r="CP19" i="1"/>
  <c r="CM19" i="1"/>
  <c r="BY19" i="1"/>
  <c r="BL19" i="1"/>
  <c r="CW19" i="1" s="1"/>
  <c r="CX19" i="1" s="1"/>
  <c r="BB19" i="1"/>
  <c r="AZ19" i="1"/>
  <c r="AV19" i="1"/>
  <c r="BC19" i="1" s="1"/>
  <c r="AS19" i="1"/>
  <c r="AR19" i="1"/>
  <c r="CL19" i="1" s="1"/>
  <c r="CO19" i="1" s="1"/>
  <c r="AP19" i="1"/>
  <c r="AO19" i="1"/>
  <c r="AN19" i="1"/>
  <c r="AM19" i="1"/>
  <c r="V19" i="1"/>
  <c r="U19" i="1"/>
  <c r="Q19" i="1"/>
  <c r="DI18" i="1"/>
  <c r="CW18" i="1"/>
  <c r="CX18" i="1" s="1"/>
  <c r="CV18" i="1"/>
  <c r="CP18" i="1"/>
  <c r="CM18" i="1"/>
  <c r="BY18" i="1"/>
  <c r="BL18" i="1"/>
  <c r="AS18" i="1"/>
  <c r="AR18" i="1"/>
  <c r="AQ18" i="1"/>
  <c r="CL18" i="1" s="1"/>
  <c r="CO18" i="1" s="1"/>
  <c r="AP18" i="1"/>
  <c r="AN18" i="1"/>
  <c r="AM18" i="1"/>
  <c r="V18" i="1"/>
  <c r="U18" i="1"/>
  <c r="X18" i="1" s="1"/>
  <c r="T18" i="1"/>
  <c r="Q18" i="1"/>
  <c r="DE17" i="1"/>
  <c r="CV17" i="1"/>
  <c r="DI17" i="1" s="1"/>
  <c r="CS17" i="1"/>
  <c r="CT17" i="1" s="1"/>
  <c r="DH17" i="1" s="1"/>
  <c r="DJ17" i="1" s="1"/>
  <c r="CP17" i="1"/>
  <c r="CM17" i="1"/>
  <c r="CL17" i="1"/>
  <c r="CO17" i="1" s="1"/>
  <c r="BY17" i="1"/>
  <c r="BL17" i="1"/>
  <c r="CW17" i="1" s="1"/>
  <c r="CX17" i="1" s="1"/>
  <c r="BB17" i="1"/>
  <c r="AZ17" i="1"/>
  <c r="AV17" i="1"/>
  <c r="BC17" i="1" s="1"/>
  <c r="AS17" i="1"/>
  <c r="AR17" i="1"/>
  <c r="AP17" i="1"/>
  <c r="AO17" i="1"/>
  <c r="AN17" i="1"/>
  <c r="AM17" i="1"/>
  <c r="U17" i="1"/>
  <c r="Q17" i="1"/>
  <c r="DI16" i="1"/>
  <c r="CW16" i="1"/>
  <c r="CX16" i="1" s="1"/>
  <c r="CV16" i="1"/>
  <c r="CT16" i="1"/>
  <c r="DH16" i="1" s="1"/>
  <c r="DJ16" i="1" s="1"/>
  <c r="CP16" i="1"/>
  <c r="DE16" i="1" s="1"/>
  <c r="CM16" i="1"/>
  <c r="BY16" i="1"/>
  <c r="CS16" i="1" s="1"/>
  <c r="BL16" i="1"/>
  <c r="AZ16" i="1"/>
  <c r="AS16" i="1"/>
  <c r="AR16" i="1"/>
  <c r="AP16" i="1"/>
  <c r="AO16" i="1"/>
  <c r="AN16" i="1"/>
  <c r="AM16" i="1"/>
  <c r="AQ16" i="1" s="1"/>
  <c r="CL16" i="1" s="1"/>
  <c r="V16" i="1"/>
  <c r="U16" i="1"/>
  <c r="T16" i="1"/>
  <c r="X16" i="1" s="1"/>
  <c r="Q16" i="1"/>
  <c r="W16" i="1" s="1"/>
  <c r="DE15" i="1"/>
  <c r="CV15" i="1"/>
  <c r="DI15" i="1" s="1"/>
  <c r="CS15" i="1"/>
  <c r="CT15" i="1" s="1"/>
  <c r="DH15" i="1" s="1"/>
  <c r="DJ15" i="1" s="1"/>
  <c r="CP15" i="1"/>
  <c r="CM15" i="1"/>
  <c r="BY15" i="1"/>
  <c r="BL15" i="1"/>
  <c r="CW15" i="1" s="1"/>
  <c r="CX15" i="1" s="1"/>
  <c r="BB15" i="1"/>
  <c r="AZ15" i="1"/>
  <c r="AV15" i="1"/>
  <c r="BC15" i="1" s="1"/>
  <c r="AS15" i="1"/>
  <c r="AR15" i="1"/>
  <c r="CL15" i="1" s="1"/>
  <c r="CO15" i="1" s="1"/>
  <c r="AQ15" i="1"/>
  <c r="AO15" i="1"/>
  <c r="AN15" i="1"/>
  <c r="AM15" i="1"/>
  <c r="Z15" i="1"/>
  <c r="Y15" i="1"/>
  <c r="AA15" i="1" s="1"/>
  <c r="X15" i="1"/>
  <c r="V15" i="1"/>
  <c r="T15" i="1"/>
  <c r="Q15" i="1"/>
  <c r="W15" i="1" s="1"/>
  <c r="DE14" i="1"/>
  <c r="CX14" i="1"/>
  <c r="CV14" i="1"/>
  <c r="DI14" i="1" s="1"/>
  <c r="CP14" i="1"/>
  <c r="CM14" i="1"/>
  <c r="BY14" i="1"/>
  <c r="AV14" i="1" s="1"/>
  <c r="BL14" i="1"/>
  <c r="CW14" i="1" s="1"/>
  <c r="BC14" i="1"/>
  <c r="BB14" i="1"/>
  <c r="BF14" i="1" s="1"/>
  <c r="BF77" i="1" s="1"/>
  <c r="AZ14" i="1"/>
  <c r="AS14" i="1"/>
  <c r="AR14" i="1"/>
  <c r="AP14" i="1"/>
  <c r="AO14" i="1"/>
  <c r="AN14" i="1"/>
  <c r="AM14" i="1"/>
  <c r="AQ14" i="1" s="1"/>
  <c r="CL14" i="1" s="1"/>
  <c r="CO14" i="1" s="1"/>
  <c r="V14" i="1"/>
  <c r="U14" i="1"/>
  <c r="Q14" i="1"/>
  <c r="W14" i="1" s="1"/>
  <c r="DE13" i="1"/>
  <c r="CV13" i="1"/>
  <c r="DI13" i="1" s="1"/>
  <c r="CS13" i="1"/>
  <c r="CT13" i="1" s="1"/>
  <c r="DH13" i="1" s="1"/>
  <c r="DJ13" i="1" s="1"/>
  <c r="CP13" i="1"/>
  <c r="CM13" i="1"/>
  <c r="CL13" i="1"/>
  <c r="CO13" i="1" s="1"/>
  <c r="BY13" i="1"/>
  <c r="BL13" i="1"/>
  <c r="CW13" i="1" s="1"/>
  <c r="CX13" i="1" s="1"/>
  <c r="BB13" i="1"/>
  <c r="AZ13" i="1"/>
  <c r="AV13" i="1"/>
  <c r="BC13" i="1" s="1"/>
  <c r="AS13" i="1"/>
  <c r="AR13" i="1"/>
  <c r="AP13" i="1"/>
  <c r="AO13" i="1"/>
  <c r="AN13" i="1"/>
  <c r="AM13" i="1"/>
  <c r="V13" i="1"/>
  <c r="U13" i="1"/>
  <c r="T13" i="1"/>
  <c r="Q13" i="1"/>
  <c r="W13" i="1" s="1"/>
  <c r="DE12" i="1"/>
  <c r="CV12" i="1"/>
  <c r="CP12" i="1"/>
  <c r="CO12" i="1"/>
  <c r="CM12" i="1"/>
  <c r="CL12" i="1"/>
  <c r="BY12" i="1"/>
  <c r="AZ12" i="1" s="1"/>
  <c r="BL12" i="1"/>
  <c r="CW12" i="1" s="1"/>
  <c r="CX12" i="1" s="1"/>
  <c r="BB12" i="1"/>
  <c r="AV12" i="1"/>
  <c r="BC12" i="1" s="1"/>
  <c r="BE12" i="1" s="1"/>
  <c r="CS12" i="1" s="1"/>
  <c r="CT12" i="1" s="1"/>
  <c r="DH12" i="1" s="1"/>
  <c r="AS12" i="1"/>
  <c r="AR12" i="1"/>
  <c r="AO12" i="1"/>
  <c r="AN12" i="1"/>
  <c r="W12" i="1"/>
  <c r="V12" i="1"/>
  <c r="T12" i="1"/>
  <c r="X12" i="1" s="1"/>
  <c r="Q12" i="1"/>
  <c r="DE11" i="1"/>
  <c r="DB11" i="1"/>
  <c r="CV11" i="1"/>
  <c r="DI11" i="1" s="1"/>
  <c r="CS11" i="1"/>
  <c r="CT11" i="1" s="1"/>
  <c r="DH11" i="1" s="1"/>
  <c r="DJ11" i="1" s="1"/>
  <c r="CP11" i="1"/>
  <c r="CM11" i="1"/>
  <c r="CL11" i="1"/>
  <c r="CO11" i="1" s="1"/>
  <c r="BY11" i="1"/>
  <c r="BL11" i="1"/>
  <c r="CW11" i="1" s="1"/>
  <c r="CX11" i="1" s="1"/>
  <c r="BB11" i="1"/>
  <c r="AZ11" i="1"/>
  <c r="AV11" i="1"/>
  <c r="BC11" i="1" s="1"/>
  <c r="AS11" i="1"/>
  <c r="AQ11" i="1"/>
  <c r="AP11" i="1"/>
  <c r="AO11" i="1"/>
  <c r="AN11" i="1"/>
  <c r="AM11" i="1"/>
  <c r="AA11" i="1"/>
  <c r="Z11" i="1"/>
  <c r="Y11" i="1"/>
  <c r="X11" i="1"/>
  <c r="V11" i="1"/>
  <c r="U11" i="1"/>
  <c r="T11" i="1"/>
  <c r="Q11" i="1"/>
  <c r="W11" i="1" s="1"/>
  <c r="CV10" i="1"/>
  <c r="DI10" i="1" s="1"/>
  <c r="CP10" i="1"/>
  <c r="DE10" i="1" s="1"/>
  <c r="CM10" i="1"/>
  <c r="BY10" i="1"/>
  <c r="CS10" i="1" s="1"/>
  <c r="CT10" i="1" s="1"/>
  <c r="DH10" i="1" s="1"/>
  <c r="DJ10" i="1" s="1"/>
  <c r="BL10" i="1"/>
  <c r="CW10" i="1" s="1"/>
  <c r="CX10" i="1" s="1"/>
  <c r="AZ10" i="1"/>
  <c r="AV10" i="1"/>
  <c r="BC10" i="1" s="1"/>
  <c r="AS10" i="1"/>
  <c r="AQ10" i="1"/>
  <c r="CL10" i="1" s="1"/>
  <c r="CO10" i="1" s="1"/>
  <c r="AP10" i="1"/>
  <c r="AO10" i="1"/>
  <c r="AN10" i="1"/>
  <c r="AM10" i="1"/>
  <c r="V10" i="1"/>
  <c r="U10" i="1"/>
  <c r="T10" i="1"/>
  <c r="X10" i="1" s="1"/>
  <c r="Q10" i="1"/>
  <c r="W10" i="1" s="1"/>
  <c r="CV9" i="1"/>
  <c r="DI9" i="1" s="1"/>
  <c r="CP9" i="1"/>
  <c r="DE9" i="1" s="1"/>
  <c r="CM9" i="1"/>
  <c r="BY9" i="1"/>
  <c r="CS9" i="1" s="1"/>
  <c r="CT9" i="1" s="1"/>
  <c r="DH9" i="1" s="1"/>
  <c r="DJ9" i="1" s="1"/>
  <c r="BL9" i="1"/>
  <c r="CW9" i="1" s="1"/>
  <c r="CX9" i="1" s="1"/>
  <c r="AZ9" i="1"/>
  <c r="AV9" i="1"/>
  <c r="BC9" i="1" s="1"/>
  <c r="AS9" i="1"/>
  <c r="AR9" i="1"/>
  <c r="CL9" i="1" s="1"/>
  <c r="CO9" i="1" s="1"/>
  <c r="AP9" i="1"/>
  <c r="AO9" i="1"/>
  <c r="AN9" i="1"/>
  <c r="AM9" i="1"/>
  <c r="V9" i="1"/>
  <c r="U9" i="1"/>
  <c r="T9" i="1"/>
  <c r="X9" i="1" s="1"/>
  <c r="Q9" i="1"/>
  <c r="W9" i="1" s="1"/>
  <c r="DI8" i="1"/>
  <c r="CW8" i="1"/>
  <c r="CX8" i="1" s="1"/>
  <c r="CV8" i="1"/>
  <c r="CP8" i="1"/>
  <c r="DB8" i="1" s="1"/>
  <c r="CM8" i="1"/>
  <c r="BY8" i="1"/>
  <c r="BB8" i="1" s="1"/>
  <c r="BL8" i="1"/>
  <c r="AS8" i="1"/>
  <c r="AQ8" i="1"/>
  <c r="CL8" i="1" s="1"/>
  <c r="CO8" i="1" s="1"/>
  <c r="AO8" i="1"/>
  <c r="AN8" i="1"/>
  <c r="AM8" i="1"/>
  <c r="AA8" i="1"/>
  <c r="Y8" i="1"/>
  <c r="Z8" i="1" s="1"/>
  <c r="X8" i="1"/>
  <c r="V8" i="1"/>
  <c r="T8" i="1"/>
  <c r="Q8" i="1"/>
  <c r="W8" i="1" s="1"/>
  <c r="DI7" i="1"/>
  <c r="CW7" i="1"/>
  <c r="CX7" i="1" s="1"/>
  <c r="CV7" i="1"/>
  <c r="CP7" i="1"/>
  <c r="DB7" i="1" s="1"/>
  <c r="CM7" i="1"/>
  <c r="BY7" i="1"/>
  <c r="BB7" i="1" s="1"/>
  <c r="BL7" i="1"/>
  <c r="AR7" i="1"/>
  <c r="AQ7" i="1"/>
  <c r="CL7" i="1" s="1"/>
  <c r="CO7" i="1" s="1"/>
  <c r="AP7" i="1"/>
  <c r="AO7" i="1"/>
  <c r="AN7" i="1"/>
  <c r="AM7" i="1"/>
  <c r="Y7" i="1"/>
  <c r="AA7" i="1" s="1"/>
  <c r="V7" i="1"/>
  <c r="U7" i="1"/>
  <c r="T7" i="1"/>
  <c r="X7" i="1" s="1"/>
  <c r="Q7" i="1"/>
  <c r="DI6" i="1"/>
  <c r="DE6" i="1"/>
  <c r="CZ6" i="1"/>
  <c r="CZ77" i="1" s="1"/>
  <c r="CY6" i="1"/>
  <c r="CY77" i="1" s="1"/>
  <c r="CV6" i="1"/>
  <c r="CT6" i="1"/>
  <c r="CS6" i="1"/>
  <c r="CP6" i="1"/>
  <c r="CM6" i="1"/>
  <c r="CM77" i="1" s="1"/>
  <c r="BY6" i="1"/>
  <c r="BL6" i="1"/>
  <c r="BC6" i="1"/>
  <c r="BB6" i="1"/>
  <c r="AZ6" i="1"/>
  <c r="AV6" i="1"/>
  <c r="AS6" i="1"/>
  <c r="AS77" i="1" s="1"/>
  <c r="AR6" i="1"/>
  <c r="AR77" i="1" s="1"/>
  <c r="AQ6" i="1"/>
  <c r="AP6" i="1"/>
  <c r="AO6" i="1"/>
  <c r="AO77" i="1" s="1"/>
  <c r="AN6" i="1"/>
  <c r="Y6" i="1"/>
  <c r="Y77" i="1" s="1"/>
  <c r="X6" i="1"/>
  <c r="V6" i="1"/>
  <c r="T6" i="1"/>
  <c r="Q6" i="1"/>
  <c r="DD7" i="1" l="1"/>
  <c r="DA10" i="1"/>
  <c r="DD10" i="1"/>
  <c r="DF10" i="1" s="1"/>
  <c r="DK10" i="1" s="1"/>
  <c r="DD21" i="1"/>
  <c r="DF21" i="1" s="1"/>
  <c r="DD14" i="1"/>
  <c r="DF14" i="1" s="1"/>
  <c r="DA14" i="1"/>
  <c r="DA19" i="1"/>
  <c r="DD19" i="1"/>
  <c r="DF19" i="1" s="1"/>
  <c r="DK19" i="1" s="1"/>
  <c r="DD20" i="1"/>
  <c r="DF20" i="1" s="1"/>
  <c r="DK20" i="1" s="1"/>
  <c r="DD25" i="1"/>
  <c r="DF25" i="1" s="1"/>
  <c r="DA26" i="1"/>
  <c r="DD26" i="1"/>
  <c r="DF26" i="1" s="1"/>
  <c r="DK26" i="1" s="1"/>
  <c r="DM27" i="1" s="1"/>
  <c r="DD8" i="1"/>
  <c r="DA29" i="1"/>
  <c r="DD29" i="1"/>
  <c r="DF29" i="1" s="1"/>
  <c r="DD34" i="1"/>
  <c r="DF34" i="1" s="1"/>
  <c r="DK34" i="1" s="1"/>
  <c r="DM34" i="1" s="1"/>
  <c r="DA34" i="1"/>
  <c r="DA37" i="1"/>
  <c r="DD37" i="1"/>
  <c r="DF37" i="1" s="1"/>
  <c r="DK37" i="1" s="1"/>
  <c r="DD11" i="1"/>
  <c r="DF11" i="1" s="1"/>
  <c r="DK11" i="1" s="1"/>
  <c r="DM11" i="1" s="1"/>
  <c r="DA11" i="1"/>
  <c r="DA9" i="1"/>
  <c r="DD9" i="1"/>
  <c r="DF9" i="1" s="1"/>
  <c r="DK9" i="1" s="1"/>
  <c r="DM10" i="1" s="1"/>
  <c r="DA15" i="1"/>
  <c r="DD15" i="1"/>
  <c r="DF15" i="1" s="1"/>
  <c r="DK15" i="1" s="1"/>
  <c r="DA35" i="1"/>
  <c r="DD35" i="1"/>
  <c r="DF35" i="1" s="1"/>
  <c r="DK35" i="1" s="1"/>
  <c r="DM35" i="1" s="1"/>
  <c r="DD38" i="1"/>
  <c r="DF38" i="1" s="1"/>
  <c r="DB9" i="1"/>
  <c r="T77" i="1"/>
  <c r="Z6" i="1"/>
  <c r="BL77" i="1"/>
  <c r="CV77" i="1"/>
  <c r="U77" i="1"/>
  <c r="AV7" i="1"/>
  <c r="BC7" i="1" s="1"/>
  <c r="DE7" i="1"/>
  <c r="AV8" i="1"/>
  <c r="BC8" i="1" s="1"/>
  <c r="DE8" i="1"/>
  <c r="DD13" i="1"/>
  <c r="DF13" i="1" s="1"/>
  <c r="DK13" i="1" s="1"/>
  <c r="DA13" i="1"/>
  <c r="DB15" i="1"/>
  <c r="CO16" i="1"/>
  <c r="DD17" i="1"/>
  <c r="DF17" i="1" s="1"/>
  <c r="DK17" i="1" s="1"/>
  <c r="DM20" i="1" s="1"/>
  <c r="DA17" i="1"/>
  <c r="BB18" i="1"/>
  <c r="AZ18" i="1"/>
  <c r="AV18" i="1"/>
  <c r="BC18" i="1" s="1"/>
  <c r="BE21" i="1"/>
  <c r="CS21" i="1" s="1"/>
  <c r="CT21" i="1" s="1"/>
  <c r="DH21" i="1" s="1"/>
  <c r="DJ21" i="1" s="1"/>
  <c r="BD21" i="1"/>
  <c r="CO23" i="1"/>
  <c r="CL24" i="1"/>
  <c r="CO24" i="1" s="1"/>
  <c r="BB28" i="1"/>
  <c r="AZ28" i="1"/>
  <c r="AV28" i="1"/>
  <c r="BC28" i="1" s="1"/>
  <c r="DB30" i="1"/>
  <c r="DE30" i="1"/>
  <c r="CL31" i="1"/>
  <c r="CO31" i="1" s="1"/>
  <c r="DB32" i="1"/>
  <c r="DE32" i="1"/>
  <c r="DF32" i="1" s="1"/>
  <c r="DK32" i="1" s="1"/>
  <c r="DM33" i="1" s="1"/>
  <c r="DB36" i="1"/>
  <c r="DE36" i="1"/>
  <c r="DK41" i="1"/>
  <c r="DM47" i="1" s="1"/>
  <c r="DD45" i="1"/>
  <c r="DF45" i="1" s="1"/>
  <c r="DK45" i="1" s="1"/>
  <c r="DA45" i="1"/>
  <c r="DD46" i="1"/>
  <c r="DF46" i="1" s="1"/>
  <c r="DK46" i="1" s="1"/>
  <c r="DA46" i="1"/>
  <c r="DD54" i="1"/>
  <c r="DF54" i="1" s="1"/>
  <c r="DK54" i="1" s="1"/>
  <c r="DA54" i="1"/>
  <c r="DD40" i="1"/>
  <c r="DF40" i="1" s="1"/>
  <c r="DD56" i="1"/>
  <c r="DF56" i="1" s="1"/>
  <c r="DK56" i="1" s="1"/>
  <c r="DA56" i="1"/>
  <c r="DA63" i="1"/>
  <c r="DD63" i="1"/>
  <c r="DF63" i="1" s="1"/>
  <c r="DD68" i="1"/>
  <c r="DF68" i="1" s="1"/>
  <c r="DK68" i="1" s="1"/>
  <c r="DM69" i="1" s="1"/>
  <c r="DA68" i="1"/>
  <c r="DD75" i="1"/>
  <c r="DF75" i="1" s="1"/>
  <c r="DK75" i="1" s="1"/>
  <c r="DM76" i="1" s="1"/>
  <c r="DA75" i="1"/>
  <c r="AP77" i="1"/>
  <c r="Z7" i="1"/>
  <c r="V77" i="1"/>
  <c r="AA6" i="1"/>
  <c r="AQ77" i="1"/>
  <c r="BY77" i="1"/>
  <c r="CP77" i="1"/>
  <c r="CW6" i="1"/>
  <c r="AZ7" i="1"/>
  <c r="AZ8" i="1"/>
  <c r="BB9" i="1"/>
  <c r="BB10" i="1"/>
  <c r="BD12" i="1"/>
  <c r="DI12" i="1"/>
  <c r="DJ12" i="1" s="1"/>
  <c r="DB12" i="1"/>
  <c r="CS14" i="1"/>
  <c r="CT14" i="1" s="1"/>
  <c r="DH14" i="1" s="1"/>
  <c r="DJ14" i="1" s="1"/>
  <c r="DD18" i="1"/>
  <c r="DB21" i="1"/>
  <c r="X25" i="1"/>
  <c r="DD27" i="1"/>
  <c r="DF27" i="1" s="1"/>
  <c r="DK27" i="1" s="1"/>
  <c r="DA27" i="1"/>
  <c r="DD28" i="1"/>
  <c r="DF28" i="1" s="1"/>
  <c r="BE29" i="1"/>
  <c r="CS29" i="1" s="1"/>
  <c r="CT29" i="1" s="1"/>
  <c r="DH29" i="1" s="1"/>
  <c r="DJ29" i="1" s="1"/>
  <c r="BD29" i="1"/>
  <c r="X32" i="1"/>
  <c r="BE38" i="1"/>
  <c r="CS38" i="1" s="1"/>
  <c r="CT38" i="1" s="1"/>
  <c r="BD38" i="1"/>
  <c r="BD39" i="1"/>
  <c r="DD43" i="1"/>
  <c r="DF43" i="1" s="1"/>
  <c r="DK43" i="1" s="1"/>
  <c r="DA43" i="1"/>
  <c r="CL6" i="1"/>
  <c r="DB6" i="1"/>
  <c r="DH6" i="1"/>
  <c r="DJ6" i="1" s="1"/>
  <c r="DJ77" i="1" s="1"/>
  <c r="DB10" i="1"/>
  <c r="DD12" i="1"/>
  <c r="DF12" i="1" s="1"/>
  <c r="DA12" i="1"/>
  <c r="X13" i="1"/>
  <c r="X77" i="1" s="1"/>
  <c r="DB18" i="1"/>
  <c r="DE18" i="1"/>
  <c r="BE20" i="1"/>
  <c r="CS20" i="1" s="1"/>
  <c r="CT20" i="1" s="1"/>
  <c r="DH20" i="1" s="1"/>
  <c r="DJ20" i="1" s="1"/>
  <c r="BD20" i="1"/>
  <c r="DA22" i="1"/>
  <c r="BE25" i="1"/>
  <c r="CS25" i="1" s="1"/>
  <c r="CT25" i="1" s="1"/>
  <c r="DH25" i="1" s="1"/>
  <c r="DJ25" i="1" s="1"/>
  <c r="BD25" i="1"/>
  <c r="AA27" i="1"/>
  <c r="Z27" i="1"/>
  <c r="DB28" i="1"/>
  <c r="DE28" i="1"/>
  <c r="CL30" i="1"/>
  <c r="CO30" i="1" s="1"/>
  <c r="BB30" i="1"/>
  <c r="AZ30" i="1"/>
  <c r="AV30" i="1"/>
  <c r="BC30" i="1" s="1"/>
  <c r="AV32" i="1"/>
  <c r="BC32" i="1" s="1"/>
  <c r="CS32" i="1"/>
  <c r="CT32" i="1" s="1"/>
  <c r="DH32" i="1" s="1"/>
  <c r="DJ32" i="1" s="1"/>
  <c r="BB32" i="1"/>
  <c r="CL36" i="1"/>
  <c r="CO36" i="1" s="1"/>
  <c r="BB36" i="1"/>
  <c r="AZ36" i="1"/>
  <c r="AV36" i="1"/>
  <c r="BC36" i="1" s="1"/>
  <c r="Q36" i="1"/>
  <c r="AA39" i="1"/>
  <c r="Z39" i="1"/>
  <c r="BB44" i="1"/>
  <c r="AZ44" i="1"/>
  <c r="AV44" i="1"/>
  <c r="BC44" i="1" s="1"/>
  <c r="AA48" i="1"/>
  <c r="Z48" i="1"/>
  <c r="AV16" i="1"/>
  <c r="BC16" i="1" s="1"/>
  <c r="DB16" i="1"/>
  <c r="AV22" i="1"/>
  <c r="BC22" i="1" s="1"/>
  <c r="DB22" i="1"/>
  <c r="AV23" i="1"/>
  <c r="BC23" i="1" s="1"/>
  <c r="DB23" i="1"/>
  <c r="AV24" i="1"/>
  <c r="BC24" i="1" s="1"/>
  <c r="DB24" i="1"/>
  <c r="AV31" i="1"/>
  <c r="BC31" i="1" s="1"/>
  <c r="DB31" i="1"/>
  <c r="BB33" i="1"/>
  <c r="DB33" i="1"/>
  <c r="DA41" i="1"/>
  <c r="DD44" i="1"/>
  <c r="CL47" i="1"/>
  <c r="CO47" i="1" s="1"/>
  <c r="X48" i="1"/>
  <c r="BB48" i="1"/>
  <c r="AZ48" i="1"/>
  <c r="AV48" i="1"/>
  <c r="BC48" i="1" s="1"/>
  <c r="AV49" i="1"/>
  <c r="BC49" i="1" s="1"/>
  <c r="CS49" i="1"/>
  <c r="CT49" i="1" s="1"/>
  <c r="BB49" i="1"/>
  <c r="BB52" i="1"/>
  <c r="CL52" i="1"/>
  <c r="CO52" i="1" s="1"/>
  <c r="AZ52" i="1"/>
  <c r="DA55" i="1"/>
  <c r="DA57" i="1"/>
  <c r="DD60" i="1"/>
  <c r="DF60" i="1" s="1"/>
  <c r="DB13" i="1"/>
  <c r="DB14" i="1"/>
  <c r="DB17" i="1"/>
  <c r="DB27" i="1"/>
  <c r="DB34" i="1"/>
  <c r="AZ38" i="1"/>
  <c r="BB39" i="1"/>
  <c r="AZ39" i="1"/>
  <c r="CS39" i="1"/>
  <c r="CT39" i="1" s="1"/>
  <c r="DH39" i="1" s="1"/>
  <c r="DJ39" i="1" s="1"/>
  <c r="DB44" i="1"/>
  <c r="DE44" i="1"/>
  <c r="DD48" i="1"/>
  <c r="DD53" i="1"/>
  <c r="DF53" i="1" s="1"/>
  <c r="DK53" i="1" s="1"/>
  <c r="DA53" i="1"/>
  <c r="DE55" i="1"/>
  <c r="DF55" i="1" s="1"/>
  <c r="DK55" i="1" s="1"/>
  <c r="DM59" i="1" s="1"/>
  <c r="DB55" i="1"/>
  <c r="DD59" i="1"/>
  <c r="DF59" i="1" s="1"/>
  <c r="BE61" i="1"/>
  <c r="CS61" i="1" s="1"/>
  <c r="CT61" i="1" s="1"/>
  <c r="DH61" i="1" s="1"/>
  <c r="DJ61" i="1" s="1"/>
  <c r="BD61" i="1"/>
  <c r="BB16" i="1"/>
  <c r="BB22" i="1"/>
  <c r="BB23" i="1"/>
  <c r="BB24" i="1"/>
  <c r="BB31" i="1"/>
  <c r="AV33" i="1"/>
  <c r="BC33" i="1" s="1"/>
  <c r="BB38" i="1"/>
  <c r="CL39" i="1"/>
  <c r="CO39" i="1" s="1"/>
  <c r="AV40" i="1"/>
  <c r="BC40" i="1" s="1"/>
  <c r="Q40" i="1"/>
  <c r="CS40" i="1"/>
  <c r="CT40" i="1" s="1"/>
  <c r="DH40" i="1" s="1"/>
  <c r="DJ40" i="1" s="1"/>
  <c r="CL42" i="1"/>
  <c r="CO42" i="1" s="1"/>
  <c r="DB48" i="1"/>
  <c r="DE48" i="1"/>
  <c r="DE49" i="1"/>
  <c r="DF49" i="1" s="1"/>
  <c r="DB49" i="1"/>
  <c r="DF50" i="1"/>
  <c r="CO51" i="1"/>
  <c r="DB58" i="1"/>
  <c r="DE58" i="1"/>
  <c r="DD62" i="1"/>
  <c r="DF62" i="1" s="1"/>
  <c r="DK62" i="1" s="1"/>
  <c r="DA62" i="1"/>
  <c r="DB47" i="1"/>
  <c r="CS55" i="1"/>
  <c r="CT55" i="1" s="1"/>
  <c r="DH55" i="1" s="1"/>
  <c r="DJ55" i="1" s="1"/>
  <c r="BB55" i="1"/>
  <c r="Q55" i="1"/>
  <c r="W55" i="1" s="1"/>
  <c r="W77" i="1" s="1"/>
  <c r="DD61" i="1"/>
  <c r="DF61" i="1" s="1"/>
  <c r="DK61" i="1" s="1"/>
  <c r="DM67" i="1" s="1"/>
  <c r="DB41" i="1"/>
  <c r="DB45" i="1"/>
  <c r="DB46" i="1"/>
  <c r="DE50" i="1"/>
  <c r="AV55" i="1"/>
  <c r="BC55" i="1" s="1"/>
  <c r="DA58" i="1"/>
  <c r="AV58" i="1"/>
  <c r="BC58" i="1" s="1"/>
  <c r="CS58" i="1"/>
  <c r="CT58" i="1" s="1"/>
  <c r="DH58" i="1" s="1"/>
  <c r="DJ58" i="1" s="1"/>
  <c r="BB58" i="1"/>
  <c r="Q58" i="1"/>
  <c r="W58" i="1" s="1"/>
  <c r="DD64" i="1"/>
  <c r="DF64" i="1" s="1"/>
  <c r="DD66" i="1"/>
  <c r="DF66" i="1" s="1"/>
  <c r="BB42" i="1"/>
  <c r="BB43" i="1"/>
  <c r="BB47" i="1"/>
  <c r="CS50" i="1"/>
  <c r="CT50" i="1" s="1"/>
  <c r="DH50" i="1" s="1"/>
  <c r="DJ50" i="1" s="1"/>
  <c r="AV51" i="1"/>
  <c r="BC51" i="1" s="1"/>
  <c r="DB51" i="1"/>
  <c r="DB54" i="1"/>
  <c r="AZ55" i="1"/>
  <c r="DD58" i="1"/>
  <c r="DF58" i="1" s="1"/>
  <c r="DK58" i="1" s="1"/>
  <c r="DB59" i="1"/>
  <c r="DJ63" i="1"/>
  <c r="DB57" i="1"/>
  <c r="DD70" i="1"/>
  <c r="DD71" i="1"/>
  <c r="DD73" i="1"/>
  <c r="DA73" i="1"/>
  <c r="DD74" i="1"/>
  <c r="DF74" i="1" s="1"/>
  <c r="Z59" i="1"/>
  <c r="AV59" i="1"/>
  <c r="BC59" i="1" s="1"/>
  <c r="AV60" i="1"/>
  <c r="BC60" i="1" s="1"/>
  <c r="BB63" i="1"/>
  <c r="DB64" i="1"/>
  <c r="X66" i="1"/>
  <c r="DJ67" i="1"/>
  <c r="Q59" i="1"/>
  <c r="W59" i="1" s="1"/>
  <c r="DD65" i="1"/>
  <c r="DF65" i="1" s="1"/>
  <c r="DK65" i="1" s="1"/>
  <c r="DA65" i="1"/>
  <c r="CL67" i="1"/>
  <c r="CO67" i="1" s="1"/>
  <c r="DD69" i="1"/>
  <c r="DF69" i="1" s="1"/>
  <c r="DD72" i="1"/>
  <c r="DF72" i="1" s="1"/>
  <c r="DD76" i="1"/>
  <c r="DF76" i="1" s="1"/>
  <c r="DK76" i="1" s="1"/>
  <c r="DA76" i="1"/>
  <c r="AZ65" i="1"/>
  <c r="BB69" i="1"/>
  <c r="CS69" i="1"/>
  <c r="CT69" i="1" s="1"/>
  <c r="DH69" i="1" s="1"/>
  <c r="DJ69" i="1" s="1"/>
  <c r="DE69" i="1"/>
  <c r="BB70" i="1"/>
  <c r="CS70" i="1"/>
  <c r="CT70" i="1" s="1"/>
  <c r="DH70" i="1" s="1"/>
  <c r="DJ70" i="1" s="1"/>
  <c r="DE70" i="1"/>
  <c r="BB71" i="1"/>
  <c r="CS71" i="1"/>
  <c r="CT71" i="1" s="1"/>
  <c r="DH71" i="1" s="1"/>
  <c r="DJ71" i="1" s="1"/>
  <c r="DE71" i="1"/>
  <c r="DI72" i="1"/>
  <c r="BB73" i="1"/>
  <c r="CS73" i="1"/>
  <c r="CT73" i="1" s="1"/>
  <c r="DH73" i="1" s="1"/>
  <c r="DJ73" i="1" s="1"/>
  <c r="DE73" i="1"/>
  <c r="AV74" i="1"/>
  <c r="BC74" i="1" s="1"/>
  <c r="DE74" i="1"/>
  <c r="AA76" i="1"/>
  <c r="AV64" i="1"/>
  <c r="BC64" i="1" s="1"/>
  <c r="AV66" i="1"/>
  <c r="BC66" i="1" s="1"/>
  <c r="Q69" i="1"/>
  <c r="AV72" i="1"/>
  <c r="BC72" i="1" s="1"/>
  <c r="AZ74" i="1"/>
  <c r="AV76" i="1"/>
  <c r="BC76" i="1" s="1"/>
  <c r="DB76" i="1"/>
  <c r="BB76" i="1"/>
  <c r="DH38" i="1" l="1"/>
  <c r="DJ38" i="1" s="1"/>
  <c r="DA38" i="1"/>
  <c r="BE59" i="1"/>
  <c r="CS59" i="1" s="1"/>
  <c r="CT59" i="1" s="1"/>
  <c r="BD59" i="1"/>
  <c r="DA70" i="1"/>
  <c r="DD47" i="1"/>
  <c r="DF47" i="1" s="1"/>
  <c r="DK47" i="1" s="1"/>
  <c r="DA47" i="1"/>
  <c r="DK12" i="1"/>
  <c r="DM16" i="1" s="1"/>
  <c r="DF73" i="1"/>
  <c r="DK73" i="1" s="1"/>
  <c r="DK50" i="1"/>
  <c r="DA52" i="1"/>
  <c r="DD52" i="1"/>
  <c r="DF52" i="1" s="1"/>
  <c r="DK52" i="1" s="1"/>
  <c r="DH49" i="1"/>
  <c r="DJ49" i="1" s="1"/>
  <c r="DK49" i="1" s="1"/>
  <c r="DA49" i="1"/>
  <c r="DF44" i="1"/>
  <c r="BE36" i="1"/>
  <c r="CS36" i="1" s="1"/>
  <c r="CT36" i="1" s="1"/>
  <c r="DH36" i="1" s="1"/>
  <c r="DJ36" i="1" s="1"/>
  <c r="BD36" i="1"/>
  <c r="DA36" i="1"/>
  <c r="DD36" i="1"/>
  <c r="DF36" i="1" s="1"/>
  <c r="DK36" i="1" s="1"/>
  <c r="DM37" i="1" s="1"/>
  <c r="DA32" i="1"/>
  <c r="CL77" i="1"/>
  <c r="CO6" i="1"/>
  <c r="DF18" i="1"/>
  <c r="DD23" i="1"/>
  <c r="DF23" i="1" s="1"/>
  <c r="DK23" i="1" s="1"/>
  <c r="DA23" i="1"/>
  <c r="DF8" i="1"/>
  <c r="DA20" i="1"/>
  <c r="DK14" i="1"/>
  <c r="DF70" i="1"/>
  <c r="DK70" i="1" s="1"/>
  <c r="DM73" i="1" s="1"/>
  <c r="BE66" i="1"/>
  <c r="CS66" i="1" s="1"/>
  <c r="CT66" i="1" s="1"/>
  <c r="BD66" i="1"/>
  <c r="DA69" i="1"/>
  <c r="BE60" i="1"/>
  <c r="CS60" i="1" s="1"/>
  <c r="CT60" i="1" s="1"/>
  <c r="BD60" i="1"/>
  <c r="DA71" i="1"/>
  <c r="BD51" i="1"/>
  <c r="BE51" i="1"/>
  <c r="CS51" i="1" s="1"/>
  <c r="CT51" i="1" s="1"/>
  <c r="DH51" i="1" s="1"/>
  <c r="DJ51" i="1" s="1"/>
  <c r="DA61" i="1"/>
  <c r="DD42" i="1"/>
  <c r="DF42" i="1" s="1"/>
  <c r="DK42" i="1" s="1"/>
  <c r="DA42" i="1"/>
  <c r="DA39" i="1"/>
  <c r="DD39" i="1"/>
  <c r="DF39" i="1" s="1"/>
  <c r="DK39" i="1" s="1"/>
  <c r="DF48" i="1"/>
  <c r="BE44" i="1"/>
  <c r="CS44" i="1" s="1"/>
  <c r="CT44" i="1" s="1"/>
  <c r="BD44" i="1"/>
  <c r="BE30" i="1"/>
  <c r="CS30" i="1" s="1"/>
  <c r="CT30" i="1" s="1"/>
  <c r="DH30" i="1" s="1"/>
  <c r="DJ30" i="1" s="1"/>
  <c r="BD30" i="1"/>
  <c r="DD30" i="1"/>
  <c r="DF30" i="1" s="1"/>
  <c r="CW77" i="1"/>
  <c r="CX6" i="1"/>
  <c r="CX77" i="1" s="1"/>
  <c r="AA77" i="1"/>
  <c r="DK63" i="1"/>
  <c r="DK40" i="1"/>
  <c r="DD16" i="1"/>
  <c r="DF16" i="1" s="1"/>
  <c r="DK16" i="1" s="1"/>
  <c r="DA16" i="1"/>
  <c r="DK25" i="1"/>
  <c r="DM25" i="1" s="1"/>
  <c r="DK21" i="1"/>
  <c r="DM21" i="1" s="1"/>
  <c r="DF7" i="1"/>
  <c r="BE72" i="1"/>
  <c r="CS72" i="1" s="1"/>
  <c r="CT72" i="1" s="1"/>
  <c r="BD72" i="1"/>
  <c r="DD67" i="1"/>
  <c r="DF67" i="1" s="1"/>
  <c r="DK67" i="1" s="1"/>
  <c r="DA67" i="1"/>
  <c r="DA51" i="1"/>
  <c r="DD51" i="1"/>
  <c r="DF51" i="1" s="1"/>
  <c r="DK51" i="1" s="1"/>
  <c r="BD33" i="1"/>
  <c r="BE33" i="1"/>
  <c r="CS33" i="1" s="1"/>
  <c r="CT33" i="1" s="1"/>
  <c r="DD31" i="1"/>
  <c r="DF31" i="1" s="1"/>
  <c r="DK31" i="1" s="1"/>
  <c r="DA31" i="1"/>
  <c r="DD24" i="1"/>
  <c r="DF24" i="1" s="1"/>
  <c r="DK24" i="1" s="1"/>
  <c r="DA24" i="1"/>
  <c r="BE18" i="1"/>
  <c r="CS18" i="1" s="1"/>
  <c r="CT18" i="1" s="1"/>
  <c r="BD18" i="1"/>
  <c r="BE8" i="1"/>
  <c r="CS8" i="1" s="1"/>
  <c r="CT8" i="1" s="1"/>
  <c r="BD8" i="1"/>
  <c r="BE64" i="1"/>
  <c r="CS64" i="1" s="1"/>
  <c r="CT64" i="1" s="1"/>
  <c r="BD64" i="1"/>
  <c r="BE74" i="1"/>
  <c r="CS74" i="1" s="1"/>
  <c r="CT74" i="1" s="1"/>
  <c r="BD74" i="1"/>
  <c r="DK69" i="1"/>
  <c r="DF71" i="1"/>
  <c r="DK71" i="1" s="1"/>
  <c r="DA50" i="1"/>
  <c r="BE48" i="1"/>
  <c r="CS48" i="1" s="1"/>
  <c r="CT48" i="1" s="1"/>
  <c r="BD48" i="1"/>
  <c r="DB77" i="1"/>
  <c r="DA40" i="1"/>
  <c r="BE28" i="1"/>
  <c r="CS28" i="1" s="1"/>
  <c r="CT28" i="1" s="1"/>
  <c r="BD28" i="1"/>
  <c r="BE7" i="1"/>
  <c r="BD7" i="1"/>
  <c r="Z77" i="1"/>
  <c r="DK38" i="1"/>
  <c r="DM40" i="1" s="1"/>
  <c r="DK29" i="1"/>
  <c r="DA25" i="1"/>
  <c r="DA21" i="1"/>
  <c r="DH28" i="1" l="1"/>
  <c r="DJ28" i="1" s="1"/>
  <c r="DK28" i="1" s="1"/>
  <c r="DM29" i="1" s="1"/>
  <c r="DA28" i="1"/>
  <c r="DH48" i="1"/>
  <c r="DJ48" i="1" s="1"/>
  <c r="DK48" i="1" s="1"/>
  <c r="DM54" i="1" s="1"/>
  <c r="DA48" i="1"/>
  <c r="DH64" i="1"/>
  <c r="DJ64" i="1" s="1"/>
  <c r="DK64" i="1" s="1"/>
  <c r="DA64" i="1"/>
  <c r="DH18" i="1"/>
  <c r="DJ18" i="1" s="1"/>
  <c r="DA18" i="1"/>
  <c r="BD77" i="1"/>
  <c r="DK30" i="1"/>
  <c r="DM31" i="1" s="1"/>
  <c r="DH66" i="1"/>
  <c r="DJ66" i="1" s="1"/>
  <c r="DK66" i="1" s="1"/>
  <c r="DA66" i="1"/>
  <c r="CO77" i="1"/>
  <c r="DA6" i="1"/>
  <c r="DA77" i="1" s="1"/>
  <c r="DD6" i="1"/>
  <c r="DF6" i="1" s="1"/>
  <c r="DH59" i="1"/>
  <c r="DJ59" i="1" s="1"/>
  <c r="DK59" i="1" s="1"/>
  <c r="DA59" i="1"/>
  <c r="BE77" i="1"/>
  <c r="CS7" i="1"/>
  <c r="DH74" i="1"/>
  <c r="DJ74" i="1" s="1"/>
  <c r="DK74" i="1" s="1"/>
  <c r="DM74" i="1" s="1"/>
  <c r="DA74" i="1"/>
  <c r="DH8" i="1"/>
  <c r="DJ8" i="1" s="1"/>
  <c r="DK8" i="1" s="1"/>
  <c r="DM8" i="1" s="1"/>
  <c r="DA8" i="1"/>
  <c r="DH33" i="1"/>
  <c r="DJ33" i="1" s="1"/>
  <c r="DK33" i="1" s="1"/>
  <c r="DA33" i="1"/>
  <c r="DH72" i="1"/>
  <c r="DJ72" i="1" s="1"/>
  <c r="DK72" i="1" s="1"/>
  <c r="DA72" i="1"/>
  <c r="DA30" i="1"/>
  <c r="DH44" i="1"/>
  <c r="DJ44" i="1" s="1"/>
  <c r="DA44" i="1"/>
  <c r="DH60" i="1"/>
  <c r="DJ60" i="1" s="1"/>
  <c r="DK60" i="1" s="1"/>
  <c r="DM60" i="1" s="1"/>
  <c r="DA60" i="1"/>
  <c r="DK18" i="1"/>
  <c r="DK44" i="1"/>
  <c r="CT7" i="1" l="1"/>
  <c r="CS77" i="1"/>
  <c r="DF77" i="1"/>
  <c r="DK6" i="1"/>
  <c r="DK77" i="1" l="1"/>
  <c r="DM7" i="1"/>
  <c r="DH7" i="1"/>
  <c r="DJ7" i="1" s="1"/>
  <c r="DK7" i="1" s="1"/>
  <c r="DA7" i="1"/>
  <c r="CT77" i="1"/>
</calcChain>
</file>

<file path=xl/comments1.xml><?xml version="1.0" encoding="utf-8"?>
<comments xmlns="http://schemas.openxmlformats.org/spreadsheetml/2006/main">
  <authors>
    <author>Huizinga, Guido</author>
    <author>Bosman, Jang Mee</author>
  </authors>
  <commentList>
    <comment ref="W4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cf opgave firma Overlander</t>
        </r>
      </text>
    </comment>
    <comment ref="X4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cf opgave firma Overlander</t>
        </r>
      </text>
    </comment>
    <comment ref="Y4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cf opgave firma Overlander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cf opgave firma Overlander</t>
        </r>
      </text>
    </comment>
    <comment ref="AA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cf opgave firma Overlander</t>
        </r>
      </text>
    </comment>
    <comment ref="BG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raming € 3500,= excl. BTW cf opgave Overlander (3à 4 ton)
</t>
        </r>
      </text>
    </comment>
    <comment ref="BH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raming € 12,000,= excl. BTW cf opgave Overlander (6 meter, 8 ton)</t>
        </r>
      </text>
    </comment>
    <comment ref="BI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raming € 7500,= excl. BTW cf offertte Leidsche Rijn</t>
        </r>
      </text>
    </comment>
    <comment ref="BJ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raming € 6000,= ecxl. BTW cf opgave Overlander</t>
        </r>
      </text>
    </comment>
    <comment ref="BK4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indicatie aanscha via https://www.twinbusch.nl/index.php?cPath=5
</t>
        </r>
      </text>
    </comment>
    <comment ref="Q5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Als er een compressor staat met druk &gt;14 dan aantal voertuigen minus 1
</t>
        </r>
      </text>
    </comment>
    <comment ref="AV5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Doen we hier alleen de TS-en of alle voortuigen?</t>
        </r>
      </text>
    </comment>
    <comment ref="CJ5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cf opgave firma Overlander (onderhoud compressor vanaf 4pk + voorrijkosten)</t>
        </r>
      </text>
    </comment>
    <comment ref="CK5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Uitgaande van 250,= per jaar x kans van 25%
</t>
        </r>
      </text>
    </comment>
    <comment ref="CN5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Valt al onder gebouwond
erhoud gemeente</t>
        </r>
      </text>
    </comment>
    <comment ref="CP5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Cf opgave Overlander 
99,= + 50,= x aantal tracés</t>
        </r>
      </text>
    </comment>
    <comment ref="CR5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Uitgaande van 500,= per jaar x kans van 25%</t>
        </r>
      </text>
    </comment>
    <comment ref="CV5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Uitgaande van 250,= per jaar x kans van 50
%</t>
        </r>
      </text>
    </comment>
    <comment ref="CY5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Gemiddelde o.b.v. calculatie tool
http://www.lindeboom-es.nl/</t>
        </r>
      </text>
    </comment>
    <comment ref="CZ5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PM € 500,= per storing per brug per jaar</t>
        </r>
      </text>
    </comment>
    <comment ref="AM6" authorId="1" shapeId="0">
      <text>
        <r>
          <rPr>
            <sz val="9"/>
            <color indexed="81"/>
            <rFont val="Tahoma"/>
            <family val="2"/>
          </rPr>
          <t xml:space="preserve">Wilfred Snoei:
Eén van de TS’en wordt voorlopig niet vervangen voor een Euro 6 voertuig, maar de andere wel.
</t>
        </r>
      </text>
    </comment>
    <comment ref="AP6" authorId="1" shapeId="0">
      <text>
        <r>
          <rPr>
            <b/>
            <sz val="9"/>
            <color rgb="FF000000"/>
            <rFont val="Tahoma"/>
            <family val="2"/>
          </rPr>
          <t>Bosman, Jang Mee: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Omdat er ruimteafzuiging aanwezig is, geen aparte rookgasafzuiging
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Kan niet terug vinden op compressor - opgezocht via internet</t>
        </r>
      </text>
    </comment>
    <comment ref="AM12" authorId="1" shapeId="0">
      <text>
        <r>
          <rPr>
            <sz val="9"/>
            <color indexed="81"/>
            <rFont val="Tahoma"/>
            <family val="2"/>
          </rPr>
          <t>Wilfred Snoei:
Eén van de TS’en wordt voorlopig niet vervangen voor een Euro 6 voertuig, maar de andere wel.</t>
        </r>
      </text>
    </comment>
    <comment ref="CP12" authorId="0" shapeId="0">
      <text>
        <r>
          <rPr>
            <b/>
            <sz val="9"/>
            <color indexed="81"/>
            <rFont val="Tahoma"/>
            <family val="2"/>
          </rPr>
          <t xml:space="preserve">Huizinga, Guido:
</t>
        </r>
        <r>
          <rPr>
            <sz val="9"/>
            <color indexed="81"/>
            <rFont val="Tahoma"/>
            <family val="2"/>
          </rPr>
          <t>onderhoudscontract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Concept projectplan is klaar nieuwe huisvesting</t>
        </r>
      </text>
    </comment>
    <comment ref="B17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(ver)nieuwbouw op langere termijn, geen aanpassingremise voorzien</t>
        </r>
      </text>
    </comment>
    <comment ref="AE1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Is onbekend, maar aandere posten met uitlaat trechter worden door Overnder onderhouden</t>
        </r>
      </text>
    </comment>
    <comment ref="BD1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Als er geen werklucht is tbv werktafel, dan een extra luchtaansluiting opgenomen hiervoor</t>
        </r>
      </text>
    </comment>
    <comment ref="AX18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Waarvan 5 voor uitrukvoertuigen</t>
        </r>
      </text>
    </comment>
    <comment ref="B19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(ver)nieuwbouw op langere termijn, geen aanpassingremise voorzien</t>
        </r>
      </text>
    </comment>
    <comment ref="AE19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Is onbekend, maar aandere posten met uitlaat trechter worden door Overnder onderhouden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(ver)nieuwbouw op langere termijn, geen aanpassingremise voorzien</t>
        </r>
      </text>
    </comment>
    <comment ref="AX20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Waarvan 2 voor uitrukvoertuigen</t>
        </r>
      </text>
    </comment>
    <comment ref="AM2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worden niet vervangen voor nieuwe met euro 6
</t>
        </r>
      </text>
    </comment>
    <comment ref="AH22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niet aangesloten
</t>
        </r>
      </text>
    </comment>
    <comment ref="AE24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Is eigenlijks een ander bedrijf</t>
        </r>
      </text>
    </comment>
    <comment ref="B31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Start bouw planning 7-10-2019</t>
        </r>
      </text>
    </comment>
    <comment ref="D3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Geen toegang, wachten op nieuwbouw</t>
        </r>
      </text>
    </comment>
    <comment ref="AM3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worden niet vervangen voor nieuwe met euro 6
</t>
        </r>
      </text>
    </comment>
    <comment ref="AT3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Pand wordt gerenoveerd
</t>
        </r>
      </text>
    </comment>
    <comment ref="AM32" authorId="1" shapeId="0">
      <text>
        <r>
          <rPr>
            <sz val="9"/>
            <color indexed="81"/>
            <rFont val="Tahoma"/>
            <family val="2"/>
          </rPr>
          <t xml:space="preserve">Wilfred Snoei:
Eén van de TS’en wordt voorlopig niet vervangen voor een Euro 6 voertuig, maar de andere wel.
</t>
        </r>
      </text>
    </comment>
    <comment ref="B35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Aanbesteding is in voorbereiding wordt voor 1-8-2019 in de markt gezet</t>
        </r>
      </text>
    </comment>
    <comment ref="D36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Zelfs 2 compressoren, SEJA, 11 bar 2008</t>
        </r>
      </text>
    </comment>
    <comment ref="B37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Technische oplevering 22-7-2019 -&gt; gesplitste ingebruikname 1-8-19 operationeel -&gt; 28-8-2019 in gebruik name volledige post </t>
        </r>
      </text>
    </comment>
    <comment ref="AU37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nagaan hoeveel na oplevering zijn aangelegd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Geen aanpassing aan remise voorzien bij (ver)nieuwbouw</t>
        </r>
      </text>
    </comment>
    <comment ref="AD4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Ruimte afzuiging onbekend
</t>
        </r>
      </text>
    </comment>
    <comment ref="AX4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Waarvan 5 voor uitrukvoertuigen</t>
        </r>
      </text>
    </comment>
    <comment ref="AB42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Er zit ruimteafzuiging, maar ivm aanstaande (ver)nieuwbouw is hier "Nee" opgenomen</t>
        </r>
      </text>
    </comment>
    <comment ref="D44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Voorheen compressor 
ademlucht
</t>
        </r>
      </text>
    </comment>
    <comment ref="AM44" authorId="1" shapeId="0">
      <text>
        <r>
          <rPr>
            <sz val="9"/>
            <color indexed="81"/>
            <rFont val="Tahoma"/>
            <family val="2"/>
          </rPr>
          <t xml:space="preserve">Wilfred Snoei:
Eén van de TS’en wordt voorlopig niet vervangen voor een Euro 6 voertuig, maar de andere wel.
</t>
        </r>
      </text>
    </comment>
    <comment ref="AU44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Graaf, Frederik (jr.) de:
4 van de 8 aansluitingen worden gebruikt</t>
        </r>
      </text>
    </comment>
    <comment ref="AM45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worden niet vervangen voor nieuwe met euro 6
</t>
        </r>
      </text>
    </comment>
    <comment ref="AU46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Graaf, Frederik (jr.) de:
voertuig staat nu niet onder lucht, compressor is te ligt 8 bar bij 24 ltr, </t>
        </r>
      </text>
    </comment>
    <comment ref="AC4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Niet aangesloten
</t>
        </r>
      </text>
    </comment>
    <comment ref="AH4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Er is een slang met ventilator en kanaalwerk door een timerschakelaar kan deze aangezet worden</t>
        </r>
      </text>
    </comment>
    <comment ref="AM4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worden niet vervangen voor nieuwe met euro 6
</t>
        </r>
      </text>
    </comment>
    <comment ref="BI49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schaarhefbrug DS35 van 3500 KG </t>
        </r>
      </text>
    </comment>
    <comment ref="D54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Is elektrisch defect wordt vervangen
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schatting op basis van foto</t>
        </r>
      </text>
    </comment>
    <comment ref="AH55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aantal buizen ruimte afzuiging
</t>
        </r>
      </text>
    </comment>
    <comment ref="AP55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Omdat er ruimteafzuiging aanwezig is, geen aparte rookgasafzuiging
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Druk niet bekend 8 of 10?</t>
        </r>
      </text>
    </comment>
    <comment ref="B57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Geen aanpassing aan remise voorzien bij (ver)nieuwbouw</t>
        </r>
      </text>
    </comment>
    <comment ref="B58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(ver)nieuwbouw op langere termijn</t>
        </r>
      </text>
    </comment>
    <comment ref="AH58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Aantal buizen</t>
        </r>
      </text>
    </comment>
    <comment ref="AP58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Omdat er ruimteafzuiging aanwezig is, geen aparte rookgasafzuiging
</t>
        </r>
      </text>
    </comment>
    <comment ref="L67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Kan datum niet vinden is een schatting van HM</t>
        </r>
      </text>
    </comment>
    <comment ref="G68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Onbekend, kleine compressor voor schoonmaak en onderhoud
</t>
        </r>
      </text>
    </comment>
    <comment ref="AH68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Aantal buizen rookgasafvoer
</t>
        </r>
      </text>
    </comment>
    <comment ref="AP69" authorId="1" shapeId="0">
      <text>
        <r>
          <rPr>
            <b/>
            <sz val="9"/>
            <color rgb="FF000000"/>
            <rFont val="Tahoma"/>
            <family val="2"/>
          </rPr>
          <t>Bosman, Jang Mee: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Omdat er ruimteafzuiging aanwezig is, geen aparte rookgasafzuiging
</t>
        </r>
      </text>
    </comment>
    <comment ref="B70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(ver)nieuwbouw op langere termijn</t>
        </r>
      </text>
    </comment>
    <comment ref="AM70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worden niet vervangen voor nieuwe met euro 6
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(ver)nieuwbouw op langere termijn</t>
        </r>
      </text>
    </comment>
    <comment ref="AM71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worden niet vervangen voor nieuwe met euro 6
</t>
        </r>
      </text>
    </comment>
    <comment ref="B73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(ver)nieuwbouw op langere termijn</t>
        </r>
      </text>
    </comment>
    <comment ref="AP74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Omdat er ruimteafzuiging aanwezig is, geen aparte rookgasafzuiging
</t>
        </r>
      </text>
    </comment>
    <comment ref="E76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Ook een foto van friulair 
16 bar</t>
        </r>
      </text>
    </comment>
    <comment ref="AM76" authorId="0" shapeId="0">
      <text>
        <r>
          <rPr>
            <b/>
            <sz val="9"/>
            <color rgb="FF000000"/>
            <rFont val="Tahoma"/>
            <family val="2"/>
          </rPr>
          <t>Huizinga, Guido: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Wilfred Snoei:
</t>
        </r>
        <r>
          <rPr>
            <sz val="9"/>
            <color rgb="FF000000"/>
            <rFont val="Tahoma"/>
            <family val="2"/>
          </rPr>
          <t>Eén van de TS’en wordt voorlopig niet vervangen voor een Euro 6 voertuig, maar de andere wel.</t>
        </r>
      </text>
    </comment>
    <comment ref="AX76" authorId="1" shapeId="0">
      <text>
        <r>
          <rPr>
            <b/>
            <sz val="9"/>
            <color indexed="81"/>
            <rFont val="Tahoma"/>
            <family val="2"/>
          </rPr>
          <t>Bosman, Jang Mee:</t>
        </r>
        <r>
          <rPr>
            <sz val="9"/>
            <color indexed="81"/>
            <rFont val="Tahoma"/>
            <family val="2"/>
          </rPr>
          <t xml:space="preserve">
Waarvan 2 voor uitrukvoertuigen</t>
        </r>
      </text>
    </comment>
    <comment ref="BH76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reserve 4-koloms brug, dit is de oude van Amersfoort</t>
        </r>
      </text>
    </comment>
    <comment ref="BJ76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deze zijn in de vloer verzonken bij geen gebruik </t>
        </r>
      </text>
    </comment>
    <comment ref="BK76" authorId="0" shapeId="0">
      <text>
        <r>
          <rPr>
            <b/>
            <sz val="9"/>
            <color indexed="81"/>
            <rFont val="Tahoma"/>
            <family val="2"/>
          </rPr>
          <t>Huizinga, Guido:</t>
        </r>
        <r>
          <rPr>
            <sz val="9"/>
            <color indexed="81"/>
            <rFont val="Tahoma"/>
            <family val="2"/>
          </rPr>
          <t xml:space="preserve">
deze zijn in de vloer verzonken bij geen gebruik </t>
        </r>
      </text>
    </comment>
  </commentList>
</comments>
</file>

<file path=xl/sharedStrings.xml><?xml version="1.0" encoding="utf-8"?>
<sst xmlns="http://schemas.openxmlformats.org/spreadsheetml/2006/main" count="1831" uniqueCount="271">
  <si>
    <t>Overzicht aanbesteding compressoren &amp; toebehoren, rookgasafvoer, lucht &amp; elektra</t>
  </si>
  <si>
    <t xml:space="preserve">* bedragen zijn geraamd op basis van bruto bedragen, excl. BTW </t>
  </si>
  <si>
    <t>Exploitatie en beheerkosten</t>
  </si>
  <si>
    <t>Opgegeven aantallen vanuit afdeling M&amp;L o.b.v. voertuigen nieuwe dekkingsplan dd. 24/06/2019</t>
  </si>
  <si>
    <t>Conform overzicht 6 mei 2020</t>
  </si>
  <si>
    <t>Onderwerp</t>
  </si>
  <si>
    <t>Gegevens compressor</t>
  </si>
  <si>
    <t xml:space="preserve"> </t>
  </si>
  <si>
    <t>Gegevens rookgasafvoer</t>
  </si>
  <si>
    <t>inhaalslag Rookgasafvoer VRU (excl. BTW, excl. 10% onvoorzien)</t>
  </si>
  <si>
    <t>Lucht en elektra</t>
  </si>
  <si>
    <t xml:space="preserve">Lucht en elektra VRU </t>
  </si>
  <si>
    <t>Hefbrug werkplaats</t>
  </si>
  <si>
    <t>reeds geinvesteerd</t>
  </si>
  <si>
    <t>Type voertuigen en aantallen</t>
  </si>
  <si>
    <t>Voertuigvervanging</t>
  </si>
  <si>
    <t>IST versus SOLL</t>
  </si>
  <si>
    <t>IST</t>
  </si>
  <si>
    <t>SOLL</t>
  </si>
  <si>
    <t>Aantal</t>
  </si>
  <si>
    <t>optie</t>
  </si>
  <si>
    <t>Compressor en toebehoren</t>
  </si>
  <si>
    <t>Rookgasafvoer TS</t>
  </si>
  <si>
    <t>Luchtaansluiting en Elektra</t>
  </si>
  <si>
    <t>Totaal per post</t>
  </si>
  <si>
    <t>Gemeente</t>
  </si>
  <si>
    <t>Naam post</t>
  </si>
  <si>
    <t>onderhoud door VRU</t>
  </si>
  <si>
    <t>Compressor aanwezig*</t>
  </si>
  <si>
    <t>Merk</t>
  </si>
  <si>
    <t>Compressor nodig?</t>
  </si>
  <si>
    <t>Maximale druk compressor</t>
  </si>
  <si>
    <t>Minimale druk compressor noodzakelijk?</t>
  </si>
  <si>
    <t>vervangen t.b.v. CCFM</t>
  </si>
  <si>
    <t>Ruimte compressor</t>
  </si>
  <si>
    <t>Foto van typeplaatje gemaakt?</t>
  </si>
  <si>
    <t>Bouwjaar</t>
  </si>
  <si>
    <t>230 of 400 volt compressor</t>
  </si>
  <si>
    <t>Automatische condensaftap aanwezig?</t>
  </si>
  <si>
    <t>Automatische condensaftap noodzakelijk?</t>
  </si>
  <si>
    <t>Aantal drukregelaars met waterafscheider?</t>
  </si>
  <si>
    <t>Aantal drukregelaar met waterafscheider noodzakelijk?</t>
  </si>
  <si>
    <t xml:space="preserve">Aparte Luchtdroger   </t>
  </si>
  <si>
    <t>Aparte luchtdroger noodzakelijk?</t>
  </si>
  <si>
    <t>Compressor max druk 10 bar</t>
  </si>
  <si>
    <t>Compressor max druk 15 bar</t>
  </si>
  <si>
    <t>Automatische condensaftap2</t>
  </si>
  <si>
    <t>Drukregelaar met waterafscheider2</t>
  </si>
  <si>
    <t>Plaatsingskosten compresor</t>
  </si>
  <si>
    <t>Perslucht koeldroger</t>
  </si>
  <si>
    <t>Aansluitset koeldroger</t>
  </si>
  <si>
    <t>Plaatsingskosten koeldroger</t>
  </si>
  <si>
    <t>Rookgasafvoer aanwezig?</t>
  </si>
  <si>
    <t xml:space="preserve"> Type rookgasafvoer  </t>
  </si>
  <si>
    <t>Merk rookgasafvoer</t>
  </si>
  <si>
    <t>Leverancier onderhoud Puntafzuiging</t>
  </si>
  <si>
    <t>aantal</t>
  </si>
  <si>
    <t>Rookgasafvoer aangesloten op compressor</t>
  </si>
  <si>
    <t>Aantal rookgasafvoer aangesloten</t>
  </si>
  <si>
    <t>Aansluiting geschikt voor CCFM (Euro 6)?</t>
  </si>
  <si>
    <t>Type systeem</t>
  </si>
  <si>
    <t xml:space="preserve">Type systeem (pneumatisch of elektromagnetisch)  </t>
  </si>
  <si>
    <t>Aantal tracés verwacht na (ver)nieuwbouw</t>
  </si>
  <si>
    <t>Aantal aansluitingen aan te passen voor TS (Euro 6)</t>
  </si>
  <si>
    <t>Aantal aansluitingen aan te passen voor CCFM (Euro 6)2</t>
  </si>
  <si>
    <t>Rookgasafzuiging type SBT (tbv TS) incl. montage - volledige installatie</t>
  </si>
  <si>
    <t>Rookgasafzuiging type VSR (tbv CCFM) incl. montage - nieuw</t>
  </si>
  <si>
    <t>Aanpassing Overlandersysteem naar Euro 6 incl. montage</t>
  </si>
  <si>
    <t>Aanpassing Nedermansysteem naar Euro 6 incl. montage</t>
  </si>
  <si>
    <t>Aanpassing onbekend systeem naar Euro 6 incl. montage</t>
  </si>
  <si>
    <t>Zijn er luchtaansluitingen voor het nieuwe voertuig (TS / CCFM) ?</t>
  </si>
  <si>
    <r>
      <rPr>
        <b/>
        <sz val="10"/>
        <color rgb="FFFF0000"/>
        <rFont val="Calibri"/>
        <family val="2"/>
        <scheme val="minor"/>
      </rPr>
      <t>Aantal voertuigen</t>
    </r>
    <r>
      <rPr>
        <b/>
        <sz val="10"/>
        <rFont val="Calibri"/>
        <family val="2"/>
        <scheme val="minor"/>
      </rPr>
      <t xml:space="preserve"> met luchtaansluiting aanwezig</t>
    </r>
  </si>
  <si>
    <t>Aantal voertuigen met luchtaansluiting noodzakelijk</t>
  </si>
  <si>
    <t>Luchtaansluiting tbv werktafel</t>
  </si>
  <si>
    <t>Totaal aantal uitrukpoorten</t>
  </si>
  <si>
    <t>Totaal aantal haspels (lucht)</t>
  </si>
  <si>
    <t xml:space="preserve">Aantal luchthaspels noodzakelijk </t>
  </si>
  <si>
    <t>Aantal aansluitingen walstroom</t>
  </si>
  <si>
    <t xml:space="preserve">Aantal aansluitingen walstroom  </t>
  </si>
  <si>
    <t>Aantal luchtaansluitingen extra te maken</t>
  </si>
  <si>
    <t>Luchtaansluiting leidingwerk (max  25 m)</t>
  </si>
  <si>
    <t>Slanghaspel(s) lucht incl. koppeling3</t>
  </si>
  <si>
    <t>CCE stekker</t>
  </si>
  <si>
    <t>Aantal 
2-kolomsbrug</t>
  </si>
  <si>
    <t>Aantal 
4-kolomsbrug</t>
  </si>
  <si>
    <t>Aantal 
Schaarhefbrug</t>
  </si>
  <si>
    <t>Aantal 
brug Hydraulisch (3500 kg)</t>
  </si>
  <si>
    <t>Aantal brug Hydraulisch (32000 kg)</t>
  </si>
  <si>
    <t>Kosten reeds uitgevoerde investering brug(gen)</t>
  </si>
  <si>
    <t>TS Basis / Compact 1</t>
  </si>
  <si>
    <t>TS Basis / Compact 2</t>
  </si>
  <si>
    <t>TS Combi (4x4)</t>
  </si>
  <si>
    <t>CCFM</t>
  </si>
  <si>
    <t>Red voertuig</t>
  </si>
  <si>
    <t>Hulpverlening</t>
  </si>
  <si>
    <t>Haakarm</t>
  </si>
  <si>
    <t>Water ongevallen</t>
  </si>
  <si>
    <t>Schuim blus</t>
  </si>
  <si>
    <t>Specifiek</t>
  </si>
  <si>
    <t>MCU / LCU</t>
  </si>
  <si>
    <t>TS bedrijfs voering</t>
  </si>
  <si>
    <t>Totaal</t>
  </si>
  <si>
    <t>TS BASIS</t>
  </si>
  <si>
    <t>TS Compact</t>
  </si>
  <si>
    <t>Compressor beheer per jaar (onderhoud)</t>
  </si>
  <si>
    <t>Compressor beheer (storingen) PM</t>
  </si>
  <si>
    <t>Rookgasafvoer (puntafzuiging  TS) Aanschaf</t>
  </si>
  <si>
    <t>Rookgasafvoer (puntafzuiging  CCFM)</t>
  </si>
  <si>
    <t>Rookgasafvoer (ruimteafzuiging)</t>
  </si>
  <si>
    <t>Rookgasafvoer Afschrijving 15 jaar</t>
  </si>
  <si>
    <t>Rookgasafvoer beheer per jaar (onderhoud)</t>
  </si>
  <si>
    <t>aantal gemeente</t>
  </si>
  <si>
    <t>Rookgasafvoer beheer (storingen) PM</t>
  </si>
  <si>
    <t>Lucht en elektra Aanschaf</t>
  </si>
  <si>
    <t>Lucht Afschrijving 5 jaar</t>
  </si>
  <si>
    <t>Lucht beheer per jaar (onderhoud)</t>
  </si>
  <si>
    <t>Lucht beheer (storingen) PM</t>
  </si>
  <si>
    <t>Hefbrug Aanschaf werkplaats</t>
  </si>
  <si>
    <t>Hefbrug Afschrijving 15 jaar</t>
  </si>
  <si>
    <t>Hefbrug beheer per jaar (onderhoud)</t>
  </si>
  <si>
    <t>Hefbrug beheer (storingen) PM</t>
  </si>
  <si>
    <t>Totaal jaarlijkse afschrijving (raming)</t>
  </si>
  <si>
    <t>Totaal jaarlijks beheer (raming)</t>
  </si>
  <si>
    <t>Totaal jaarlijkse afschrijving (bronafzuiging)</t>
  </si>
  <si>
    <t>Totaal jaarlijks beheer (bronafzuiging)</t>
  </si>
  <si>
    <t>Totale raming exploitatie bronafzuiging</t>
  </si>
  <si>
    <t>Totaal jaarlijkse afschrijving (compressoren, toebehoren, lucht en elektra)</t>
  </si>
  <si>
    <t>Totaal jaarlijks beheer (compressoren, toebehoren, lucht en elektra)</t>
  </si>
  <si>
    <t>Totale raming exploitatie compressoren &amp; toebehoren, lucht en elektra</t>
  </si>
  <si>
    <t>Amersfoort</t>
  </si>
  <si>
    <t>Amersfoort Centrum</t>
  </si>
  <si>
    <t>ja</t>
  </si>
  <si>
    <t>Creemers</t>
  </si>
  <si>
    <t>Ja</t>
  </si>
  <si>
    <t>Werkplaats</t>
  </si>
  <si>
    <t>Nee</t>
  </si>
  <si>
    <t>400 (kracht)</t>
  </si>
  <si>
    <t>Ruimte afzuiging</t>
  </si>
  <si>
    <t>Onbekend</t>
  </si>
  <si>
    <t>nvt</t>
  </si>
  <si>
    <t>Amersfoort Noord</t>
  </si>
  <si>
    <t>Atlas Copco</t>
  </si>
  <si>
    <t>Baarn</t>
  </si>
  <si>
    <t>nee</t>
  </si>
  <si>
    <t>Technische ruimte</t>
  </si>
  <si>
    <t>Onleesbaar</t>
  </si>
  <si>
    <t>Punt afzuiging</t>
  </si>
  <si>
    <t>Magna Track</t>
  </si>
  <si>
    <t>Nedermann</t>
  </si>
  <si>
    <t>Elektro magnetisch</t>
  </si>
  <si>
    <t>Bunnik</t>
  </si>
  <si>
    <t>Shamal</t>
  </si>
  <si>
    <t>Remise</t>
  </si>
  <si>
    <t>230 (normaal)</t>
  </si>
  <si>
    <t>Plymovent</t>
  </si>
  <si>
    <t>Overlander</t>
  </si>
  <si>
    <t>Pneumatisch grabber</t>
  </si>
  <si>
    <t>Werkhoven</t>
  </si>
  <si>
    <t>Airworks</t>
  </si>
  <si>
    <t>1 op compressor</t>
  </si>
  <si>
    <t>Bunschoten</t>
  </si>
  <si>
    <t>Bunschoten-Spakenburg</t>
  </si>
  <si>
    <t>De Bilt</t>
  </si>
  <si>
    <t>Bilthoven</t>
  </si>
  <si>
    <t>ABAC</t>
  </si>
  <si>
    <t xml:space="preserve">Groenekan </t>
  </si>
  <si>
    <t>Wurth</t>
  </si>
  <si>
    <t>Maartensdijk</t>
  </si>
  <si>
    <t>project</t>
  </si>
  <si>
    <t>Westbroek</t>
  </si>
  <si>
    <t>De Ronde Venen</t>
  </si>
  <si>
    <t>Abcoude</t>
  </si>
  <si>
    <t>Metabo</t>
  </si>
  <si>
    <t>Uitlaat trechter</t>
  </si>
  <si>
    <t>Mijdrecht</t>
  </si>
  <si>
    <t>Contimac</t>
  </si>
  <si>
    <t>Niet aanwezig</t>
  </si>
  <si>
    <t>Vinkeveen</t>
  </si>
  <si>
    <t>Fini Amico</t>
  </si>
  <si>
    <t xml:space="preserve">Wilnis </t>
  </si>
  <si>
    <t>DRV</t>
  </si>
  <si>
    <t>Eemnes</t>
  </si>
  <si>
    <t>Houten</t>
  </si>
  <si>
    <t>Houten Oost</t>
  </si>
  <si>
    <t>Griptang</t>
  </si>
  <si>
    <t>Houten West</t>
  </si>
  <si>
    <t>Schalkwijk</t>
  </si>
  <si>
    <t>Ijsselstein</t>
  </si>
  <si>
    <t>IJsselstein</t>
  </si>
  <si>
    <t>Punt en ruimte afzuiging</t>
  </si>
  <si>
    <t>Leusden</t>
  </si>
  <si>
    <t>Achterveld</t>
  </si>
  <si>
    <t>Lopik</t>
  </si>
  <si>
    <t>Benschop</t>
  </si>
  <si>
    <t>Montfoort</t>
  </si>
  <si>
    <t>Linschoten</t>
  </si>
  <si>
    <t>Nieuwegein</t>
  </si>
  <si>
    <t>Nieuwegein Noord</t>
  </si>
  <si>
    <t>Airmac</t>
  </si>
  <si>
    <t>Nieuwegein Zuid</t>
  </si>
  <si>
    <t>Oudewater</t>
  </si>
  <si>
    <t>Renswoude</t>
  </si>
  <si>
    <t>Rhenen</t>
  </si>
  <si>
    <t>Rhenen/Achterberg</t>
  </si>
  <si>
    <t>Falcon</t>
  </si>
  <si>
    <t>Rhenen/Elst</t>
  </si>
  <si>
    <t>Soest</t>
  </si>
  <si>
    <t>Soest (nevenpost)</t>
  </si>
  <si>
    <t>Vemat</t>
  </si>
  <si>
    <t>Soesterberg</t>
  </si>
  <si>
    <t>Stichtse Vecht</t>
  </si>
  <si>
    <t>Breukelen</t>
  </si>
  <si>
    <t>AARIAC</t>
  </si>
  <si>
    <t>Kockengen</t>
  </si>
  <si>
    <t>Loenen ad vecht</t>
  </si>
  <si>
    <t>Maarssen</t>
  </si>
  <si>
    <t>Maarsseveen-Tienhoven</t>
  </si>
  <si>
    <t>Nieuwer ter Aa</t>
  </si>
  <si>
    <t>Nigtevecht</t>
  </si>
  <si>
    <t>Utrecht</t>
  </si>
  <si>
    <t>De Meern</t>
  </si>
  <si>
    <t>Leidsche Rijn</t>
  </si>
  <si>
    <t>Schepenbuurt</t>
  </si>
  <si>
    <t>ALUP</t>
  </si>
  <si>
    <t>Tolsteeg</t>
  </si>
  <si>
    <t>Vleuten</t>
  </si>
  <si>
    <t>Voordorp</t>
  </si>
  <si>
    <t>Zuilen</t>
  </si>
  <si>
    <t>Utrechtse Heuvelrug</t>
  </si>
  <si>
    <t>Amerongen</t>
  </si>
  <si>
    <t>Doorn</t>
  </si>
  <si>
    <t>Driebergen-Rijsenburg</t>
  </si>
  <si>
    <t>Abac</t>
  </si>
  <si>
    <t>Leersum</t>
  </si>
  <si>
    <t>Airpress</t>
  </si>
  <si>
    <t>Maarn - Maarsbergen</t>
  </si>
  <si>
    <t>La Padana</t>
  </si>
  <si>
    <t>Magazijn</t>
  </si>
  <si>
    <t>Veenendaal</t>
  </si>
  <si>
    <t>Boge</t>
  </si>
  <si>
    <t>Vijfheerenlanden</t>
  </si>
  <si>
    <t>Ameide</t>
  </si>
  <si>
    <t>Hagestein</t>
  </si>
  <si>
    <t>Leerdam</t>
  </si>
  <si>
    <t>Lexmond</t>
  </si>
  <si>
    <t>Meerkerk</t>
  </si>
  <si>
    <t>Schoonrewoerd</t>
  </si>
  <si>
    <t>Chinook</t>
  </si>
  <si>
    <t>Vianen</t>
  </si>
  <si>
    <t>Wijk bij Duurstede</t>
  </si>
  <si>
    <t>Cothen-Langbroek</t>
  </si>
  <si>
    <t>Woerden</t>
  </si>
  <si>
    <t>Harmelen</t>
  </si>
  <si>
    <t>Condor</t>
  </si>
  <si>
    <t xml:space="preserve">Kamerik </t>
  </si>
  <si>
    <t>Fumex</t>
  </si>
  <si>
    <t>Zegveld</t>
  </si>
  <si>
    <t>Woudenberg</t>
  </si>
  <si>
    <t>Zeist</t>
  </si>
  <si>
    <t>Den Dolder</t>
  </si>
  <si>
    <t>Totaal aantal</t>
  </si>
  <si>
    <t>AANTAL</t>
  </si>
  <si>
    <t>Subtotaal (excl. BTW)</t>
  </si>
  <si>
    <t>totaal exploitatie bronafzuiging</t>
  </si>
  <si>
    <t>VRU locaties</t>
  </si>
  <si>
    <t>Puntafzuiging</t>
  </si>
  <si>
    <t>- Overlander</t>
  </si>
  <si>
    <t>- Nedermann</t>
  </si>
  <si>
    <t>Recent vervangen, n.v.t.</t>
  </si>
  <si>
    <t xml:space="preserve">projecten </t>
  </si>
  <si>
    <t>verwijderd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</si>
</sst>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€&quot;\ * #,##0_ ;_ &quot;€&quot;\ * \-#,##0_ ;_ &quot;€&quot;\ * &quot;-&quot;_ ;_ @_ "/>
    <numFmt numFmtId="164" formatCode="&quot;€&quot;\ #,##0"/>
    <numFmt numFmtId="165" formatCode="&quot;€&quot;\ #,##0.00"/>
    <numFmt numFmtId="166" formatCode="0_);\(0\)"/>
  </numFmts>
  <fonts count="19" x14ac:knownFonts="1"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theme="10"/>
      <name val="Verdana"/>
      <family val="2"/>
    </font>
    <font>
      <sz val="10"/>
      <color rgb="FFC00000"/>
      <name val="Calibri"/>
      <family val="2"/>
      <scheme val="minor"/>
    </font>
    <font>
      <i/>
      <sz val="10"/>
      <color theme="1"/>
      <name val="Verdana"/>
      <family val="2"/>
    </font>
    <font>
      <sz val="10"/>
      <color rgb="FF00B05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9B9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6" fillId="0" borderId="2" xfId="0" applyFont="1" applyBorder="1"/>
    <xf numFmtId="0" fontId="3" fillId="0" borderId="3" xfId="0" applyFont="1" applyBorder="1"/>
    <xf numFmtId="0" fontId="5" fillId="0" borderId="0" xfId="0" applyFont="1"/>
    <xf numFmtId="0" fontId="8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6" xfId="0" applyFont="1" applyFill="1" applyBorder="1"/>
    <xf numFmtId="0" fontId="2" fillId="7" borderId="4" xfId="0" applyFont="1" applyFill="1" applyBorder="1"/>
    <xf numFmtId="0" fontId="10" fillId="7" borderId="4" xfId="0" applyFont="1" applyFill="1" applyBorder="1"/>
    <xf numFmtId="0" fontId="2" fillId="7" borderId="5" xfId="0" applyFont="1" applyFill="1" applyBorder="1"/>
    <xf numFmtId="0" fontId="2" fillId="7" borderId="0" xfId="0" applyFont="1" applyFill="1"/>
    <xf numFmtId="0" fontId="2" fillId="7" borderId="8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9" fillId="3" borderId="0" xfId="0" applyFont="1" applyFill="1" applyAlignment="1">
      <alignment horizontal="left" vertical="center"/>
    </xf>
    <xf numFmtId="0" fontId="3" fillId="3" borderId="0" xfId="0" applyFont="1" applyFill="1"/>
    <xf numFmtId="0" fontId="9" fillId="3" borderId="0" xfId="0" applyFont="1" applyFill="1"/>
    <xf numFmtId="0" fontId="3" fillId="0" borderId="0" xfId="0" applyFont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164" fontId="3" fillId="9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4" fontId="4" fillId="9" borderId="1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65" fontId="3" fillId="9" borderId="11" xfId="0" applyNumberFormat="1" applyFont="1" applyFill="1" applyBorder="1" applyAlignment="1">
      <alignment horizontal="center" vertical="center"/>
    </xf>
    <xf numFmtId="164" fontId="6" fillId="9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12" borderId="10" xfId="0" applyFont="1" applyFill="1" applyBorder="1"/>
    <xf numFmtId="0" fontId="4" fillId="12" borderId="12" xfId="0" applyFont="1" applyFill="1" applyBorder="1"/>
    <xf numFmtId="0" fontId="3" fillId="12" borderId="12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4" fillId="12" borderId="12" xfId="1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 wrapText="1"/>
    </xf>
    <xf numFmtId="42" fontId="3" fillId="12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4" fillId="12" borderId="0" xfId="0" applyFont="1" applyFill="1"/>
    <xf numFmtId="166" fontId="4" fillId="12" borderId="12" xfId="0" applyNumberFormat="1" applyFont="1" applyFill="1" applyBorder="1"/>
    <xf numFmtId="1" fontId="4" fillId="12" borderId="12" xfId="0" applyNumberFormat="1" applyFont="1" applyFill="1" applyBorder="1"/>
    <xf numFmtId="42" fontId="4" fillId="12" borderId="12" xfId="0" applyNumberFormat="1" applyFont="1" applyFill="1" applyBorder="1"/>
    <xf numFmtId="164" fontId="4" fillId="12" borderId="12" xfId="0" applyNumberFormat="1" applyFont="1" applyFill="1" applyBorder="1"/>
    <xf numFmtId="164" fontId="4" fillId="12" borderId="0" xfId="0" applyNumberFormat="1" applyFont="1" applyFill="1"/>
    <xf numFmtId="0" fontId="2" fillId="0" borderId="10" xfId="0" applyFont="1" applyBorder="1"/>
    <xf numFmtId="0" fontId="4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42" fontId="3" fillId="0" borderId="12" xfId="0" applyNumberFormat="1" applyFont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0" borderId="0" xfId="0" applyFont="1"/>
    <xf numFmtId="166" fontId="4" fillId="0" borderId="12" xfId="0" applyNumberFormat="1" applyFont="1" applyBorder="1"/>
    <xf numFmtId="1" fontId="4" fillId="0" borderId="12" xfId="0" applyNumberFormat="1" applyFont="1" applyBorder="1"/>
    <xf numFmtId="42" fontId="4" fillId="0" borderId="12" xfId="0" applyNumberFormat="1" applyFont="1" applyBorder="1"/>
    <xf numFmtId="164" fontId="4" fillId="9" borderId="12" xfId="0" applyNumberFormat="1" applyFont="1" applyFill="1" applyBorder="1"/>
    <xf numFmtId="164" fontId="4" fillId="0" borderId="12" xfId="0" applyNumberFormat="1" applyFont="1" applyBorder="1"/>
    <xf numFmtId="164" fontId="4" fillId="5" borderId="12" xfId="0" applyNumberFormat="1" applyFont="1" applyFill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4" fillId="0" borderId="17" xfId="0" applyFont="1" applyBorder="1"/>
    <xf numFmtId="164" fontId="4" fillId="12" borderId="16" xfId="0" applyNumberFormat="1" applyFont="1" applyFill="1" applyBorder="1"/>
    <xf numFmtId="164" fontId="4" fillId="12" borderId="17" xfId="0" applyNumberFormat="1" applyFont="1" applyFill="1" applyBorder="1"/>
    <xf numFmtId="0" fontId="4" fillId="12" borderId="17" xfId="0" applyFont="1" applyFill="1" applyBorder="1"/>
    <xf numFmtId="164" fontId="4" fillId="0" borderId="0" xfId="0" applyNumberFormat="1" applyFont="1"/>
    <xf numFmtId="166" fontId="7" fillId="0" borderId="12" xfId="0" applyNumberFormat="1" applyFont="1" applyBorder="1"/>
    <xf numFmtId="1" fontId="3" fillId="0" borderId="12" xfId="0" applyNumberFormat="1" applyFont="1" applyBorder="1"/>
    <xf numFmtId="1" fontId="7" fillId="0" borderId="12" xfId="0" applyNumberFormat="1" applyFont="1" applyBorder="1"/>
    <xf numFmtId="42" fontId="3" fillId="0" borderId="12" xfId="0" applyNumberFormat="1" applyFont="1" applyBorder="1"/>
    <xf numFmtId="0" fontId="4" fillId="5" borderId="12" xfId="1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2" fillId="14" borderId="10" xfId="0" applyFont="1" applyFill="1" applyBorder="1"/>
    <xf numFmtId="0" fontId="3" fillId="14" borderId="12" xfId="0" applyFont="1" applyFill="1" applyBorder="1"/>
    <xf numFmtId="0" fontId="3" fillId="14" borderId="1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2" xfId="1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42" fontId="3" fillId="14" borderId="12" xfId="0" applyNumberFormat="1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4" fillId="14" borderId="0" xfId="0" applyFont="1" applyFill="1"/>
    <xf numFmtId="166" fontId="7" fillId="14" borderId="12" xfId="0" applyNumberFormat="1" applyFont="1" applyFill="1" applyBorder="1"/>
    <xf numFmtId="1" fontId="4" fillId="14" borderId="12" xfId="0" applyNumberFormat="1" applyFont="1" applyFill="1" applyBorder="1"/>
    <xf numFmtId="1" fontId="3" fillId="14" borderId="12" xfId="0" applyNumberFormat="1" applyFont="1" applyFill="1" applyBorder="1"/>
    <xf numFmtId="1" fontId="7" fillId="14" borderId="12" xfId="0" applyNumberFormat="1" applyFont="1" applyFill="1" applyBorder="1"/>
    <xf numFmtId="42" fontId="3" fillId="14" borderId="12" xfId="0" applyNumberFormat="1" applyFont="1" applyFill="1" applyBorder="1"/>
    <xf numFmtId="42" fontId="4" fillId="14" borderId="12" xfId="0" applyNumberFormat="1" applyFont="1" applyFill="1" applyBorder="1"/>
    <xf numFmtId="0" fontId="3" fillId="14" borderId="0" xfId="0" applyFont="1" applyFill="1"/>
    <xf numFmtId="164" fontId="4" fillId="14" borderId="12" xfId="0" applyNumberFormat="1" applyFont="1" applyFill="1" applyBorder="1"/>
    <xf numFmtId="164" fontId="4" fillId="14" borderId="0" xfId="0" applyNumberFormat="1" applyFont="1" applyFill="1"/>
    <xf numFmtId="164" fontId="3" fillId="0" borderId="17" xfId="0" applyNumberFormat="1" applyFont="1" applyBorder="1"/>
    <xf numFmtId="0" fontId="3" fillId="0" borderId="17" xfId="0" applyFont="1" applyBorder="1"/>
    <xf numFmtId="0" fontId="4" fillId="15" borderId="12" xfId="0" applyFont="1" applyFill="1" applyBorder="1"/>
    <xf numFmtId="0" fontId="6" fillId="9" borderId="12" xfId="0" applyFont="1" applyFill="1" applyBorder="1" applyAlignment="1">
      <alignment horizontal="center" vertical="center"/>
    </xf>
    <xf numFmtId="42" fontId="4" fillId="0" borderId="12" xfId="0" applyNumberFormat="1" applyFont="1" applyBorder="1" applyAlignment="1">
      <alignment horizontal="center" vertical="center"/>
    </xf>
    <xf numFmtId="0" fontId="4" fillId="14" borderId="12" xfId="0" applyFont="1" applyFill="1" applyBorder="1"/>
    <xf numFmtId="166" fontId="4" fillId="14" borderId="12" xfId="0" applyNumberFormat="1" applyFont="1" applyFill="1" applyBorder="1"/>
    <xf numFmtId="164" fontId="4" fillId="0" borderId="8" xfId="0" applyNumberFormat="1" applyFont="1" applyBorder="1"/>
    <xf numFmtId="0" fontId="2" fillId="0" borderId="12" xfId="0" applyFont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6" fontId="7" fillId="12" borderId="12" xfId="0" applyNumberFormat="1" applyFont="1" applyFill="1" applyBorder="1"/>
    <xf numFmtId="1" fontId="3" fillId="12" borderId="12" xfId="0" applyNumberFormat="1" applyFont="1" applyFill="1" applyBorder="1"/>
    <xf numFmtId="1" fontId="7" fillId="12" borderId="12" xfId="0" applyNumberFormat="1" applyFont="1" applyFill="1" applyBorder="1"/>
    <xf numFmtId="42" fontId="3" fillId="12" borderId="12" xfId="0" applyNumberFormat="1" applyFont="1" applyFill="1" applyBorder="1"/>
    <xf numFmtId="0" fontId="3" fillId="12" borderId="0" xfId="0" applyFont="1" applyFill="1"/>
    <xf numFmtId="164" fontId="3" fillId="12" borderId="17" xfId="0" applyNumberFormat="1" applyFont="1" applyFill="1" applyBorder="1"/>
    <xf numFmtId="0" fontId="3" fillId="12" borderId="17" xfId="0" applyFont="1" applyFill="1" applyBorder="1"/>
    <xf numFmtId="0" fontId="8" fillId="14" borderId="12" xfId="0" applyFont="1" applyFill="1" applyBorder="1" applyAlignment="1">
      <alignment horizontal="center" vertical="center"/>
    </xf>
    <xf numFmtId="164" fontId="4" fillId="14" borderId="16" xfId="0" applyNumberFormat="1" applyFont="1" applyFill="1" applyBorder="1"/>
    <xf numFmtId="164" fontId="3" fillId="14" borderId="17" xfId="0" applyNumberFormat="1" applyFont="1" applyFill="1" applyBorder="1"/>
    <xf numFmtId="0" fontId="3" fillId="14" borderId="17" xfId="0" applyFont="1" applyFill="1" applyBorder="1"/>
    <xf numFmtId="164" fontId="4" fillId="14" borderId="8" xfId="0" applyNumberFormat="1" applyFont="1" applyFill="1" applyBorder="1"/>
    <xf numFmtId="166" fontId="4" fillId="12" borderId="12" xfId="0" applyNumberFormat="1" applyFont="1" applyFill="1" applyBorder="1" applyAlignment="1">
      <alignment horizontal="center" vertical="center"/>
    </xf>
    <xf numFmtId="0" fontId="4" fillId="5" borderId="12" xfId="0" applyFont="1" applyFill="1" applyBorder="1"/>
    <xf numFmtId="0" fontId="3" fillId="13" borderId="12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12" borderId="12" xfId="0" quotePrefix="1" applyFont="1" applyFill="1" applyBorder="1" applyAlignment="1">
      <alignment horizontal="center" vertical="center"/>
    </xf>
    <xf numFmtId="37" fontId="4" fillId="12" borderId="12" xfId="0" applyNumberFormat="1" applyFont="1" applyFill="1" applyBorder="1" applyAlignment="1">
      <alignment horizontal="center" vertical="center"/>
    </xf>
    <xf numFmtId="0" fontId="3" fillId="12" borderId="12" xfId="0" applyFont="1" applyFill="1" applyBorder="1"/>
    <xf numFmtId="0" fontId="3" fillId="0" borderId="12" xfId="0" applyFont="1" applyBorder="1"/>
    <xf numFmtId="0" fontId="12" fillId="0" borderId="12" xfId="1" applyFont="1" applyBorder="1" applyAlignment="1">
      <alignment horizontal="center" vertical="center"/>
    </xf>
    <xf numFmtId="164" fontId="4" fillId="12" borderId="8" xfId="0" applyNumberFormat="1" applyFont="1" applyFill="1" applyBorder="1"/>
    <xf numFmtId="0" fontId="2" fillId="0" borderId="3" xfId="0" applyFont="1" applyBorder="1"/>
    <xf numFmtId="0" fontId="4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/>
    </xf>
    <xf numFmtId="42" fontId="3" fillId="0" borderId="18" xfId="0" applyNumberFormat="1" applyFont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164" fontId="13" fillId="0" borderId="0" xfId="0" applyNumberFormat="1" applyFont="1"/>
    <xf numFmtId="0" fontId="3" fillId="0" borderId="11" xfId="0" applyFont="1" applyBorder="1"/>
    <xf numFmtId="0" fontId="14" fillId="16" borderId="11" xfId="0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14" fillId="16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6" fontId="3" fillId="0" borderId="11" xfId="0" applyNumberFormat="1" applyFont="1" applyBorder="1"/>
    <xf numFmtId="1" fontId="3" fillId="0" borderId="11" xfId="0" applyNumberFormat="1" applyFont="1" applyBorder="1"/>
    <xf numFmtId="42" fontId="3" fillId="0" borderId="11" xfId="0" applyNumberFormat="1" applyFont="1" applyBorder="1"/>
    <xf numFmtId="164" fontId="3" fillId="0" borderId="0" xfId="0" applyNumberFormat="1" applyFont="1"/>
    <xf numFmtId="164" fontId="3" fillId="0" borderId="12" xfId="0" applyNumberFormat="1" applyFont="1" applyBorder="1"/>
    <xf numFmtId="164" fontId="3" fillId="5" borderId="12" xfId="0" applyNumberFormat="1" applyFont="1" applyFill="1" applyBorder="1"/>
    <xf numFmtId="0" fontId="3" fillId="17" borderId="12" xfId="0" applyFont="1" applyFill="1" applyBorder="1" applyAlignment="1">
      <alignment horizontal="left" vertical="center"/>
    </xf>
    <xf numFmtId="0" fontId="3" fillId="17" borderId="12" xfId="0" applyFont="1" applyFill="1" applyBorder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3" fillId="17" borderId="12" xfId="0" quotePrefix="1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_);\(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2" formatCode="_ &quot;€&quot;\ * #,##0_ ;_ &quot;€&quot;\ * \-#,##0_ ;_ &quot;€&quot;\ * &quot;-&quot;_ ;_ @_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346710</xdr:colOff>
      <xdr:row>2</xdr:row>
      <xdr:rowOff>22860</xdr:rowOff>
    </xdr:from>
    <xdr:to>
      <xdr:col>1</xdr:col>
      <xdr:colOff>1162050</xdr:colOff>
      <xdr:row>3</xdr:row>
      <xdr:rowOff>7620</xdr:rowOff>
    </xdr:to>
    <xdr:sp macro="" textlink="">
      <xdr:nvSpPr>
        <xdr:cNvPr id="2" name="Pijl-rechts 1">
          <a:extLst>
            <a:ext uri="{FF2B5EF4-FFF2-40B4-BE49-F238E27FC236}">
              <a16:creationId xmlns:a16="http://schemas.microsoft.com/office/drawing/2014/main" id="{3FA29BAD-E8D1-4E2C-BD17-34EBD62BF390}"/>
            </a:ext>
          </a:extLst>
        </xdr:cNvPr>
        <xdr:cNvSpPr/>
      </xdr:nvSpPr>
      <xdr:spPr>
        <a:xfrm>
          <a:off x="1939290" y="434340"/>
          <a:ext cx="815340" cy="1676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wkbv-my.sharepoint.com/personal/kohlmann_kwkbv_nl/Documents/Documents/VRU/Vakantieplanning%202020%20Expertteam%20FM%20%20H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envatting Scenario A"/>
      <sheetName val="Samenvatting alle scenarios"/>
      <sheetName val="F. Analyse TS N &amp; CCFM - SOLL"/>
      <sheetName val="F. Kosten TS N &amp;CCFM - SOLL"/>
      <sheetName val="E. Analyse TS&amp;CCFM - SOLL"/>
      <sheetName val="E. Kstn TS&amp;CCFM - SOLL"/>
      <sheetName val="Investerinscomissie"/>
      <sheetName val="Toelichting"/>
      <sheetName val="Samenvatting"/>
      <sheetName val="D. Analyse totaal - SOLL"/>
      <sheetName val="Kosten VRU obv TS&amp;CCFM"/>
      <sheetName val="Kosten Gemeenten Basis"/>
      <sheetName val="Kosten Gemeenten Totalen"/>
      <sheetName val="D. Kosten totaal - SOLL"/>
      <sheetName val="aanbesteding"/>
      <sheetName val="Prijzenblad"/>
      <sheetName val="C. Analyse TS N &amp;CCFM-IST(VOM)"/>
      <sheetName val="C. Kstn TS N &amp;CCFM-IST(VOM)"/>
      <sheetName val="B. Analyse TS&amp;CCFM -IST (VOM)"/>
      <sheetName val="B. Kosten TS&amp;CCFM -IST (VOM)"/>
      <sheetName val="A. Analyse totaal- IST (VOM)"/>
      <sheetName val="A. Kosten VR - lucht"/>
      <sheetName val="A. Kosten VRU - rookgas"/>
      <sheetName val="A. Kosten compr 15b"/>
      <sheetName val=" A. Kosten compr 10b"/>
      <sheetName val="A. Kosten gemeenten"/>
      <sheetName val="A. Kosten totaal - IST (VOM)"/>
      <sheetName val="samenvatting exploitatie nota"/>
      <sheetName val="Keuzelijsten"/>
      <sheetName val="Voertuigen VOM"/>
      <sheetName val="Vakantieplanning 2020 Expertt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ables/table1.xml><?xml version="1.0" encoding="utf-8"?>
<table xmlns="http://schemas.openxmlformats.org/spreadsheetml/2006/main" id="1" name="Tabel22620" displayName="Tabel22620" ref="A5:BY76" totalsRowShown="0" headerRowDxfId="103" dataDxfId="102" headerRowBorderDxfId="100" tableBorderDxfId="101" totalsRowBorderDxfId="99">
  <autoFilter ref="A5:BY76"/>
  <tableColumns count="77">
    <tableColumn id="103" name="Gemeente" dataDxfId="98"/>
    <tableColumn id="2" name="Naam post" dataDxfId="97"/>
    <tableColumn id="51" name="onderhoud door VRU" dataDxfId="96"/>
    <tableColumn id="3" name="Compressor aanwezig*" dataDxfId="95"/>
    <tableColumn id="25" name="Merk" dataDxfId="94"/>
    <tableColumn id="32" name="Compressor nodig?" dataDxfId="93"/>
    <tableColumn id="21" name="Maximale druk compressor" dataDxfId="92"/>
    <tableColumn id="34" name="Minimale druk compressor noodzakelijk?" dataDxfId="91"/>
    <tableColumn id="43" name="vervangen t.b.v. CCFM" dataDxfId="90"/>
    <tableColumn id="4" name="Ruimte compressor" dataDxfId="89"/>
    <tableColumn id="5" name="Foto van typeplaatje gemaakt?" dataDxfId="88"/>
    <tableColumn id="20" name="Bouwjaar" dataDxfId="87"/>
    <tableColumn id="6" name="230 of 400 volt compressor" dataDxfId="86"/>
    <tableColumn id="7" name="Automatische condensaftap aanwezig?" dataDxfId="85"/>
    <tableColumn id="40" name="Automatische condensaftap noodzakelijk?" dataDxfId="84"/>
    <tableColumn id="24" name="Aantal drukregelaars met waterafscheider?" dataDxfId="83"/>
    <tableColumn id="41" name="Aantal drukregelaar met waterafscheider noodzakelijk?" dataDxfId="82">
      <calculatedColumnFormula>IF(H6=14,(BY6-1),1)</calculatedColumnFormula>
    </tableColumn>
    <tableColumn id="8" name="Aparte Luchtdroger   " dataDxfId="81"/>
    <tableColumn id="42" name="Aparte luchtdroger noodzakelijk?" dataDxfId="80"/>
    <tableColumn id="76" name="Compressor max druk 10 bar" dataDxfId="79">
      <calculatedColumnFormula>IF(AND($G6&lt;$H6,$H6&lt;11),$T$4,0)</calculatedColumnFormula>
    </tableColumn>
    <tableColumn id="88" name="Compressor max druk 15 bar" dataDxfId="78">
      <calculatedColumnFormula>IF(AND($G6&lt;$H6,$H6&gt;13),$U$4,0)</calculatedColumnFormula>
    </tableColumn>
    <tableColumn id="84" name="Automatische condensaftap2" dataDxfId="77">
      <calculatedColumnFormula>IF(AND($N6="Nee",$O6="ja"),$V$4,0)</calculatedColumnFormula>
    </tableColumn>
    <tableColumn id="79" name="Drukregelaar met waterafscheider2" dataDxfId="76">
      <calculatedColumnFormula>IF($P6&lt;$Q6,$Q6*$W$4,0)</calculatedColumnFormula>
    </tableColumn>
    <tableColumn id="81" name="Plaatsingskosten compresor" dataDxfId="75">
      <calculatedColumnFormula>IF(OR(T6&gt;0,U6&gt;6),$X$4,0)</calculatedColumnFormula>
    </tableColumn>
    <tableColumn id="83" name="Perslucht koeldroger" dataDxfId="74">
      <calculatedColumnFormula>IF(AND($R6="Nee",$S6="ja"),$Y$4,0)</calculatedColumnFormula>
    </tableColumn>
    <tableColumn id="80" name="Aansluitset koeldroger" dataDxfId="73">
      <calculatedColumnFormula>IF($Y6&gt;0,$Z$4,0)</calculatedColumnFormula>
    </tableColumn>
    <tableColumn id="78" name="Plaatsingskosten koeldroger" dataDxfId="72">
      <calculatedColumnFormula>IF($Y6&gt;0,$AA$4,0)</calculatedColumnFormula>
    </tableColumn>
    <tableColumn id="14" name="Rookgasafvoer aanwezig?" dataDxfId="71"/>
    <tableColumn id="61" name=" Type rookgasafvoer  " dataDxfId="70"/>
    <tableColumn id="15" name="Merk rookgasafvoer" dataDxfId="69"/>
    <tableColumn id="28" name="Leverancier onderhoud Puntafzuiging" dataDxfId="68"/>
    <tableColumn id="23" name="aantal" dataDxfId="67"/>
    <tableColumn id="9" name="Rookgasafvoer aangesloten op compressor" dataDxfId="66"/>
    <tableColumn id="22" name="Aantal rookgasafvoer aangesloten" dataDxfId="65"/>
    <tableColumn id="93" name="Aansluiting geschikt voor CCFM (Euro 6)?" dataDxfId="64"/>
    <tableColumn id="13" name="Type systeem" dataDxfId="63"/>
    <tableColumn id="10" name="Type systeem (pneumatisch of elektromagnetisch)  " dataDxfId="62"/>
    <tableColumn id="50" name="Aantal tracés verwacht na (ver)nieuwbouw" dataDxfId="61"/>
    <tableColumn id="1" name="Aantal aansluitingen aan te passen voor TS (Euro 6)" dataDxfId="60">
      <calculatedColumnFormula>BM6</calculatedColumnFormula>
    </tableColumn>
    <tableColumn id="94" name="Aantal aansluitingen aan te passen voor CCFM (Euro 6)2" dataDxfId="59">
      <calculatedColumnFormula>IF($AI6="Nee",1,0)</calculatedColumnFormula>
    </tableColumn>
    <tableColumn id="89" name="Rookgasafzuiging type SBT (tbv TS) incl. montage - volledige installatie" dataDxfId="58">
      <calculatedColumnFormula>IF(AB6="Nee",Tabel22620[[#This Row],[Aantal tracés verwacht na (ver)nieuwbouw]]*$AO$4,0)</calculatedColumnFormula>
    </tableColumn>
    <tableColumn id="95" name="Rookgasafzuiging type VSR (tbv CCFM) incl. montage - nieuw" dataDxfId="57">
      <calculatedColumnFormula>IF(AI6="Nee",$AP$4*$AN6,0)</calculatedColumnFormula>
    </tableColumn>
    <tableColumn id="105" name="Aanpassing Overlandersysteem naar Euro 6 incl. montage" dataDxfId="56">
      <calculatedColumnFormula>IF(AE6="Overlander",$AQ$4*$AM6,0)</calculatedColumnFormula>
    </tableColumn>
    <tableColumn id="106" name="Aanpassing Nedermansysteem naar Euro 6 incl. montage" dataDxfId="55">
      <calculatedColumnFormula>IF(AE6="Nedermann",$AR$4*$AM6,0)</calculatedColumnFormula>
    </tableColumn>
    <tableColumn id="46" name="Aanpassing onbekend systeem naar Euro 6 incl. montage" dataDxfId="54">
      <calculatedColumnFormula>IF(AE6="Onbekend",$AS$4*$AM6,0)</calculatedColumnFormula>
    </tableColumn>
    <tableColumn id="48" name="Zijn er luchtaansluitingen voor het nieuwe voertuig (TS / CCFM) ?" dataDxfId="53"/>
    <tableColumn id="11" name="Aantal voertuigen met luchtaansluiting aanwezig" dataDxfId="52"/>
    <tableColumn id="49" name="Aantal voertuigen met luchtaansluiting noodzakelijk" dataDxfId="51">
      <calculatedColumnFormula>$BY6</calculatedColumnFormula>
    </tableColumn>
    <tableColumn id="12" name="Luchtaansluiting tbv werktafel" dataDxfId="50"/>
    <tableColumn id="66" name="Totaal aantal uitrukpoorten" dataDxfId="49"/>
    <tableColumn id="27" name="Totaal aantal haspels (lucht)" dataDxfId="48"/>
    <tableColumn id="52" name="Aantal luchthaspels noodzakelijk " dataDxfId="47">
      <calculatedColumnFormula>BY6</calculatedColumnFormula>
    </tableColumn>
    <tableColumn id="19" name="Aantal aansluitingen walstroom" dataDxfId="46"/>
    <tableColumn id="53" name="Aantal aansluitingen walstroom  " dataDxfId="45">
      <calculatedColumnFormula>BY6</calculatedColumnFormula>
    </tableColumn>
    <tableColumn id="96" name="Aantal luchtaansluitingen extra te maken" dataDxfId="44">
      <calculatedColumnFormula>IF(AV6-AU6&gt;0,(AV6-AU6),0)</calculatedColumnFormula>
    </tableColumn>
    <tableColumn id="97" name="Luchtaansluiting leidingwerk (max  25 m)" dataDxfId="43">
      <calculatedColumnFormula>IF(AW6="Nee",((BC6+1)*$BD$4),(BC6*$BD$4))</calculatedColumnFormula>
    </tableColumn>
    <tableColumn id="98" name="Slanghaspel(s) lucht incl. koppeling3" dataDxfId="42">
      <calculatedColumnFormula>IF(AW6="Nee",((BC6+1)*$BE$4),(BC6*$BE$4))</calculatedColumnFormula>
    </tableColumn>
    <tableColumn id="99" name="CCE stekker" dataDxfId="41">
      <calculatedColumnFormula>BB6*$BF$4</calculatedColumnFormula>
    </tableColumn>
    <tableColumn id="29" name="Aantal _x000a_2-kolomsbrug" dataDxfId="40"/>
    <tableColumn id="45" name="Aantal _x000a_4-kolomsbrug" dataDxfId="39"/>
    <tableColumn id="47" name="Aantal _x000a_Schaarhefbrug" dataDxfId="38"/>
    <tableColumn id="30" name="Aantal _x000a_brug Hydraulisch (3500 kg)" dataDxfId="37"/>
    <tableColumn id="36" name="Aantal brug Hydraulisch (32000 kg)" dataDxfId="36"/>
    <tableColumn id="100" name="Kosten reeds uitgevoerde investering brug(gen)" dataDxfId="35">
      <calculatedColumnFormula>BG6*3500+BH6*12000+BI6*7500+BJ6*6000+BK6*20000</calculatedColumnFormula>
    </tableColumn>
    <tableColumn id="16" name="TS Basis / Compact 1" dataDxfId="34"/>
    <tableColumn id="58" name="TS Basis / Compact 2" dataDxfId="33"/>
    <tableColumn id="31" name="TS Combi (4x4)" dataDxfId="32"/>
    <tableColumn id="17" name="CCFM" dataDxfId="31"/>
    <tableColumn id="59" name="Red voertuig" dataDxfId="30"/>
    <tableColumn id="60" name="Hulpverlening" dataDxfId="29"/>
    <tableColumn id="38" name="Haakarm" dataDxfId="28"/>
    <tableColumn id="39" name="Water ongevallen" dataDxfId="27"/>
    <tableColumn id="37" name="Schuim blus" dataDxfId="26"/>
    <tableColumn id="35" name="Specifiek" dataDxfId="25"/>
    <tableColumn id="33" name="MCU / LCU" dataDxfId="24"/>
    <tableColumn id="26" name="TS bedrijfs voering" dataDxfId="23"/>
    <tableColumn id="18" name="Totaal" dataDxfId="22">
      <calculatedColumnFormula>SUM(Tabel22620[[#This Row],[TS Basis / Compact 1]:[TS bedrijfs voering]])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35721" displayName="Tabel35721" ref="CJ5:DB76" totalsRowShown="0" headerRowDxfId="21" dataDxfId="20" headerRowBorderDxfId="19">
  <autoFilter ref="CJ5:DB76"/>
  <tableColumns count="19">
    <tableColumn id="3" name="Compressor beheer per jaar (onderhoud)" dataDxfId="18"/>
    <tableColumn id="4" name="Compressor beheer (storingen) PM" dataDxfId="17">
      <calculatedColumnFormula>250*0.25</calculatedColumnFormula>
    </tableColumn>
    <tableColumn id="5" name="Rookgasafvoer (puntafzuiging  TS) Aanschaf" dataDxfId="16">
      <calculatedColumnFormula>IF($AC6="Punt afzuiging",$AO$4*$BY6,0)+(AQ6+AR6+AS6)</calculatedColumnFormula>
    </tableColumn>
    <tableColumn id="6" name="Rookgasafvoer (puntafzuiging  CCFM)" dataDxfId="15">
      <calculatedColumnFormula>IF($AC6="Punt afzuiging",$AP$4*($BP6+$BO6),0)</calculatedColumnFormula>
    </tableColumn>
    <tableColumn id="7" name="Rookgasafvoer (ruimteafzuiging)" dataDxfId="14"/>
    <tableColumn id="8" name="Rookgasafvoer Afschrijving 15 jaar" dataDxfId="13">
      <calculatedColumnFormula>(CL6+CM6)/15</calculatedColumnFormula>
    </tableColumn>
    <tableColumn id="9" name="Rookgasafvoer beheer per jaar (onderhoud)" dataDxfId="12">
      <calculatedColumnFormula>99+(50*Tabel22620[[#This Row],[Aantal rookgasafvoer aangesloten]])</calculatedColumnFormula>
    </tableColumn>
    <tableColumn id="1" name="aantal gemeente" dataDxfId="11"/>
    <tableColumn id="10" name="Rookgasafvoer beheer (storingen) PM" dataDxfId="10"/>
    <tableColumn id="11" name="Lucht en elektra Aanschaf" dataDxfId="9">
      <calculatedColumnFormula>BY6*$BD$4+(BE6+BF6)</calculatedColumnFormula>
    </tableColumn>
    <tableColumn id="12" name="Lucht Afschrijving 5 jaar" dataDxfId="8">
      <calculatedColumnFormula>CS6/5</calculatedColumnFormula>
    </tableColumn>
    <tableColumn id="13" name="Lucht beheer per jaar (onderhoud)" dataDxfId="7"/>
    <tableColumn id="14" name="Lucht beheer (storingen) PM" dataDxfId="6">
      <calculatedColumnFormula>250*0.5</calculatedColumnFormula>
    </tableColumn>
    <tableColumn id="15" name="Hefbrug Aanschaf werkplaats" dataDxfId="5">
      <calculatedColumnFormula>BL6</calculatedColumnFormula>
    </tableColumn>
    <tableColumn id="16" name="Hefbrug Afschrijving 15 jaar" dataDxfId="4">
      <calculatedColumnFormula>CW6/15</calculatedColumnFormula>
    </tableColumn>
    <tableColumn id="17" name="Hefbrug beheer per jaar (onderhoud)" dataDxfId="3"/>
    <tableColumn id="18" name="Hefbrug beheer (storingen) PM" dataDxfId="2"/>
    <tableColumn id="19" name="Totaal jaarlijkse afschrijving (raming)" dataDxfId="1">
      <calculatedColumnFormula>#REF!+CO6+CT6+CX6</calculatedColumnFormula>
    </tableColumn>
    <tableColumn id="20" name="Totaal jaarlijks beheer (raming)" dataDxfId="0">
      <calculatedColumnFormula>CJ6+CK6+CP6+CR6+CU6+CV6+CY6+CZ6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85"/>
  <sheetViews>
    <sheetView tabSelected="1" workbookViewId="0">
      <selection activeCell="B5" sqref="B5"/>
    </sheetView>
  </sheetViews>
  <sheetFormatPr defaultColWidth="10.21875" defaultRowHeight="13.8" x14ac:dyDescent="0.3"/>
  <cols>
    <col min="1" max="1" width="23.21875" style="17" customWidth="1"/>
    <col min="2" max="3" width="24.21875" style="7" bestFit="1" customWidth="1"/>
    <col min="4" max="4" width="10.88671875" style="4" customWidth="1"/>
    <col min="5" max="6" width="12.21875" style="4" customWidth="1"/>
    <col min="7" max="9" width="12.109375" style="4" customWidth="1"/>
    <col min="10" max="10" width="15.21875" style="4" customWidth="1"/>
    <col min="11" max="11" width="15.6640625" style="4" customWidth="1"/>
    <col min="12" max="12" width="13.77734375" style="4" customWidth="1"/>
    <col min="13" max="13" width="12.6640625" style="4" customWidth="1"/>
    <col min="14" max="14" width="12.88671875" style="4" customWidth="1"/>
    <col min="15" max="15" width="14.109375" style="4" customWidth="1"/>
    <col min="16" max="16" width="21.33203125" style="4" customWidth="1"/>
    <col min="17" max="17" width="13.21875" style="4" customWidth="1"/>
    <col min="18" max="18" width="14.33203125" style="4" customWidth="1"/>
    <col min="19" max="19" width="16.77734375" style="4" customWidth="1"/>
    <col min="20" max="27" width="14.109375" style="4" customWidth="1"/>
    <col min="28" max="28" width="10.5546875" style="4" customWidth="1"/>
    <col min="29" max="29" width="21.88671875" style="4" customWidth="1"/>
    <col min="30" max="30" width="21.5546875" style="4" customWidth="1"/>
    <col min="31" max="32" width="15.88671875" style="4" customWidth="1"/>
    <col min="33" max="33" width="14.33203125" style="4" customWidth="1"/>
    <col min="34" max="34" width="15.109375" style="4" customWidth="1"/>
    <col min="35" max="35" width="16.44140625" style="4" customWidth="1"/>
    <col min="36" max="36" width="22.88671875" style="4" customWidth="1"/>
    <col min="37" max="37" width="23.44140625" style="4" customWidth="1"/>
    <col min="38" max="38" width="18.5546875" style="4" customWidth="1"/>
    <col min="39" max="39" width="17.77734375" style="4" customWidth="1"/>
    <col min="40" max="40" width="21.109375" style="4" customWidth="1"/>
    <col min="41" max="45" width="17.21875" style="4" customWidth="1"/>
    <col min="46" max="55" width="16.109375" style="4" customWidth="1"/>
    <col min="56" max="58" width="13.5546875" style="4" customWidth="1"/>
    <col min="59" max="63" width="13.5546875" style="4" hidden="1" customWidth="1"/>
    <col min="64" max="64" width="15.109375" style="4" hidden="1" customWidth="1"/>
    <col min="65" max="73" width="7" style="7" hidden="1" customWidth="1"/>
    <col min="74" max="74" width="7" style="8" hidden="1" customWidth="1"/>
    <col min="75" max="80" width="7" style="7" hidden="1" customWidth="1"/>
    <col min="81" max="81" width="8.109375" style="7" hidden="1" customWidth="1"/>
    <col min="82" max="82" width="7" style="7" hidden="1" customWidth="1"/>
    <col min="83" max="84" width="7" style="7" customWidth="1"/>
    <col min="85" max="85" width="8.109375" style="7" customWidth="1"/>
    <col min="86" max="86" width="7" style="7" customWidth="1"/>
    <col min="87" max="87" width="17.77734375" style="7" customWidth="1"/>
    <col min="88" max="89" width="14.88671875" style="7" customWidth="1"/>
    <col min="90" max="94" width="14.88671875" style="7" hidden="1" customWidth="1"/>
    <col min="95" max="96" width="14.88671875" style="7" customWidth="1"/>
    <col min="97" max="106" width="14.88671875" style="7" hidden="1" customWidth="1"/>
    <col min="107" max="107" width="18.6640625" style="7" hidden="1" customWidth="1"/>
    <col min="108" max="110" width="0" style="7" hidden="1" customWidth="1"/>
    <col min="111" max="111" width="1.33203125" style="7" hidden="1" customWidth="1"/>
    <col min="112" max="117" width="0" style="7" hidden="1" customWidth="1"/>
    <col min="118" max="118" width="19.6640625" style="7" hidden="1" customWidth="1"/>
    <col min="119" max="16384" width="10.21875" style="7"/>
  </cols>
  <sheetData>
    <row r="1" spans="1:118" ht="18" x14ac:dyDescent="0.3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T1" s="5" t="s">
        <v>1</v>
      </c>
      <c r="AU1" s="6"/>
      <c r="CJ1" s="1" t="s">
        <v>2</v>
      </c>
      <c r="CK1" s="9"/>
    </row>
    <row r="2" spans="1:118" ht="14.4" thickBot="1" x14ac:dyDescent="0.35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T2" s="5"/>
      <c r="AO2" s="10"/>
      <c r="AP2" s="10"/>
      <c r="AQ2" s="10"/>
      <c r="AR2" s="11"/>
      <c r="AS2" s="10"/>
      <c r="AU2" s="6"/>
      <c r="AX2" s="10"/>
      <c r="BD2" s="10"/>
      <c r="BE2" s="10"/>
      <c r="BF2" s="10"/>
      <c r="BG2" s="11"/>
      <c r="BJ2" s="10"/>
      <c r="BK2" s="10"/>
      <c r="BM2" s="12" t="s">
        <v>3</v>
      </c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3"/>
      <c r="BY2" s="15"/>
      <c r="CA2" s="7" t="s">
        <v>4</v>
      </c>
      <c r="CD2" s="13"/>
      <c r="CH2" s="13"/>
      <c r="CL2" s="16"/>
      <c r="CS2" s="16"/>
    </row>
    <row r="3" spans="1:118" ht="14.4" thickBot="1" x14ac:dyDescent="0.35">
      <c r="A3" s="17" t="s">
        <v>5</v>
      </c>
      <c r="D3" s="18" t="s">
        <v>6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20" t="s">
        <v>7</v>
      </c>
      <c r="U3" s="21"/>
      <c r="V3" s="21"/>
      <c r="W3" s="21"/>
      <c r="X3" s="21"/>
      <c r="Y3" s="21"/>
      <c r="Z3" s="21"/>
      <c r="AA3" s="22"/>
      <c r="AB3" s="23" t="s">
        <v>8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  <c r="AO3" s="20" t="s">
        <v>9</v>
      </c>
      <c r="AP3" s="21"/>
      <c r="AQ3" s="21"/>
      <c r="AR3" s="21"/>
      <c r="AS3" s="21"/>
      <c r="AT3" s="26" t="s">
        <v>10</v>
      </c>
      <c r="AU3" s="27"/>
      <c r="AV3" s="27"/>
      <c r="AW3" s="27"/>
      <c r="AX3" s="27"/>
      <c r="AY3" s="27"/>
      <c r="AZ3" s="27"/>
      <c r="BA3" s="27"/>
      <c r="BB3" s="27"/>
      <c r="BC3" s="28"/>
      <c r="BD3" s="29" t="s">
        <v>11</v>
      </c>
      <c r="BE3" s="30"/>
      <c r="BF3" s="30"/>
      <c r="BG3" s="31" t="s">
        <v>12</v>
      </c>
      <c r="BH3" s="32"/>
      <c r="BI3" s="32"/>
      <c r="BJ3" s="32"/>
      <c r="BK3" s="32"/>
      <c r="BL3" s="33" t="s">
        <v>13</v>
      </c>
      <c r="BM3" s="34" t="s">
        <v>14</v>
      </c>
      <c r="BN3" s="35"/>
      <c r="BO3" s="35"/>
      <c r="BP3" s="35"/>
      <c r="BQ3" s="35"/>
      <c r="BR3" s="35"/>
      <c r="BS3" s="35"/>
      <c r="BT3" s="35"/>
      <c r="BU3" s="35"/>
      <c r="BV3" s="36"/>
      <c r="BW3" s="35"/>
      <c r="BX3" s="35"/>
      <c r="BY3" s="37"/>
      <c r="BZ3" s="38"/>
      <c r="CA3" s="38"/>
      <c r="CB3" s="38"/>
      <c r="CC3" s="38"/>
      <c r="CD3" s="35"/>
      <c r="CE3" s="39" t="s">
        <v>15</v>
      </c>
      <c r="CF3" s="40"/>
      <c r="CG3" s="40"/>
      <c r="CH3" s="41"/>
      <c r="CJ3" s="42"/>
      <c r="CK3" s="42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4"/>
      <c r="DB3" s="43"/>
    </row>
    <row r="4" spans="1:118" ht="14.4" thickBot="1" x14ac:dyDescent="0.35">
      <c r="B4" s="45" t="s">
        <v>16</v>
      </c>
      <c r="C4" s="45"/>
      <c r="D4" s="46" t="s">
        <v>17</v>
      </c>
      <c r="E4" s="46" t="s">
        <v>17</v>
      </c>
      <c r="F4" s="47" t="s">
        <v>18</v>
      </c>
      <c r="G4" s="46" t="s">
        <v>17</v>
      </c>
      <c r="H4" s="47" t="s">
        <v>18</v>
      </c>
      <c r="I4" s="47"/>
      <c r="J4" s="46" t="s">
        <v>17</v>
      </c>
      <c r="K4" s="46" t="s">
        <v>17</v>
      </c>
      <c r="L4" s="46" t="s">
        <v>17</v>
      </c>
      <c r="M4" s="46" t="s">
        <v>17</v>
      </c>
      <c r="N4" s="46" t="s">
        <v>17</v>
      </c>
      <c r="O4" s="48" t="s">
        <v>18</v>
      </c>
      <c r="P4" s="46" t="s">
        <v>17</v>
      </c>
      <c r="Q4" s="48" t="s">
        <v>18</v>
      </c>
      <c r="R4" s="46" t="s">
        <v>17</v>
      </c>
      <c r="S4" s="48" t="s">
        <v>18</v>
      </c>
      <c r="T4" s="49" t="s">
        <v>19</v>
      </c>
      <c r="U4" s="48" t="s">
        <v>19</v>
      </c>
      <c r="V4" s="48" t="s">
        <v>19</v>
      </c>
      <c r="W4" s="48" t="s">
        <v>19</v>
      </c>
      <c r="X4" s="48" t="s">
        <v>19</v>
      </c>
      <c r="Y4" s="48" t="s">
        <v>19</v>
      </c>
      <c r="Z4" s="48" t="s">
        <v>19</v>
      </c>
      <c r="AA4" s="48" t="s">
        <v>19</v>
      </c>
      <c r="AB4" s="50" t="s">
        <v>17</v>
      </c>
      <c r="AC4" s="50" t="s">
        <v>17</v>
      </c>
      <c r="AD4" s="50" t="s">
        <v>17</v>
      </c>
      <c r="AE4" s="50"/>
      <c r="AF4" s="50"/>
      <c r="AG4" s="50" t="s">
        <v>17</v>
      </c>
      <c r="AH4" s="50"/>
      <c r="AI4" s="50" t="s">
        <v>17</v>
      </c>
      <c r="AJ4" s="50" t="s">
        <v>17</v>
      </c>
      <c r="AK4" s="48" t="s">
        <v>18</v>
      </c>
      <c r="AL4" s="48" t="s">
        <v>18</v>
      </c>
      <c r="AM4" s="48" t="s">
        <v>18</v>
      </c>
      <c r="AN4" s="48" t="s">
        <v>18</v>
      </c>
      <c r="AO4" s="51">
        <v>0</v>
      </c>
      <c r="AP4" s="51">
        <v>0</v>
      </c>
      <c r="AQ4" s="51">
        <v>0</v>
      </c>
      <c r="AR4" s="49">
        <v>0</v>
      </c>
      <c r="AS4" s="49">
        <v>0</v>
      </c>
      <c r="AT4" s="52" t="s">
        <v>17</v>
      </c>
      <c r="AU4" s="52" t="s">
        <v>17</v>
      </c>
      <c r="AV4" s="48" t="s">
        <v>18</v>
      </c>
      <c r="AW4" s="52" t="s">
        <v>17</v>
      </c>
      <c r="AX4" s="52" t="s">
        <v>17</v>
      </c>
      <c r="AY4" s="52" t="s">
        <v>17</v>
      </c>
      <c r="AZ4" s="48" t="s">
        <v>18</v>
      </c>
      <c r="BA4" s="52" t="s">
        <v>17</v>
      </c>
      <c r="BB4" s="48" t="s">
        <v>18</v>
      </c>
      <c r="BC4" s="53" t="s">
        <v>18</v>
      </c>
      <c r="BD4" s="54"/>
      <c r="BE4" s="54"/>
      <c r="BF4" s="55"/>
      <c r="BG4" s="56" t="s">
        <v>17</v>
      </c>
      <c r="BH4" s="56" t="s">
        <v>17</v>
      </c>
      <c r="BI4" s="56" t="s">
        <v>17</v>
      </c>
      <c r="BJ4" s="56" t="s">
        <v>17</v>
      </c>
      <c r="BK4" s="56"/>
      <c r="BL4" s="56"/>
      <c r="BM4" s="57" t="s">
        <v>17</v>
      </c>
      <c r="BN4" s="57" t="s">
        <v>17</v>
      </c>
      <c r="BO4" s="57" t="s">
        <v>17</v>
      </c>
      <c r="BP4" s="57" t="s">
        <v>17</v>
      </c>
      <c r="BQ4" s="57" t="s">
        <v>17</v>
      </c>
      <c r="BR4" s="57" t="s">
        <v>17</v>
      </c>
      <c r="BS4" s="57"/>
      <c r="BT4" s="57"/>
      <c r="BU4" s="57"/>
      <c r="BV4" s="58"/>
      <c r="BW4" s="57"/>
      <c r="BX4" s="57"/>
      <c r="BY4" s="57" t="s">
        <v>17</v>
      </c>
      <c r="BZ4" s="59"/>
      <c r="CA4" s="59"/>
      <c r="CB4" s="59"/>
      <c r="CC4" s="59"/>
      <c r="CD4" s="57" t="s">
        <v>17</v>
      </c>
      <c r="CE4" s="59"/>
      <c r="CF4" s="59"/>
      <c r="CG4" s="59"/>
      <c r="CH4" s="57" t="s">
        <v>20</v>
      </c>
      <c r="CJ4" s="60" t="s">
        <v>21</v>
      </c>
      <c r="CK4" s="61"/>
      <c r="CL4" s="62" t="s">
        <v>22</v>
      </c>
      <c r="CM4" s="63"/>
      <c r="CN4" s="63"/>
      <c r="CO4" s="63"/>
      <c r="CP4" s="63"/>
      <c r="CQ4" s="63"/>
      <c r="CR4" s="64"/>
      <c r="CS4" s="65" t="s">
        <v>23</v>
      </c>
      <c r="CT4" s="66"/>
      <c r="CU4" s="66"/>
      <c r="CV4" s="67"/>
      <c r="CW4" s="62" t="s">
        <v>12</v>
      </c>
      <c r="CX4" s="63"/>
      <c r="CY4" s="63"/>
      <c r="CZ4" s="64"/>
      <c r="DA4" s="68" t="s">
        <v>24</v>
      </c>
      <c r="DB4" s="69"/>
    </row>
    <row r="5" spans="1:118" s="80" customFormat="1" ht="110.4" x14ac:dyDescent="0.3">
      <c r="A5" s="70" t="s">
        <v>25</v>
      </c>
      <c r="B5" s="71" t="s">
        <v>26</v>
      </c>
      <c r="C5" s="71" t="s">
        <v>27</v>
      </c>
      <c r="D5" s="72" t="s">
        <v>28</v>
      </c>
      <c r="E5" s="72" t="s">
        <v>29</v>
      </c>
      <c r="F5" s="73" t="s">
        <v>30</v>
      </c>
      <c r="G5" s="72" t="s">
        <v>31</v>
      </c>
      <c r="H5" s="73" t="s">
        <v>32</v>
      </c>
      <c r="I5" s="73" t="s">
        <v>33</v>
      </c>
      <c r="J5" s="72" t="s">
        <v>34</v>
      </c>
      <c r="K5" s="72" t="s">
        <v>35</v>
      </c>
      <c r="L5" s="72" t="s">
        <v>36</v>
      </c>
      <c r="M5" s="72" t="s">
        <v>37</v>
      </c>
      <c r="N5" s="72" t="s">
        <v>38</v>
      </c>
      <c r="O5" s="74" t="s">
        <v>39</v>
      </c>
      <c r="P5" s="72" t="s">
        <v>40</v>
      </c>
      <c r="Q5" s="74" t="s">
        <v>41</v>
      </c>
      <c r="R5" s="72" t="s">
        <v>42</v>
      </c>
      <c r="S5" s="74" t="s">
        <v>43</v>
      </c>
      <c r="T5" s="74" t="s">
        <v>44</v>
      </c>
      <c r="U5" s="74" t="s">
        <v>45</v>
      </c>
      <c r="V5" s="74" t="s">
        <v>46</v>
      </c>
      <c r="W5" s="74" t="s">
        <v>47</v>
      </c>
      <c r="X5" s="74" t="s">
        <v>48</v>
      </c>
      <c r="Y5" s="74" t="s">
        <v>49</v>
      </c>
      <c r="Z5" s="74" t="s">
        <v>50</v>
      </c>
      <c r="AA5" s="74" t="s">
        <v>51</v>
      </c>
      <c r="AB5" s="72" t="s">
        <v>52</v>
      </c>
      <c r="AC5" s="72" t="s">
        <v>53</v>
      </c>
      <c r="AD5" s="72" t="s">
        <v>54</v>
      </c>
      <c r="AE5" s="72" t="s">
        <v>55</v>
      </c>
      <c r="AF5" s="72" t="s">
        <v>56</v>
      </c>
      <c r="AG5" s="72" t="s">
        <v>57</v>
      </c>
      <c r="AH5" s="72" t="s">
        <v>58</v>
      </c>
      <c r="AI5" s="72" t="s">
        <v>59</v>
      </c>
      <c r="AJ5" s="72" t="s">
        <v>60</v>
      </c>
      <c r="AK5" s="75" t="s">
        <v>61</v>
      </c>
      <c r="AL5" s="75" t="s">
        <v>62</v>
      </c>
      <c r="AM5" s="74" t="s">
        <v>63</v>
      </c>
      <c r="AN5" s="74" t="s">
        <v>64</v>
      </c>
      <c r="AO5" s="74" t="s">
        <v>65</v>
      </c>
      <c r="AP5" s="74" t="s">
        <v>66</v>
      </c>
      <c r="AQ5" s="74" t="s">
        <v>67</v>
      </c>
      <c r="AR5" s="74" t="s">
        <v>68</v>
      </c>
      <c r="AS5" s="74" t="s">
        <v>69</v>
      </c>
      <c r="AT5" s="72" t="s">
        <v>70</v>
      </c>
      <c r="AU5" s="72" t="s">
        <v>71</v>
      </c>
      <c r="AV5" s="74" t="s">
        <v>72</v>
      </c>
      <c r="AW5" s="72" t="s">
        <v>73</v>
      </c>
      <c r="AX5" s="72" t="s">
        <v>74</v>
      </c>
      <c r="AY5" s="72" t="s">
        <v>75</v>
      </c>
      <c r="AZ5" s="74" t="s">
        <v>76</v>
      </c>
      <c r="BA5" s="72" t="s">
        <v>77</v>
      </c>
      <c r="BB5" s="74" t="s">
        <v>78</v>
      </c>
      <c r="BC5" s="74" t="s">
        <v>79</v>
      </c>
      <c r="BD5" s="74" t="s">
        <v>80</v>
      </c>
      <c r="BE5" s="74" t="s">
        <v>81</v>
      </c>
      <c r="BF5" s="74" t="s">
        <v>82</v>
      </c>
      <c r="BG5" s="72" t="s">
        <v>83</v>
      </c>
      <c r="BH5" s="72" t="s">
        <v>84</v>
      </c>
      <c r="BI5" s="72" t="s">
        <v>85</v>
      </c>
      <c r="BJ5" s="72" t="s">
        <v>86</v>
      </c>
      <c r="BK5" s="72" t="s">
        <v>87</v>
      </c>
      <c r="BL5" s="74" t="s">
        <v>88</v>
      </c>
      <c r="BM5" s="72" t="s">
        <v>89</v>
      </c>
      <c r="BN5" s="72" t="s">
        <v>90</v>
      </c>
      <c r="BO5" s="72" t="s">
        <v>91</v>
      </c>
      <c r="BP5" s="72" t="s">
        <v>92</v>
      </c>
      <c r="BQ5" s="72" t="s">
        <v>93</v>
      </c>
      <c r="BR5" s="72" t="s">
        <v>94</v>
      </c>
      <c r="BS5" s="72" t="s">
        <v>95</v>
      </c>
      <c r="BT5" s="72" t="s">
        <v>96</v>
      </c>
      <c r="BU5" s="72" t="s">
        <v>97</v>
      </c>
      <c r="BV5" s="76" t="s">
        <v>98</v>
      </c>
      <c r="BW5" s="72" t="s">
        <v>99</v>
      </c>
      <c r="BX5" s="72" t="s">
        <v>100</v>
      </c>
      <c r="BY5" s="77" t="s">
        <v>101</v>
      </c>
      <c r="BZ5" s="78"/>
      <c r="CA5" s="79" t="s">
        <v>102</v>
      </c>
      <c r="CB5" s="79" t="s">
        <v>103</v>
      </c>
      <c r="CC5" s="79" t="s">
        <v>92</v>
      </c>
      <c r="CD5" s="72" t="s">
        <v>93</v>
      </c>
      <c r="CE5" s="79" t="s">
        <v>102</v>
      </c>
      <c r="CF5" s="79" t="s">
        <v>103</v>
      </c>
      <c r="CG5" s="79" t="s">
        <v>92</v>
      </c>
      <c r="CH5" s="72" t="s">
        <v>93</v>
      </c>
      <c r="CJ5" s="81" t="s">
        <v>104</v>
      </c>
      <c r="CK5" s="81" t="s">
        <v>105</v>
      </c>
      <c r="CL5" s="82" t="s">
        <v>106</v>
      </c>
      <c r="CM5" s="83" t="s">
        <v>107</v>
      </c>
      <c r="CN5" s="83" t="s">
        <v>108</v>
      </c>
      <c r="CO5" s="83" t="s">
        <v>109</v>
      </c>
      <c r="CP5" s="83" t="s">
        <v>110</v>
      </c>
      <c r="CQ5" s="83" t="s">
        <v>111</v>
      </c>
      <c r="CR5" s="83" t="s">
        <v>112</v>
      </c>
      <c r="CS5" s="84" t="s">
        <v>113</v>
      </c>
      <c r="CT5" s="84" t="s">
        <v>114</v>
      </c>
      <c r="CU5" s="84" t="s">
        <v>115</v>
      </c>
      <c r="CV5" s="84" t="s">
        <v>116</v>
      </c>
      <c r="CW5" s="83" t="s">
        <v>117</v>
      </c>
      <c r="CX5" s="83" t="s">
        <v>118</v>
      </c>
      <c r="CY5" s="83" t="s">
        <v>119</v>
      </c>
      <c r="CZ5" s="83" t="s">
        <v>120</v>
      </c>
      <c r="DA5" s="72" t="s">
        <v>121</v>
      </c>
      <c r="DB5" s="72" t="s">
        <v>122</v>
      </c>
      <c r="DD5" s="85" t="s">
        <v>123</v>
      </c>
      <c r="DE5" s="85" t="s">
        <v>124</v>
      </c>
      <c r="DF5" s="86" t="s">
        <v>125</v>
      </c>
      <c r="DG5" s="85"/>
      <c r="DH5" s="85" t="s">
        <v>126</v>
      </c>
      <c r="DI5" s="85" t="s">
        <v>127</v>
      </c>
      <c r="DJ5" s="86" t="s">
        <v>128</v>
      </c>
      <c r="DK5" s="87" t="s">
        <v>101</v>
      </c>
      <c r="DL5" s="88"/>
    </row>
    <row r="6" spans="1:118" s="100" customFormat="1" ht="15" customHeight="1" x14ac:dyDescent="0.3">
      <c r="A6" s="89" t="s">
        <v>129</v>
      </c>
      <c r="B6" s="90" t="s">
        <v>130</v>
      </c>
      <c r="C6" s="90" t="s">
        <v>131</v>
      </c>
      <c r="D6" s="91" t="s">
        <v>131</v>
      </c>
      <c r="E6" s="92" t="s">
        <v>132</v>
      </c>
      <c r="F6" s="92" t="s">
        <v>133</v>
      </c>
      <c r="G6" s="92">
        <v>13</v>
      </c>
      <c r="H6" s="92">
        <v>14</v>
      </c>
      <c r="I6" s="91">
        <v>0</v>
      </c>
      <c r="J6" s="91" t="s">
        <v>134</v>
      </c>
      <c r="K6" s="91" t="s">
        <v>135</v>
      </c>
      <c r="L6" s="93">
        <v>2019</v>
      </c>
      <c r="M6" s="91" t="s">
        <v>136</v>
      </c>
      <c r="N6" s="91" t="s">
        <v>133</v>
      </c>
      <c r="O6" s="92" t="s">
        <v>133</v>
      </c>
      <c r="P6" s="92"/>
      <c r="Q6" s="92">
        <f t="shared" ref="Q6:Q69" si="0">IF(H6=14,(BY6-1),1)</f>
        <v>9</v>
      </c>
      <c r="R6" s="92" t="s">
        <v>133</v>
      </c>
      <c r="S6" s="92" t="s">
        <v>133</v>
      </c>
      <c r="T6" s="92">
        <f t="shared" ref="T6:T13" si="1">IF(AND($G6&lt;$H6,$H6&lt;11),$T$4,0)</f>
        <v>0</v>
      </c>
      <c r="U6" s="92">
        <v>1</v>
      </c>
      <c r="V6" s="92">
        <f t="shared" ref="V6:V66" si="2">IF(AND($N6="Nee",$O6="ja"),$V$4,0)</f>
        <v>0</v>
      </c>
      <c r="W6" s="92">
        <v>9</v>
      </c>
      <c r="X6" s="92">
        <f t="shared" ref="X6:X69" si="3">IF(OR(T6&gt;0,U6&gt;6),$X$4,0)</f>
        <v>0</v>
      </c>
      <c r="Y6" s="92">
        <f t="shared" ref="Y6:Y63" si="4">IF(AND($R6="Nee",$S6="ja"),$Y$4,0)</f>
        <v>0</v>
      </c>
      <c r="Z6" s="92">
        <f t="shared" ref="Z6:Z63" si="5">IF($Y6&gt;0,$Z$4,0)</f>
        <v>0</v>
      </c>
      <c r="AA6" s="92">
        <f t="shared" ref="AA6:AA63" si="6">IF($Y6&gt;0,$AA$4,0)</f>
        <v>0</v>
      </c>
      <c r="AB6" s="92" t="s">
        <v>131</v>
      </c>
      <c r="AC6" s="92" t="s">
        <v>137</v>
      </c>
      <c r="AD6" s="92" t="s">
        <v>138</v>
      </c>
      <c r="AE6" s="92" t="s">
        <v>138</v>
      </c>
      <c r="AF6" s="94">
        <v>2</v>
      </c>
      <c r="AG6" s="91" t="s">
        <v>135</v>
      </c>
      <c r="AH6" s="92">
        <v>0</v>
      </c>
      <c r="AI6" s="92" t="s">
        <v>139</v>
      </c>
      <c r="AJ6" s="92" t="s">
        <v>139</v>
      </c>
      <c r="AK6" s="95" t="s">
        <v>139</v>
      </c>
      <c r="AL6" s="95"/>
      <c r="AM6" s="92">
        <v>0</v>
      </c>
      <c r="AN6" s="92">
        <f t="shared" ref="AN6:AN69" si="7">IF($AI6="Nee",1,0)</f>
        <v>0</v>
      </c>
      <c r="AO6" s="92">
        <f>IF(AB6="Nee",Tabel22620[[#This Row],[Aantal tracés verwacht na (ver)nieuwbouw]]*$AO$4,0)</f>
        <v>0</v>
      </c>
      <c r="AP6" s="92">
        <f t="shared" ref="AP6:AP69" si="8">IF(AI6="Nee",$AP$4*$AN6,0)</f>
        <v>0</v>
      </c>
      <c r="AQ6" s="92">
        <f t="shared" ref="AQ6:AQ69" si="9">IF(AE6="Overlander",$AQ$4*$AM6,0)</f>
        <v>0</v>
      </c>
      <c r="AR6" s="92">
        <f t="shared" ref="AR6:AR69" si="10">IF(AE6="Nedermann",$AR$4*$AM6,0)</f>
        <v>0</v>
      </c>
      <c r="AS6" s="92">
        <f t="shared" ref="AS6:AS67" si="11">IF(AE6="Onbekend",$AS$4*$AM6,0)</f>
        <v>0</v>
      </c>
      <c r="AT6" s="92" t="s">
        <v>131</v>
      </c>
      <c r="AU6" s="91">
        <v>9</v>
      </c>
      <c r="AV6" s="91">
        <f t="shared" ref="AV6:AV69" si="12">$BY6</f>
        <v>10</v>
      </c>
      <c r="AW6" s="91" t="s">
        <v>133</v>
      </c>
      <c r="AX6" s="92">
        <v>1</v>
      </c>
      <c r="AY6" s="92"/>
      <c r="AZ6" s="92">
        <f t="shared" ref="AZ6:AZ69" si="13">BY6</f>
        <v>10</v>
      </c>
      <c r="BA6" s="92"/>
      <c r="BB6" s="92">
        <f t="shared" ref="BB6:BB69" si="14">BY6</f>
        <v>10</v>
      </c>
      <c r="BC6" s="92">
        <f t="shared" ref="BC6:BC69" si="15">IF(AV6-AU6&gt;0,(AV6-AU6),0)</f>
        <v>1</v>
      </c>
      <c r="BD6" s="92">
        <v>1</v>
      </c>
      <c r="BE6" s="92">
        <v>1</v>
      </c>
      <c r="BF6" s="92">
        <v>10</v>
      </c>
      <c r="BG6" s="91">
        <v>1</v>
      </c>
      <c r="BH6" s="91">
        <v>1</v>
      </c>
      <c r="BI6" s="91"/>
      <c r="BJ6" s="91"/>
      <c r="BK6" s="91"/>
      <c r="BL6" s="96">
        <f t="shared" ref="BL6:BL69" si="16">BG6*3500+BH6*12000+BI6*7500+BJ6*6000+BK6*20000</f>
        <v>15500</v>
      </c>
      <c r="BM6" s="91">
        <v>1</v>
      </c>
      <c r="BN6" s="91">
        <v>3</v>
      </c>
      <c r="BO6" s="91"/>
      <c r="BP6" s="91">
        <v>1</v>
      </c>
      <c r="BQ6" s="91">
        <v>1</v>
      </c>
      <c r="BR6" s="91">
        <v>1</v>
      </c>
      <c r="BS6" s="91">
        <v>1</v>
      </c>
      <c r="BT6" s="91">
        <v>1</v>
      </c>
      <c r="BU6" s="91"/>
      <c r="BV6" s="97">
        <v>1</v>
      </c>
      <c r="BW6" s="91"/>
      <c r="BX6" s="91"/>
      <c r="BY6" s="98">
        <f>SUM(Tabel22620[[#This Row],[TS Basis / Compact 1]:[TS bedrijfs voering]])</f>
        <v>10</v>
      </c>
      <c r="BZ6" s="99"/>
      <c r="CA6" s="91"/>
      <c r="CB6" s="91">
        <v>1</v>
      </c>
      <c r="CC6" s="91">
        <v>1</v>
      </c>
      <c r="CD6" s="91">
        <v>1</v>
      </c>
      <c r="CE6" s="91"/>
      <c r="CF6" s="91">
        <v>1</v>
      </c>
      <c r="CG6" s="91">
        <v>1</v>
      </c>
      <c r="CH6" s="91">
        <v>1</v>
      </c>
      <c r="CJ6" s="101">
        <v>1</v>
      </c>
      <c r="CK6" s="102">
        <v>1</v>
      </c>
      <c r="CL6" s="102">
        <f t="shared" ref="CL6:CL69" si="17">IF($AC6="Punt afzuiging",$AO$4*$BY6,0)+(AQ6+AR6+AS6)</f>
        <v>0</v>
      </c>
      <c r="CM6" s="102">
        <f t="shared" ref="CM6:CM69" si="18">IF($AC6="Punt afzuiging",$AP$4*($BP6+$BO6),0)</f>
        <v>0</v>
      </c>
      <c r="CN6" s="102"/>
      <c r="CO6" s="102">
        <f t="shared" ref="CO6:CO69" si="19">(CL6+CM6)/15</f>
        <v>0</v>
      </c>
      <c r="CP6" s="102">
        <f>99+(50*Tabel22620[[#This Row],[Aantal rookgasafvoer aangesloten]])</f>
        <v>99</v>
      </c>
      <c r="CQ6" s="102">
        <v>1</v>
      </c>
      <c r="CR6" s="102">
        <v>1</v>
      </c>
      <c r="CS6" s="103">
        <f t="shared" ref="CS6:CS69" si="20">BY6*$BD$4+(BE6+BF6)</f>
        <v>11</v>
      </c>
      <c r="CT6" s="103">
        <f>CS6/5</f>
        <v>2.2000000000000002</v>
      </c>
      <c r="CU6" s="103">
        <v>0</v>
      </c>
      <c r="CV6" s="103">
        <f t="shared" ref="CV6:CV69" si="21">250*0.5</f>
        <v>125</v>
      </c>
      <c r="CW6" s="103">
        <f t="shared" ref="CW6:CW69" si="22">BL6</f>
        <v>15500</v>
      </c>
      <c r="CX6" s="103">
        <f>CW6/15</f>
        <v>1033.3333333333333</v>
      </c>
      <c r="CY6" s="103">
        <f>2*250</f>
        <v>500</v>
      </c>
      <c r="CZ6" s="103">
        <f>2*500</f>
        <v>1000</v>
      </c>
      <c r="DA6" s="103" t="e">
        <f>#REF!+CO6+CT6+CX6</f>
        <v>#REF!</v>
      </c>
      <c r="DB6" s="103">
        <f t="shared" ref="DB6:DB34" si="23">CJ6+CK6+CP6+CR6+CU6+CV6+CY6+CZ6</f>
        <v>1727</v>
      </c>
      <c r="DD6" s="104">
        <f>Tabel35721[[#This Row],[Rookgasafvoer Afschrijving 15 jaar]]</f>
        <v>0</v>
      </c>
      <c r="DE6" s="104">
        <f>Tabel35721[[#This Row],[Rookgasafvoer beheer per jaar (onderhoud)]]+Tabel35721[[#This Row],[Rookgasafvoer beheer (storingen) PM]]</f>
        <v>100</v>
      </c>
      <c r="DF6" s="104">
        <f>DD6+DE6</f>
        <v>100</v>
      </c>
      <c r="DG6" s="104"/>
      <c r="DH6" s="104" t="e">
        <f>#REF!+Tabel35721[[#This Row],[Lucht Afschrijving 5 jaar]]</f>
        <v>#REF!</v>
      </c>
      <c r="DI6" s="104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6" s="104" t="e">
        <f>DH6+DI6</f>
        <v>#REF!</v>
      </c>
      <c r="DK6" s="104" t="e">
        <f>DF6+DJ6</f>
        <v>#REF!</v>
      </c>
      <c r="DL6" s="105"/>
    </row>
    <row r="7" spans="1:118" s="122" customFormat="1" ht="12.75" customHeight="1" x14ac:dyDescent="0.3">
      <c r="A7" s="106" t="s">
        <v>129</v>
      </c>
      <c r="B7" s="107" t="s">
        <v>140</v>
      </c>
      <c r="C7" s="107" t="s">
        <v>131</v>
      </c>
      <c r="D7" s="108" t="s">
        <v>133</v>
      </c>
      <c r="E7" s="109" t="s">
        <v>141</v>
      </c>
      <c r="F7" s="110" t="s">
        <v>133</v>
      </c>
      <c r="G7" s="111">
        <v>14.5</v>
      </c>
      <c r="H7" s="112">
        <v>10</v>
      </c>
      <c r="I7" s="112"/>
      <c r="J7" s="108"/>
      <c r="K7" s="108" t="s">
        <v>131</v>
      </c>
      <c r="L7" s="113"/>
      <c r="M7" s="108" t="s">
        <v>136</v>
      </c>
      <c r="N7" s="108" t="s">
        <v>131</v>
      </c>
      <c r="O7" s="112" t="s">
        <v>133</v>
      </c>
      <c r="P7" s="111"/>
      <c r="Q7" s="112">
        <f t="shared" si="0"/>
        <v>1</v>
      </c>
      <c r="R7" s="108" t="s">
        <v>131</v>
      </c>
      <c r="S7" s="112" t="s">
        <v>133</v>
      </c>
      <c r="T7" s="109">
        <f t="shared" si="1"/>
        <v>0</v>
      </c>
      <c r="U7" s="109">
        <f>IF(AND($G7&lt;$H7,$H7&gt;13),$U$4,0)</f>
        <v>0</v>
      </c>
      <c r="V7" s="109">
        <f t="shared" si="2"/>
        <v>0</v>
      </c>
      <c r="W7" s="109">
        <v>1</v>
      </c>
      <c r="X7" s="109">
        <f t="shared" si="3"/>
        <v>0</v>
      </c>
      <c r="Y7" s="109">
        <f t="shared" si="4"/>
        <v>0</v>
      </c>
      <c r="Z7" s="109">
        <f t="shared" si="5"/>
        <v>0</v>
      </c>
      <c r="AA7" s="109">
        <f t="shared" si="6"/>
        <v>0</v>
      </c>
      <c r="AB7" s="109" t="s">
        <v>131</v>
      </c>
      <c r="AC7" s="109" t="s">
        <v>137</v>
      </c>
      <c r="AD7" s="109" t="s">
        <v>138</v>
      </c>
      <c r="AE7" s="109" t="s">
        <v>138</v>
      </c>
      <c r="AF7" s="94">
        <v>1</v>
      </c>
      <c r="AG7" s="108" t="s">
        <v>135</v>
      </c>
      <c r="AH7" s="109">
        <v>1</v>
      </c>
      <c r="AI7" s="109" t="s">
        <v>139</v>
      </c>
      <c r="AJ7" s="109" t="s">
        <v>139</v>
      </c>
      <c r="AK7" s="114"/>
      <c r="AL7" s="114"/>
      <c r="AM7" s="112">
        <f>BM7</f>
        <v>1</v>
      </c>
      <c r="AN7" s="112">
        <f t="shared" si="7"/>
        <v>0</v>
      </c>
      <c r="AO7" s="109">
        <f>IF(AB7="Nee",Tabel22620[[#This Row],[Aantal tracés verwacht na (ver)nieuwbouw]]*$AO$4,0)</f>
        <v>0</v>
      </c>
      <c r="AP7" s="109">
        <f t="shared" si="8"/>
        <v>0</v>
      </c>
      <c r="AQ7" s="109">
        <f t="shared" si="9"/>
        <v>0</v>
      </c>
      <c r="AR7" s="109">
        <f t="shared" si="10"/>
        <v>0</v>
      </c>
      <c r="AS7" s="109">
        <v>1</v>
      </c>
      <c r="AT7" s="109" t="s">
        <v>131</v>
      </c>
      <c r="AU7" s="108">
        <v>1</v>
      </c>
      <c r="AV7" s="115">
        <f t="shared" si="12"/>
        <v>1</v>
      </c>
      <c r="AW7" s="108" t="s">
        <v>133</v>
      </c>
      <c r="AX7" s="109">
        <v>3</v>
      </c>
      <c r="AY7" s="109"/>
      <c r="AZ7" s="112">
        <f t="shared" si="13"/>
        <v>1</v>
      </c>
      <c r="BA7" s="109"/>
      <c r="BB7" s="112">
        <f t="shared" si="14"/>
        <v>1</v>
      </c>
      <c r="BC7" s="112">
        <f t="shared" si="15"/>
        <v>0</v>
      </c>
      <c r="BD7" s="109">
        <f t="shared" ref="BD7:BD66" si="24">IF(AW7="Nee",((BC7+1)*$BD$4),(BC7*$BD$4))</f>
        <v>0</v>
      </c>
      <c r="BE7" s="109">
        <f t="shared" ref="BE7:BE66" si="25">IF(AW7="Nee",((BC7+1)*$BE$4),(BC7*$BE$4))</f>
        <v>0</v>
      </c>
      <c r="BF7" s="109">
        <v>1</v>
      </c>
      <c r="BG7" s="108"/>
      <c r="BH7" s="109"/>
      <c r="BI7" s="109"/>
      <c r="BJ7" s="109"/>
      <c r="BK7" s="109"/>
      <c r="BL7" s="116">
        <f t="shared" si="16"/>
        <v>0</v>
      </c>
      <c r="BM7" s="117">
        <v>1</v>
      </c>
      <c r="BN7" s="117"/>
      <c r="BO7" s="117"/>
      <c r="BP7" s="117"/>
      <c r="BQ7" s="117"/>
      <c r="BR7" s="117"/>
      <c r="BS7" s="117"/>
      <c r="BT7" s="117"/>
      <c r="BU7" s="117"/>
      <c r="BV7" s="118"/>
      <c r="BW7" s="117"/>
      <c r="BX7" s="117"/>
      <c r="BY7" s="119">
        <f>SUM(Tabel22620[[#This Row],[TS Basis / Compact 1]:[TS bedrijfs voering]])</f>
        <v>1</v>
      </c>
      <c r="BZ7" s="120"/>
      <c r="CA7" s="91">
        <v>1</v>
      </c>
      <c r="CB7" s="91"/>
      <c r="CC7" s="91"/>
      <c r="CD7" s="117"/>
      <c r="CE7" s="121">
        <v>1</v>
      </c>
      <c r="CF7" s="121"/>
      <c r="CG7" s="121"/>
      <c r="CH7" s="117"/>
      <c r="CJ7" s="123">
        <v>1</v>
      </c>
      <c r="CK7" s="124">
        <v>1</v>
      </c>
      <c r="CL7" s="124">
        <f t="shared" si="17"/>
        <v>1</v>
      </c>
      <c r="CM7" s="124">
        <f t="shared" si="18"/>
        <v>0</v>
      </c>
      <c r="CN7" s="124"/>
      <c r="CO7" s="124">
        <f t="shared" si="19"/>
        <v>6.6666666666666666E-2</v>
      </c>
      <c r="CP7" s="124">
        <f>99+(50*Tabel22620[[#This Row],[Aantal rookgasafvoer aangesloten]])</f>
        <v>149</v>
      </c>
      <c r="CQ7" s="124">
        <v>2</v>
      </c>
      <c r="CR7" s="124">
        <v>1</v>
      </c>
      <c r="CS7" s="125">
        <f t="shared" si="20"/>
        <v>1</v>
      </c>
      <c r="CT7" s="125">
        <f t="shared" ref="CT7:CT70" si="26">CS7/5</f>
        <v>0.2</v>
      </c>
      <c r="CU7" s="125">
        <v>0</v>
      </c>
      <c r="CV7" s="125">
        <f t="shared" si="21"/>
        <v>125</v>
      </c>
      <c r="CW7" s="125">
        <f t="shared" si="22"/>
        <v>0</v>
      </c>
      <c r="CX7" s="125">
        <f t="shared" ref="CX7:CX70" si="27">CW7/15</f>
        <v>0</v>
      </c>
      <c r="CY7" s="125"/>
      <c r="CZ7" s="125"/>
      <c r="DA7" s="125" t="e">
        <f>#REF!+CO7+CT7+CX7</f>
        <v>#REF!</v>
      </c>
      <c r="DB7" s="125">
        <f t="shared" si="23"/>
        <v>277</v>
      </c>
      <c r="DD7" s="104">
        <f>Tabel35721[[#This Row],[Rookgasafvoer Afschrijving 15 jaar]]</f>
        <v>6.6666666666666666E-2</v>
      </c>
      <c r="DE7" s="104">
        <f>Tabel35721[[#This Row],[Rookgasafvoer beheer per jaar (onderhoud)]]+Tabel35721[[#This Row],[Rookgasafvoer beheer (storingen) PM]]</f>
        <v>150</v>
      </c>
      <c r="DF7" s="126">
        <f t="shared" ref="DF7:DF70" si="28">DD7+DE7</f>
        <v>150.06666666666666</v>
      </c>
      <c r="DG7" s="127"/>
      <c r="DH7" s="127" t="e">
        <f>#REF!+Tabel35721[[#This Row],[Lucht Afschrijving 5 jaar]]</f>
        <v>#REF!</v>
      </c>
      <c r="DI7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" s="126" t="e">
        <f t="shared" ref="DJ7:DJ70" si="29">DH7+DI7</f>
        <v>#REF!</v>
      </c>
      <c r="DK7" s="128" t="e">
        <f t="shared" ref="DK7:DK70" si="30">DF7+DJ7</f>
        <v>#REF!</v>
      </c>
      <c r="DL7" s="129"/>
      <c r="DM7" s="130" t="e">
        <f>SUM(DK6:DK7)</f>
        <v>#REF!</v>
      </c>
      <c r="DN7" s="131" t="s">
        <v>129</v>
      </c>
    </row>
    <row r="8" spans="1:118" s="100" customFormat="1" ht="12.75" customHeight="1" x14ac:dyDescent="0.3">
      <c r="A8" s="89" t="s">
        <v>142</v>
      </c>
      <c r="B8" s="90" t="s">
        <v>142</v>
      </c>
      <c r="C8" s="90" t="s">
        <v>143</v>
      </c>
      <c r="D8" s="91" t="s">
        <v>133</v>
      </c>
      <c r="E8" s="92" t="s">
        <v>132</v>
      </c>
      <c r="F8" s="92" t="s">
        <v>133</v>
      </c>
      <c r="G8" s="92"/>
      <c r="H8" s="92">
        <v>14</v>
      </c>
      <c r="I8" s="91">
        <v>1</v>
      </c>
      <c r="J8" s="91" t="s">
        <v>144</v>
      </c>
      <c r="K8" s="91" t="s">
        <v>145</v>
      </c>
      <c r="L8" s="93"/>
      <c r="M8" s="91" t="s">
        <v>136</v>
      </c>
      <c r="N8" s="91" t="s">
        <v>131</v>
      </c>
      <c r="O8" s="92" t="s">
        <v>133</v>
      </c>
      <c r="P8" s="92">
        <v>2</v>
      </c>
      <c r="Q8" s="92">
        <f t="shared" si="0"/>
        <v>2</v>
      </c>
      <c r="R8" s="91" t="s">
        <v>131</v>
      </c>
      <c r="S8" s="92" t="s">
        <v>133</v>
      </c>
      <c r="T8" s="92">
        <f t="shared" si="1"/>
        <v>0</v>
      </c>
      <c r="U8" s="92">
        <v>1</v>
      </c>
      <c r="V8" s="92">
        <f t="shared" si="2"/>
        <v>0</v>
      </c>
      <c r="W8" s="92">
        <f t="shared" ref="W8:W67" si="31">IF($P8&lt;$Q8,$Q8*$W$4,0)</f>
        <v>0</v>
      </c>
      <c r="X8" s="92">
        <f t="shared" si="3"/>
        <v>0</v>
      </c>
      <c r="Y8" s="92">
        <f t="shared" si="4"/>
        <v>0</v>
      </c>
      <c r="Z8" s="92">
        <f t="shared" si="5"/>
        <v>0</v>
      </c>
      <c r="AA8" s="92">
        <f t="shared" si="6"/>
        <v>0</v>
      </c>
      <c r="AB8" s="92" t="s">
        <v>131</v>
      </c>
      <c r="AC8" s="92" t="s">
        <v>146</v>
      </c>
      <c r="AD8" s="92" t="s">
        <v>147</v>
      </c>
      <c r="AE8" s="92" t="s">
        <v>148</v>
      </c>
      <c r="AF8" s="94">
        <v>2</v>
      </c>
      <c r="AG8" s="92" t="s">
        <v>135</v>
      </c>
      <c r="AH8" s="92">
        <v>5</v>
      </c>
      <c r="AI8" s="92" t="s">
        <v>135</v>
      </c>
      <c r="AJ8" s="92" t="s">
        <v>149</v>
      </c>
      <c r="AK8" s="95" t="s">
        <v>149</v>
      </c>
      <c r="AL8" s="95"/>
      <c r="AM8" s="92">
        <f>BM8</f>
        <v>1</v>
      </c>
      <c r="AN8" s="92">
        <f t="shared" si="7"/>
        <v>1</v>
      </c>
      <c r="AO8" s="92">
        <f>IF(AB8="Nee",Tabel22620[[#This Row],[Aantal tracés verwacht na (ver)nieuwbouw]]*$AO$4,0)</f>
        <v>0</v>
      </c>
      <c r="AP8" s="92">
        <v>1</v>
      </c>
      <c r="AQ8" s="92">
        <f t="shared" si="9"/>
        <v>0</v>
      </c>
      <c r="AR8" s="92">
        <v>1</v>
      </c>
      <c r="AS8" s="92">
        <f t="shared" si="11"/>
        <v>0</v>
      </c>
      <c r="AT8" s="92" t="s">
        <v>131</v>
      </c>
      <c r="AU8" s="91">
        <v>3</v>
      </c>
      <c r="AV8" s="91">
        <f t="shared" si="12"/>
        <v>3</v>
      </c>
      <c r="AW8" s="91" t="s">
        <v>133</v>
      </c>
      <c r="AX8" s="92">
        <v>5</v>
      </c>
      <c r="AY8" s="92"/>
      <c r="AZ8" s="92">
        <f t="shared" si="13"/>
        <v>3</v>
      </c>
      <c r="BA8" s="92"/>
      <c r="BB8" s="92">
        <f t="shared" si="14"/>
        <v>3</v>
      </c>
      <c r="BC8" s="92">
        <f t="shared" si="15"/>
        <v>0</v>
      </c>
      <c r="BD8" s="92">
        <f t="shared" si="24"/>
        <v>0</v>
      </c>
      <c r="BE8" s="92">
        <f t="shared" si="25"/>
        <v>0</v>
      </c>
      <c r="BF8" s="92">
        <v>3</v>
      </c>
      <c r="BG8" s="91"/>
      <c r="BH8" s="92"/>
      <c r="BI8" s="92"/>
      <c r="BJ8" s="92"/>
      <c r="BK8" s="92"/>
      <c r="BL8" s="96">
        <f t="shared" si="16"/>
        <v>0</v>
      </c>
      <c r="BM8" s="91">
        <v>1</v>
      </c>
      <c r="BN8" s="91"/>
      <c r="BO8" s="91"/>
      <c r="BP8" s="91">
        <v>1</v>
      </c>
      <c r="BQ8" s="91"/>
      <c r="BR8" s="91">
        <v>1</v>
      </c>
      <c r="BS8" s="91"/>
      <c r="BT8" s="91"/>
      <c r="BU8" s="91"/>
      <c r="BV8" s="97"/>
      <c r="BW8" s="91"/>
      <c r="BX8" s="91"/>
      <c r="BY8" s="98">
        <f>SUM(Tabel22620[[#This Row],[TS Basis / Compact 1]:[TS bedrijfs voering]])</f>
        <v>3</v>
      </c>
      <c r="BZ8" s="99"/>
      <c r="CA8" s="91">
        <v>1</v>
      </c>
      <c r="CB8" s="91"/>
      <c r="CC8" s="91"/>
      <c r="CD8" s="91"/>
      <c r="CE8" s="91"/>
      <c r="CF8" s="91">
        <v>1</v>
      </c>
      <c r="CG8" s="91">
        <v>1</v>
      </c>
      <c r="CH8" s="91"/>
      <c r="CJ8" s="101">
        <v>1</v>
      </c>
      <c r="CK8" s="102"/>
      <c r="CL8" s="102">
        <f t="shared" si="17"/>
        <v>1</v>
      </c>
      <c r="CM8" s="102">
        <f t="shared" si="18"/>
        <v>0</v>
      </c>
      <c r="CN8" s="102"/>
      <c r="CO8" s="102">
        <f t="shared" si="19"/>
        <v>6.6666666666666666E-2</v>
      </c>
      <c r="CP8" s="102">
        <f>99+(50*Tabel22620[[#This Row],[Aantal rookgasafvoer aangesloten]])</f>
        <v>349</v>
      </c>
      <c r="CQ8" s="102"/>
      <c r="CR8" s="102"/>
      <c r="CS8" s="103">
        <f t="shared" si="20"/>
        <v>3</v>
      </c>
      <c r="CT8" s="103">
        <f t="shared" si="26"/>
        <v>0.6</v>
      </c>
      <c r="CU8" s="103">
        <v>0</v>
      </c>
      <c r="CV8" s="103">
        <f t="shared" si="21"/>
        <v>125</v>
      </c>
      <c r="CW8" s="103">
        <f t="shared" si="22"/>
        <v>0</v>
      </c>
      <c r="CX8" s="103">
        <f t="shared" si="27"/>
        <v>0</v>
      </c>
      <c r="CY8" s="103"/>
      <c r="CZ8" s="103"/>
      <c r="DA8" s="103" t="e">
        <f>#REF!+CO8+CT8+CX8</f>
        <v>#REF!</v>
      </c>
      <c r="DB8" s="103">
        <f t="shared" si="23"/>
        <v>475</v>
      </c>
      <c r="DD8" s="104">
        <f>Tabel35721[[#This Row],[Rookgasafvoer Afschrijving 15 jaar]]</f>
        <v>6.6666666666666666E-2</v>
      </c>
      <c r="DE8" s="104">
        <f>Tabel35721[[#This Row],[Rookgasafvoer beheer per jaar (onderhoud)]]+Tabel35721[[#This Row],[Rookgasafvoer beheer (storingen) PM]]</f>
        <v>349</v>
      </c>
      <c r="DF8" s="104">
        <f t="shared" si="28"/>
        <v>349.06666666666666</v>
      </c>
      <c r="DG8" s="104"/>
      <c r="DH8" s="104" t="e">
        <f>#REF!+Tabel35721[[#This Row],[Lucht Afschrijving 5 jaar]]</f>
        <v>#REF!</v>
      </c>
      <c r="DI8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8" s="104" t="e">
        <f t="shared" si="29"/>
        <v>#REF!</v>
      </c>
      <c r="DK8" s="104" t="e">
        <f t="shared" si="30"/>
        <v>#REF!</v>
      </c>
      <c r="DL8" s="132"/>
      <c r="DM8" s="133" t="e">
        <f>SUM(DK8)</f>
        <v>#REF!</v>
      </c>
      <c r="DN8" s="134" t="s">
        <v>142</v>
      </c>
    </row>
    <row r="9" spans="1:118" s="122" customFormat="1" ht="15" customHeight="1" x14ac:dyDescent="0.3">
      <c r="A9" s="106" t="s">
        <v>150</v>
      </c>
      <c r="B9" s="107" t="s">
        <v>150</v>
      </c>
      <c r="C9" s="107" t="s">
        <v>143</v>
      </c>
      <c r="D9" s="108" t="s">
        <v>133</v>
      </c>
      <c r="E9" s="109" t="s">
        <v>151</v>
      </c>
      <c r="F9" s="110" t="s">
        <v>133</v>
      </c>
      <c r="G9" s="109">
        <v>10</v>
      </c>
      <c r="H9" s="112">
        <v>10</v>
      </c>
      <c r="I9" s="112"/>
      <c r="J9" s="108" t="s">
        <v>152</v>
      </c>
      <c r="K9" s="108" t="s">
        <v>131</v>
      </c>
      <c r="L9" s="113">
        <v>2005</v>
      </c>
      <c r="M9" s="108" t="s">
        <v>153</v>
      </c>
      <c r="N9" s="108" t="s">
        <v>133</v>
      </c>
      <c r="O9" s="112" t="s">
        <v>133</v>
      </c>
      <c r="P9" s="109">
        <v>1</v>
      </c>
      <c r="Q9" s="112">
        <f t="shared" si="0"/>
        <v>1</v>
      </c>
      <c r="R9" s="108" t="s">
        <v>135</v>
      </c>
      <c r="S9" s="112" t="s">
        <v>133</v>
      </c>
      <c r="T9" s="109">
        <f t="shared" si="1"/>
        <v>0</v>
      </c>
      <c r="U9" s="109">
        <f>IF(AND($G9&lt;$H9,$H9&gt;13),$U$4,0)</f>
        <v>0</v>
      </c>
      <c r="V9" s="109">
        <f t="shared" si="2"/>
        <v>0</v>
      </c>
      <c r="W9" s="109">
        <f t="shared" si="31"/>
        <v>0</v>
      </c>
      <c r="X9" s="109">
        <f t="shared" si="3"/>
        <v>0</v>
      </c>
      <c r="Y9" s="109">
        <v>1</v>
      </c>
      <c r="Z9" s="109">
        <v>1</v>
      </c>
      <c r="AA9" s="109">
        <v>1</v>
      </c>
      <c r="AB9" s="109" t="s">
        <v>131</v>
      </c>
      <c r="AC9" s="109" t="s">
        <v>146</v>
      </c>
      <c r="AD9" s="109" t="s">
        <v>154</v>
      </c>
      <c r="AE9" s="109" t="s">
        <v>155</v>
      </c>
      <c r="AF9" s="94">
        <v>1</v>
      </c>
      <c r="AG9" s="109" t="s">
        <v>131</v>
      </c>
      <c r="AH9" s="109">
        <v>2</v>
      </c>
      <c r="AI9" s="109" t="s">
        <v>139</v>
      </c>
      <c r="AJ9" s="109" t="s">
        <v>156</v>
      </c>
      <c r="AK9" s="114" t="s">
        <v>156</v>
      </c>
      <c r="AL9" s="114"/>
      <c r="AM9" s="112">
        <f>BM9</f>
        <v>1</v>
      </c>
      <c r="AN9" s="112">
        <f t="shared" si="7"/>
        <v>0</v>
      </c>
      <c r="AO9" s="109">
        <f>IF(AB9="Nee",Tabel22620[[#This Row],[Aantal tracés verwacht na (ver)nieuwbouw]]*$AO$4,0)</f>
        <v>0</v>
      </c>
      <c r="AP9" s="109">
        <f t="shared" si="8"/>
        <v>0</v>
      </c>
      <c r="AQ9" s="109">
        <v>1</v>
      </c>
      <c r="AR9" s="109">
        <f t="shared" si="10"/>
        <v>0</v>
      </c>
      <c r="AS9" s="109">
        <f t="shared" si="11"/>
        <v>0</v>
      </c>
      <c r="AT9" s="109" t="s">
        <v>131</v>
      </c>
      <c r="AU9" s="108">
        <v>2</v>
      </c>
      <c r="AV9" s="115">
        <f t="shared" si="12"/>
        <v>2</v>
      </c>
      <c r="AW9" s="109" t="s">
        <v>135</v>
      </c>
      <c r="AX9" s="109">
        <v>2</v>
      </c>
      <c r="AY9" s="109"/>
      <c r="AZ9" s="112">
        <f t="shared" si="13"/>
        <v>2</v>
      </c>
      <c r="BA9" s="109"/>
      <c r="BB9" s="112">
        <f t="shared" si="14"/>
        <v>2</v>
      </c>
      <c r="BC9" s="112">
        <f t="shared" si="15"/>
        <v>0</v>
      </c>
      <c r="BD9" s="109">
        <v>1</v>
      </c>
      <c r="BE9" s="109">
        <v>1</v>
      </c>
      <c r="BF9" s="109">
        <v>2</v>
      </c>
      <c r="BG9" s="108"/>
      <c r="BH9" s="109"/>
      <c r="BI9" s="109"/>
      <c r="BJ9" s="109"/>
      <c r="BK9" s="109"/>
      <c r="BL9" s="116">
        <f t="shared" si="16"/>
        <v>0</v>
      </c>
      <c r="BM9" s="117">
        <v>1</v>
      </c>
      <c r="BN9" s="117"/>
      <c r="BO9" s="117"/>
      <c r="BP9" s="117"/>
      <c r="BQ9" s="117"/>
      <c r="BR9" s="117">
        <v>1</v>
      </c>
      <c r="BS9" s="117"/>
      <c r="BT9" s="117"/>
      <c r="BU9" s="117"/>
      <c r="BV9" s="118"/>
      <c r="BW9" s="117"/>
      <c r="BX9" s="117"/>
      <c r="BY9" s="119">
        <f>SUM(Tabel22620[[#This Row],[TS Basis / Compact 1]:[TS bedrijfs voering]])</f>
        <v>2</v>
      </c>
      <c r="BZ9" s="120"/>
      <c r="CA9" s="91">
        <v>1</v>
      </c>
      <c r="CB9" s="91"/>
      <c r="CC9" s="91"/>
      <c r="CD9" s="117"/>
      <c r="CE9" s="121">
        <v>1</v>
      </c>
      <c r="CF9" s="121"/>
      <c r="CG9" s="121"/>
      <c r="CH9" s="117"/>
      <c r="CJ9" s="123">
        <v>1</v>
      </c>
      <c r="CK9" s="124"/>
      <c r="CL9" s="124">
        <f t="shared" si="17"/>
        <v>1</v>
      </c>
      <c r="CM9" s="124">
        <f t="shared" si="18"/>
        <v>0</v>
      </c>
      <c r="CN9" s="124"/>
      <c r="CO9" s="124">
        <f t="shared" si="19"/>
        <v>6.6666666666666666E-2</v>
      </c>
      <c r="CP9" s="124">
        <f>99+(50*Tabel22620[[#This Row],[Aantal rookgasafvoer aangesloten]])</f>
        <v>199</v>
      </c>
      <c r="CQ9" s="124"/>
      <c r="CR9" s="124"/>
      <c r="CS9" s="125">
        <f t="shared" si="20"/>
        <v>3</v>
      </c>
      <c r="CT9" s="125">
        <f t="shared" si="26"/>
        <v>0.6</v>
      </c>
      <c r="CU9" s="125">
        <v>0</v>
      </c>
      <c r="CV9" s="125">
        <f t="shared" si="21"/>
        <v>125</v>
      </c>
      <c r="CW9" s="125">
        <f t="shared" si="22"/>
        <v>0</v>
      </c>
      <c r="CX9" s="125">
        <f t="shared" si="27"/>
        <v>0</v>
      </c>
      <c r="CY9" s="125"/>
      <c r="CZ9" s="125"/>
      <c r="DA9" s="125" t="e">
        <f>#REF!+CO9+CT9+CX9</f>
        <v>#REF!</v>
      </c>
      <c r="DB9" s="125">
        <f t="shared" si="23"/>
        <v>325</v>
      </c>
      <c r="DD9" s="104">
        <f>Tabel35721[[#This Row],[Rookgasafvoer Afschrijving 15 jaar]]</f>
        <v>6.6666666666666666E-2</v>
      </c>
      <c r="DE9" s="104">
        <f>Tabel35721[[#This Row],[Rookgasafvoer beheer per jaar (onderhoud)]]+Tabel35721[[#This Row],[Rookgasafvoer beheer (storingen) PM]]</f>
        <v>199</v>
      </c>
      <c r="DF9" s="126">
        <f t="shared" si="28"/>
        <v>199.06666666666666</v>
      </c>
      <c r="DG9" s="127"/>
      <c r="DH9" s="127" t="e">
        <f>#REF!+Tabel35721[[#This Row],[Lucht Afschrijving 5 jaar]]</f>
        <v>#REF!</v>
      </c>
      <c r="DI9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9" s="126" t="e">
        <f t="shared" si="29"/>
        <v>#REF!</v>
      </c>
      <c r="DK9" s="128" t="e">
        <f t="shared" si="30"/>
        <v>#REF!</v>
      </c>
      <c r="DL9" s="135"/>
    </row>
    <row r="10" spans="1:118" s="122" customFormat="1" ht="15" customHeight="1" x14ac:dyDescent="0.3">
      <c r="A10" s="106" t="s">
        <v>150</v>
      </c>
      <c r="B10" s="107" t="s">
        <v>157</v>
      </c>
      <c r="C10" s="107" t="s">
        <v>143</v>
      </c>
      <c r="D10" s="108" t="s">
        <v>133</v>
      </c>
      <c r="E10" s="109" t="s">
        <v>158</v>
      </c>
      <c r="F10" s="110" t="s">
        <v>133</v>
      </c>
      <c r="G10" s="109">
        <v>11</v>
      </c>
      <c r="H10" s="112">
        <v>10</v>
      </c>
      <c r="I10" s="112"/>
      <c r="J10" s="108" t="s">
        <v>144</v>
      </c>
      <c r="K10" s="108" t="s">
        <v>131</v>
      </c>
      <c r="L10" s="113">
        <v>2015</v>
      </c>
      <c r="M10" s="108" t="s">
        <v>153</v>
      </c>
      <c r="N10" s="108" t="s">
        <v>131</v>
      </c>
      <c r="O10" s="112" t="s">
        <v>133</v>
      </c>
      <c r="P10" s="109" t="s">
        <v>159</v>
      </c>
      <c r="Q10" s="112">
        <f t="shared" si="0"/>
        <v>1</v>
      </c>
      <c r="R10" s="108" t="s">
        <v>135</v>
      </c>
      <c r="S10" s="112" t="s">
        <v>133</v>
      </c>
      <c r="T10" s="109">
        <f t="shared" si="1"/>
        <v>0</v>
      </c>
      <c r="U10" s="109">
        <f>IF(AND($G10&lt;$H10,$H10&gt;13),$U$4,0)</f>
        <v>0</v>
      </c>
      <c r="V10" s="109">
        <f t="shared" si="2"/>
        <v>0</v>
      </c>
      <c r="W10" s="109">
        <f t="shared" si="31"/>
        <v>0</v>
      </c>
      <c r="X10" s="109">
        <f t="shared" si="3"/>
        <v>0</v>
      </c>
      <c r="Y10" s="109">
        <v>1</v>
      </c>
      <c r="Z10" s="109">
        <v>1</v>
      </c>
      <c r="AA10" s="109">
        <v>1</v>
      </c>
      <c r="AB10" s="109" t="s">
        <v>131</v>
      </c>
      <c r="AC10" s="109" t="s">
        <v>146</v>
      </c>
      <c r="AD10" s="109" t="s">
        <v>147</v>
      </c>
      <c r="AE10" s="109" t="s">
        <v>148</v>
      </c>
      <c r="AF10" s="94">
        <v>1</v>
      </c>
      <c r="AG10" s="109" t="s">
        <v>135</v>
      </c>
      <c r="AH10" s="109">
        <v>2</v>
      </c>
      <c r="AI10" s="109" t="s">
        <v>139</v>
      </c>
      <c r="AJ10" s="109" t="s">
        <v>149</v>
      </c>
      <c r="AK10" s="114" t="s">
        <v>149</v>
      </c>
      <c r="AL10" s="114"/>
      <c r="AM10" s="112">
        <f>BM10</f>
        <v>1</v>
      </c>
      <c r="AN10" s="112">
        <f t="shared" si="7"/>
        <v>0</v>
      </c>
      <c r="AO10" s="109">
        <f>IF(AB10="Nee",Tabel22620[[#This Row],[Aantal tracés verwacht na (ver)nieuwbouw]]*$AO$4,0)</f>
        <v>0</v>
      </c>
      <c r="AP10" s="109">
        <f t="shared" si="8"/>
        <v>0</v>
      </c>
      <c r="AQ10" s="109">
        <f t="shared" si="9"/>
        <v>0</v>
      </c>
      <c r="AR10" s="109">
        <v>1</v>
      </c>
      <c r="AS10" s="109">
        <f t="shared" si="11"/>
        <v>0</v>
      </c>
      <c r="AT10" s="109" t="s">
        <v>131</v>
      </c>
      <c r="AU10" s="108">
        <v>2</v>
      </c>
      <c r="AV10" s="115">
        <f t="shared" si="12"/>
        <v>2</v>
      </c>
      <c r="AW10" s="109" t="s">
        <v>135</v>
      </c>
      <c r="AX10" s="109">
        <v>2</v>
      </c>
      <c r="AY10" s="109"/>
      <c r="AZ10" s="112">
        <f t="shared" si="13"/>
        <v>2</v>
      </c>
      <c r="BA10" s="109"/>
      <c r="BB10" s="112">
        <f t="shared" si="14"/>
        <v>2</v>
      </c>
      <c r="BC10" s="112">
        <f t="shared" si="15"/>
        <v>0</v>
      </c>
      <c r="BD10" s="109">
        <v>1</v>
      </c>
      <c r="BE10" s="109">
        <v>1</v>
      </c>
      <c r="BF10" s="109">
        <v>2</v>
      </c>
      <c r="BG10" s="108"/>
      <c r="BH10" s="109"/>
      <c r="BI10" s="109"/>
      <c r="BJ10" s="109"/>
      <c r="BK10" s="109"/>
      <c r="BL10" s="116">
        <f t="shared" si="16"/>
        <v>0</v>
      </c>
      <c r="BM10" s="117">
        <v>1</v>
      </c>
      <c r="BN10" s="117"/>
      <c r="BO10" s="117"/>
      <c r="BP10" s="117"/>
      <c r="BQ10" s="117"/>
      <c r="BR10" s="117"/>
      <c r="BS10" s="117"/>
      <c r="BT10" s="117"/>
      <c r="BU10" s="117"/>
      <c r="BV10" s="118">
        <v>1</v>
      </c>
      <c r="BW10" s="117"/>
      <c r="BX10" s="117"/>
      <c r="BY10" s="119">
        <f>SUM(Tabel22620[[#This Row],[TS Basis / Compact 1]:[TS bedrijfs voering]])</f>
        <v>2</v>
      </c>
      <c r="BZ10" s="120"/>
      <c r="CA10" s="91">
        <v>1</v>
      </c>
      <c r="CB10" s="91"/>
      <c r="CC10" s="91"/>
      <c r="CD10" s="117"/>
      <c r="CE10" s="121">
        <v>1</v>
      </c>
      <c r="CF10" s="121"/>
      <c r="CG10" s="121"/>
      <c r="CH10" s="117"/>
      <c r="CJ10" s="123">
        <v>1</v>
      </c>
      <c r="CK10" s="124"/>
      <c r="CL10" s="124">
        <f t="shared" si="17"/>
        <v>1</v>
      </c>
      <c r="CM10" s="124">
        <f t="shared" si="18"/>
        <v>0</v>
      </c>
      <c r="CN10" s="124"/>
      <c r="CO10" s="124">
        <f t="shared" si="19"/>
        <v>6.6666666666666666E-2</v>
      </c>
      <c r="CP10" s="124">
        <f>99+(50*Tabel22620[[#This Row],[Aantal rookgasafvoer aangesloten]])</f>
        <v>199</v>
      </c>
      <c r="CQ10" s="124"/>
      <c r="CR10" s="124"/>
      <c r="CS10" s="125">
        <f t="shared" si="20"/>
        <v>3</v>
      </c>
      <c r="CT10" s="125">
        <f t="shared" si="26"/>
        <v>0.6</v>
      </c>
      <c r="CU10" s="125">
        <v>0</v>
      </c>
      <c r="CV10" s="125">
        <f t="shared" si="21"/>
        <v>125</v>
      </c>
      <c r="CW10" s="125">
        <f t="shared" si="22"/>
        <v>0</v>
      </c>
      <c r="CX10" s="125">
        <f t="shared" si="27"/>
        <v>0</v>
      </c>
      <c r="CY10" s="125"/>
      <c r="CZ10" s="125"/>
      <c r="DA10" s="125" t="e">
        <f>#REF!+CO10+CT10+CX10</f>
        <v>#REF!</v>
      </c>
      <c r="DB10" s="125">
        <f t="shared" si="23"/>
        <v>325</v>
      </c>
      <c r="DD10" s="104">
        <f>Tabel35721[[#This Row],[Rookgasafvoer Afschrijving 15 jaar]]</f>
        <v>6.6666666666666666E-2</v>
      </c>
      <c r="DE10" s="104">
        <f>Tabel35721[[#This Row],[Rookgasafvoer beheer per jaar (onderhoud)]]+Tabel35721[[#This Row],[Rookgasafvoer beheer (storingen) PM]]</f>
        <v>199</v>
      </c>
      <c r="DF10" s="126">
        <f t="shared" si="28"/>
        <v>199.06666666666666</v>
      </c>
      <c r="DG10" s="127"/>
      <c r="DH10" s="127" t="e">
        <f>#REF!+Tabel35721[[#This Row],[Lucht Afschrijving 5 jaar]]</f>
        <v>#REF!</v>
      </c>
      <c r="DI10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0" s="126" t="e">
        <f t="shared" si="29"/>
        <v>#REF!</v>
      </c>
      <c r="DK10" s="128" t="e">
        <f t="shared" si="30"/>
        <v>#REF!</v>
      </c>
      <c r="DL10" s="129"/>
      <c r="DM10" s="130" t="e">
        <f>SUM(DK9:DK10)</f>
        <v>#REF!</v>
      </c>
      <c r="DN10" s="131" t="s">
        <v>150</v>
      </c>
    </row>
    <row r="11" spans="1:118" s="122" customFormat="1" ht="12.75" customHeight="1" x14ac:dyDescent="0.3">
      <c r="A11" s="106" t="s">
        <v>160</v>
      </c>
      <c r="B11" s="107" t="s">
        <v>161</v>
      </c>
      <c r="C11" s="107" t="s">
        <v>143</v>
      </c>
      <c r="D11" s="108" t="s">
        <v>133</v>
      </c>
      <c r="E11" s="109" t="s">
        <v>132</v>
      </c>
      <c r="F11" s="110" t="s">
        <v>133</v>
      </c>
      <c r="G11" s="109">
        <v>15</v>
      </c>
      <c r="H11" s="112">
        <v>10</v>
      </c>
      <c r="I11" s="112"/>
      <c r="J11" s="108" t="s">
        <v>152</v>
      </c>
      <c r="K11" s="108" t="s">
        <v>131</v>
      </c>
      <c r="L11" s="113"/>
      <c r="M11" s="108" t="s">
        <v>136</v>
      </c>
      <c r="N11" s="108" t="s">
        <v>131</v>
      </c>
      <c r="O11" s="112" t="s">
        <v>133</v>
      </c>
      <c r="P11" s="109">
        <v>1</v>
      </c>
      <c r="Q11" s="112">
        <f t="shared" si="0"/>
        <v>1</v>
      </c>
      <c r="R11" s="108" t="s">
        <v>131</v>
      </c>
      <c r="S11" s="112" t="s">
        <v>133</v>
      </c>
      <c r="T11" s="109">
        <f t="shared" si="1"/>
        <v>0</v>
      </c>
      <c r="U11" s="109">
        <f>IF(AND($G11&lt;$H11,$H11&gt;13),$U$4,0)</f>
        <v>0</v>
      </c>
      <c r="V11" s="109">
        <f t="shared" si="2"/>
        <v>0</v>
      </c>
      <c r="W11" s="109">
        <f t="shared" si="31"/>
        <v>0</v>
      </c>
      <c r="X11" s="109">
        <f t="shared" si="3"/>
        <v>0</v>
      </c>
      <c r="Y11" s="109">
        <f t="shared" si="4"/>
        <v>0</v>
      </c>
      <c r="Z11" s="109">
        <f t="shared" si="5"/>
        <v>0</v>
      </c>
      <c r="AA11" s="109">
        <f t="shared" si="6"/>
        <v>0</v>
      </c>
      <c r="AB11" s="109" t="s">
        <v>131</v>
      </c>
      <c r="AC11" s="109" t="s">
        <v>146</v>
      </c>
      <c r="AD11" s="109" t="s">
        <v>147</v>
      </c>
      <c r="AE11" s="109" t="s">
        <v>148</v>
      </c>
      <c r="AF11" s="94">
        <v>1</v>
      </c>
      <c r="AG11" s="109" t="s">
        <v>135</v>
      </c>
      <c r="AH11" s="109">
        <v>4</v>
      </c>
      <c r="AI11" s="109" t="s">
        <v>139</v>
      </c>
      <c r="AJ11" s="109" t="s">
        <v>149</v>
      </c>
      <c r="AK11" s="114" t="s">
        <v>149</v>
      </c>
      <c r="AL11" s="114"/>
      <c r="AM11" s="112">
        <f>BM11</f>
        <v>1</v>
      </c>
      <c r="AN11" s="112">
        <f t="shared" si="7"/>
        <v>0</v>
      </c>
      <c r="AO11" s="109">
        <f>IF(AB11="Nee",Tabel22620[[#This Row],[Aantal tracés verwacht na (ver)nieuwbouw]]*$AO$4,0)</f>
        <v>0</v>
      </c>
      <c r="AP11" s="109">
        <f t="shared" si="8"/>
        <v>0</v>
      </c>
      <c r="AQ11" s="109">
        <f t="shared" si="9"/>
        <v>0</v>
      </c>
      <c r="AR11" s="109">
        <v>1</v>
      </c>
      <c r="AS11" s="109">
        <f t="shared" si="11"/>
        <v>0</v>
      </c>
      <c r="AT11" s="109" t="s">
        <v>131</v>
      </c>
      <c r="AU11" s="108">
        <v>2</v>
      </c>
      <c r="AV11" s="115">
        <f t="shared" si="12"/>
        <v>3</v>
      </c>
      <c r="AW11" s="108" t="s">
        <v>133</v>
      </c>
      <c r="AX11" s="109">
        <v>4</v>
      </c>
      <c r="AY11" s="109"/>
      <c r="AZ11" s="112">
        <f t="shared" si="13"/>
        <v>3</v>
      </c>
      <c r="BA11" s="109"/>
      <c r="BB11" s="112">
        <f t="shared" si="14"/>
        <v>3</v>
      </c>
      <c r="BC11" s="112">
        <f t="shared" si="15"/>
        <v>1</v>
      </c>
      <c r="BD11" s="109">
        <v>1</v>
      </c>
      <c r="BE11" s="109">
        <v>1</v>
      </c>
      <c r="BF11" s="109">
        <v>3</v>
      </c>
      <c r="BG11" s="108"/>
      <c r="BH11" s="109"/>
      <c r="BI11" s="109"/>
      <c r="BJ11" s="109"/>
      <c r="BK11" s="109"/>
      <c r="BL11" s="116">
        <f t="shared" si="16"/>
        <v>0</v>
      </c>
      <c r="BM11" s="117">
        <v>1</v>
      </c>
      <c r="BN11" s="117">
        <v>1</v>
      </c>
      <c r="BO11" s="117"/>
      <c r="BP11" s="117"/>
      <c r="BQ11" s="117"/>
      <c r="BR11" s="117"/>
      <c r="BS11" s="117"/>
      <c r="BT11" s="117"/>
      <c r="BU11" s="117"/>
      <c r="BV11" s="118">
        <v>1</v>
      </c>
      <c r="BW11" s="117"/>
      <c r="BX11" s="117"/>
      <c r="BY11" s="119">
        <f>SUM(Tabel22620[[#This Row],[TS Basis / Compact 1]:[TS bedrijfs voering]])</f>
        <v>3</v>
      </c>
      <c r="BZ11" s="120"/>
      <c r="CA11" s="91">
        <v>1</v>
      </c>
      <c r="CB11" s="91"/>
      <c r="CC11" s="91"/>
      <c r="CD11" s="117"/>
      <c r="CE11" s="121">
        <v>1</v>
      </c>
      <c r="CF11" s="121"/>
      <c r="CG11" s="121"/>
      <c r="CH11" s="117"/>
      <c r="CJ11" s="123">
        <v>1</v>
      </c>
      <c r="CK11" s="124"/>
      <c r="CL11" s="124">
        <f t="shared" si="17"/>
        <v>1</v>
      </c>
      <c r="CM11" s="124">
        <f t="shared" si="18"/>
        <v>0</v>
      </c>
      <c r="CN11" s="124"/>
      <c r="CO11" s="124">
        <f t="shared" si="19"/>
        <v>6.6666666666666666E-2</v>
      </c>
      <c r="CP11" s="124">
        <f>99+(50*Tabel22620[[#This Row],[Aantal rookgasafvoer aangesloten]])</f>
        <v>299</v>
      </c>
      <c r="CQ11" s="124"/>
      <c r="CR11" s="124"/>
      <c r="CS11" s="125">
        <f t="shared" si="20"/>
        <v>4</v>
      </c>
      <c r="CT11" s="125">
        <f t="shared" si="26"/>
        <v>0.8</v>
      </c>
      <c r="CU11" s="125">
        <v>0</v>
      </c>
      <c r="CV11" s="125">
        <f t="shared" si="21"/>
        <v>125</v>
      </c>
      <c r="CW11" s="125">
        <f t="shared" si="22"/>
        <v>0</v>
      </c>
      <c r="CX11" s="125">
        <f t="shared" si="27"/>
        <v>0</v>
      </c>
      <c r="CY11" s="125"/>
      <c r="CZ11" s="125"/>
      <c r="DA11" s="125" t="e">
        <f>#REF!+CO11+CT11+CX11</f>
        <v>#REF!</v>
      </c>
      <c r="DB11" s="125">
        <f t="shared" si="23"/>
        <v>425</v>
      </c>
      <c r="DD11" s="104">
        <f>Tabel35721[[#This Row],[Rookgasafvoer Afschrijving 15 jaar]]</f>
        <v>6.6666666666666666E-2</v>
      </c>
      <c r="DE11" s="104">
        <f>Tabel35721[[#This Row],[Rookgasafvoer beheer per jaar (onderhoud)]]+Tabel35721[[#This Row],[Rookgasafvoer beheer (storingen) PM]]</f>
        <v>299</v>
      </c>
      <c r="DF11" s="126">
        <f t="shared" si="28"/>
        <v>299.06666666666666</v>
      </c>
      <c r="DG11" s="127"/>
      <c r="DH11" s="127" t="e">
        <f>#REF!+Tabel35721[[#This Row],[Lucht Afschrijving 5 jaar]]</f>
        <v>#REF!</v>
      </c>
      <c r="DI11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1" s="126" t="e">
        <f t="shared" si="29"/>
        <v>#REF!</v>
      </c>
      <c r="DK11" s="128" t="e">
        <f t="shared" si="30"/>
        <v>#REF!</v>
      </c>
      <c r="DL11" s="129"/>
      <c r="DM11" s="130" t="e">
        <f>SUM(DK11)</f>
        <v>#REF!</v>
      </c>
      <c r="DN11" s="131" t="s">
        <v>160</v>
      </c>
    </row>
    <row r="12" spans="1:118" ht="12.75" customHeight="1" x14ac:dyDescent="0.3">
      <c r="A12" s="106" t="s">
        <v>162</v>
      </c>
      <c r="B12" s="107" t="s">
        <v>163</v>
      </c>
      <c r="C12" s="107" t="s">
        <v>143</v>
      </c>
      <c r="D12" s="108" t="s">
        <v>133</v>
      </c>
      <c r="E12" s="109" t="s">
        <v>164</v>
      </c>
      <c r="F12" s="110" t="s">
        <v>133</v>
      </c>
      <c r="G12" s="109">
        <v>10</v>
      </c>
      <c r="H12" s="112">
        <v>14</v>
      </c>
      <c r="I12" s="112"/>
      <c r="J12" s="108" t="s">
        <v>134</v>
      </c>
      <c r="K12" s="108" t="s">
        <v>131</v>
      </c>
      <c r="L12" s="113">
        <v>2012</v>
      </c>
      <c r="M12" s="108" t="s">
        <v>153</v>
      </c>
      <c r="N12" s="108" t="s">
        <v>133</v>
      </c>
      <c r="O12" s="112" t="s">
        <v>133</v>
      </c>
      <c r="P12" s="109" t="s">
        <v>159</v>
      </c>
      <c r="Q12" s="112">
        <f t="shared" si="0"/>
        <v>1</v>
      </c>
      <c r="R12" s="108" t="s">
        <v>135</v>
      </c>
      <c r="S12" s="112" t="s">
        <v>133</v>
      </c>
      <c r="T12" s="109">
        <f t="shared" si="1"/>
        <v>0</v>
      </c>
      <c r="U12" s="109">
        <v>1</v>
      </c>
      <c r="V12" s="109">
        <f t="shared" si="2"/>
        <v>0</v>
      </c>
      <c r="W12" s="109">
        <f t="shared" si="31"/>
        <v>0</v>
      </c>
      <c r="X12" s="109">
        <f t="shared" si="3"/>
        <v>0</v>
      </c>
      <c r="Y12" s="109">
        <v>1</v>
      </c>
      <c r="Z12" s="109">
        <v>1</v>
      </c>
      <c r="AA12" s="109">
        <v>1</v>
      </c>
      <c r="AB12" s="109" t="s">
        <v>131</v>
      </c>
      <c r="AC12" s="109" t="s">
        <v>146</v>
      </c>
      <c r="AD12" s="109" t="s">
        <v>154</v>
      </c>
      <c r="AE12" s="109" t="s">
        <v>155</v>
      </c>
      <c r="AF12" s="94">
        <v>1</v>
      </c>
      <c r="AG12" s="109" t="s">
        <v>131</v>
      </c>
      <c r="AH12" s="109">
        <v>7</v>
      </c>
      <c r="AI12" s="109" t="s">
        <v>135</v>
      </c>
      <c r="AJ12" s="109" t="s">
        <v>156</v>
      </c>
      <c r="AK12" s="114" t="s">
        <v>156</v>
      </c>
      <c r="AL12" s="114"/>
      <c r="AM12" s="112">
        <v>1</v>
      </c>
      <c r="AN12" s="112">
        <f t="shared" si="7"/>
        <v>1</v>
      </c>
      <c r="AO12" s="109">
        <f>IF(AB12="Nee",Tabel22620[[#This Row],[Aantal tracés verwacht na (ver)nieuwbouw]]*$AO$4,0)</f>
        <v>0</v>
      </c>
      <c r="AP12" s="109">
        <v>1</v>
      </c>
      <c r="AQ12" s="109">
        <v>1</v>
      </c>
      <c r="AR12" s="109">
        <f t="shared" si="10"/>
        <v>0</v>
      </c>
      <c r="AS12" s="109">
        <f t="shared" si="11"/>
        <v>0</v>
      </c>
      <c r="AT12" s="109" t="s">
        <v>131</v>
      </c>
      <c r="AU12" s="108">
        <v>6</v>
      </c>
      <c r="AV12" s="115">
        <f t="shared" si="12"/>
        <v>2</v>
      </c>
      <c r="AW12" s="108" t="s">
        <v>133</v>
      </c>
      <c r="AX12" s="109">
        <v>6</v>
      </c>
      <c r="AY12" s="109"/>
      <c r="AZ12" s="112">
        <f t="shared" si="13"/>
        <v>2</v>
      </c>
      <c r="BA12" s="109"/>
      <c r="BB12" s="112">
        <f t="shared" si="14"/>
        <v>2</v>
      </c>
      <c r="BC12" s="112">
        <f t="shared" si="15"/>
        <v>0</v>
      </c>
      <c r="BD12" s="109">
        <f t="shared" si="24"/>
        <v>0</v>
      </c>
      <c r="BE12" s="109">
        <f t="shared" si="25"/>
        <v>0</v>
      </c>
      <c r="BF12" s="109">
        <v>2</v>
      </c>
      <c r="BG12" s="108"/>
      <c r="BH12" s="109"/>
      <c r="BI12" s="109"/>
      <c r="BJ12" s="109"/>
      <c r="BK12" s="109"/>
      <c r="BL12" s="116">
        <f t="shared" si="16"/>
        <v>0</v>
      </c>
      <c r="BM12" s="117">
        <v>1</v>
      </c>
      <c r="BN12" s="117"/>
      <c r="BO12" s="117"/>
      <c r="BP12" s="117"/>
      <c r="BQ12" s="117"/>
      <c r="BR12" s="117">
        <v>1</v>
      </c>
      <c r="BS12" s="117"/>
      <c r="BT12" s="117"/>
      <c r="BU12" s="117"/>
      <c r="BV12" s="118"/>
      <c r="BW12" s="117"/>
      <c r="BX12" s="117"/>
      <c r="BY12" s="119">
        <f>SUM(Tabel22620[[#This Row],[TS Basis / Compact 1]:[TS bedrijfs voering]])</f>
        <v>2</v>
      </c>
      <c r="BZ12" s="120"/>
      <c r="CA12" s="91"/>
      <c r="CB12" s="91">
        <v>1</v>
      </c>
      <c r="CC12" s="91">
        <v>1</v>
      </c>
      <c r="CD12" s="117"/>
      <c r="CE12" s="121">
        <v>1</v>
      </c>
      <c r="CF12" s="121"/>
      <c r="CG12" s="121"/>
      <c r="CH12" s="117"/>
      <c r="CI12" s="122"/>
      <c r="CJ12" s="136">
        <v>1</v>
      </c>
      <c r="CK12" s="124"/>
      <c r="CL12" s="124">
        <f t="shared" si="17"/>
        <v>1</v>
      </c>
      <c r="CM12" s="124">
        <f t="shared" si="18"/>
        <v>0</v>
      </c>
      <c r="CN12" s="137"/>
      <c r="CO12" s="124">
        <f t="shared" si="19"/>
        <v>6.6666666666666666E-2</v>
      </c>
      <c r="CP12" s="138">
        <f>99+(50*Tabel22620[[#This Row],[Aantal rookgasafvoer aangesloten]])</f>
        <v>449</v>
      </c>
      <c r="CQ12" s="138"/>
      <c r="CR12" s="124"/>
      <c r="CS12" s="139">
        <f t="shared" si="20"/>
        <v>2</v>
      </c>
      <c r="CT12" s="125">
        <f t="shared" si="26"/>
        <v>0.4</v>
      </c>
      <c r="CU12" s="125">
        <v>0</v>
      </c>
      <c r="CV12" s="125">
        <f t="shared" si="21"/>
        <v>125</v>
      </c>
      <c r="CW12" s="125">
        <f t="shared" si="22"/>
        <v>0</v>
      </c>
      <c r="CX12" s="125">
        <f t="shared" si="27"/>
        <v>0</v>
      </c>
      <c r="CY12" s="139"/>
      <c r="CZ12" s="139"/>
      <c r="DA12" s="125" t="e">
        <f>#REF!+CO12+CT12+CX12</f>
        <v>#REF!</v>
      </c>
      <c r="DB12" s="125">
        <f t="shared" si="23"/>
        <v>575</v>
      </c>
      <c r="DD12" s="104">
        <f>Tabel35721[[#This Row],[Rookgasafvoer Afschrijving 15 jaar]]</f>
        <v>6.6666666666666666E-2</v>
      </c>
      <c r="DE12" s="104">
        <f>Tabel35721[[#This Row],[Rookgasafvoer beheer per jaar (onderhoud)]]+Tabel35721[[#This Row],[Rookgasafvoer beheer (storingen) PM]]</f>
        <v>449</v>
      </c>
      <c r="DF12" s="126">
        <f t="shared" si="28"/>
        <v>449.06666666666666</v>
      </c>
      <c r="DG12" s="127"/>
      <c r="DH12" s="127" t="e">
        <f>#REF!+Tabel35721[[#This Row],[Lucht Afschrijving 5 jaar]]</f>
        <v>#REF!</v>
      </c>
      <c r="DI12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2" s="126" t="e">
        <f t="shared" si="29"/>
        <v>#REF!</v>
      </c>
      <c r="DK12" s="128" t="e">
        <f t="shared" si="30"/>
        <v>#REF!</v>
      </c>
      <c r="DL12" s="135"/>
    </row>
    <row r="13" spans="1:118" ht="12.75" customHeight="1" x14ac:dyDescent="0.3">
      <c r="A13" s="106" t="s">
        <v>162</v>
      </c>
      <c r="B13" s="107" t="s">
        <v>162</v>
      </c>
      <c r="C13" s="107" t="s">
        <v>143</v>
      </c>
      <c r="D13" s="108" t="s">
        <v>133</v>
      </c>
      <c r="E13" s="109" t="s">
        <v>164</v>
      </c>
      <c r="F13" s="110" t="s">
        <v>133</v>
      </c>
      <c r="G13" s="109">
        <v>10</v>
      </c>
      <c r="H13" s="112">
        <v>10</v>
      </c>
      <c r="I13" s="112"/>
      <c r="J13" s="108" t="s">
        <v>152</v>
      </c>
      <c r="K13" s="108" t="s">
        <v>131</v>
      </c>
      <c r="L13" s="113">
        <v>2012</v>
      </c>
      <c r="M13" s="108" t="s">
        <v>153</v>
      </c>
      <c r="N13" s="108" t="s">
        <v>131</v>
      </c>
      <c r="O13" s="112" t="s">
        <v>133</v>
      </c>
      <c r="P13" s="109" t="s">
        <v>159</v>
      </c>
      <c r="Q13" s="112">
        <f t="shared" si="0"/>
        <v>1</v>
      </c>
      <c r="R13" s="108" t="s">
        <v>135</v>
      </c>
      <c r="S13" s="112" t="s">
        <v>133</v>
      </c>
      <c r="T13" s="109">
        <f t="shared" si="1"/>
        <v>0</v>
      </c>
      <c r="U13" s="109">
        <f>IF(AND($G13&lt;$H13,$H13&gt;13),$U$4,0)</f>
        <v>0</v>
      </c>
      <c r="V13" s="109">
        <f t="shared" si="2"/>
        <v>0</v>
      </c>
      <c r="W13" s="109">
        <f t="shared" si="31"/>
        <v>0</v>
      </c>
      <c r="X13" s="109">
        <f t="shared" si="3"/>
        <v>0</v>
      </c>
      <c r="Y13" s="109">
        <v>1</v>
      </c>
      <c r="Z13" s="109">
        <v>1</v>
      </c>
      <c r="AA13" s="109">
        <v>1</v>
      </c>
      <c r="AB13" s="109" t="s">
        <v>131</v>
      </c>
      <c r="AC13" s="109" t="s">
        <v>146</v>
      </c>
      <c r="AD13" s="109" t="s">
        <v>154</v>
      </c>
      <c r="AE13" s="109" t="s">
        <v>155</v>
      </c>
      <c r="AF13" s="94">
        <v>1</v>
      </c>
      <c r="AG13" s="109" t="s">
        <v>131</v>
      </c>
      <c r="AH13" s="109">
        <v>1</v>
      </c>
      <c r="AI13" s="109" t="s">
        <v>139</v>
      </c>
      <c r="AJ13" s="109" t="s">
        <v>156</v>
      </c>
      <c r="AK13" s="114" t="s">
        <v>156</v>
      </c>
      <c r="AL13" s="114"/>
      <c r="AM13" s="112">
        <f t="shared" ref="AM13:AM20" si="32">BM13</f>
        <v>1</v>
      </c>
      <c r="AN13" s="112">
        <f t="shared" si="7"/>
        <v>0</v>
      </c>
      <c r="AO13" s="109">
        <f>IF(AB13="Nee",Tabel22620[[#This Row],[Aantal tracés verwacht na (ver)nieuwbouw]]*$AO$4,0)</f>
        <v>0</v>
      </c>
      <c r="AP13" s="109">
        <f t="shared" si="8"/>
        <v>0</v>
      </c>
      <c r="AQ13" s="109">
        <v>1</v>
      </c>
      <c r="AR13" s="109">
        <f t="shared" si="10"/>
        <v>0</v>
      </c>
      <c r="AS13" s="109">
        <f t="shared" si="11"/>
        <v>0</v>
      </c>
      <c r="AT13" s="109" t="s">
        <v>131</v>
      </c>
      <c r="AU13" s="108">
        <v>1</v>
      </c>
      <c r="AV13" s="115">
        <f t="shared" si="12"/>
        <v>1</v>
      </c>
      <c r="AW13" s="109" t="s">
        <v>135</v>
      </c>
      <c r="AX13" s="109">
        <v>1</v>
      </c>
      <c r="AY13" s="109"/>
      <c r="AZ13" s="112">
        <f t="shared" si="13"/>
        <v>1</v>
      </c>
      <c r="BA13" s="109"/>
      <c r="BB13" s="112">
        <f t="shared" si="14"/>
        <v>1</v>
      </c>
      <c r="BC13" s="112">
        <f t="shared" si="15"/>
        <v>0</v>
      </c>
      <c r="BD13" s="109">
        <v>1</v>
      </c>
      <c r="BE13" s="109">
        <v>1</v>
      </c>
      <c r="BF13" s="109">
        <v>1</v>
      </c>
      <c r="BG13" s="108"/>
      <c r="BH13" s="109"/>
      <c r="BI13" s="109"/>
      <c r="BJ13" s="109"/>
      <c r="BK13" s="109"/>
      <c r="BL13" s="116">
        <f t="shared" si="16"/>
        <v>0</v>
      </c>
      <c r="BM13" s="117">
        <v>1</v>
      </c>
      <c r="BN13" s="117"/>
      <c r="BO13" s="117"/>
      <c r="BP13" s="117"/>
      <c r="BQ13" s="117"/>
      <c r="BR13" s="117"/>
      <c r="BS13" s="117"/>
      <c r="BT13" s="117"/>
      <c r="BU13" s="117"/>
      <c r="BV13" s="118"/>
      <c r="BW13" s="117"/>
      <c r="BX13" s="117"/>
      <c r="BY13" s="119">
        <f>SUM(Tabel22620[[#This Row],[TS Basis / Compact 1]:[TS bedrijfs voering]])</f>
        <v>1</v>
      </c>
      <c r="BZ13" s="120"/>
      <c r="CA13" s="91">
        <v>1</v>
      </c>
      <c r="CB13" s="91"/>
      <c r="CC13" s="91"/>
      <c r="CD13" s="117"/>
      <c r="CE13" s="121">
        <v>1</v>
      </c>
      <c r="CF13" s="121"/>
      <c r="CG13" s="121"/>
      <c r="CH13" s="117"/>
      <c r="CI13" s="122"/>
      <c r="CJ13" s="136">
        <v>1</v>
      </c>
      <c r="CK13" s="124"/>
      <c r="CL13" s="124">
        <f t="shared" si="17"/>
        <v>1</v>
      </c>
      <c r="CM13" s="124">
        <f t="shared" si="18"/>
        <v>0</v>
      </c>
      <c r="CN13" s="137"/>
      <c r="CO13" s="124">
        <f t="shared" si="19"/>
        <v>6.6666666666666666E-2</v>
      </c>
      <c r="CP13" s="138">
        <f>99+(50*Tabel22620[[#This Row],[Aantal rookgasafvoer aangesloten]])</f>
        <v>149</v>
      </c>
      <c r="CQ13" s="138"/>
      <c r="CR13" s="124"/>
      <c r="CS13" s="139">
        <f t="shared" si="20"/>
        <v>2</v>
      </c>
      <c r="CT13" s="125">
        <f t="shared" si="26"/>
        <v>0.4</v>
      </c>
      <c r="CU13" s="125">
        <v>0</v>
      </c>
      <c r="CV13" s="125">
        <f t="shared" si="21"/>
        <v>125</v>
      </c>
      <c r="CW13" s="125">
        <f t="shared" si="22"/>
        <v>0</v>
      </c>
      <c r="CX13" s="125">
        <f t="shared" si="27"/>
        <v>0</v>
      </c>
      <c r="CY13" s="139"/>
      <c r="CZ13" s="139"/>
      <c r="DA13" s="125" t="e">
        <f>#REF!+CO13+CT13+CX13</f>
        <v>#REF!</v>
      </c>
      <c r="DB13" s="125">
        <f t="shared" si="23"/>
        <v>275</v>
      </c>
      <c r="DD13" s="104">
        <f>Tabel35721[[#This Row],[Rookgasafvoer Afschrijving 15 jaar]]</f>
        <v>6.6666666666666666E-2</v>
      </c>
      <c r="DE13" s="104">
        <f>Tabel35721[[#This Row],[Rookgasafvoer beheer per jaar (onderhoud)]]+Tabel35721[[#This Row],[Rookgasafvoer beheer (storingen) PM]]</f>
        <v>149</v>
      </c>
      <c r="DF13" s="126">
        <f t="shared" si="28"/>
        <v>149.06666666666666</v>
      </c>
      <c r="DG13" s="127"/>
      <c r="DH13" s="127" t="e">
        <f>#REF!+Tabel35721[[#This Row],[Lucht Afschrijving 5 jaar]]</f>
        <v>#REF!</v>
      </c>
      <c r="DI13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3" s="126" t="e">
        <f t="shared" si="29"/>
        <v>#REF!</v>
      </c>
      <c r="DK13" s="128" t="e">
        <f t="shared" si="30"/>
        <v>#REF!</v>
      </c>
      <c r="DL13" s="135"/>
    </row>
    <row r="14" spans="1:118" x14ac:dyDescent="0.3">
      <c r="A14" s="106" t="s">
        <v>162</v>
      </c>
      <c r="B14" s="107" t="s">
        <v>165</v>
      </c>
      <c r="C14" s="107" t="s">
        <v>143</v>
      </c>
      <c r="D14" s="108" t="s">
        <v>133</v>
      </c>
      <c r="E14" s="109" t="s">
        <v>166</v>
      </c>
      <c r="F14" s="110" t="s">
        <v>133</v>
      </c>
      <c r="G14" s="109">
        <v>8</v>
      </c>
      <c r="H14" s="112">
        <v>10</v>
      </c>
      <c r="I14" s="112"/>
      <c r="J14" s="108" t="s">
        <v>152</v>
      </c>
      <c r="K14" s="108" t="s">
        <v>131</v>
      </c>
      <c r="L14" s="140">
        <v>2002</v>
      </c>
      <c r="M14" s="108" t="s">
        <v>153</v>
      </c>
      <c r="N14" s="108" t="s">
        <v>133</v>
      </c>
      <c r="O14" s="112" t="s">
        <v>133</v>
      </c>
      <c r="P14" s="109" t="s">
        <v>159</v>
      </c>
      <c r="Q14" s="112">
        <f t="shared" si="0"/>
        <v>1</v>
      </c>
      <c r="R14" s="108" t="s">
        <v>135</v>
      </c>
      <c r="S14" s="112" t="s">
        <v>133</v>
      </c>
      <c r="T14" s="109">
        <v>1</v>
      </c>
      <c r="U14" s="109">
        <f>IF(AND($G14&lt;$H14,$H14&gt;13),$U$4,0)</f>
        <v>0</v>
      </c>
      <c r="V14" s="109">
        <f t="shared" si="2"/>
        <v>0</v>
      </c>
      <c r="W14" s="109">
        <f t="shared" si="31"/>
        <v>0</v>
      </c>
      <c r="X14" s="109">
        <v>1</v>
      </c>
      <c r="Y14" s="109">
        <v>1</v>
      </c>
      <c r="Z14" s="109">
        <v>1</v>
      </c>
      <c r="AA14" s="109">
        <v>1</v>
      </c>
      <c r="AB14" s="109" t="s">
        <v>131</v>
      </c>
      <c r="AC14" s="109" t="s">
        <v>146</v>
      </c>
      <c r="AD14" s="109" t="s">
        <v>154</v>
      </c>
      <c r="AE14" s="109" t="s">
        <v>155</v>
      </c>
      <c r="AF14" s="94">
        <v>1</v>
      </c>
      <c r="AG14" s="109" t="s">
        <v>131</v>
      </c>
      <c r="AH14" s="109">
        <v>1</v>
      </c>
      <c r="AI14" s="109" t="s">
        <v>139</v>
      </c>
      <c r="AJ14" s="109" t="s">
        <v>156</v>
      </c>
      <c r="AK14" s="114" t="s">
        <v>156</v>
      </c>
      <c r="AL14" s="114"/>
      <c r="AM14" s="112">
        <f t="shared" si="32"/>
        <v>0</v>
      </c>
      <c r="AN14" s="112">
        <f t="shared" si="7"/>
        <v>0</v>
      </c>
      <c r="AO14" s="109">
        <f>IF(AB14="Nee",Tabel22620[[#This Row],[Aantal tracés verwacht na (ver)nieuwbouw]]*$AO$4,0)</f>
        <v>0</v>
      </c>
      <c r="AP14" s="109">
        <f t="shared" si="8"/>
        <v>0</v>
      </c>
      <c r="AQ14" s="109">
        <f t="shared" si="9"/>
        <v>0</v>
      </c>
      <c r="AR14" s="109">
        <f t="shared" si="10"/>
        <v>0</v>
      </c>
      <c r="AS14" s="109">
        <f t="shared" si="11"/>
        <v>0</v>
      </c>
      <c r="AT14" s="109" t="s">
        <v>135</v>
      </c>
      <c r="AU14" s="108">
        <v>0</v>
      </c>
      <c r="AV14" s="115">
        <f t="shared" si="12"/>
        <v>0</v>
      </c>
      <c r="AW14" s="109" t="s">
        <v>135</v>
      </c>
      <c r="AX14" s="109">
        <v>1</v>
      </c>
      <c r="AY14" s="109"/>
      <c r="AZ14" s="112">
        <f t="shared" si="13"/>
        <v>0</v>
      </c>
      <c r="BA14" s="109"/>
      <c r="BB14" s="112">
        <f t="shared" si="14"/>
        <v>0</v>
      </c>
      <c r="BC14" s="112">
        <f t="shared" si="15"/>
        <v>0</v>
      </c>
      <c r="BD14" s="141">
        <v>1</v>
      </c>
      <c r="BE14" s="141">
        <v>1</v>
      </c>
      <c r="BF14" s="141">
        <f>BB14*$BF$4</f>
        <v>0</v>
      </c>
      <c r="BG14" s="108"/>
      <c r="BH14" s="109"/>
      <c r="BI14" s="109"/>
      <c r="BJ14" s="109"/>
      <c r="BK14" s="109"/>
      <c r="BL14" s="116">
        <f t="shared" si="16"/>
        <v>0</v>
      </c>
      <c r="BM14" s="117">
        <v>0</v>
      </c>
      <c r="BN14" s="117"/>
      <c r="BO14" s="117"/>
      <c r="BP14" s="117"/>
      <c r="BQ14" s="117"/>
      <c r="BR14" s="117"/>
      <c r="BS14" s="117"/>
      <c r="BT14" s="117"/>
      <c r="BU14" s="117"/>
      <c r="BV14" s="118"/>
      <c r="BW14" s="117"/>
      <c r="BX14" s="117"/>
      <c r="BY14" s="119">
        <f>SUM(Tabel22620[[#This Row],[TS Basis / Compact 1]:[TS bedrijfs voering]])</f>
        <v>0</v>
      </c>
      <c r="BZ14" s="120"/>
      <c r="CA14" s="91">
        <v>1</v>
      </c>
      <c r="CB14" s="91"/>
      <c r="CC14" s="91"/>
      <c r="CD14" s="117"/>
      <c r="CE14" s="121">
        <v>1</v>
      </c>
      <c r="CF14" s="121"/>
      <c r="CG14" s="121"/>
      <c r="CH14" s="117"/>
      <c r="CI14" s="122"/>
      <c r="CJ14" s="136">
        <v>1</v>
      </c>
      <c r="CK14" s="124"/>
      <c r="CL14" s="124">
        <f t="shared" si="17"/>
        <v>0</v>
      </c>
      <c r="CM14" s="124">
        <f t="shared" si="18"/>
        <v>0</v>
      </c>
      <c r="CN14" s="137"/>
      <c r="CO14" s="124">
        <f t="shared" si="19"/>
        <v>0</v>
      </c>
      <c r="CP14" s="138">
        <f>99+(50*Tabel22620[[#This Row],[Aantal rookgasafvoer aangesloten]])</f>
        <v>149</v>
      </c>
      <c r="CQ14" s="138"/>
      <c r="CR14" s="124"/>
      <c r="CS14" s="139">
        <f t="shared" si="20"/>
        <v>1</v>
      </c>
      <c r="CT14" s="125">
        <f t="shared" si="26"/>
        <v>0.2</v>
      </c>
      <c r="CU14" s="125">
        <v>0</v>
      </c>
      <c r="CV14" s="125">
        <f t="shared" si="21"/>
        <v>125</v>
      </c>
      <c r="CW14" s="125">
        <f t="shared" si="22"/>
        <v>0</v>
      </c>
      <c r="CX14" s="125">
        <f t="shared" si="27"/>
        <v>0</v>
      </c>
      <c r="CY14" s="139"/>
      <c r="CZ14" s="139"/>
      <c r="DA14" s="125" t="e">
        <f>#REF!+CO14+CT14+CX14</f>
        <v>#REF!</v>
      </c>
      <c r="DB14" s="125">
        <f t="shared" si="23"/>
        <v>275</v>
      </c>
      <c r="DD14" s="104">
        <f>Tabel35721[[#This Row],[Rookgasafvoer Afschrijving 15 jaar]]</f>
        <v>0</v>
      </c>
      <c r="DE14" s="104">
        <f>Tabel35721[[#This Row],[Rookgasafvoer beheer per jaar (onderhoud)]]+Tabel35721[[#This Row],[Rookgasafvoer beheer (storingen) PM]]</f>
        <v>149</v>
      </c>
      <c r="DF14" s="126">
        <f t="shared" si="28"/>
        <v>149</v>
      </c>
      <c r="DG14" s="127"/>
      <c r="DH14" s="127" t="e">
        <f>#REF!+Tabel35721[[#This Row],[Lucht Afschrijving 5 jaar]]</f>
        <v>#REF!</v>
      </c>
      <c r="DI14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4" s="126" t="e">
        <f t="shared" si="29"/>
        <v>#REF!</v>
      </c>
      <c r="DK14" s="128" t="e">
        <f t="shared" si="30"/>
        <v>#REF!</v>
      </c>
      <c r="DL14" s="135"/>
    </row>
    <row r="15" spans="1:118" s="159" customFormat="1" ht="12.75" customHeight="1" x14ac:dyDescent="0.3">
      <c r="A15" s="142" t="s">
        <v>162</v>
      </c>
      <c r="B15" s="143" t="s">
        <v>167</v>
      </c>
      <c r="C15" s="143" t="s">
        <v>143</v>
      </c>
      <c r="D15" s="144" t="s">
        <v>139</v>
      </c>
      <c r="E15" s="145" t="s">
        <v>151</v>
      </c>
      <c r="F15" s="145" t="s">
        <v>133</v>
      </c>
      <c r="G15" s="145"/>
      <c r="H15" s="145">
        <v>14</v>
      </c>
      <c r="I15" s="145"/>
      <c r="J15" s="144"/>
      <c r="K15" s="144"/>
      <c r="L15" s="146">
        <v>2002</v>
      </c>
      <c r="M15" s="145" t="s">
        <v>139</v>
      </c>
      <c r="N15" s="144"/>
      <c r="O15" s="145" t="s">
        <v>133</v>
      </c>
      <c r="P15" s="145">
        <v>0</v>
      </c>
      <c r="Q15" s="145">
        <f t="shared" si="0"/>
        <v>0</v>
      </c>
      <c r="R15" s="144"/>
      <c r="S15" s="145" t="s">
        <v>133</v>
      </c>
      <c r="T15" s="145">
        <f>IF(AND($G15&lt;$H15,$H15&lt;11),$T$4,0)</f>
        <v>0</v>
      </c>
      <c r="U15" s="145">
        <v>1</v>
      </c>
      <c r="V15" s="145">
        <f t="shared" si="2"/>
        <v>0</v>
      </c>
      <c r="W15" s="145">
        <f t="shared" si="31"/>
        <v>0</v>
      </c>
      <c r="X15" s="145">
        <f t="shared" si="3"/>
        <v>0</v>
      </c>
      <c r="Y15" s="145">
        <f t="shared" si="4"/>
        <v>0</v>
      </c>
      <c r="Z15" s="145">
        <f t="shared" si="5"/>
        <v>0</v>
      </c>
      <c r="AA15" s="145">
        <f t="shared" si="6"/>
        <v>0</v>
      </c>
      <c r="AB15" s="145" t="s">
        <v>139</v>
      </c>
      <c r="AC15" s="145" t="s">
        <v>146</v>
      </c>
      <c r="AD15" s="145" t="s">
        <v>139</v>
      </c>
      <c r="AE15" s="145"/>
      <c r="AF15" s="94">
        <v>0</v>
      </c>
      <c r="AG15" s="144"/>
      <c r="AH15" s="145">
        <v>0</v>
      </c>
      <c r="AI15" s="145" t="s">
        <v>135</v>
      </c>
      <c r="AJ15" s="145"/>
      <c r="AK15" s="147"/>
      <c r="AL15" s="147"/>
      <c r="AM15" s="145">
        <f t="shared" si="32"/>
        <v>1</v>
      </c>
      <c r="AN15" s="145">
        <f t="shared" si="7"/>
        <v>1</v>
      </c>
      <c r="AO15" s="145">
        <f>IF(AB15="Nee",Tabel22620[[#This Row],[Aantal tracés verwacht na (ver)nieuwbouw]]*$AO$4,0)</f>
        <v>0</v>
      </c>
      <c r="AP15" s="145">
        <v>1</v>
      </c>
      <c r="AQ15" s="145">
        <f t="shared" si="9"/>
        <v>0</v>
      </c>
      <c r="AR15" s="145">
        <f t="shared" si="10"/>
        <v>0</v>
      </c>
      <c r="AS15" s="145">
        <f t="shared" si="11"/>
        <v>0</v>
      </c>
      <c r="AT15" s="145" t="s">
        <v>135</v>
      </c>
      <c r="AU15" s="144"/>
      <c r="AV15" s="144">
        <f t="shared" si="12"/>
        <v>1</v>
      </c>
      <c r="AW15" s="144"/>
      <c r="AX15" s="145"/>
      <c r="AY15" s="145"/>
      <c r="AZ15" s="145">
        <f t="shared" si="13"/>
        <v>1</v>
      </c>
      <c r="BA15" s="145"/>
      <c r="BB15" s="145">
        <f t="shared" si="14"/>
        <v>1</v>
      </c>
      <c r="BC15" s="145">
        <f t="shared" si="15"/>
        <v>1</v>
      </c>
      <c r="BD15" s="145">
        <v>1</v>
      </c>
      <c r="BE15" s="145">
        <v>1</v>
      </c>
      <c r="BF15" s="145">
        <v>1</v>
      </c>
      <c r="BG15" s="144"/>
      <c r="BH15" s="145"/>
      <c r="BI15" s="145"/>
      <c r="BJ15" s="145"/>
      <c r="BK15" s="145"/>
      <c r="BL15" s="148">
        <f t="shared" si="16"/>
        <v>0</v>
      </c>
      <c r="BM15" s="144">
        <v>1</v>
      </c>
      <c r="BN15" s="144"/>
      <c r="BO15" s="144"/>
      <c r="BP15" s="144"/>
      <c r="BQ15" s="144"/>
      <c r="BR15" s="144"/>
      <c r="BS15" s="144"/>
      <c r="BT15" s="144"/>
      <c r="BU15" s="144"/>
      <c r="BV15" s="149"/>
      <c r="BW15" s="144"/>
      <c r="BX15" s="144"/>
      <c r="BY15" s="150">
        <f>SUM(Tabel22620[[#This Row],[TS Basis / Compact 1]:[TS bedrijfs voering]])</f>
        <v>1</v>
      </c>
      <c r="BZ15" s="151"/>
      <c r="CA15" s="144"/>
      <c r="CB15" s="144">
        <v>1</v>
      </c>
      <c r="CC15" s="144">
        <v>1</v>
      </c>
      <c r="CD15" s="144"/>
      <c r="CE15" s="144" t="s">
        <v>168</v>
      </c>
      <c r="CF15" s="144"/>
      <c r="CG15" s="144"/>
      <c r="CH15" s="144"/>
      <c r="CI15" s="152"/>
      <c r="CJ15" s="153">
        <v>1</v>
      </c>
      <c r="CK15" s="154"/>
      <c r="CL15" s="154">
        <f t="shared" si="17"/>
        <v>0</v>
      </c>
      <c r="CM15" s="154">
        <f t="shared" si="18"/>
        <v>0</v>
      </c>
      <c r="CN15" s="155"/>
      <c r="CO15" s="154">
        <f t="shared" si="19"/>
        <v>0</v>
      </c>
      <c r="CP15" s="156">
        <f>99+(50*Tabel22620[[#This Row],[Aantal rookgasafvoer aangesloten]])</f>
        <v>99</v>
      </c>
      <c r="CQ15" s="156"/>
      <c r="CR15" s="154"/>
      <c r="CS15" s="157">
        <f t="shared" si="20"/>
        <v>2</v>
      </c>
      <c r="CT15" s="158">
        <f t="shared" si="26"/>
        <v>0.4</v>
      </c>
      <c r="CU15" s="158">
        <v>0</v>
      </c>
      <c r="CV15" s="158">
        <f t="shared" si="21"/>
        <v>125</v>
      </c>
      <c r="CW15" s="158">
        <f t="shared" si="22"/>
        <v>0</v>
      </c>
      <c r="CX15" s="158">
        <f t="shared" si="27"/>
        <v>0</v>
      </c>
      <c r="CY15" s="157"/>
      <c r="CZ15" s="157"/>
      <c r="DA15" s="158" t="e">
        <f>#REF!+CO15+CT15+CX15</f>
        <v>#REF!</v>
      </c>
      <c r="DB15" s="158">
        <f t="shared" si="23"/>
        <v>225</v>
      </c>
      <c r="DD15" s="104">
        <f>Tabel35721[[#This Row],[Rookgasafvoer Afschrijving 15 jaar]]</f>
        <v>0</v>
      </c>
      <c r="DE15" s="104">
        <f>Tabel35721[[#This Row],[Rookgasafvoer beheer per jaar (onderhoud)]]+Tabel35721[[#This Row],[Rookgasafvoer beheer (storingen) PM]]</f>
        <v>99</v>
      </c>
      <c r="DF15" s="160">
        <f t="shared" si="28"/>
        <v>99</v>
      </c>
      <c r="DG15" s="160"/>
      <c r="DH15" s="160" t="e">
        <f>#REF!+Tabel35721[[#This Row],[Lucht Afschrijving 5 jaar]]</f>
        <v>#REF!</v>
      </c>
      <c r="DI15" s="160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5" s="160" t="e">
        <f t="shared" si="29"/>
        <v>#REF!</v>
      </c>
      <c r="DK15" s="160" t="e">
        <f t="shared" si="30"/>
        <v>#REF!</v>
      </c>
      <c r="DL15" s="161"/>
    </row>
    <row r="16" spans="1:118" ht="12.75" customHeight="1" x14ac:dyDescent="0.3">
      <c r="A16" s="106" t="s">
        <v>162</v>
      </c>
      <c r="B16" s="107" t="s">
        <v>169</v>
      </c>
      <c r="C16" s="107" t="s">
        <v>143</v>
      </c>
      <c r="D16" s="108" t="s">
        <v>133</v>
      </c>
      <c r="E16" s="109" t="s">
        <v>151</v>
      </c>
      <c r="F16" s="110" t="s">
        <v>133</v>
      </c>
      <c r="G16" s="109">
        <v>10</v>
      </c>
      <c r="H16" s="112">
        <v>10</v>
      </c>
      <c r="I16" s="112"/>
      <c r="J16" s="108" t="s">
        <v>152</v>
      </c>
      <c r="K16" s="108" t="s">
        <v>131</v>
      </c>
      <c r="L16" s="113">
        <v>2002</v>
      </c>
      <c r="M16" s="108" t="s">
        <v>153</v>
      </c>
      <c r="N16" s="108" t="s">
        <v>131</v>
      </c>
      <c r="O16" s="112" t="s">
        <v>133</v>
      </c>
      <c r="P16" s="109" t="s">
        <v>159</v>
      </c>
      <c r="Q16" s="112">
        <f t="shared" si="0"/>
        <v>1</v>
      </c>
      <c r="R16" s="108" t="s">
        <v>135</v>
      </c>
      <c r="S16" s="112" t="s">
        <v>133</v>
      </c>
      <c r="T16" s="109">
        <f>IF(AND($G16&lt;$H16,$H16&lt;11),$T$4,0)</f>
        <v>0</v>
      </c>
      <c r="U16" s="109">
        <f t="shared" ref="U16:U26" si="33">IF(AND($G16&lt;$H16,$H16&gt;13),$U$4,0)</f>
        <v>0</v>
      </c>
      <c r="V16" s="109">
        <f t="shared" si="2"/>
        <v>0</v>
      </c>
      <c r="W16" s="109">
        <f t="shared" si="31"/>
        <v>0</v>
      </c>
      <c r="X16" s="109">
        <f t="shared" si="3"/>
        <v>0</v>
      </c>
      <c r="Y16" s="109">
        <v>1</v>
      </c>
      <c r="Z16" s="109">
        <v>1</v>
      </c>
      <c r="AA16" s="109">
        <v>1</v>
      </c>
      <c r="AB16" s="109" t="s">
        <v>131</v>
      </c>
      <c r="AC16" s="109" t="s">
        <v>146</v>
      </c>
      <c r="AD16" s="109" t="s">
        <v>154</v>
      </c>
      <c r="AE16" s="109" t="s">
        <v>155</v>
      </c>
      <c r="AF16" s="94">
        <v>1</v>
      </c>
      <c r="AG16" s="109" t="s">
        <v>131</v>
      </c>
      <c r="AH16" s="109">
        <v>1</v>
      </c>
      <c r="AI16" s="109" t="s">
        <v>139</v>
      </c>
      <c r="AJ16" s="109" t="s">
        <v>156</v>
      </c>
      <c r="AK16" s="114" t="s">
        <v>156</v>
      </c>
      <c r="AL16" s="114"/>
      <c r="AM16" s="112">
        <f t="shared" si="32"/>
        <v>0</v>
      </c>
      <c r="AN16" s="112">
        <f t="shared" si="7"/>
        <v>0</v>
      </c>
      <c r="AO16" s="109">
        <f>IF(AB16="Nee",Tabel22620[[#This Row],[Aantal tracés verwacht na (ver)nieuwbouw]]*$AO$4,0)</f>
        <v>0</v>
      </c>
      <c r="AP16" s="109">
        <f t="shared" si="8"/>
        <v>0</v>
      </c>
      <c r="AQ16" s="109">
        <f t="shared" si="9"/>
        <v>0</v>
      </c>
      <c r="AR16" s="109">
        <f t="shared" si="10"/>
        <v>0</v>
      </c>
      <c r="AS16" s="109">
        <f t="shared" si="11"/>
        <v>0</v>
      </c>
      <c r="AT16" s="109" t="s">
        <v>135</v>
      </c>
      <c r="AU16" s="108">
        <v>0</v>
      </c>
      <c r="AV16" s="115">
        <f t="shared" si="12"/>
        <v>1</v>
      </c>
      <c r="AW16" s="109" t="s">
        <v>135</v>
      </c>
      <c r="AX16" s="109">
        <v>1</v>
      </c>
      <c r="AY16" s="109"/>
      <c r="AZ16" s="112">
        <f t="shared" si="13"/>
        <v>1</v>
      </c>
      <c r="BA16" s="109"/>
      <c r="BB16" s="112">
        <f t="shared" si="14"/>
        <v>1</v>
      </c>
      <c r="BC16" s="112">
        <f t="shared" si="15"/>
        <v>1</v>
      </c>
      <c r="BD16" s="109">
        <v>2</v>
      </c>
      <c r="BE16" s="109">
        <v>2</v>
      </c>
      <c r="BF16" s="109">
        <v>1</v>
      </c>
      <c r="BG16" s="108"/>
      <c r="BH16" s="109"/>
      <c r="BI16" s="109"/>
      <c r="BJ16" s="109"/>
      <c r="BK16" s="109"/>
      <c r="BL16" s="116">
        <f t="shared" si="16"/>
        <v>0</v>
      </c>
      <c r="BM16" s="117">
        <v>0</v>
      </c>
      <c r="BN16" s="117"/>
      <c r="BO16" s="117"/>
      <c r="BP16" s="117"/>
      <c r="BQ16" s="117"/>
      <c r="BR16" s="117"/>
      <c r="BS16" s="117"/>
      <c r="BT16" s="117"/>
      <c r="BU16" s="117"/>
      <c r="BV16" s="118">
        <v>1</v>
      </c>
      <c r="BW16" s="117"/>
      <c r="BX16" s="117"/>
      <c r="BY16" s="119">
        <f>SUM(Tabel22620[[#This Row],[TS Basis / Compact 1]:[TS bedrijfs voering]])</f>
        <v>1</v>
      </c>
      <c r="BZ16" s="120"/>
      <c r="CA16" s="91">
        <v>1</v>
      </c>
      <c r="CB16" s="91"/>
      <c r="CC16" s="91"/>
      <c r="CD16" s="117"/>
      <c r="CE16" s="121">
        <v>1</v>
      </c>
      <c r="CF16" s="121"/>
      <c r="CG16" s="121"/>
      <c r="CH16" s="117"/>
      <c r="CI16" s="122"/>
      <c r="CJ16" s="136">
        <v>1</v>
      </c>
      <c r="CK16" s="124"/>
      <c r="CL16" s="124">
        <f t="shared" si="17"/>
        <v>0</v>
      </c>
      <c r="CM16" s="124">
        <f t="shared" si="18"/>
        <v>0</v>
      </c>
      <c r="CN16" s="137"/>
      <c r="CO16" s="124">
        <f t="shared" si="19"/>
        <v>0</v>
      </c>
      <c r="CP16" s="138">
        <f>99+(50*Tabel22620[[#This Row],[Aantal rookgasafvoer aangesloten]])</f>
        <v>149</v>
      </c>
      <c r="CQ16" s="138"/>
      <c r="CR16" s="124"/>
      <c r="CS16" s="139">
        <f t="shared" si="20"/>
        <v>3</v>
      </c>
      <c r="CT16" s="125">
        <f t="shared" si="26"/>
        <v>0.6</v>
      </c>
      <c r="CU16" s="125">
        <v>0</v>
      </c>
      <c r="CV16" s="125">
        <f t="shared" si="21"/>
        <v>125</v>
      </c>
      <c r="CW16" s="125">
        <f t="shared" si="22"/>
        <v>0</v>
      </c>
      <c r="CX16" s="125">
        <f t="shared" si="27"/>
        <v>0</v>
      </c>
      <c r="CY16" s="139"/>
      <c r="CZ16" s="139"/>
      <c r="DA16" s="125" t="e">
        <f>#REF!+CO16+CT16+CX16</f>
        <v>#REF!</v>
      </c>
      <c r="DB16" s="125">
        <f t="shared" si="23"/>
        <v>275</v>
      </c>
      <c r="DD16" s="104">
        <f>Tabel35721[[#This Row],[Rookgasafvoer Afschrijving 15 jaar]]</f>
        <v>0</v>
      </c>
      <c r="DE16" s="104">
        <f>Tabel35721[[#This Row],[Rookgasafvoer beheer per jaar (onderhoud)]]+Tabel35721[[#This Row],[Rookgasafvoer beheer (storingen) PM]]</f>
        <v>149</v>
      </c>
      <c r="DF16" s="126">
        <f t="shared" si="28"/>
        <v>149</v>
      </c>
      <c r="DG16" s="127"/>
      <c r="DH16" s="127" t="e">
        <f>#REF!+Tabel35721[[#This Row],[Lucht Afschrijving 5 jaar]]</f>
        <v>#REF!</v>
      </c>
      <c r="DI16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6" s="126" t="e">
        <f t="shared" si="29"/>
        <v>#REF!</v>
      </c>
      <c r="DK16" s="128" t="e">
        <f t="shared" si="30"/>
        <v>#REF!</v>
      </c>
      <c r="DL16" s="129"/>
      <c r="DM16" s="162" t="e">
        <f>SUM(DK12:DK16)</f>
        <v>#REF!</v>
      </c>
      <c r="DN16" s="163" t="s">
        <v>162</v>
      </c>
    </row>
    <row r="17" spans="1:118" ht="12.75" customHeight="1" x14ac:dyDescent="0.3">
      <c r="A17" s="106" t="s">
        <v>170</v>
      </c>
      <c r="B17" s="164" t="s">
        <v>171</v>
      </c>
      <c r="C17" s="164" t="s">
        <v>143</v>
      </c>
      <c r="D17" s="109" t="s">
        <v>133</v>
      </c>
      <c r="E17" s="109" t="s">
        <v>172</v>
      </c>
      <c r="F17" s="110" t="s">
        <v>133</v>
      </c>
      <c r="G17" s="109">
        <v>8</v>
      </c>
      <c r="H17" s="112">
        <v>10</v>
      </c>
      <c r="I17" s="112"/>
      <c r="J17" s="109" t="s">
        <v>152</v>
      </c>
      <c r="K17" s="113" t="s">
        <v>133</v>
      </c>
      <c r="L17" s="113">
        <v>2017</v>
      </c>
      <c r="M17" s="109" t="s">
        <v>153</v>
      </c>
      <c r="N17" s="109" t="s">
        <v>135</v>
      </c>
      <c r="O17" s="112" t="s">
        <v>133</v>
      </c>
      <c r="P17" s="109">
        <v>0</v>
      </c>
      <c r="Q17" s="165">
        <f t="shared" si="0"/>
        <v>1</v>
      </c>
      <c r="R17" s="109" t="s">
        <v>135</v>
      </c>
      <c r="S17" s="112" t="s">
        <v>133</v>
      </c>
      <c r="T17" s="109">
        <v>1</v>
      </c>
      <c r="U17" s="109">
        <f t="shared" si="33"/>
        <v>0</v>
      </c>
      <c r="V17" s="109">
        <v>1</v>
      </c>
      <c r="W17" s="109">
        <v>1</v>
      </c>
      <c r="X17" s="109">
        <v>1</v>
      </c>
      <c r="Y17" s="109">
        <v>1</v>
      </c>
      <c r="Z17" s="109">
        <v>1</v>
      </c>
      <c r="AA17" s="109">
        <v>1</v>
      </c>
      <c r="AB17" s="109" t="s">
        <v>131</v>
      </c>
      <c r="AC17" s="109" t="s">
        <v>146</v>
      </c>
      <c r="AD17" s="109" t="s">
        <v>138</v>
      </c>
      <c r="AE17" s="111" t="s">
        <v>155</v>
      </c>
      <c r="AF17" s="94">
        <v>1</v>
      </c>
      <c r="AG17" s="109" t="s">
        <v>135</v>
      </c>
      <c r="AH17" s="109">
        <v>2</v>
      </c>
      <c r="AI17" s="109" t="s">
        <v>139</v>
      </c>
      <c r="AJ17" s="109" t="s">
        <v>173</v>
      </c>
      <c r="AK17" s="114"/>
      <c r="AL17" s="114"/>
      <c r="AM17" s="112">
        <f t="shared" si="32"/>
        <v>1</v>
      </c>
      <c r="AN17" s="112">
        <f t="shared" si="7"/>
        <v>0</v>
      </c>
      <c r="AO17" s="109">
        <f>IF(AB17="Nee",Tabel22620[[#This Row],[Aantal tracés verwacht na (ver)nieuwbouw]]*$AO$4,0)</f>
        <v>0</v>
      </c>
      <c r="AP17" s="109">
        <f t="shared" si="8"/>
        <v>0</v>
      </c>
      <c r="AQ17" s="109">
        <v>1</v>
      </c>
      <c r="AR17" s="109">
        <f t="shared" si="10"/>
        <v>0</v>
      </c>
      <c r="AS17" s="109">
        <f t="shared" si="11"/>
        <v>0</v>
      </c>
      <c r="AT17" s="109" t="s">
        <v>131</v>
      </c>
      <c r="AU17" s="109">
        <v>1</v>
      </c>
      <c r="AV17" s="112">
        <f t="shared" si="12"/>
        <v>1</v>
      </c>
      <c r="AW17" s="109" t="s">
        <v>135</v>
      </c>
      <c r="AX17" s="109">
        <v>3</v>
      </c>
      <c r="AY17" s="109"/>
      <c r="AZ17" s="112">
        <f t="shared" si="13"/>
        <v>1</v>
      </c>
      <c r="BA17" s="109"/>
      <c r="BB17" s="112">
        <f t="shared" si="14"/>
        <v>1</v>
      </c>
      <c r="BC17" s="112">
        <f t="shared" si="15"/>
        <v>0</v>
      </c>
      <c r="BD17" s="109">
        <v>1</v>
      </c>
      <c r="BE17" s="109">
        <v>1</v>
      </c>
      <c r="BF17" s="109">
        <v>1</v>
      </c>
      <c r="BG17" s="109"/>
      <c r="BH17" s="109"/>
      <c r="BI17" s="109"/>
      <c r="BJ17" s="109"/>
      <c r="BK17" s="109"/>
      <c r="BL17" s="166">
        <f t="shared" si="16"/>
        <v>0</v>
      </c>
      <c r="BM17" s="117">
        <v>1</v>
      </c>
      <c r="BN17" s="117"/>
      <c r="BO17" s="117"/>
      <c r="BP17" s="117"/>
      <c r="BQ17" s="117"/>
      <c r="BR17" s="117"/>
      <c r="BS17" s="117"/>
      <c r="BT17" s="117"/>
      <c r="BU17" s="117"/>
      <c r="BV17" s="118"/>
      <c r="BW17" s="117"/>
      <c r="BX17" s="117"/>
      <c r="BY17" s="119">
        <f>SUM(Tabel22620[[#This Row],[TS Basis / Compact 1]:[TS bedrijfs voering]])</f>
        <v>1</v>
      </c>
      <c r="BZ17" s="120"/>
      <c r="CA17" s="91">
        <v>1</v>
      </c>
      <c r="CB17" s="91"/>
      <c r="CC17" s="91"/>
      <c r="CD17" s="117"/>
      <c r="CE17" s="121">
        <v>1</v>
      </c>
      <c r="CF17" s="121"/>
      <c r="CG17" s="121"/>
      <c r="CH17" s="117"/>
      <c r="CI17" s="122"/>
      <c r="CJ17" s="136">
        <v>1</v>
      </c>
      <c r="CK17" s="124"/>
      <c r="CL17" s="124">
        <f t="shared" si="17"/>
        <v>1</v>
      </c>
      <c r="CM17" s="124">
        <f t="shared" si="18"/>
        <v>0</v>
      </c>
      <c r="CN17" s="137"/>
      <c r="CO17" s="124">
        <f t="shared" si="19"/>
        <v>6.6666666666666666E-2</v>
      </c>
      <c r="CP17" s="138">
        <f>99+(50*Tabel22620[[#This Row],[Aantal rookgasafvoer aangesloten]])</f>
        <v>199</v>
      </c>
      <c r="CQ17" s="138"/>
      <c r="CR17" s="124"/>
      <c r="CS17" s="139">
        <f t="shared" si="20"/>
        <v>2</v>
      </c>
      <c r="CT17" s="125">
        <f t="shared" si="26"/>
        <v>0.4</v>
      </c>
      <c r="CU17" s="125">
        <v>0</v>
      </c>
      <c r="CV17" s="125">
        <f t="shared" si="21"/>
        <v>125</v>
      </c>
      <c r="CW17" s="125">
        <f t="shared" si="22"/>
        <v>0</v>
      </c>
      <c r="CX17" s="125">
        <f t="shared" si="27"/>
        <v>0</v>
      </c>
      <c r="CY17" s="139"/>
      <c r="CZ17" s="139"/>
      <c r="DA17" s="125" t="e">
        <f>#REF!+CO17+CT17+CX17</f>
        <v>#REF!</v>
      </c>
      <c r="DB17" s="125">
        <f t="shared" si="23"/>
        <v>325</v>
      </c>
      <c r="DD17" s="104">
        <f>Tabel35721[[#This Row],[Rookgasafvoer Afschrijving 15 jaar]]</f>
        <v>6.6666666666666666E-2</v>
      </c>
      <c r="DE17" s="104">
        <f>Tabel35721[[#This Row],[Rookgasafvoer beheer per jaar (onderhoud)]]+Tabel35721[[#This Row],[Rookgasafvoer beheer (storingen) PM]]</f>
        <v>199</v>
      </c>
      <c r="DF17" s="126">
        <f t="shared" si="28"/>
        <v>199.06666666666666</v>
      </c>
      <c r="DG17" s="127"/>
      <c r="DH17" s="127" t="e">
        <f>#REF!+Tabel35721[[#This Row],[Lucht Afschrijving 5 jaar]]</f>
        <v>#REF!</v>
      </c>
      <c r="DI17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7" s="126" t="e">
        <f t="shared" si="29"/>
        <v>#REF!</v>
      </c>
      <c r="DK17" s="128" t="e">
        <f t="shared" si="30"/>
        <v>#REF!</v>
      </c>
      <c r="DL17" s="135"/>
    </row>
    <row r="18" spans="1:118" s="159" customFormat="1" ht="12.75" customHeight="1" x14ac:dyDescent="0.3">
      <c r="A18" s="142" t="s">
        <v>170</v>
      </c>
      <c r="B18" s="167" t="s">
        <v>174</v>
      </c>
      <c r="C18" s="167" t="s">
        <v>143</v>
      </c>
      <c r="D18" s="144" t="s">
        <v>133</v>
      </c>
      <c r="E18" s="145" t="s">
        <v>175</v>
      </c>
      <c r="F18" s="145" t="s">
        <v>133</v>
      </c>
      <c r="G18" s="145">
        <v>10</v>
      </c>
      <c r="H18" s="145">
        <v>10</v>
      </c>
      <c r="I18" s="145"/>
      <c r="J18" s="144" t="s">
        <v>152</v>
      </c>
      <c r="K18" s="144" t="s">
        <v>133</v>
      </c>
      <c r="L18" s="146">
        <v>2007</v>
      </c>
      <c r="M18" s="144" t="s">
        <v>153</v>
      </c>
      <c r="N18" s="144" t="s">
        <v>131</v>
      </c>
      <c r="O18" s="145" t="s">
        <v>133</v>
      </c>
      <c r="P18" s="145"/>
      <c r="Q18" s="145">
        <f t="shared" si="0"/>
        <v>1</v>
      </c>
      <c r="R18" s="144" t="s">
        <v>135</v>
      </c>
      <c r="S18" s="145" t="s">
        <v>133</v>
      </c>
      <c r="T18" s="145">
        <f>IF(AND($G18&lt;$H18,$H18&lt;11),$T$4,0)</f>
        <v>0</v>
      </c>
      <c r="U18" s="145">
        <f t="shared" si="33"/>
        <v>0</v>
      </c>
      <c r="V18" s="145">
        <f t="shared" si="2"/>
        <v>0</v>
      </c>
      <c r="W18" s="145">
        <v>1</v>
      </c>
      <c r="X18" s="145">
        <f t="shared" si="3"/>
        <v>0</v>
      </c>
      <c r="Y18" s="145">
        <v>1</v>
      </c>
      <c r="Z18" s="145">
        <v>1</v>
      </c>
      <c r="AA18" s="145">
        <v>1</v>
      </c>
      <c r="AB18" s="145" t="s">
        <v>135</v>
      </c>
      <c r="AC18" s="145" t="s">
        <v>176</v>
      </c>
      <c r="AD18" s="145" t="s">
        <v>139</v>
      </c>
      <c r="AE18" s="145" t="s">
        <v>139</v>
      </c>
      <c r="AF18" s="94">
        <v>0</v>
      </c>
      <c r="AG18" s="144" t="s">
        <v>135</v>
      </c>
      <c r="AH18" s="145">
        <v>0</v>
      </c>
      <c r="AI18" s="145" t="s">
        <v>139</v>
      </c>
      <c r="AJ18" s="145" t="s">
        <v>139</v>
      </c>
      <c r="AK18" s="147"/>
      <c r="AL18" s="147">
        <v>4</v>
      </c>
      <c r="AM18" s="145">
        <f t="shared" si="32"/>
        <v>1</v>
      </c>
      <c r="AN18" s="145">
        <f t="shared" si="7"/>
        <v>0</v>
      </c>
      <c r="AO18" s="145">
        <v>4</v>
      </c>
      <c r="AP18" s="145">
        <f t="shared" si="8"/>
        <v>0</v>
      </c>
      <c r="AQ18" s="145">
        <f t="shared" si="9"/>
        <v>0</v>
      </c>
      <c r="AR18" s="145">
        <f t="shared" si="10"/>
        <v>0</v>
      </c>
      <c r="AS18" s="145">
        <f t="shared" si="11"/>
        <v>0</v>
      </c>
      <c r="AT18" s="145" t="s">
        <v>131</v>
      </c>
      <c r="AU18" s="144">
        <v>3</v>
      </c>
      <c r="AV18" s="144">
        <f t="shared" si="12"/>
        <v>2</v>
      </c>
      <c r="AW18" s="144" t="s">
        <v>133</v>
      </c>
      <c r="AX18" s="145">
        <v>6</v>
      </c>
      <c r="AY18" s="145"/>
      <c r="AZ18" s="145">
        <f t="shared" si="13"/>
        <v>2</v>
      </c>
      <c r="BA18" s="145"/>
      <c r="BB18" s="145">
        <f t="shared" si="14"/>
        <v>2</v>
      </c>
      <c r="BC18" s="145">
        <f t="shared" si="15"/>
        <v>0</v>
      </c>
      <c r="BD18" s="145">
        <f t="shared" si="24"/>
        <v>0</v>
      </c>
      <c r="BE18" s="145">
        <f t="shared" si="25"/>
        <v>0</v>
      </c>
      <c r="BF18" s="145">
        <v>2</v>
      </c>
      <c r="BG18" s="144"/>
      <c r="BH18" s="145"/>
      <c r="BI18" s="145"/>
      <c r="BJ18" s="145"/>
      <c r="BK18" s="145"/>
      <c r="BL18" s="148">
        <f t="shared" si="16"/>
        <v>0</v>
      </c>
      <c r="BM18" s="144">
        <v>1</v>
      </c>
      <c r="BN18" s="144"/>
      <c r="BO18" s="144"/>
      <c r="BP18" s="144"/>
      <c r="BQ18" s="144">
        <v>1</v>
      </c>
      <c r="BR18" s="144"/>
      <c r="BS18" s="144"/>
      <c r="BT18" s="144"/>
      <c r="BU18" s="144"/>
      <c r="BV18" s="149"/>
      <c r="BW18" s="144"/>
      <c r="BX18" s="144"/>
      <c r="BY18" s="150">
        <f>SUM(Tabel22620[[#This Row],[TS Basis / Compact 1]:[TS bedrijfs voering]])</f>
        <v>2</v>
      </c>
      <c r="BZ18" s="151"/>
      <c r="CA18" s="144">
        <v>1</v>
      </c>
      <c r="CB18" s="144"/>
      <c r="CC18" s="144"/>
      <c r="CD18" s="144">
        <v>1</v>
      </c>
      <c r="CE18" s="144" t="s">
        <v>168</v>
      </c>
      <c r="CF18" s="144"/>
      <c r="CG18" s="144"/>
      <c r="CH18" s="144">
        <v>1</v>
      </c>
      <c r="CI18" s="152"/>
      <c r="CJ18" s="168">
        <v>1</v>
      </c>
      <c r="CK18" s="154"/>
      <c r="CL18" s="154">
        <f t="shared" si="17"/>
        <v>0</v>
      </c>
      <c r="CM18" s="154">
        <f t="shared" si="18"/>
        <v>0</v>
      </c>
      <c r="CN18" s="155"/>
      <c r="CO18" s="154">
        <f t="shared" si="19"/>
        <v>0</v>
      </c>
      <c r="CP18" s="154">
        <f>99+(50*Tabel22620[[#This Row],[Aantal rookgasafvoer aangesloten]])</f>
        <v>99</v>
      </c>
      <c r="CQ18" s="154"/>
      <c r="CR18" s="154"/>
      <c r="CS18" s="157">
        <f t="shared" si="20"/>
        <v>2</v>
      </c>
      <c r="CT18" s="158">
        <f t="shared" si="26"/>
        <v>0.4</v>
      </c>
      <c r="CU18" s="158">
        <v>0</v>
      </c>
      <c r="CV18" s="158">
        <f t="shared" si="21"/>
        <v>125</v>
      </c>
      <c r="CW18" s="158">
        <f t="shared" si="22"/>
        <v>0</v>
      </c>
      <c r="CX18" s="158">
        <f t="shared" si="27"/>
        <v>0</v>
      </c>
      <c r="CY18" s="157"/>
      <c r="CZ18" s="157"/>
      <c r="DA18" s="158" t="e">
        <f>#REF!+CO18+CT18+CX18</f>
        <v>#REF!</v>
      </c>
      <c r="DB18" s="158">
        <f t="shared" si="23"/>
        <v>225</v>
      </c>
      <c r="DD18" s="104">
        <f>Tabel35721[[#This Row],[Rookgasafvoer Afschrijving 15 jaar]]</f>
        <v>0</v>
      </c>
      <c r="DE18" s="104">
        <f>Tabel35721[[#This Row],[Rookgasafvoer beheer per jaar (onderhoud)]]+Tabel35721[[#This Row],[Rookgasafvoer beheer (storingen) PM]]</f>
        <v>99</v>
      </c>
      <c r="DF18" s="160">
        <f t="shared" si="28"/>
        <v>99</v>
      </c>
      <c r="DG18" s="160"/>
      <c r="DH18" s="160" t="e">
        <f>#REF!+Tabel35721[[#This Row],[Lucht Afschrijving 5 jaar]]</f>
        <v>#REF!</v>
      </c>
      <c r="DI18" s="160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8" s="160" t="e">
        <f t="shared" si="29"/>
        <v>#REF!</v>
      </c>
      <c r="DK18" s="160" t="e">
        <f t="shared" si="30"/>
        <v>#REF!</v>
      </c>
      <c r="DL18" s="161"/>
    </row>
    <row r="19" spans="1:118" ht="12.75" customHeight="1" x14ac:dyDescent="0.3">
      <c r="A19" s="106" t="s">
        <v>170</v>
      </c>
      <c r="B19" s="164" t="s">
        <v>177</v>
      </c>
      <c r="C19" s="164" t="s">
        <v>143</v>
      </c>
      <c r="D19" s="108" t="s">
        <v>133</v>
      </c>
      <c r="E19" s="109" t="s">
        <v>178</v>
      </c>
      <c r="F19" s="110" t="s">
        <v>133</v>
      </c>
      <c r="G19" s="109">
        <v>8</v>
      </c>
      <c r="H19" s="112">
        <v>10</v>
      </c>
      <c r="I19" s="112"/>
      <c r="J19" s="108" t="s">
        <v>152</v>
      </c>
      <c r="K19" s="108" t="s">
        <v>133</v>
      </c>
      <c r="L19" s="113">
        <v>2014</v>
      </c>
      <c r="M19" s="108" t="s">
        <v>153</v>
      </c>
      <c r="N19" s="108" t="s">
        <v>131</v>
      </c>
      <c r="O19" s="112" t="s">
        <v>133</v>
      </c>
      <c r="P19" s="109">
        <v>0</v>
      </c>
      <c r="Q19" s="112">
        <f t="shared" si="0"/>
        <v>1</v>
      </c>
      <c r="R19" s="108" t="s">
        <v>135</v>
      </c>
      <c r="S19" s="112" t="s">
        <v>133</v>
      </c>
      <c r="T19" s="109">
        <v>1</v>
      </c>
      <c r="U19" s="109">
        <f t="shared" si="33"/>
        <v>0</v>
      </c>
      <c r="V19" s="109">
        <f t="shared" si="2"/>
        <v>0</v>
      </c>
      <c r="W19" s="109">
        <v>1</v>
      </c>
      <c r="X19" s="109">
        <v>1</v>
      </c>
      <c r="Y19" s="109">
        <v>1</v>
      </c>
      <c r="Z19" s="109">
        <v>1</v>
      </c>
      <c r="AA19" s="109">
        <v>1</v>
      </c>
      <c r="AB19" s="109" t="s">
        <v>131</v>
      </c>
      <c r="AC19" s="109" t="s">
        <v>146</v>
      </c>
      <c r="AD19" s="109" t="s">
        <v>138</v>
      </c>
      <c r="AE19" s="111" t="s">
        <v>155</v>
      </c>
      <c r="AF19" s="94">
        <v>1</v>
      </c>
      <c r="AG19" s="109" t="s">
        <v>135</v>
      </c>
      <c r="AH19" s="109">
        <v>1</v>
      </c>
      <c r="AI19" s="109" t="s">
        <v>139</v>
      </c>
      <c r="AJ19" s="109" t="s">
        <v>173</v>
      </c>
      <c r="AK19" s="114"/>
      <c r="AL19" s="114"/>
      <c r="AM19" s="112">
        <f t="shared" si="32"/>
        <v>1</v>
      </c>
      <c r="AN19" s="112">
        <f t="shared" si="7"/>
        <v>0</v>
      </c>
      <c r="AO19" s="109">
        <f>IF(AB19="Nee",Tabel22620[[#This Row],[Aantal tracés verwacht na (ver)nieuwbouw]]*$AO$4,0)</f>
        <v>0</v>
      </c>
      <c r="AP19" s="109">
        <f t="shared" si="8"/>
        <v>0</v>
      </c>
      <c r="AQ19" s="109">
        <v>1</v>
      </c>
      <c r="AR19" s="109">
        <f t="shared" si="10"/>
        <v>0</v>
      </c>
      <c r="AS19" s="109">
        <f t="shared" si="11"/>
        <v>0</v>
      </c>
      <c r="AT19" s="109" t="s">
        <v>131</v>
      </c>
      <c r="AU19" s="108">
        <v>1</v>
      </c>
      <c r="AV19" s="115">
        <f t="shared" si="12"/>
        <v>2</v>
      </c>
      <c r="AW19" s="108" t="s">
        <v>133</v>
      </c>
      <c r="AX19" s="109">
        <v>3</v>
      </c>
      <c r="AY19" s="109"/>
      <c r="AZ19" s="112">
        <f t="shared" si="13"/>
        <v>2</v>
      </c>
      <c r="BA19" s="109"/>
      <c r="BB19" s="112">
        <f t="shared" si="14"/>
        <v>2</v>
      </c>
      <c r="BC19" s="112">
        <f t="shared" si="15"/>
        <v>1</v>
      </c>
      <c r="BD19" s="109">
        <v>1</v>
      </c>
      <c r="BE19" s="109">
        <v>1</v>
      </c>
      <c r="BF19" s="109">
        <v>2</v>
      </c>
      <c r="BG19" s="108"/>
      <c r="BH19" s="109"/>
      <c r="BI19" s="109"/>
      <c r="BJ19" s="109"/>
      <c r="BK19" s="109"/>
      <c r="BL19" s="116">
        <f t="shared" si="16"/>
        <v>0</v>
      </c>
      <c r="BM19" s="117">
        <v>1</v>
      </c>
      <c r="BN19" s="117"/>
      <c r="BO19" s="117"/>
      <c r="BP19" s="117"/>
      <c r="BQ19" s="117"/>
      <c r="BR19" s="117"/>
      <c r="BS19" s="117"/>
      <c r="BT19" s="117"/>
      <c r="BU19" s="117"/>
      <c r="BV19" s="118">
        <v>1</v>
      </c>
      <c r="BW19" s="117"/>
      <c r="BX19" s="117"/>
      <c r="BY19" s="119">
        <f>SUM(Tabel22620[[#This Row],[TS Basis / Compact 1]:[TS bedrijfs voering]])</f>
        <v>2</v>
      </c>
      <c r="BZ19" s="120"/>
      <c r="CA19" s="91">
        <v>1</v>
      </c>
      <c r="CB19" s="91"/>
      <c r="CC19" s="91"/>
      <c r="CD19" s="117"/>
      <c r="CE19" s="121">
        <v>1</v>
      </c>
      <c r="CF19" s="121"/>
      <c r="CG19" s="121"/>
      <c r="CH19" s="117"/>
      <c r="CI19" s="122"/>
      <c r="CJ19" s="136">
        <v>1</v>
      </c>
      <c r="CK19" s="124"/>
      <c r="CL19" s="124">
        <f t="shared" si="17"/>
        <v>1</v>
      </c>
      <c r="CM19" s="124">
        <f t="shared" si="18"/>
        <v>0</v>
      </c>
      <c r="CN19" s="137"/>
      <c r="CO19" s="124">
        <f t="shared" si="19"/>
        <v>6.6666666666666666E-2</v>
      </c>
      <c r="CP19" s="138">
        <f>99+(50*Tabel22620[[#This Row],[Aantal rookgasafvoer aangesloten]])</f>
        <v>149</v>
      </c>
      <c r="CQ19" s="138"/>
      <c r="CR19" s="124"/>
      <c r="CS19" s="139">
        <f t="shared" si="20"/>
        <v>3</v>
      </c>
      <c r="CT19" s="125">
        <f t="shared" si="26"/>
        <v>0.6</v>
      </c>
      <c r="CU19" s="125">
        <v>0</v>
      </c>
      <c r="CV19" s="125">
        <f t="shared" si="21"/>
        <v>125</v>
      </c>
      <c r="CW19" s="125">
        <f t="shared" si="22"/>
        <v>0</v>
      </c>
      <c r="CX19" s="125">
        <f t="shared" si="27"/>
        <v>0</v>
      </c>
      <c r="CY19" s="139"/>
      <c r="CZ19" s="139"/>
      <c r="DA19" s="125" t="e">
        <f>#REF!+CO19+CT19+CX19</f>
        <v>#REF!</v>
      </c>
      <c r="DB19" s="125">
        <f t="shared" si="23"/>
        <v>275</v>
      </c>
      <c r="DD19" s="104">
        <f>Tabel35721[[#This Row],[Rookgasafvoer Afschrijving 15 jaar]]</f>
        <v>6.6666666666666666E-2</v>
      </c>
      <c r="DE19" s="104">
        <f>Tabel35721[[#This Row],[Rookgasafvoer beheer per jaar (onderhoud)]]+Tabel35721[[#This Row],[Rookgasafvoer beheer (storingen) PM]]</f>
        <v>149</v>
      </c>
      <c r="DF19" s="126">
        <f t="shared" si="28"/>
        <v>149.06666666666666</v>
      </c>
      <c r="DG19" s="127"/>
      <c r="DH19" s="127" t="e">
        <f>#REF!+Tabel35721[[#This Row],[Lucht Afschrijving 5 jaar]]</f>
        <v>#REF!</v>
      </c>
      <c r="DI19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19" s="126" t="e">
        <f t="shared" si="29"/>
        <v>#REF!</v>
      </c>
      <c r="DK19" s="128" t="e">
        <f t="shared" si="30"/>
        <v>#REF!</v>
      </c>
      <c r="DL19" s="135"/>
    </row>
    <row r="20" spans="1:118" ht="12.75" customHeight="1" x14ac:dyDescent="0.3">
      <c r="A20" s="106" t="s">
        <v>170</v>
      </c>
      <c r="B20" s="164" t="s">
        <v>179</v>
      </c>
      <c r="C20" s="164" t="s">
        <v>143</v>
      </c>
      <c r="D20" s="108" t="s">
        <v>133</v>
      </c>
      <c r="E20" s="109" t="s">
        <v>178</v>
      </c>
      <c r="F20" s="110" t="s">
        <v>133</v>
      </c>
      <c r="G20" s="109">
        <v>11</v>
      </c>
      <c r="H20" s="112">
        <v>10</v>
      </c>
      <c r="I20" s="112"/>
      <c r="J20" s="108" t="s">
        <v>152</v>
      </c>
      <c r="K20" s="108" t="s">
        <v>133</v>
      </c>
      <c r="L20" s="140">
        <v>1998</v>
      </c>
      <c r="M20" s="121" t="s">
        <v>136</v>
      </c>
      <c r="N20" s="108" t="s">
        <v>135</v>
      </c>
      <c r="O20" s="112" t="s">
        <v>133</v>
      </c>
      <c r="P20" s="109">
        <v>0</v>
      </c>
      <c r="Q20" s="112">
        <f t="shared" si="0"/>
        <v>1</v>
      </c>
      <c r="R20" s="108" t="s">
        <v>135</v>
      </c>
      <c r="S20" s="112" t="s">
        <v>133</v>
      </c>
      <c r="T20" s="109">
        <f>IF(AND($G20&lt;$H20,$H20&lt;11),$T$4,0)</f>
        <v>0</v>
      </c>
      <c r="U20" s="109">
        <f t="shared" si="33"/>
        <v>0</v>
      </c>
      <c r="V20" s="109">
        <v>1</v>
      </c>
      <c r="W20" s="109">
        <v>1</v>
      </c>
      <c r="X20" s="109">
        <f t="shared" si="3"/>
        <v>0</v>
      </c>
      <c r="Y20" s="109">
        <v>1</v>
      </c>
      <c r="Z20" s="109">
        <v>1</v>
      </c>
      <c r="AA20" s="109">
        <v>1</v>
      </c>
      <c r="AB20" s="109" t="s">
        <v>131</v>
      </c>
      <c r="AC20" s="109" t="s">
        <v>146</v>
      </c>
      <c r="AD20" s="109" t="s">
        <v>154</v>
      </c>
      <c r="AE20" s="109" t="s">
        <v>155</v>
      </c>
      <c r="AF20" s="94">
        <v>1</v>
      </c>
      <c r="AG20" s="109" t="s">
        <v>131</v>
      </c>
      <c r="AH20" s="109">
        <v>2</v>
      </c>
      <c r="AI20" s="109" t="s">
        <v>139</v>
      </c>
      <c r="AJ20" s="109" t="s">
        <v>156</v>
      </c>
      <c r="AK20" s="114" t="s">
        <v>156</v>
      </c>
      <c r="AL20" s="114"/>
      <c r="AM20" s="112">
        <f t="shared" si="32"/>
        <v>1</v>
      </c>
      <c r="AN20" s="112">
        <f t="shared" si="7"/>
        <v>0</v>
      </c>
      <c r="AO20" s="109">
        <f>IF(AB20="Nee",Tabel22620[[#This Row],[Aantal tracés verwacht na (ver)nieuwbouw]]*$AO$4,0)</f>
        <v>0</v>
      </c>
      <c r="AP20" s="109">
        <f t="shared" si="8"/>
        <v>0</v>
      </c>
      <c r="AQ20" s="109">
        <v>1</v>
      </c>
      <c r="AR20" s="109">
        <f t="shared" si="10"/>
        <v>0</v>
      </c>
      <c r="AS20" s="109">
        <f t="shared" si="11"/>
        <v>0</v>
      </c>
      <c r="AT20" s="109" t="s">
        <v>131</v>
      </c>
      <c r="AU20" s="108">
        <v>2</v>
      </c>
      <c r="AV20" s="115">
        <f t="shared" si="12"/>
        <v>2</v>
      </c>
      <c r="AW20" s="108" t="s">
        <v>133</v>
      </c>
      <c r="AX20" s="109">
        <v>3</v>
      </c>
      <c r="AY20" s="109"/>
      <c r="AZ20" s="112">
        <f t="shared" si="13"/>
        <v>2</v>
      </c>
      <c r="BA20" s="109"/>
      <c r="BB20" s="112">
        <f t="shared" si="14"/>
        <v>2</v>
      </c>
      <c r="BC20" s="112">
        <f t="shared" si="15"/>
        <v>0</v>
      </c>
      <c r="BD20" s="109">
        <f t="shared" si="24"/>
        <v>0</v>
      </c>
      <c r="BE20" s="109">
        <f t="shared" si="25"/>
        <v>0</v>
      </c>
      <c r="BF20" s="109">
        <v>2</v>
      </c>
      <c r="BG20" s="108"/>
      <c r="BH20" s="109"/>
      <c r="BI20" s="109"/>
      <c r="BJ20" s="109"/>
      <c r="BK20" s="109"/>
      <c r="BL20" s="116">
        <f t="shared" si="16"/>
        <v>0</v>
      </c>
      <c r="BM20" s="117">
        <v>1</v>
      </c>
      <c r="BN20" s="117"/>
      <c r="BO20" s="117"/>
      <c r="BP20" s="117"/>
      <c r="BQ20" s="117"/>
      <c r="BR20" s="117">
        <v>1</v>
      </c>
      <c r="BS20" s="117"/>
      <c r="BT20" s="117"/>
      <c r="BU20" s="117"/>
      <c r="BV20" s="118"/>
      <c r="BW20" s="117"/>
      <c r="BX20" s="117"/>
      <c r="BY20" s="119">
        <f>SUM(Tabel22620[[#This Row],[TS Basis / Compact 1]:[TS bedrijfs voering]])</f>
        <v>2</v>
      </c>
      <c r="BZ20" s="120"/>
      <c r="CA20" s="91">
        <v>1</v>
      </c>
      <c r="CB20" s="91"/>
      <c r="CC20" s="91"/>
      <c r="CD20" s="117"/>
      <c r="CE20" s="121">
        <v>1</v>
      </c>
      <c r="CF20" s="121"/>
      <c r="CG20" s="121"/>
      <c r="CH20" s="117"/>
      <c r="CI20" s="122"/>
      <c r="CJ20" s="136">
        <v>1</v>
      </c>
      <c r="CK20" s="124"/>
      <c r="CL20" s="124">
        <f t="shared" si="17"/>
        <v>1</v>
      </c>
      <c r="CM20" s="124">
        <f t="shared" si="18"/>
        <v>0</v>
      </c>
      <c r="CN20" s="137"/>
      <c r="CO20" s="124">
        <f t="shared" si="19"/>
        <v>6.6666666666666666E-2</v>
      </c>
      <c r="CP20" s="138">
        <f>99+(50*Tabel22620[[#This Row],[Aantal rookgasafvoer aangesloten]])</f>
        <v>199</v>
      </c>
      <c r="CQ20" s="138"/>
      <c r="CR20" s="124"/>
      <c r="CS20" s="139">
        <f t="shared" si="20"/>
        <v>2</v>
      </c>
      <c r="CT20" s="125">
        <f t="shared" si="26"/>
        <v>0.4</v>
      </c>
      <c r="CU20" s="125">
        <v>0</v>
      </c>
      <c r="CV20" s="125">
        <f t="shared" si="21"/>
        <v>125</v>
      </c>
      <c r="CW20" s="125">
        <f t="shared" si="22"/>
        <v>0</v>
      </c>
      <c r="CX20" s="125">
        <f t="shared" si="27"/>
        <v>0</v>
      </c>
      <c r="CY20" s="139"/>
      <c r="CZ20" s="139"/>
      <c r="DA20" s="125" t="e">
        <f>#REF!+CO20+CT20+CX20</f>
        <v>#REF!</v>
      </c>
      <c r="DB20" s="125">
        <f t="shared" si="23"/>
        <v>325</v>
      </c>
      <c r="DD20" s="104">
        <f>Tabel35721[[#This Row],[Rookgasafvoer Afschrijving 15 jaar]]</f>
        <v>6.6666666666666666E-2</v>
      </c>
      <c r="DE20" s="104">
        <f>Tabel35721[[#This Row],[Rookgasafvoer beheer per jaar (onderhoud)]]+Tabel35721[[#This Row],[Rookgasafvoer beheer (storingen) PM]]</f>
        <v>199</v>
      </c>
      <c r="DF20" s="126">
        <f t="shared" si="28"/>
        <v>199.06666666666666</v>
      </c>
      <c r="DG20" s="127"/>
      <c r="DH20" s="127" t="e">
        <f>#REF!+Tabel35721[[#This Row],[Lucht Afschrijving 5 jaar]]</f>
        <v>#REF!</v>
      </c>
      <c r="DI20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0" s="126" t="e">
        <f t="shared" si="29"/>
        <v>#REF!</v>
      </c>
      <c r="DK20" s="128" t="e">
        <f t="shared" si="30"/>
        <v>#REF!</v>
      </c>
      <c r="DL20" s="129"/>
      <c r="DM20" s="162" t="e">
        <f>SUM(DK17:DK20)</f>
        <v>#REF!</v>
      </c>
      <c r="DN20" s="163" t="s">
        <v>180</v>
      </c>
    </row>
    <row r="21" spans="1:118" ht="12.75" customHeight="1" x14ac:dyDescent="0.3">
      <c r="A21" s="106" t="s">
        <v>181</v>
      </c>
      <c r="B21" s="107" t="s">
        <v>181</v>
      </c>
      <c r="C21" s="107" t="s">
        <v>143</v>
      </c>
      <c r="D21" s="108" t="s">
        <v>133</v>
      </c>
      <c r="E21" s="109"/>
      <c r="F21" s="110" t="s">
        <v>133</v>
      </c>
      <c r="G21" s="109"/>
      <c r="H21" s="112">
        <v>10</v>
      </c>
      <c r="I21" s="112"/>
      <c r="J21" s="108" t="s">
        <v>144</v>
      </c>
      <c r="K21" s="108"/>
      <c r="L21" s="113"/>
      <c r="M21" s="108" t="s">
        <v>136</v>
      </c>
      <c r="N21" s="108" t="s">
        <v>131</v>
      </c>
      <c r="O21" s="112" t="s">
        <v>133</v>
      </c>
      <c r="P21" s="109">
        <v>3</v>
      </c>
      <c r="Q21" s="112">
        <f t="shared" si="0"/>
        <v>1</v>
      </c>
      <c r="R21" s="108" t="s">
        <v>131</v>
      </c>
      <c r="S21" s="112" t="s">
        <v>133</v>
      </c>
      <c r="T21" s="109">
        <v>1</v>
      </c>
      <c r="U21" s="109">
        <f t="shared" si="33"/>
        <v>0</v>
      </c>
      <c r="V21" s="109">
        <f t="shared" si="2"/>
        <v>0</v>
      </c>
      <c r="W21" s="109">
        <f t="shared" si="31"/>
        <v>0</v>
      </c>
      <c r="X21" s="109">
        <v>1</v>
      </c>
      <c r="Y21" s="109">
        <f t="shared" si="4"/>
        <v>0</v>
      </c>
      <c r="Z21" s="109">
        <f t="shared" si="5"/>
        <v>0</v>
      </c>
      <c r="AA21" s="109">
        <f t="shared" si="6"/>
        <v>0</v>
      </c>
      <c r="AB21" s="109" t="s">
        <v>131</v>
      </c>
      <c r="AC21" s="109" t="s">
        <v>146</v>
      </c>
      <c r="AD21" s="109" t="s">
        <v>147</v>
      </c>
      <c r="AE21" s="109" t="s">
        <v>148</v>
      </c>
      <c r="AF21" s="94">
        <v>1</v>
      </c>
      <c r="AG21" s="109" t="s">
        <v>135</v>
      </c>
      <c r="AH21" s="109">
        <v>4</v>
      </c>
      <c r="AI21" s="109" t="s">
        <v>139</v>
      </c>
      <c r="AJ21" s="109" t="s">
        <v>149</v>
      </c>
      <c r="AK21" s="114" t="s">
        <v>149</v>
      </c>
      <c r="AL21" s="114"/>
      <c r="AM21" s="112">
        <v>0</v>
      </c>
      <c r="AN21" s="112">
        <f t="shared" si="7"/>
        <v>0</v>
      </c>
      <c r="AO21" s="109">
        <f>IF(AB21="Nee",Tabel22620[[#This Row],[Aantal tracés verwacht na (ver)nieuwbouw]]*$AO$4,0)</f>
        <v>0</v>
      </c>
      <c r="AP21" s="109">
        <f t="shared" si="8"/>
        <v>0</v>
      </c>
      <c r="AQ21" s="109">
        <f t="shared" si="9"/>
        <v>0</v>
      </c>
      <c r="AR21" s="109">
        <f t="shared" si="10"/>
        <v>0</v>
      </c>
      <c r="AS21" s="109">
        <f t="shared" si="11"/>
        <v>0</v>
      </c>
      <c r="AT21" s="109" t="s">
        <v>131</v>
      </c>
      <c r="AU21" s="108">
        <v>2</v>
      </c>
      <c r="AV21" s="115">
        <f t="shared" si="12"/>
        <v>2</v>
      </c>
      <c r="AW21" s="108" t="s">
        <v>133</v>
      </c>
      <c r="AX21" s="109">
        <v>3</v>
      </c>
      <c r="AY21" s="109"/>
      <c r="AZ21" s="112">
        <f t="shared" si="13"/>
        <v>2</v>
      </c>
      <c r="BA21" s="109"/>
      <c r="BB21" s="112">
        <f t="shared" si="14"/>
        <v>2</v>
      </c>
      <c r="BC21" s="112">
        <f t="shared" si="15"/>
        <v>0</v>
      </c>
      <c r="BD21" s="109">
        <f t="shared" si="24"/>
        <v>0</v>
      </c>
      <c r="BE21" s="109">
        <f t="shared" si="25"/>
        <v>0</v>
      </c>
      <c r="BF21" s="109">
        <v>2</v>
      </c>
      <c r="BG21" s="108"/>
      <c r="BH21" s="109"/>
      <c r="BI21" s="109"/>
      <c r="BJ21" s="109"/>
      <c r="BK21" s="109"/>
      <c r="BL21" s="116">
        <f t="shared" si="16"/>
        <v>0</v>
      </c>
      <c r="BM21" s="117">
        <v>1</v>
      </c>
      <c r="BN21" s="117"/>
      <c r="BO21" s="117"/>
      <c r="BP21" s="117"/>
      <c r="BQ21" s="117"/>
      <c r="BR21" s="117"/>
      <c r="BS21" s="117"/>
      <c r="BT21" s="117"/>
      <c r="BU21" s="117"/>
      <c r="BV21" s="118">
        <v>1</v>
      </c>
      <c r="BW21" s="117"/>
      <c r="BX21" s="117"/>
      <c r="BY21" s="119">
        <f>SUM(Tabel22620[[#This Row],[TS Basis / Compact 1]:[TS bedrijfs voering]])</f>
        <v>2</v>
      </c>
      <c r="BZ21" s="120"/>
      <c r="CA21" s="91">
        <v>1</v>
      </c>
      <c r="CB21" s="91"/>
      <c r="CC21" s="91"/>
      <c r="CD21" s="117"/>
      <c r="CE21" s="121">
        <v>1</v>
      </c>
      <c r="CF21" s="121"/>
      <c r="CG21" s="121"/>
      <c r="CH21" s="117"/>
      <c r="CI21" s="122"/>
      <c r="CJ21" s="136">
        <v>1</v>
      </c>
      <c r="CK21" s="124"/>
      <c r="CL21" s="124">
        <f t="shared" si="17"/>
        <v>0</v>
      </c>
      <c r="CM21" s="124">
        <f t="shared" si="18"/>
        <v>0</v>
      </c>
      <c r="CN21" s="137"/>
      <c r="CO21" s="124">
        <f t="shared" si="19"/>
        <v>0</v>
      </c>
      <c r="CP21" s="138">
        <f>99+(50*Tabel22620[[#This Row],[Aantal rookgasafvoer aangesloten]])</f>
        <v>299</v>
      </c>
      <c r="CQ21" s="138"/>
      <c r="CR21" s="124"/>
      <c r="CS21" s="139">
        <f t="shared" si="20"/>
        <v>2</v>
      </c>
      <c r="CT21" s="125">
        <f t="shared" si="26"/>
        <v>0.4</v>
      </c>
      <c r="CU21" s="125">
        <v>0</v>
      </c>
      <c r="CV21" s="125">
        <f t="shared" si="21"/>
        <v>125</v>
      </c>
      <c r="CW21" s="125">
        <f t="shared" si="22"/>
        <v>0</v>
      </c>
      <c r="CX21" s="125">
        <f t="shared" si="27"/>
        <v>0</v>
      </c>
      <c r="CY21" s="139"/>
      <c r="CZ21" s="139"/>
      <c r="DA21" s="125" t="e">
        <f>#REF!+CO21+CT21+CX21</f>
        <v>#REF!</v>
      </c>
      <c r="DB21" s="125">
        <f t="shared" si="23"/>
        <v>425</v>
      </c>
      <c r="DD21" s="104">
        <f>Tabel35721[[#This Row],[Rookgasafvoer Afschrijving 15 jaar]]</f>
        <v>0</v>
      </c>
      <c r="DE21" s="104">
        <f>Tabel35721[[#This Row],[Rookgasafvoer beheer per jaar (onderhoud)]]+Tabel35721[[#This Row],[Rookgasafvoer beheer (storingen) PM]]</f>
        <v>299</v>
      </c>
      <c r="DF21" s="126">
        <f t="shared" si="28"/>
        <v>299</v>
      </c>
      <c r="DG21" s="127"/>
      <c r="DH21" s="127" t="e">
        <f>#REF!+Tabel35721[[#This Row],[Lucht Afschrijving 5 jaar]]</f>
        <v>#REF!</v>
      </c>
      <c r="DI21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1" s="126" t="e">
        <f t="shared" si="29"/>
        <v>#REF!</v>
      </c>
      <c r="DK21" s="128" t="e">
        <f t="shared" si="30"/>
        <v>#REF!</v>
      </c>
      <c r="DL21" s="169"/>
      <c r="DM21" s="162" t="e">
        <f>SUM(DK21)</f>
        <v>#REF!</v>
      </c>
      <c r="DN21" s="163" t="s">
        <v>181</v>
      </c>
    </row>
    <row r="22" spans="1:118" x14ac:dyDescent="0.3">
      <c r="A22" s="106" t="s">
        <v>182</v>
      </c>
      <c r="B22" s="107" t="s">
        <v>183</v>
      </c>
      <c r="C22" s="107" t="s">
        <v>143</v>
      </c>
      <c r="D22" s="170" t="s">
        <v>135</v>
      </c>
      <c r="E22" s="109" t="s">
        <v>139</v>
      </c>
      <c r="F22" s="110" t="s">
        <v>133</v>
      </c>
      <c r="G22" s="109">
        <v>0</v>
      </c>
      <c r="H22" s="112">
        <v>10</v>
      </c>
      <c r="I22" s="112"/>
      <c r="J22" s="109" t="s">
        <v>139</v>
      </c>
      <c r="K22" s="109" t="s">
        <v>139</v>
      </c>
      <c r="L22" s="109" t="s">
        <v>139</v>
      </c>
      <c r="M22" s="109" t="s">
        <v>139</v>
      </c>
      <c r="N22" s="109" t="s">
        <v>135</v>
      </c>
      <c r="O22" s="112" t="s">
        <v>133</v>
      </c>
      <c r="P22" s="109">
        <v>0</v>
      </c>
      <c r="Q22" s="112">
        <f t="shared" si="0"/>
        <v>1</v>
      </c>
      <c r="R22" s="109" t="s">
        <v>135</v>
      </c>
      <c r="S22" s="112" t="s">
        <v>133</v>
      </c>
      <c r="T22" s="109">
        <v>1</v>
      </c>
      <c r="U22" s="109">
        <f t="shared" si="33"/>
        <v>0</v>
      </c>
      <c r="V22" s="109">
        <v>1</v>
      </c>
      <c r="W22" s="109">
        <v>1</v>
      </c>
      <c r="X22" s="109">
        <v>1</v>
      </c>
      <c r="Y22" s="109">
        <v>1</v>
      </c>
      <c r="Z22" s="109">
        <v>1</v>
      </c>
      <c r="AA22" s="109">
        <v>1</v>
      </c>
      <c r="AB22" s="109" t="s">
        <v>131</v>
      </c>
      <c r="AC22" s="109" t="s">
        <v>146</v>
      </c>
      <c r="AD22" s="109" t="s">
        <v>138</v>
      </c>
      <c r="AE22" s="109" t="s">
        <v>155</v>
      </c>
      <c r="AF22" s="94">
        <v>1</v>
      </c>
      <c r="AG22" s="109" t="s">
        <v>135</v>
      </c>
      <c r="AH22" s="111">
        <v>2</v>
      </c>
      <c r="AI22" s="109" t="s">
        <v>139</v>
      </c>
      <c r="AJ22" s="109" t="s">
        <v>184</v>
      </c>
      <c r="AK22" s="114"/>
      <c r="AL22" s="114"/>
      <c r="AM22" s="112">
        <f>BM22</f>
        <v>1</v>
      </c>
      <c r="AN22" s="112">
        <f t="shared" si="7"/>
        <v>0</v>
      </c>
      <c r="AO22" s="109">
        <f>IF(AB22="Nee",Tabel22620[[#This Row],[Aantal tracés verwacht na (ver)nieuwbouw]]*$AO$4,0)</f>
        <v>0</v>
      </c>
      <c r="AP22" s="109">
        <f t="shared" si="8"/>
        <v>0</v>
      </c>
      <c r="AQ22" s="109">
        <v>1</v>
      </c>
      <c r="AR22" s="109">
        <f t="shared" si="10"/>
        <v>0</v>
      </c>
      <c r="AS22" s="109">
        <f t="shared" si="11"/>
        <v>0</v>
      </c>
      <c r="AT22" s="109" t="s">
        <v>135</v>
      </c>
      <c r="AU22" s="109">
        <v>0</v>
      </c>
      <c r="AV22" s="112">
        <f t="shared" si="12"/>
        <v>1</v>
      </c>
      <c r="AW22" s="109" t="s">
        <v>135</v>
      </c>
      <c r="AX22" s="109">
        <v>1</v>
      </c>
      <c r="AY22" s="109"/>
      <c r="AZ22" s="112">
        <f t="shared" si="13"/>
        <v>1</v>
      </c>
      <c r="BA22" s="109"/>
      <c r="BB22" s="112">
        <f t="shared" si="14"/>
        <v>1</v>
      </c>
      <c r="BC22" s="112">
        <f t="shared" si="15"/>
        <v>1</v>
      </c>
      <c r="BD22" s="109">
        <v>2</v>
      </c>
      <c r="BE22" s="109">
        <v>2</v>
      </c>
      <c r="BF22" s="109">
        <v>1</v>
      </c>
      <c r="BG22" s="109"/>
      <c r="BH22" s="109"/>
      <c r="BI22" s="109"/>
      <c r="BJ22" s="109"/>
      <c r="BK22" s="109"/>
      <c r="BL22" s="166">
        <f t="shared" si="16"/>
        <v>0</v>
      </c>
      <c r="BM22" s="171">
        <v>1</v>
      </c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2">
        <f>SUM(Tabel22620[[#This Row],[TS Basis / Compact 1]:[TS bedrijfs voering]])</f>
        <v>1</v>
      </c>
      <c r="BZ22" s="173"/>
      <c r="CA22" s="91">
        <v>1</v>
      </c>
      <c r="CB22" s="92"/>
      <c r="CC22" s="92"/>
      <c r="CD22" s="171"/>
      <c r="CE22" s="121">
        <v>1</v>
      </c>
      <c r="CF22" s="111"/>
      <c r="CG22" s="111"/>
      <c r="CH22" s="171"/>
      <c r="CI22" s="122"/>
      <c r="CJ22" s="136">
        <v>1</v>
      </c>
      <c r="CK22" s="124"/>
      <c r="CL22" s="124">
        <f t="shared" si="17"/>
        <v>1</v>
      </c>
      <c r="CM22" s="124">
        <f t="shared" si="18"/>
        <v>0</v>
      </c>
      <c r="CN22" s="137"/>
      <c r="CO22" s="124">
        <f t="shared" si="19"/>
        <v>6.6666666666666666E-2</v>
      </c>
      <c r="CP22" s="138">
        <f>99+(50*Tabel22620[[#This Row],[Aantal rookgasafvoer aangesloten]])</f>
        <v>199</v>
      </c>
      <c r="CQ22" s="138"/>
      <c r="CR22" s="124"/>
      <c r="CS22" s="139">
        <f t="shared" si="20"/>
        <v>3</v>
      </c>
      <c r="CT22" s="125">
        <f t="shared" si="26"/>
        <v>0.6</v>
      </c>
      <c r="CU22" s="125">
        <v>0</v>
      </c>
      <c r="CV22" s="125">
        <f t="shared" si="21"/>
        <v>125</v>
      </c>
      <c r="CW22" s="125">
        <f t="shared" si="22"/>
        <v>0</v>
      </c>
      <c r="CX22" s="125">
        <f t="shared" si="27"/>
        <v>0</v>
      </c>
      <c r="CY22" s="139"/>
      <c r="CZ22" s="139"/>
      <c r="DA22" s="125" t="e">
        <f>#REF!+CO22+CT22+CX22</f>
        <v>#REF!</v>
      </c>
      <c r="DB22" s="125">
        <f t="shared" si="23"/>
        <v>325</v>
      </c>
      <c r="DD22" s="104">
        <f>Tabel35721[[#This Row],[Rookgasafvoer Afschrijving 15 jaar]]</f>
        <v>6.6666666666666666E-2</v>
      </c>
      <c r="DE22" s="104">
        <f>Tabel35721[[#This Row],[Rookgasafvoer beheer per jaar (onderhoud)]]+Tabel35721[[#This Row],[Rookgasafvoer beheer (storingen) PM]]</f>
        <v>199</v>
      </c>
      <c r="DF22" s="126">
        <f t="shared" si="28"/>
        <v>199.06666666666666</v>
      </c>
      <c r="DG22" s="127"/>
      <c r="DH22" s="127" t="e">
        <f>#REF!+Tabel35721[[#This Row],[Lucht Afschrijving 5 jaar]]</f>
        <v>#REF!</v>
      </c>
      <c r="DI22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2" s="126" t="e">
        <f t="shared" si="29"/>
        <v>#REF!</v>
      </c>
      <c r="DK22" s="128" t="e">
        <f t="shared" si="30"/>
        <v>#REF!</v>
      </c>
      <c r="DL22" s="135"/>
    </row>
    <row r="23" spans="1:118" x14ac:dyDescent="0.3">
      <c r="A23" s="106" t="s">
        <v>182</v>
      </c>
      <c r="B23" s="107" t="s">
        <v>185</v>
      </c>
      <c r="C23" s="107" t="s">
        <v>143</v>
      </c>
      <c r="D23" s="174" t="s">
        <v>135</v>
      </c>
      <c r="E23" s="109" t="s">
        <v>139</v>
      </c>
      <c r="F23" s="110" t="s">
        <v>133</v>
      </c>
      <c r="G23" s="109">
        <v>0</v>
      </c>
      <c r="H23" s="112">
        <v>10</v>
      </c>
      <c r="I23" s="112"/>
      <c r="J23" s="109" t="s">
        <v>139</v>
      </c>
      <c r="K23" s="108" t="s">
        <v>139</v>
      </c>
      <c r="L23" s="109" t="s">
        <v>139</v>
      </c>
      <c r="M23" s="109" t="s">
        <v>139</v>
      </c>
      <c r="N23" s="109" t="s">
        <v>135</v>
      </c>
      <c r="O23" s="112" t="s">
        <v>133</v>
      </c>
      <c r="P23" s="109">
        <v>0</v>
      </c>
      <c r="Q23" s="112">
        <f t="shared" si="0"/>
        <v>1</v>
      </c>
      <c r="R23" s="108" t="s">
        <v>135</v>
      </c>
      <c r="S23" s="112" t="s">
        <v>133</v>
      </c>
      <c r="T23" s="109">
        <v>1</v>
      </c>
      <c r="U23" s="109">
        <f t="shared" si="33"/>
        <v>0</v>
      </c>
      <c r="V23" s="109">
        <v>1</v>
      </c>
      <c r="W23" s="109">
        <v>1</v>
      </c>
      <c r="X23" s="109">
        <v>1</v>
      </c>
      <c r="Y23" s="109">
        <v>1</v>
      </c>
      <c r="Z23" s="109">
        <v>1</v>
      </c>
      <c r="AA23" s="109">
        <v>1</v>
      </c>
      <c r="AB23" s="109" t="s">
        <v>131</v>
      </c>
      <c r="AC23" s="109" t="s">
        <v>137</v>
      </c>
      <c r="AD23" s="109" t="s">
        <v>138</v>
      </c>
      <c r="AE23" s="109" t="s">
        <v>138</v>
      </c>
      <c r="AF23" s="94">
        <v>1</v>
      </c>
      <c r="AG23" s="108" t="s">
        <v>135</v>
      </c>
      <c r="AH23" s="109">
        <v>0</v>
      </c>
      <c r="AI23" s="109" t="s">
        <v>139</v>
      </c>
      <c r="AJ23" s="109" t="s">
        <v>139</v>
      </c>
      <c r="AK23" s="114" t="s">
        <v>139</v>
      </c>
      <c r="AL23" s="114"/>
      <c r="AM23" s="112">
        <f>BM23</f>
        <v>1</v>
      </c>
      <c r="AN23" s="112">
        <f t="shared" si="7"/>
        <v>0</v>
      </c>
      <c r="AO23" s="109">
        <f>IF(AB23="Nee",Tabel22620[[#This Row],[Aantal tracés verwacht na (ver)nieuwbouw]]*$AO$4,0)</f>
        <v>0</v>
      </c>
      <c r="AP23" s="109">
        <f t="shared" si="8"/>
        <v>0</v>
      </c>
      <c r="AQ23" s="109">
        <f t="shared" si="9"/>
        <v>0</v>
      </c>
      <c r="AR23" s="109">
        <f t="shared" si="10"/>
        <v>0</v>
      </c>
      <c r="AS23" s="109">
        <v>1</v>
      </c>
      <c r="AT23" s="109" t="s">
        <v>135</v>
      </c>
      <c r="AU23" s="108">
        <v>0</v>
      </c>
      <c r="AV23" s="115">
        <f t="shared" si="12"/>
        <v>2</v>
      </c>
      <c r="AW23" s="109" t="s">
        <v>135</v>
      </c>
      <c r="AX23" s="109">
        <v>6</v>
      </c>
      <c r="AY23" s="109"/>
      <c r="AZ23" s="112">
        <f t="shared" si="13"/>
        <v>2</v>
      </c>
      <c r="BA23" s="109"/>
      <c r="BB23" s="112">
        <f t="shared" si="14"/>
        <v>2</v>
      </c>
      <c r="BC23" s="112">
        <f t="shared" si="15"/>
        <v>2</v>
      </c>
      <c r="BD23" s="109">
        <v>3</v>
      </c>
      <c r="BE23" s="109">
        <v>3</v>
      </c>
      <c r="BF23" s="109">
        <v>2</v>
      </c>
      <c r="BG23" s="108"/>
      <c r="BH23" s="109"/>
      <c r="BI23" s="109"/>
      <c r="BJ23" s="109"/>
      <c r="BK23" s="109"/>
      <c r="BL23" s="116">
        <f t="shared" si="16"/>
        <v>0</v>
      </c>
      <c r="BM23" s="117">
        <v>1</v>
      </c>
      <c r="BN23" s="117"/>
      <c r="BO23" s="117"/>
      <c r="BP23" s="117"/>
      <c r="BQ23" s="117"/>
      <c r="BR23" s="117"/>
      <c r="BS23" s="117"/>
      <c r="BT23" s="117"/>
      <c r="BU23" s="117"/>
      <c r="BV23" s="118">
        <v>1</v>
      </c>
      <c r="BW23" s="117"/>
      <c r="BX23" s="117"/>
      <c r="BY23" s="119">
        <f>SUM(Tabel22620[[#This Row],[TS Basis / Compact 1]:[TS bedrijfs voering]])</f>
        <v>2</v>
      </c>
      <c r="BZ23" s="120"/>
      <c r="CA23" s="91">
        <v>1</v>
      </c>
      <c r="CB23" s="91"/>
      <c r="CC23" s="91"/>
      <c r="CD23" s="117"/>
      <c r="CE23" s="121">
        <v>1</v>
      </c>
      <c r="CF23" s="121"/>
      <c r="CG23" s="121"/>
      <c r="CH23" s="117"/>
      <c r="CI23" s="122"/>
      <c r="CJ23" s="123">
        <v>1</v>
      </c>
      <c r="CK23" s="124"/>
      <c r="CL23" s="124">
        <f t="shared" si="17"/>
        <v>1</v>
      </c>
      <c r="CM23" s="124">
        <f t="shared" si="18"/>
        <v>0</v>
      </c>
      <c r="CN23" s="137"/>
      <c r="CO23" s="124">
        <f t="shared" si="19"/>
        <v>6.6666666666666666E-2</v>
      </c>
      <c r="CP23" s="124">
        <f>99+(50*Tabel22620[[#This Row],[Aantal rookgasafvoer aangesloten]])</f>
        <v>99</v>
      </c>
      <c r="CQ23" s="124"/>
      <c r="CR23" s="124"/>
      <c r="CS23" s="139">
        <f t="shared" si="20"/>
        <v>5</v>
      </c>
      <c r="CT23" s="125">
        <f t="shared" si="26"/>
        <v>1</v>
      </c>
      <c r="CU23" s="125">
        <v>0</v>
      </c>
      <c r="CV23" s="125">
        <f t="shared" si="21"/>
        <v>125</v>
      </c>
      <c r="CW23" s="125">
        <f t="shared" si="22"/>
        <v>0</v>
      </c>
      <c r="CX23" s="125">
        <f t="shared" si="27"/>
        <v>0</v>
      </c>
      <c r="CY23" s="139"/>
      <c r="CZ23" s="139"/>
      <c r="DA23" s="125" t="e">
        <f>#REF!+CO23+CT23+CX23</f>
        <v>#REF!</v>
      </c>
      <c r="DB23" s="125">
        <f t="shared" si="23"/>
        <v>225</v>
      </c>
      <c r="DD23" s="104">
        <f>Tabel35721[[#This Row],[Rookgasafvoer Afschrijving 15 jaar]]</f>
        <v>6.6666666666666666E-2</v>
      </c>
      <c r="DE23" s="104">
        <f>Tabel35721[[#This Row],[Rookgasafvoer beheer per jaar (onderhoud)]]+Tabel35721[[#This Row],[Rookgasafvoer beheer (storingen) PM]]</f>
        <v>99</v>
      </c>
      <c r="DF23" s="126">
        <f t="shared" si="28"/>
        <v>99.066666666666663</v>
      </c>
      <c r="DG23" s="127"/>
      <c r="DH23" s="127" t="e">
        <f>#REF!+Tabel35721[[#This Row],[Lucht Afschrijving 5 jaar]]</f>
        <v>#REF!</v>
      </c>
      <c r="DI23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3" s="126" t="e">
        <f t="shared" si="29"/>
        <v>#REF!</v>
      </c>
      <c r="DK23" s="128" t="e">
        <f t="shared" si="30"/>
        <v>#REF!</v>
      </c>
      <c r="DL23" s="135"/>
    </row>
    <row r="24" spans="1:118" ht="12.75" customHeight="1" x14ac:dyDescent="0.3">
      <c r="A24" s="106" t="s">
        <v>182</v>
      </c>
      <c r="B24" s="107" t="s">
        <v>186</v>
      </c>
      <c r="C24" s="107" t="s">
        <v>143</v>
      </c>
      <c r="D24" s="174" t="s">
        <v>135</v>
      </c>
      <c r="E24" s="109" t="s">
        <v>139</v>
      </c>
      <c r="F24" s="110" t="s">
        <v>133</v>
      </c>
      <c r="G24" s="109">
        <v>0</v>
      </c>
      <c r="H24" s="112">
        <v>10</v>
      </c>
      <c r="I24" s="112"/>
      <c r="J24" s="109" t="s">
        <v>139</v>
      </c>
      <c r="K24" s="108" t="s">
        <v>139</v>
      </c>
      <c r="L24" s="109" t="s">
        <v>139</v>
      </c>
      <c r="M24" s="109" t="s">
        <v>139</v>
      </c>
      <c r="N24" s="109" t="s">
        <v>135</v>
      </c>
      <c r="O24" s="112" t="s">
        <v>133</v>
      </c>
      <c r="P24" s="109">
        <v>0</v>
      </c>
      <c r="Q24" s="112">
        <f t="shared" si="0"/>
        <v>1</v>
      </c>
      <c r="R24" s="109" t="s">
        <v>135</v>
      </c>
      <c r="S24" s="112" t="s">
        <v>133</v>
      </c>
      <c r="T24" s="109">
        <v>1</v>
      </c>
      <c r="U24" s="109">
        <f t="shared" si="33"/>
        <v>0</v>
      </c>
      <c r="V24" s="109">
        <v>1</v>
      </c>
      <c r="W24" s="109">
        <v>1</v>
      </c>
      <c r="X24" s="109">
        <v>1</v>
      </c>
      <c r="Y24" s="109">
        <v>1</v>
      </c>
      <c r="Z24" s="109">
        <v>1</v>
      </c>
      <c r="AA24" s="109">
        <v>1</v>
      </c>
      <c r="AB24" s="109" t="s">
        <v>131</v>
      </c>
      <c r="AC24" s="109" t="s">
        <v>146</v>
      </c>
      <c r="AD24" s="109" t="s">
        <v>154</v>
      </c>
      <c r="AE24" s="111" t="s">
        <v>155</v>
      </c>
      <c r="AF24" s="94">
        <v>1</v>
      </c>
      <c r="AG24" s="109" t="s">
        <v>135</v>
      </c>
      <c r="AH24" s="109">
        <v>2</v>
      </c>
      <c r="AI24" s="109" t="s">
        <v>139</v>
      </c>
      <c r="AJ24" s="109" t="s">
        <v>156</v>
      </c>
      <c r="AK24" s="114" t="s">
        <v>156</v>
      </c>
      <c r="AL24" s="114"/>
      <c r="AM24" s="112">
        <v>0</v>
      </c>
      <c r="AN24" s="112">
        <f t="shared" si="7"/>
        <v>0</v>
      </c>
      <c r="AO24" s="109">
        <f>IF(AB24="Nee",Tabel22620[[#This Row],[Aantal tracés verwacht na (ver)nieuwbouw]]*$AO$4,0)</f>
        <v>0</v>
      </c>
      <c r="AP24" s="109">
        <f t="shared" si="8"/>
        <v>0</v>
      </c>
      <c r="AQ24" s="109">
        <f t="shared" si="9"/>
        <v>0</v>
      </c>
      <c r="AR24" s="109">
        <f t="shared" si="10"/>
        <v>0</v>
      </c>
      <c r="AS24" s="109">
        <f t="shared" si="11"/>
        <v>0</v>
      </c>
      <c r="AT24" s="109" t="s">
        <v>135</v>
      </c>
      <c r="AU24" s="108">
        <v>0</v>
      </c>
      <c r="AV24" s="115">
        <f t="shared" si="12"/>
        <v>2</v>
      </c>
      <c r="AW24" s="109" t="s">
        <v>135</v>
      </c>
      <c r="AX24" s="109">
        <v>2</v>
      </c>
      <c r="AY24" s="109"/>
      <c r="AZ24" s="112">
        <f t="shared" si="13"/>
        <v>2</v>
      </c>
      <c r="BA24" s="109"/>
      <c r="BB24" s="112">
        <f t="shared" si="14"/>
        <v>2</v>
      </c>
      <c r="BC24" s="112">
        <f t="shared" si="15"/>
        <v>2</v>
      </c>
      <c r="BD24" s="109">
        <v>3</v>
      </c>
      <c r="BE24" s="109">
        <v>3</v>
      </c>
      <c r="BF24" s="109">
        <v>2</v>
      </c>
      <c r="BG24" s="108"/>
      <c r="BH24" s="109"/>
      <c r="BI24" s="109"/>
      <c r="BJ24" s="109"/>
      <c r="BK24" s="109"/>
      <c r="BL24" s="116">
        <f t="shared" si="16"/>
        <v>0</v>
      </c>
      <c r="BM24" s="117">
        <v>1</v>
      </c>
      <c r="BN24" s="117"/>
      <c r="BO24" s="117"/>
      <c r="BP24" s="117"/>
      <c r="BQ24" s="117"/>
      <c r="BR24" s="117"/>
      <c r="BS24" s="117"/>
      <c r="BT24" s="117"/>
      <c r="BU24" s="117"/>
      <c r="BV24" s="118">
        <v>1</v>
      </c>
      <c r="BW24" s="117"/>
      <c r="BX24" s="117"/>
      <c r="BY24" s="119">
        <f>SUM(Tabel22620[[#This Row],[TS Basis / Compact 1]:[TS bedrijfs voering]])</f>
        <v>2</v>
      </c>
      <c r="BZ24" s="120"/>
      <c r="CA24" s="91">
        <v>1</v>
      </c>
      <c r="CB24" s="91"/>
      <c r="CC24" s="91"/>
      <c r="CD24" s="117"/>
      <c r="CE24" s="121">
        <v>1</v>
      </c>
      <c r="CF24" s="121"/>
      <c r="CG24" s="121"/>
      <c r="CH24" s="117"/>
      <c r="CI24" s="122"/>
      <c r="CJ24" s="136">
        <v>1</v>
      </c>
      <c r="CK24" s="124"/>
      <c r="CL24" s="124">
        <f t="shared" si="17"/>
        <v>0</v>
      </c>
      <c r="CM24" s="124">
        <f t="shared" si="18"/>
        <v>0</v>
      </c>
      <c r="CN24" s="137"/>
      <c r="CO24" s="124">
        <f t="shared" si="19"/>
        <v>0</v>
      </c>
      <c r="CP24" s="138">
        <f>99+(50*Tabel22620[[#This Row],[Aantal rookgasafvoer aangesloten]])</f>
        <v>199</v>
      </c>
      <c r="CQ24" s="138"/>
      <c r="CR24" s="124"/>
      <c r="CS24" s="139">
        <f t="shared" si="20"/>
        <v>5</v>
      </c>
      <c r="CT24" s="125">
        <f t="shared" si="26"/>
        <v>1</v>
      </c>
      <c r="CU24" s="125">
        <v>0</v>
      </c>
      <c r="CV24" s="125">
        <f t="shared" si="21"/>
        <v>125</v>
      </c>
      <c r="CW24" s="125">
        <f t="shared" si="22"/>
        <v>0</v>
      </c>
      <c r="CX24" s="125">
        <f t="shared" si="27"/>
        <v>0</v>
      </c>
      <c r="CY24" s="139"/>
      <c r="CZ24" s="139"/>
      <c r="DA24" s="125" t="e">
        <f>#REF!+CO24+CT24+CX24</f>
        <v>#REF!</v>
      </c>
      <c r="DB24" s="125">
        <f t="shared" si="23"/>
        <v>325</v>
      </c>
      <c r="DD24" s="104">
        <f>Tabel35721[[#This Row],[Rookgasafvoer Afschrijving 15 jaar]]</f>
        <v>0</v>
      </c>
      <c r="DE24" s="104">
        <f>Tabel35721[[#This Row],[Rookgasafvoer beheer per jaar (onderhoud)]]+Tabel35721[[#This Row],[Rookgasafvoer beheer (storingen) PM]]</f>
        <v>199</v>
      </c>
      <c r="DF24" s="126">
        <f t="shared" si="28"/>
        <v>199</v>
      </c>
      <c r="DG24" s="127"/>
      <c r="DH24" s="127" t="e">
        <f>#REF!+Tabel35721[[#This Row],[Lucht Afschrijving 5 jaar]]</f>
        <v>#REF!</v>
      </c>
      <c r="DI24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4" s="126" t="e">
        <f t="shared" si="29"/>
        <v>#REF!</v>
      </c>
      <c r="DK24" s="128" t="e">
        <f t="shared" si="30"/>
        <v>#REF!</v>
      </c>
      <c r="DL24" s="129"/>
      <c r="DM24" s="162" t="e">
        <f>SUM(DK22:DK24)</f>
        <v>#REF!</v>
      </c>
      <c r="DN24" s="163" t="s">
        <v>182</v>
      </c>
    </row>
    <row r="25" spans="1:118" ht="12.75" customHeight="1" x14ac:dyDescent="0.3">
      <c r="A25" s="106" t="s">
        <v>187</v>
      </c>
      <c r="B25" s="107" t="s">
        <v>188</v>
      </c>
      <c r="C25" s="107" t="s">
        <v>143</v>
      </c>
      <c r="D25" s="108" t="s">
        <v>133</v>
      </c>
      <c r="E25" s="109" t="s">
        <v>151</v>
      </c>
      <c r="F25" s="110" t="s">
        <v>133</v>
      </c>
      <c r="G25" s="109">
        <v>10</v>
      </c>
      <c r="H25" s="112">
        <v>10</v>
      </c>
      <c r="I25" s="112"/>
      <c r="J25" s="108" t="s">
        <v>152</v>
      </c>
      <c r="K25" s="108" t="s">
        <v>133</v>
      </c>
      <c r="L25" s="113">
        <v>2002</v>
      </c>
      <c r="M25" s="109" t="s">
        <v>136</v>
      </c>
      <c r="N25" s="109" t="s">
        <v>131</v>
      </c>
      <c r="O25" s="112" t="s">
        <v>133</v>
      </c>
      <c r="P25" s="109">
        <v>1</v>
      </c>
      <c r="Q25" s="112">
        <f t="shared" si="0"/>
        <v>1</v>
      </c>
      <c r="R25" s="108" t="s">
        <v>135</v>
      </c>
      <c r="S25" s="112" t="s">
        <v>133</v>
      </c>
      <c r="T25" s="109">
        <f t="shared" ref="T25:T30" si="34">IF(AND($G25&lt;$H25,$H25&lt;11),$T$4,0)</f>
        <v>0</v>
      </c>
      <c r="U25" s="109">
        <f t="shared" si="33"/>
        <v>0</v>
      </c>
      <c r="V25" s="109">
        <f t="shared" si="2"/>
        <v>0</v>
      </c>
      <c r="W25" s="109">
        <f t="shared" si="31"/>
        <v>0</v>
      </c>
      <c r="X25" s="109">
        <f t="shared" si="3"/>
        <v>0</v>
      </c>
      <c r="Y25" s="109">
        <v>1</v>
      </c>
      <c r="Z25" s="109">
        <v>1</v>
      </c>
      <c r="AA25" s="109">
        <v>1</v>
      </c>
      <c r="AB25" s="109" t="s">
        <v>131</v>
      </c>
      <c r="AC25" s="109" t="s">
        <v>189</v>
      </c>
      <c r="AD25" s="111" t="s">
        <v>154</v>
      </c>
      <c r="AE25" s="109" t="s">
        <v>148</v>
      </c>
      <c r="AF25" s="94">
        <v>1</v>
      </c>
      <c r="AG25" s="109" t="s">
        <v>131</v>
      </c>
      <c r="AH25" s="109">
        <v>6</v>
      </c>
      <c r="AI25" s="109" t="s">
        <v>139</v>
      </c>
      <c r="AJ25" s="109" t="s">
        <v>156</v>
      </c>
      <c r="AK25" s="114" t="s">
        <v>156</v>
      </c>
      <c r="AL25" s="114"/>
      <c r="AM25" s="112">
        <f t="shared" ref="AM25:AM30" si="35">BM25</f>
        <v>1</v>
      </c>
      <c r="AN25" s="112">
        <f t="shared" si="7"/>
        <v>0</v>
      </c>
      <c r="AO25" s="109">
        <f>IF(AB25="Nee",Tabel22620[[#This Row],[Aantal tracés verwacht na (ver)nieuwbouw]]*$AO$4,0)</f>
        <v>0</v>
      </c>
      <c r="AP25" s="109">
        <f t="shared" si="8"/>
        <v>0</v>
      </c>
      <c r="AQ25" s="109">
        <f t="shared" si="9"/>
        <v>0</v>
      </c>
      <c r="AR25" s="109">
        <v>1</v>
      </c>
      <c r="AS25" s="109">
        <f t="shared" si="11"/>
        <v>0</v>
      </c>
      <c r="AT25" s="109" t="s">
        <v>131</v>
      </c>
      <c r="AU25" s="108">
        <v>6</v>
      </c>
      <c r="AV25" s="115">
        <f t="shared" si="12"/>
        <v>3</v>
      </c>
      <c r="AW25" s="108" t="s">
        <v>133</v>
      </c>
      <c r="AX25" s="109">
        <v>6</v>
      </c>
      <c r="AY25" s="109"/>
      <c r="AZ25" s="112">
        <f t="shared" si="13"/>
        <v>3</v>
      </c>
      <c r="BA25" s="109"/>
      <c r="BB25" s="112">
        <f t="shared" si="14"/>
        <v>3</v>
      </c>
      <c r="BC25" s="112">
        <f t="shared" si="15"/>
        <v>0</v>
      </c>
      <c r="BD25" s="109">
        <f t="shared" si="24"/>
        <v>0</v>
      </c>
      <c r="BE25" s="109">
        <f t="shared" si="25"/>
        <v>0</v>
      </c>
      <c r="BF25" s="109">
        <v>3</v>
      </c>
      <c r="BG25" s="108"/>
      <c r="BH25" s="109"/>
      <c r="BI25" s="109"/>
      <c r="BJ25" s="109"/>
      <c r="BK25" s="109"/>
      <c r="BL25" s="116">
        <f t="shared" si="16"/>
        <v>0</v>
      </c>
      <c r="BM25" s="117">
        <v>1</v>
      </c>
      <c r="BN25" s="117"/>
      <c r="BO25" s="117"/>
      <c r="BP25" s="117"/>
      <c r="BQ25" s="117">
        <v>1</v>
      </c>
      <c r="BR25" s="117"/>
      <c r="BS25" s="117">
        <v>1</v>
      </c>
      <c r="BT25" s="117"/>
      <c r="BU25" s="117"/>
      <c r="BV25" s="118"/>
      <c r="BW25" s="117"/>
      <c r="BX25" s="117"/>
      <c r="BY25" s="119">
        <f>SUM(Tabel22620[[#This Row],[TS Basis / Compact 1]:[TS bedrijfs voering]])</f>
        <v>3</v>
      </c>
      <c r="BZ25" s="120"/>
      <c r="CA25" s="91">
        <v>1</v>
      </c>
      <c r="CB25" s="91"/>
      <c r="CC25" s="91"/>
      <c r="CD25" s="117">
        <v>1</v>
      </c>
      <c r="CE25" s="121">
        <v>1</v>
      </c>
      <c r="CF25" s="121"/>
      <c r="CG25" s="121"/>
      <c r="CH25" s="117">
        <v>1</v>
      </c>
      <c r="CI25" s="122"/>
      <c r="CJ25" s="136">
        <v>1</v>
      </c>
      <c r="CK25" s="124"/>
      <c r="CL25" s="124">
        <f t="shared" si="17"/>
        <v>1</v>
      </c>
      <c r="CM25" s="124">
        <f t="shared" si="18"/>
        <v>0</v>
      </c>
      <c r="CN25" s="137"/>
      <c r="CO25" s="124">
        <f t="shared" si="19"/>
        <v>6.6666666666666666E-2</v>
      </c>
      <c r="CP25" s="138">
        <f>99+(50*Tabel22620[[#This Row],[Aantal rookgasafvoer aangesloten]])</f>
        <v>399</v>
      </c>
      <c r="CQ25" s="138"/>
      <c r="CR25" s="124"/>
      <c r="CS25" s="139">
        <f t="shared" si="20"/>
        <v>3</v>
      </c>
      <c r="CT25" s="125">
        <f t="shared" si="26"/>
        <v>0.6</v>
      </c>
      <c r="CU25" s="125">
        <v>0</v>
      </c>
      <c r="CV25" s="125">
        <f t="shared" si="21"/>
        <v>125</v>
      </c>
      <c r="CW25" s="125">
        <f t="shared" si="22"/>
        <v>0</v>
      </c>
      <c r="CX25" s="125">
        <f t="shared" si="27"/>
        <v>0</v>
      </c>
      <c r="CY25" s="139"/>
      <c r="CZ25" s="139"/>
      <c r="DA25" s="125" t="e">
        <f>#REF!+CO25+CT25+CX25</f>
        <v>#REF!</v>
      </c>
      <c r="DB25" s="125">
        <f t="shared" si="23"/>
        <v>525</v>
      </c>
      <c r="DD25" s="104">
        <f>Tabel35721[[#This Row],[Rookgasafvoer Afschrijving 15 jaar]]</f>
        <v>6.6666666666666666E-2</v>
      </c>
      <c r="DE25" s="104">
        <f>Tabel35721[[#This Row],[Rookgasafvoer beheer per jaar (onderhoud)]]+Tabel35721[[#This Row],[Rookgasafvoer beheer (storingen) PM]]</f>
        <v>399</v>
      </c>
      <c r="DF25" s="126">
        <f t="shared" si="28"/>
        <v>399.06666666666666</v>
      </c>
      <c r="DG25" s="127"/>
      <c r="DH25" s="127" t="e">
        <f>#REF!+Tabel35721[[#This Row],[Lucht Afschrijving 5 jaar]]</f>
        <v>#REF!</v>
      </c>
      <c r="DI25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5" s="126" t="e">
        <f t="shared" si="29"/>
        <v>#REF!</v>
      </c>
      <c r="DK25" s="128" t="e">
        <f t="shared" si="30"/>
        <v>#REF!</v>
      </c>
      <c r="DL25" s="169"/>
      <c r="DM25" s="162" t="e">
        <f>SUM(DK25)</f>
        <v>#REF!</v>
      </c>
      <c r="DN25" s="163" t="s">
        <v>187</v>
      </c>
    </row>
    <row r="26" spans="1:118" ht="12.75" customHeight="1" x14ac:dyDescent="0.3">
      <c r="A26" s="106" t="s">
        <v>190</v>
      </c>
      <c r="B26" s="107" t="s">
        <v>191</v>
      </c>
      <c r="C26" s="107" t="s">
        <v>143</v>
      </c>
      <c r="D26" s="108" t="s">
        <v>133</v>
      </c>
      <c r="E26" s="109" t="s">
        <v>164</v>
      </c>
      <c r="F26" s="110" t="s">
        <v>133</v>
      </c>
      <c r="G26" s="109">
        <v>10</v>
      </c>
      <c r="H26" s="112">
        <v>10</v>
      </c>
      <c r="I26" s="112"/>
      <c r="J26" s="108" t="s">
        <v>152</v>
      </c>
      <c r="K26" s="108" t="s">
        <v>133</v>
      </c>
      <c r="L26" s="113">
        <v>2011</v>
      </c>
      <c r="M26" s="108" t="s">
        <v>153</v>
      </c>
      <c r="N26" s="108" t="s">
        <v>131</v>
      </c>
      <c r="O26" s="112" t="s">
        <v>133</v>
      </c>
      <c r="P26" s="109">
        <v>0</v>
      </c>
      <c r="Q26" s="112">
        <f t="shared" si="0"/>
        <v>1</v>
      </c>
      <c r="R26" s="108" t="s">
        <v>135</v>
      </c>
      <c r="S26" s="112" t="s">
        <v>133</v>
      </c>
      <c r="T26" s="109">
        <f t="shared" si="34"/>
        <v>0</v>
      </c>
      <c r="U26" s="109">
        <f t="shared" si="33"/>
        <v>0</v>
      </c>
      <c r="V26" s="109">
        <f t="shared" si="2"/>
        <v>0</v>
      </c>
      <c r="W26" s="109">
        <v>1</v>
      </c>
      <c r="X26" s="109">
        <f t="shared" si="3"/>
        <v>0</v>
      </c>
      <c r="Y26" s="109">
        <v>1</v>
      </c>
      <c r="Z26" s="109">
        <v>1</v>
      </c>
      <c r="AA26" s="109">
        <v>1</v>
      </c>
      <c r="AB26" s="109" t="s">
        <v>131</v>
      </c>
      <c r="AC26" s="109" t="s">
        <v>137</v>
      </c>
      <c r="AD26" s="109" t="s">
        <v>138</v>
      </c>
      <c r="AE26" s="109" t="s">
        <v>138</v>
      </c>
      <c r="AF26" s="94">
        <v>1</v>
      </c>
      <c r="AG26" s="108" t="s">
        <v>135</v>
      </c>
      <c r="AH26" s="109">
        <v>0</v>
      </c>
      <c r="AI26" s="109" t="s">
        <v>139</v>
      </c>
      <c r="AJ26" s="109" t="s">
        <v>139</v>
      </c>
      <c r="AK26" s="114" t="s">
        <v>139</v>
      </c>
      <c r="AL26" s="114"/>
      <c r="AM26" s="112">
        <f t="shared" si="35"/>
        <v>1</v>
      </c>
      <c r="AN26" s="112">
        <f t="shared" si="7"/>
        <v>0</v>
      </c>
      <c r="AO26" s="109">
        <f>IF(AB26="Nee",Tabel22620[[#This Row],[Aantal tracés verwacht na (ver)nieuwbouw]]*$AO$4,0)</f>
        <v>0</v>
      </c>
      <c r="AP26" s="109">
        <f t="shared" si="8"/>
        <v>0</v>
      </c>
      <c r="AQ26" s="109">
        <f t="shared" si="9"/>
        <v>0</v>
      </c>
      <c r="AR26" s="109">
        <f t="shared" si="10"/>
        <v>0</v>
      </c>
      <c r="AS26" s="109">
        <v>1</v>
      </c>
      <c r="AT26" s="109" t="s">
        <v>131</v>
      </c>
      <c r="AU26" s="108">
        <v>1</v>
      </c>
      <c r="AV26" s="115">
        <f t="shared" si="12"/>
        <v>2</v>
      </c>
      <c r="AW26" s="108" t="s">
        <v>133</v>
      </c>
      <c r="AX26" s="109">
        <v>2</v>
      </c>
      <c r="AY26" s="109"/>
      <c r="AZ26" s="112">
        <f t="shared" si="13"/>
        <v>2</v>
      </c>
      <c r="BA26" s="109"/>
      <c r="BB26" s="112">
        <f t="shared" si="14"/>
        <v>2</v>
      </c>
      <c r="BC26" s="112">
        <f t="shared" si="15"/>
        <v>1</v>
      </c>
      <c r="BD26" s="109">
        <v>1</v>
      </c>
      <c r="BE26" s="109">
        <v>1</v>
      </c>
      <c r="BF26" s="109">
        <v>2</v>
      </c>
      <c r="BG26" s="108"/>
      <c r="BH26" s="109"/>
      <c r="BI26" s="109"/>
      <c r="BJ26" s="109"/>
      <c r="BK26" s="109"/>
      <c r="BL26" s="116">
        <f t="shared" si="16"/>
        <v>0</v>
      </c>
      <c r="BM26" s="117">
        <v>1</v>
      </c>
      <c r="BN26" s="117"/>
      <c r="BO26" s="117"/>
      <c r="BP26" s="117"/>
      <c r="BQ26" s="117"/>
      <c r="BR26" s="117"/>
      <c r="BS26" s="117"/>
      <c r="BT26" s="117"/>
      <c r="BU26" s="117"/>
      <c r="BV26" s="118">
        <v>1</v>
      </c>
      <c r="BW26" s="117"/>
      <c r="BX26" s="117"/>
      <c r="BY26" s="119">
        <f>SUM(Tabel22620[[#This Row],[TS Basis / Compact 1]:[TS bedrijfs voering]])</f>
        <v>2</v>
      </c>
      <c r="BZ26" s="120"/>
      <c r="CA26" s="91">
        <v>1</v>
      </c>
      <c r="CB26" s="91"/>
      <c r="CC26" s="91"/>
      <c r="CD26" s="117"/>
      <c r="CE26" s="121">
        <v>1</v>
      </c>
      <c r="CF26" s="121"/>
      <c r="CG26" s="121"/>
      <c r="CH26" s="117"/>
      <c r="CI26" s="122"/>
      <c r="CJ26" s="123">
        <v>1</v>
      </c>
      <c r="CK26" s="124"/>
      <c r="CL26" s="124">
        <f t="shared" si="17"/>
        <v>1</v>
      </c>
      <c r="CM26" s="124">
        <f t="shared" si="18"/>
        <v>0</v>
      </c>
      <c r="CN26" s="137"/>
      <c r="CO26" s="124">
        <f t="shared" si="19"/>
        <v>6.6666666666666666E-2</v>
      </c>
      <c r="CP26" s="124">
        <f>99+(50*Tabel22620[[#This Row],[Aantal rookgasafvoer aangesloten]])</f>
        <v>99</v>
      </c>
      <c r="CQ26" s="124"/>
      <c r="CR26" s="124"/>
      <c r="CS26" s="139">
        <f t="shared" si="20"/>
        <v>3</v>
      </c>
      <c r="CT26" s="125">
        <f t="shared" si="26"/>
        <v>0.6</v>
      </c>
      <c r="CU26" s="125">
        <v>0</v>
      </c>
      <c r="CV26" s="125">
        <f t="shared" si="21"/>
        <v>125</v>
      </c>
      <c r="CW26" s="125">
        <f t="shared" si="22"/>
        <v>0</v>
      </c>
      <c r="CX26" s="125">
        <f t="shared" si="27"/>
        <v>0</v>
      </c>
      <c r="CY26" s="139"/>
      <c r="CZ26" s="139"/>
      <c r="DA26" s="125" t="e">
        <f>#REF!+CO26+CT26+CX26</f>
        <v>#REF!</v>
      </c>
      <c r="DB26" s="125">
        <f t="shared" si="23"/>
        <v>225</v>
      </c>
      <c r="DD26" s="104">
        <f>Tabel35721[[#This Row],[Rookgasafvoer Afschrijving 15 jaar]]</f>
        <v>6.6666666666666666E-2</v>
      </c>
      <c r="DE26" s="104">
        <f>Tabel35721[[#This Row],[Rookgasafvoer beheer per jaar (onderhoud)]]+Tabel35721[[#This Row],[Rookgasafvoer beheer (storingen) PM]]</f>
        <v>99</v>
      </c>
      <c r="DF26" s="126">
        <f t="shared" si="28"/>
        <v>99.066666666666663</v>
      </c>
      <c r="DG26" s="127"/>
      <c r="DH26" s="127" t="e">
        <f>#REF!+Tabel35721[[#This Row],[Lucht Afschrijving 5 jaar]]</f>
        <v>#REF!</v>
      </c>
      <c r="DI26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6" s="126" t="e">
        <f t="shared" si="29"/>
        <v>#REF!</v>
      </c>
      <c r="DK26" s="128" t="e">
        <f t="shared" si="30"/>
        <v>#REF!</v>
      </c>
      <c r="DL26" s="135"/>
    </row>
    <row r="27" spans="1:118" s="179" customFormat="1" ht="12.75" customHeight="1" x14ac:dyDescent="0.3">
      <c r="A27" s="89" t="s">
        <v>190</v>
      </c>
      <c r="B27" s="90" t="s">
        <v>190</v>
      </c>
      <c r="C27" s="90" t="s">
        <v>143</v>
      </c>
      <c r="D27" s="91" t="s">
        <v>133</v>
      </c>
      <c r="E27" s="92" t="s">
        <v>132</v>
      </c>
      <c r="F27" s="92" t="s">
        <v>133</v>
      </c>
      <c r="G27" s="92">
        <v>11</v>
      </c>
      <c r="H27" s="92">
        <v>14</v>
      </c>
      <c r="I27" s="91">
        <v>1</v>
      </c>
      <c r="J27" s="91"/>
      <c r="K27" s="91" t="s">
        <v>131</v>
      </c>
      <c r="L27" s="93">
        <v>2012</v>
      </c>
      <c r="M27" s="91" t="s">
        <v>136</v>
      </c>
      <c r="N27" s="91" t="s">
        <v>131</v>
      </c>
      <c r="O27" s="92" t="s">
        <v>133</v>
      </c>
      <c r="P27" s="92"/>
      <c r="Q27" s="92">
        <f t="shared" si="0"/>
        <v>2</v>
      </c>
      <c r="R27" s="91" t="s">
        <v>131</v>
      </c>
      <c r="S27" s="92" t="s">
        <v>133</v>
      </c>
      <c r="T27" s="92">
        <f t="shared" si="34"/>
        <v>0</v>
      </c>
      <c r="U27" s="92">
        <v>1</v>
      </c>
      <c r="V27" s="92">
        <f t="shared" si="2"/>
        <v>0</v>
      </c>
      <c r="W27" s="92">
        <v>2</v>
      </c>
      <c r="X27" s="92">
        <f t="shared" si="3"/>
        <v>0</v>
      </c>
      <c r="Y27" s="92">
        <f t="shared" si="4"/>
        <v>0</v>
      </c>
      <c r="Z27" s="92">
        <f t="shared" si="5"/>
        <v>0</v>
      </c>
      <c r="AA27" s="92">
        <f t="shared" si="6"/>
        <v>0</v>
      </c>
      <c r="AB27" s="92" t="s">
        <v>131</v>
      </c>
      <c r="AC27" s="92" t="s">
        <v>146</v>
      </c>
      <c r="AD27" s="92" t="s">
        <v>147</v>
      </c>
      <c r="AE27" s="92" t="s">
        <v>148</v>
      </c>
      <c r="AF27" s="94">
        <v>2</v>
      </c>
      <c r="AG27" s="92" t="s">
        <v>135</v>
      </c>
      <c r="AH27" s="92">
        <v>5</v>
      </c>
      <c r="AI27" s="92" t="s">
        <v>135</v>
      </c>
      <c r="AJ27" s="92" t="s">
        <v>149</v>
      </c>
      <c r="AK27" s="95" t="s">
        <v>149</v>
      </c>
      <c r="AL27" s="95"/>
      <c r="AM27" s="92">
        <f t="shared" si="35"/>
        <v>1</v>
      </c>
      <c r="AN27" s="92">
        <f t="shared" si="7"/>
        <v>1</v>
      </c>
      <c r="AO27" s="92">
        <f>IF(AB27="Nee",Tabel22620[[#This Row],[Aantal tracés verwacht na (ver)nieuwbouw]]*$AO$4,0)</f>
        <v>0</v>
      </c>
      <c r="AP27" s="92">
        <v>1</v>
      </c>
      <c r="AQ27" s="92">
        <f t="shared" si="9"/>
        <v>0</v>
      </c>
      <c r="AR27" s="92">
        <v>1</v>
      </c>
      <c r="AS27" s="92">
        <f t="shared" si="11"/>
        <v>0</v>
      </c>
      <c r="AT27" s="92" t="s">
        <v>131</v>
      </c>
      <c r="AU27" s="91">
        <v>5</v>
      </c>
      <c r="AV27" s="91">
        <f t="shared" si="12"/>
        <v>3</v>
      </c>
      <c r="AW27" s="91" t="s">
        <v>133</v>
      </c>
      <c r="AX27" s="92">
        <v>5</v>
      </c>
      <c r="AY27" s="92"/>
      <c r="AZ27" s="92">
        <f t="shared" si="13"/>
        <v>3</v>
      </c>
      <c r="BA27" s="92"/>
      <c r="BB27" s="92">
        <f t="shared" si="14"/>
        <v>3</v>
      </c>
      <c r="BC27" s="92">
        <f t="shared" si="15"/>
        <v>0</v>
      </c>
      <c r="BD27" s="92">
        <f t="shared" si="24"/>
        <v>0</v>
      </c>
      <c r="BE27" s="92">
        <f t="shared" si="25"/>
        <v>0</v>
      </c>
      <c r="BF27" s="92">
        <v>3</v>
      </c>
      <c r="BG27" s="91"/>
      <c r="BH27" s="92"/>
      <c r="BI27" s="92"/>
      <c r="BJ27" s="92"/>
      <c r="BK27" s="92"/>
      <c r="BL27" s="96">
        <f t="shared" si="16"/>
        <v>0</v>
      </c>
      <c r="BM27" s="91">
        <v>1</v>
      </c>
      <c r="BN27" s="91"/>
      <c r="BO27" s="91"/>
      <c r="BP27" s="91">
        <v>1</v>
      </c>
      <c r="BQ27" s="91"/>
      <c r="BR27" s="91"/>
      <c r="BS27" s="91">
        <v>1</v>
      </c>
      <c r="BT27" s="91"/>
      <c r="BU27" s="91"/>
      <c r="BV27" s="97"/>
      <c r="BW27" s="91"/>
      <c r="BX27" s="91"/>
      <c r="BY27" s="98">
        <f>SUM(Tabel22620[[#This Row],[TS Basis / Compact 1]:[TS bedrijfs voering]])</f>
        <v>3</v>
      </c>
      <c r="BZ27" s="99"/>
      <c r="CA27" s="91">
        <v>1</v>
      </c>
      <c r="CB27" s="91"/>
      <c r="CC27" s="91"/>
      <c r="CD27" s="91"/>
      <c r="CE27" s="91"/>
      <c r="CF27" s="91">
        <v>1</v>
      </c>
      <c r="CG27" s="91">
        <v>1</v>
      </c>
      <c r="CH27" s="91"/>
      <c r="CI27" s="100"/>
      <c r="CJ27" s="175">
        <v>1</v>
      </c>
      <c r="CK27" s="102"/>
      <c r="CL27" s="102">
        <f t="shared" si="17"/>
        <v>1</v>
      </c>
      <c r="CM27" s="102">
        <f t="shared" si="18"/>
        <v>0</v>
      </c>
      <c r="CN27" s="176"/>
      <c r="CO27" s="102">
        <f t="shared" si="19"/>
        <v>6.6666666666666666E-2</v>
      </c>
      <c r="CP27" s="177">
        <f>99+(50*Tabel22620[[#This Row],[Aantal rookgasafvoer aangesloten]])</f>
        <v>349</v>
      </c>
      <c r="CQ27" s="177"/>
      <c r="CR27" s="102"/>
      <c r="CS27" s="178">
        <f t="shared" si="20"/>
        <v>3</v>
      </c>
      <c r="CT27" s="103">
        <f t="shared" si="26"/>
        <v>0.6</v>
      </c>
      <c r="CU27" s="103">
        <v>0</v>
      </c>
      <c r="CV27" s="103">
        <f t="shared" si="21"/>
        <v>125</v>
      </c>
      <c r="CW27" s="103">
        <f t="shared" si="22"/>
        <v>0</v>
      </c>
      <c r="CX27" s="103">
        <f t="shared" si="27"/>
        <v>0</v>
      </c>
      <c r="CY27" s="178"/>
      <c r="CZ27" s="178"/>
      <c r="DA27" s="103" t="e">
        <f>#REF!+CO27+CT27+CX27</f>
        <v>#REF!</v>
      </c>
      <c r="DB27" s="103">
        <f t="shared" si="23"/>
        <v>475</v>
      </c>
      <c r="DD27" s="104">
        <f>Tabel35721[[#This Row],[Rookgasafvoer Afschrijving 15 jaar]]</f>
        <v>6.6666666666666666E-2</v>
      </c>
      <c r="DE27" s="104">
        <f>Tabel35721[[#This Row],[Rookgasafvoer beheer per jaar (onderhoud)]]+Tabel35721[[#This Row],[Rookgasafvoer beheer (storingen) PM]]</f>
        <v>349</v>
      </c>
      <c r="DF27" s="104">
        <f t="shared" si="28"/>
        <v>349.06666666666666</v>
      </c>
      <c r="DG27" s="104"/>
      <c r="DH27" s="104" t="e">
        <f>#REF!+Tabel35721[[#This Row],[Lucht Afschrijving 5 jaar]]</f>
        <v>#REF!</v>
      </c>
      <c r="DI27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7" s="104" t="e">
        <f t="shared" si="29"/>
        <v>#REF!</v>
      </c>
      <c r="DK27" s="104" t="e">
        <f t="shared" si="30"/>
        <v>#REF!</v>
      </c>
      <c r="DL27" s="132"/>
      <c r="DM27" s="180" t="e">
        <f>SUM(DK26:DK27)</f>
        <v>#REF!</v>
      </c>
      <c r="DN27" s="181" t="s">
        <v>190</v>
      </c>
    </row>
    <row r="28" spans="1:118" s="122" customFormat="1" ht="12.75" customHeight="1" x14ac:dyDescent="0.3">
      <c r="A28" s="106" t="s">
        <v>192</v>
      </c>
      <c r="B28" s="107" t="s">
        <v>193</v>
      </c>
      <c r="C28" s="107" t="s">
        <v>143</v>
      </c>
      <c r="D28" s="108" t="s">
        <v>133</v>
      </c>
      <c r="E28" s="109" t="s">
        <v>151</v>
      </c>
      <c r="F28" s="110" t="s">
        <v>133</v>
      </c>
      <c r="G28" s="109">
        <v>10</v>
      </c>
      <c r="H28" s="112">
        <v>10</v>
      </c>
      <c r="I28" s="112"/>
      <c r="J28" s="108" t="s">
        <v>152</v>
      </c>
      <c r="K28" s="108" t="s">
        <v>133</v>
      </c>
      <c r="L28" s="113">
        <v>2001</v>
      </c>
      <c r="M28" s="108" t="s">
        <v>153</v>
      </c>
      <c r="N28" s="108" t="s">
        <v>135</v>
      </c>
      <c r="O28" s="112" t="s">
        <v>133</v>
      </c>
      <c r="P28" s="109">
        <v>0</v>
      </c>
      <c r="Q28" s="112">
        <f t="shared" si="0"/>
        <v>1</v>
      </c>
      <c r="R28" s="108" t="s">
        <v>135</v>
      </c>
      <c r="S28" s="112" t="s">
        <v>133</v>
      </c>
      <c r="T28" s="109">
        <f t="shared" si="34"/>
        <v>0</v>
      </c>
      <c r="U28" s="109">
        <f t="shared" ref="U28:U34" si="36">IF(AND($G28&lt;$H28,$H28&gt;13),$U$4,0)</f>
        <v>0</v>
      </c>
      <c r="V28" s="109">
        <v>1</v>
      </c>
      <c r="W28" s="109">
        <v>1</v>
      </c>
      <c r="X28" s="109">
        <f t="shared" si="3"/>
        <v>0</v>
      </c>
      <c r="Y28" s="109">
        <v>1</v>
      </c>
      <c r="Z28" s="109">
        <v>1</v>
      </c>
      <c r="AA28" s="109">
        <v>1</v>
      </c>
      <c r="AB28" s="109" t="s">
        <v>131</v>
      </c>
      <c r="AC28" s="109" t="s">
        <v>146</v>
      </c>
      <c r="AD28" s="109" t="s">
        <v>154</v>
      </c>
      <c r="AE28" s="109" t="s">
        <v>155</v>
      </c>
      <c r="AF28" s="94">
        <v>1</v>
      </c>
      <c r="AG28" s="109" t="s">
        <v>135</v>
      </c>
      <c r="AH28" s="109">
        <v>2</v>
      </c>
      <c r="AI28" s="109" t="s">
        <v>139</v>
      </c>
      <c r="AJ28" s="109" t="s">
        <v>156</v>
      </c>
      <c r="AK28" s="114" t="s">
        <v>156</v>
      </c>
      <c r="AL28" s="114"/>
      <c r="AM28" s="112">
        <f t="shared" si="35"/>
        <v>1</v>
      </c>
      <c r="AN28" s="112">
        <f t="shared" si="7"/>
        <v>0</v>
      </c>
      <c r="AO28" s="109">
        <f>IF(AB28="Nee",Tabel22620[[#This Row],[Aantal tracés verwacht na (ver)nieuwbouw]]*$AO$4,0)</f>
        <v>0</v>
      </c>
      <c r="AP28" s="109">
        <f t="shared" si="8"/>
        <v>0</v>
      </c>
      <c r="AQ28" s="109">
        <v>1</v>
      </c>
      <c r="AR28" s="109">
        <f t="shared" si="10"/>
        <v>0</v>
      </c>
      <c r="AS28" s="109">
        <f t="shared" si="11"/>
        <v>0</v>
      </c>
      <c r="AT28" s="109" t="s">
        <v>131</v>
      </c>
      <c r="AU28" s="108">
        <v>2</v>
      </c>
      <c r="AV28" s="115">
        <f t="shared" si="12"/>
        <v>1</v>
      </c>
      <c r="AW28" s="108" t="s">
        <v>133</v>
      </c>
      <c r="AX28" s="109">
        <v>2</v>
      </c>
      <c r="AY28" s="109"/>
      <c r="AZ28" s="112">
        <f t="shared" si="13"/>
        <v>1</v>
      </c>
      <c r="BA28" s="109"/>
      <c r="BB28" s="112">
        <f t="shared" si="14"/>
        <v>1</v>
      </c>
      <c r="BC28" s="112">
        <f t="shared" si="15"/>
        <v>0</v>
      </c>
      <c r="BD28" s="109">
        <f t="shared" si="24"/>
        <v>0</v>
      </c>
      <c r="BE28" s="109">
        <f t="shared" si="25"/>
        <v>0</v>
      </c>
      <c r="BF28" s="109">
        <v>1</v>
      </c>
      <c r="BG28" s="108"/>
      <c r="BH28" s="109"/>
      <c r="BI28" s="109"/>
      <c r="BJ28" s="109"/>
      <c r="BK28" s="109"/>
      <c r="BL28" s="116">
        <f t="shared" si="16"/>
        <v>0</v>
      </c>
      <c r="BM28" s="117">
        <v>1</v>
      </c>
      <c r="BN28" s="117"/>
      <c r="BO28" s="117"/>
      <c r="BP28" s="117"/>
      <c r="BQ28" s="117"/>
      <c r="BR28" s="117"/>
      <c r="BS28" s="117"/>
      <c r="BT28" s="117"/>
      <c r="BU28" s="117"/>
      <c r="BV28" s="118"/>
      <c r="BW28" s="117"/>
      <c r="BX28" s="117"/>
      <c r="BY28" s="119">
        <f>SUM(Tabel22620[[#This Row],[TS Basis / Compact 1]:[TS bedrijfs voering]])</f>
        <v>1</v>
      </c>
      <c r="BZ28" s="120"/>
      <c r="CA28" s="91">
        <v>1</v>
      </c>
      <c r="CB28" s="91"/>
      <c r="CC28" s="91"/>
      <c r="CD28" s="117"/>
      <c r="CE28" s="121">
        <v>1</v>
      </c>
      <c r="CF28" s="121"/>
      <c r="CG28" s="121"/>
      <c r="CH28" s="117"/>
      <c r="CJ28" s="123">
        <v>1</v>
      </c>
      <c r="CK28" s="124"/>
      <c r="CL28" s="124">
        <f t="shared" si="17"/>
        <v>1</v>
      </c>
      <c r="CM28" s="124">
        <f t="shared" si="18"/>
        <v>0</v>
      </c>
      <c r="CN28" s="124"/>
      <c r="CO28" s="124">
        <f t="shared" si="19"/>
        <v>6.6666666666666666E-2</v>
      </c>
      <c r="CP28" s="124">
        <f>99+(50*Tabel22620[[#This Row],[Aantal rookgasafvoer aangesloten]])</f>
        <v>199</v>
      </c>
      <c r="CQ28" s="124"/>
      <c r="CR28" s="124"/>
      <c r="CS28" s="125">
        <f t="shared" si="20"/>
        <v>1</v>
      </c>
      <c r="CT28" s="125">
        <f t="shared" si="26"/>
        <v>0.2</v>
      </c>
      <c r="CU28" s="125">
        <v>0</v>
      </c>
      <c r="CV28" s="125">
        <f t="shared" si="21"/>
        <v>125</v>
      </c>
      <c r="CW28" s="125">
        <f t="shared" si="22"/>
        <v>0</v>
      </c>
      <c r="CX28" s="125">
        <f t="shared" si="27"/>
        <v>0</v>
      </c>
      <c r="CY28" s="125"/>
      <c r="CZ28" s="125"/>
      <c r="DA28" s="125" t="e">
        <f>#REF!+CO28+CT28+CX28</f>
        <v>#REF!</v>
      </c>
      <c r="DB28" s="125">
        <f t="shared" si="23"/>
        <v>325</v>
      </c>
      <c r="DD28" s="104">
        <f>Tabel35721[[#This Row],[Rookgasafvoer Afschrijving 15 jaar]]</f>
        <v>6.6666666666666666E-2</v>
      </c>
      <c r="DE28" s="104">
        <f>Tabel35721[[#This Row],[Rookgasafvoer beheer per jaar (onderhoud)]]+Tabel35721[[#This Row],[Rookgasafvoer beheer (storingen) PM]]</f>
        <v>199</v>
      </c>
      <c r="DF28" s="126">
        <f t="shared" si="28"/>
        <v>199.06666666666666</v>
      </c>
      <c r="DG28" s="127"/>
      <c r="DH28" s="127" t="e">
        <f>#REF!+Tabel35721[[#This Row],[Lucht Afschrijving 5 jaar]]</f>
        <v>#REF!</v>
      </c>
      <c r="DI28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8" s="126" t="e">
        <f t="shared" si="29"/>
        <v>#REF!</v>
      </c>
      <c r="DK28" s="128" t="e">
        <f t="shared" si="30"/>
        <v>#REF!</v>
      </c>
      <c r="DL28" s="135"/>
    </row>
    <row r="29" spans="1:118" ht="15" customHeight="1" x14ac:dyDescent="0.3">
      <c r="A29" s="106" t="s">
        <v>192</v>
      </c>
      <c r="B29" s="107" t="s">
        <v>192</v>
      </c>
      <c r="C29" s="107" t="s">
        <v>143</v>
      </c>
      <c r="D29" s="108" t="s">
        <v>133</v>
      </c>
      <c r="E29" s="109" t="s">
        <v>151</v>
      </c>
      <c r="F29" s="110" t="s">
        <v>133</v>
      </c>
      <c r="G29" s="109">
        <v>10</v>
      </c>
      <c r="H29" s="112">
        <v>10</v>
      </c>
      <c r="I29" s="112"/>
      <c r="J29" s="108" t="s">
        <v>152</v>
      </c>
      <c r="K29" s="108" t="s">
        <v>133</v>
      </c>
      <c r="L29" s="113">
        <v>2009</v>
      </c>
      <c r="M29" s="108" t="s">
        <v>136</v>
      </c>
      <c r="N29" s="108" t="s">
        <v>131</v>
      </c>
      <c r="O29" s="112" t="s">
        <v>133</v>
      </c>
      <c r="P29" s="109">
        <v>0</v>
      </c>
      <c r="Q29" s="112">
        <f t="shared" si="0"/>
        <v>1</v>
      </c>
      <c r="R29" s="108" t="s">
        <v>135</v>
      </c>
      <c r="S29" s="112" t="s">
        <v>133</v>
      </c>
      <c r="T29" s="109">
        <f t="shared" si="34"/>
        <v>0</v>
      </c>
      <c r="U29" s="109">
        <f t="shared" si="36"/>
        <v>0</v>
      </c>
      <c r="V29" s="109">
        <f t="shared" si="2"/>
        <v>0</v>
      </c>
      <c r="W29" s="109">
        <v>1</v>
      </c>
      <c r="X29" s="109">
        <f t="shared" si="3"/>
        <v>0</v>
      </c>
      <c r="Y29" s="109">
        <v>1</v>
      </c>
      <c r="Z29" s="109">
        <v>1</v>
      </c>
      <c r="AA29" s="109">
        <v>1</v>
      </c>
      <c r="AB29" s="109" t="s">
        <v>131</v>
      </c>
      <c r="AC29" s="109" t="s">
        <v>146</v>
      </c>
      <c r="AD29" s="109" t="s">
        <v>154</v>
      </c>
      <c r="AE29" s="109" t="s">
        <v>155</v>
      </c>
      <c r="AF29" s="94">
        <v>1</v>
      </c>
      <c r="AG29" s="109" t="s">
        <v>131</v>
      </c>
      <c r="AH29" s="109">
        <v>5</v>
      </c>
      <c r="AI29" s="109" t="s">
        <v>139</v>
      </c>
      <c r="AJ29" s="109" t="s">
        <v>156</v>
      </c>
      <c r="AK29" s="114" t="s">
        <v>156</v>
      </c>
      <c r="AL29" s="114"/>
      <c r="AM29" s="112">
        <f t="shared" si="35"/>
        <v>1</v>
      </c>
      <c r="AN29" s="112">
        <f t="shared" si="7"/>
        <v>0</v>
      </c>
      <c r="AO29" s="109">
        <f>IF(AB29="Nee",Tabel22620[[#This Row],[Aantal tracés verwacht na (ver)nieuwbouw]]*$AO$4,0)</f>
        <v>0</v>
      </c>
      <c r="AP29" s="109">
        <f t="shared" si="8"/>
        <v>0</v>
      </c>
      <c r="AQ29" s="109">
        <v>1</v>
      </c>
      <c r="AR29" s="109">
        <f t="shared" si="10"/>
        <v>0</v>
      </c>
      <c r="AS29" s="109">
        <f t="shared" si="11"/>
        <v>0</v>
      </c>
      <c r="AT29" s="109" t="s">
        <v>131</v>
      </c>
      <c r="AU29" s="108">
        <v>3</v>
      </c>
      <c r="AV29" s="115">
        <f t="shared" si="12"/>
        <v>1</v>
      </c>
      <c r="AW29" s="108" t="s">
        <v>133</v>
      </c>
      <c r="AX29" s="109">
        <v>4</v>
      </c>
      <c r="AY29" s="109"/>
      <c r="AZ29" s="112">
        <f t="shared" si="13"/>
        <v>1</v>
      </c>
      <c r="BA29" s="109"/>
      <c r="BB29" s="112">
        <f t="shared" si="14"/>
        <v>1</v>
      </c>
      <c r="BC29" s="112">
        <f t="shared" si="15"/>
        <v>0</v>
      </c>
      <c r="BD29" s="109">
        <f t="shared" si="24"/>
        <v>0</v>
      </c>
      <c r="BE29" s="109">
        <f t="shared" si="25"/>
        <v>0</v>
      </c>
      <c r="BF29" s="109">
        <v>1</v>
      </c>
      <c r="BG29" s="108"/>
      <c r="BH29" s="109"/>
      <c r="BI29" s="109"/>
      <c r="BJ29" s="109"/>
      <c r="BK29" s="109"/>
      <c r="BL29" s="116">
        <f t="shared" si="16"/>
        <v>0</v>
      </c>
      <c r="BM29" s="117">
        <v>1</v>
      </c>
      <c r="BN29" s="117"/>
      <c r="BO29" s="117"/>
      <c r="BP29" s="117"/>
      <c r="BQ29" s="117"/>
      <c r="BR29" s="117"/>
      <c r="BS29" s="117"/>
      <c r="BT29" s="117"/>
      <c r="BU29" s="117"/>
      <c r="BV29" s="118"/>
      <c r="BW29" s="117"/>
      <c r="BX29" s="117"/>
      <c r="BY29" s="119">
        <f>SUM(Tabel22620[[#This Row],[TS Basis / Compact 1]:[TS bedrijfs voering]])</f>
        <v>1</v>
      </c>
      <c r="BZ29" s="120"/>
      <c r="CA29" s="91">
        <v>1</v>
      </c>
      <c r="CB29" s="91"/>
      <c r="CC29" s="91"/>
      <c r="CD29" s="117"/>
      <c r="CE29" s="121">
        <v>1</v>
      </c>
      <c r="CF29" s="121"/>
      <c r="CG29" s="121"/>
      <c r="CH29" s="117"/>
      <c r="CI29" s="122"/>
      <c r="CJ29" s="123">
        <v>1</v>
      </c>
      <c r="CK29" s="124"/>
      <c r="CL29" s="124">
        <f t="shared" si="17"/>
        <v>1</v>
      </c>
      <c r="CM29" s="124">
        <f t="shared" si="18"/>
        <v>0</v>
      </c>
      <c r="CN29" s="137"/>
      <c r="CO29" s="124">
        <f t="shared" si="19"/>
        <v>6.6666666666666666E-2</v>
      </c>
      <c r="CP29" s="124">
        <f>99+(50*Tabel22620[[#This Row],[Aantal rookgasafvoer aangesloten]])</f>
        <v>349</v>
      </c>
      <c r="CQ29" s="124"/>
      <c r="CR29" s="124"/>
      <c r="CS29" s="139">
        <f t="shared" si="20"/>
        <v>1</v>
      </c>
      <c r="CT29" s="125">
        <f t="shared" si="26"/>
        <v>0.2</v>
      </c>
      <c r="CU29" s="125">
        <v>0</v>
      </c>
      <c r="CV29" s="125">
        <f t="shared" si="21"/>
        <v>125</v>
      </c>
      <c r="CW29" s="125">
        <f t="shared" si="22"/>
        <v>0</v>
      </c>
      <c r="CX29" s="125">
        <f t="shared" si="27"/>
        <v>0</v>
      </c>
      <c r="CY29" s="139"/>
      <c r="CZ29" s="139"/>
      <c r="DA29" s="125" t="e">
        <f>#REF!+CO29+CT29+CX29</f>
        <v>#REF!</v>
      </c>
      <c r="DB29" s="125">
        <f t="shared" si="23"/>
        <v>475</v>
      </c>
      <c r="DD29" s="104">
        <f>Tabel35721[[#This Row],[Rookgasafvoer Afschrijving 15 jaar]]</f>
        <v>6.6666666666666666E-2</v>
      </c>
      <c r="DE29" s="104">
        <f>Tabel35721[[#This Row],[Rookgasafvoer beheer per jaar (onderhoud)]]+Tabel35721[[#This Row],[Rookgasafvoer beheer (storingen) PM]]</f>
        <v>349</v>
      </c>
      <c r="DF29" s="126">
        <f t="shared" si="28"/>
        <v>349.06666666666666</v>
      </c>
      <c r="DG29" s="127"/>
      <c r="DH29" s="127" t="e">
        <f>#REF!+Tabel35721[[#This Row],[Lucht Afschrijving 5 jaar]]</f>
        <v>#REF!</v>
      </c>
      <c r="DI29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29" s="126" t="e">
        <f t="shared" si="29"/>
        <v>#REF!</v>
      </c>
      <c r="DK29" s="128" t="e">
        <f t="shared" si="30"/>
        <v>#REF!</v>
      </c>
      <c r="DL29" s="129"/>
      <c r="DM29" s="162" t="e">
        <f>SUM(DK28:DK29)</f>
        <v>#REF!</v>
      </c>
      <c r="DN29" s="163" t="s">
        <v>192</v>
      </c>
    </row>
    <row r="30" spans="1:118" ht="12.75" customHeight="1" x14ac:dyDescent="0.3">
      <c r="A30" s="106" t="s">
        <v>194</v>
      </c>
      <c r="B30" s="107" t="s">
        <v>195</v>
      </c>
      <c r="C30" s="107" t="s">
        <v>143</v>
      </c>
      <c r="D30" s="108" t="s">
        <v>133</v>
      </c>
      <c r="E30" s="109" t="s">
        <v>164</v>
      </c>
      <c r="F30" s="110" t="s">
        <v>133</v>
      </c>
      <c r="G30" s="109">
        <v>10</v>
      </c>
      <c r="H30" s="112">
        <v>10</v>
      </c>
      <c r="I30" s="112"/>
      <c r="J30" s="108" t="s">
        <v>152</v>
      </c>
      <c r="K30" s="108" t="s">
        <v>133</v>
      </c>
      <c r="L30" s="113">
        <v>2016</v>
      </c>
      <c r="M30" s="108" t="s">
        <v>153</v>
      </c>
      <c r="N30" s="108" t="s">
        <v>131</v>
      </c>
      <c r="O30" s="112" t="s">
        <v>133</v>
      </c>
      <c r="P30" s="109">
        <v>1</v>
      </c>
      <c r="Q30" s="112">
        <f t="shared" si="0"/>
        <v>1</v>
      </c>
      <c r="R30" s="108" t="s">
        <v>135</v>
      </c>
      <c r="S30" s="112" t="s">
        <v>133</v>
      </c>
      <c r="T30" s="109">
        <f t="shared" si="34"/>
        <v>0</v>
      </c>
      <c r="U30" s="109">
        <f t="shared" si="36"/>
        <v>0</v>
      </c>
      <c r="V30" s="109">
        <f t="shared" si="2"/>
        <v>0</v>
      </c>
      <c r="W30" s="109">
        <f t="shared" si="31"/>
        <v>0</v>
      </c>
      <c r="X30" s="109">
        <f t="shared" si="3"/>
        <v>0</v>
      </c>
      <c r="Y30" s="109">
        <v>1</v>
      </c>
      <c r="Z30" s="109">
        <v>1</v>
      </c>
      <c r="AA30" s="109">
        <v>1</v>
      </c>
      <c r="AB30" s="109" t="s">
        <v>131</v>
      </c>
      <c r="AC30" s="109" t="s">
        <v>146</v>
      </c>
      <c r="AD30" s="109" t="s">
        <v>154</v>
      </c>
      <c r="AE30" s="109" t="s">
        <v>155</v>
      </c>
      <c r="AF30" s="94">
        <v>1</v>
      </c>
      <c r="AG30" s="109" t="s">
        <v>131</v>
      </c>
      <c r="AH30" s="109">
        <v>2</v>
      </c>
      <c r="AI30" s="109" t="s">
        <v>139</v>
      </c>
      <c r="AJ30" s="109" t="s">
        <v>156</v>
      </c>
      <c r="AK30" s="114" t="s">
        <v>156</v>
      </c>
      <c r="AL30" s="114"/>
      <c r="AM30" s="112">
        <f t="shared" si="35"/>
        <v>1</v>
      </c>
      <c r="AN30" s="112">
        <f t="shared" si="7"/>
        <v>0</v>
      </c>
      <c r="AO30" s="109">
        <f>IF(AB30="Nee",Tabel22620[[#This Row],[Aantal tracés verwacht na (ver)nieuwbouw]]*$AO$4,0)</f>
        <v>0</v>
      </c>
      <c r="AP30" s="109">
        <f t="shared" si="8"/>
        <v>0</v>
      </c>
      <c r="AQ30" s="109">
        <v>1</v>
      </c>
      <c r="AR30" s="109">
        <f t="shared" si="10"/>
        <v>0</v>
      </c>
      <c r="AS30" s="109">
        <f t="shared" si="11"/>
        <v>0</v>
      </c>
      <c r="AT30" s="109" t="s">
        <v>131</v>
      </c>
      <c r="AU30" s="108">
        <v>2</v>
      </c>
      <c r="AV30" s="115">
        <f t="shared" si="12"/>
        <v>2</v>
      </c>
      <c r="AW30" s="108" t="s">
        <v>133</v>
      </c>
      <c r="AX30" s="109">
        <v>2</v>
      </c>
      <c r="AY30" s="109"/>
      <c r="AZ30" s="112">
        <f t="shared" si="13"/>
        <v>2</v>
      </c>
      <c r="BA30" s="109"/>
      <c r="BB30" s="112">
        <f t="shared" si="14"/>
        <v>2</v>
      </c>
      <c r="BC30" s="112">
        <f t="shared" si="15"/>
        <v>0</v>
      </c>
      <c r="BD30" s="109">
        <f t="shared" si="24"/>
        <v>0</v>
      </c>
      <c r="BE30" s="109">
        <f t="shared" si="25"/>
        <v>0</v>
      </c>
      <c r="BF30" s="109">
        <v>2</v>
      </c>
      <c r="BG30" s="108"/>
      <c r="BH30" s="109"/>
      <c r="BI30" s="109"/>
      <c r="BJ30" s="109"/>
      <c r="BK30" s="109"/>
      <c r="BL30" s="116">
        <f t="shared" si="16"/>
        <v>0</v>
      </c>
      <c r="BM30" s="117">
        <v>1</v>
      </c>
      <c r="BN30" s="117"/>
      <c r="BO30" s="117"/>
      <c r="BP30" s="117"/>
      <c r="BQ30" s="117"/>
      <c r="BR30" s="117">
        <v>1</v>
      </c>
      <c r="BS30" s="117"/>
      <c r="BT30" s="117"/>
      <c r="BU30" s="117"/>
      <c r="BV30" s="118"/>
      <c r="BW30" s="117"/>
      <c r="BX30" s="117"/>
      <c r="BY30" s="119">
        <f>SUM(Tabel22620[[#This Row],[TS Basis / Compact 1]:[TS bedrijfs voering]])</f>
        <v>2</v>
      </c>
      <c r="BZ30" s="120"/>
      <c r="CA30" s="91">
        <v>1</v>
      </c>
      <c r="CB30" s="91"/>
      <c r="CC30" s="91"/>
      <c r="CD30" s="117"/>
      <c r="CE30" s="121">
        <v>1</v>
      </c>
      <c r="CF30" s="121"/>
      <c r="CG30" s="121"/>
      <c r="CH30" s="117"/>
      <c r="CI30" s="122"/>
      <c r="CJ30" s="136">
        <v>1</v>
      </c>
      <c r="CK30" s="124"/>
      <c r="CL30" s="124">
        <f t="shared" si="17"/>
        <v>1</v>
      </c>
      <c r="CM30" s="124">
        <f t="shared" si="18"/>
        <v>0</v>
      </c>
      <c r="CN30" s="137"/>
      <c r="CO30" s="124">
        <f t="shared" si="19"/>
        <v>6.6666666666666666E-2</v>
      </c>
      <c r="CP30" s="138">
        <f>99+(50*Tabel22620[[#This Row],[Aantal rookgasafvoer aangesloten]])</f>
        <v>199</v>
      </c>
      <c r="CQ30" s="138"/>
      <c r="CR30" s="124"/>
      <c r="CS30" s="139">
        <f t="shared" si="20"/>
        <v>2</v>
      </c>
      <c r="CT30" s="125">
        <f t="shared" si="26"/>
        <v>0.4</v>
      </c>
      <c r="CU30" s="125">
        <v>0</v>
      </c>
      <c r="CV30" s="125">
        <f t="shared" si="21"/>
        <v>125</v>
      </c>
      <c r="CW30" s="125">
        <f t="shared" si="22"/>
        <v>0</v>
      </c>
      <c r="CX30" s="125">
        <f t="shared" si="27"/>
        <v>0</v>
      </c>
      <c r="CY30" s="139"/>
      <c r="CZ30" s="139"/>
      <c r="DA30" s="125" t="e">
        <f>#REF!+CO30+CT30+CX30</f>
        <v>#REF!</v>
      </c>
      <c r="DB30" s="125">
        <f t="shared" si="23"/>
        <v>325</v>
      </c>
      <c r="DD30" s="104">
        <f>Tabel35721[[#This Row],[Rookgasafvoer Afschrijving 15 jaar]]</f>
        <v>6.6666666666666666E-2</v>
      </c>
      <c r="DE30" s="104">
        <f>Tabel35721[[#This Row],[Rookgasafvoer beheer per jaar (onderhoud)]]+Tabel35721[[#This Row],[Rookgasafvoer beheer (storingen) PM]]</f>
        <v>199</v>
      </c>
      <c r="DF30" s="126">
        <f t="shared" si="28"/>
        <v>199.06666666666666</v>
      </c>
      <c r="DG30" s="127"/>
      <c r="DH30" s="127" t="e">
        <f>#REF!+Tabel35721[[#This Row],[Lucht Afschrijving 5 jaar]]</f>
        <v>#REF!</v>
      </c>
      <c r="DI30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0" s="126" t="e">
        <f t="shared" si="29"/>
        <v>#REF!</v>
      </c>
      <c r="DK30" s="128" t="e">
        <f t="shared" si="30"/>
        <v>#REF!</v>
      </c>
      <c r="DL30" s="135"/>
    </row>
    <row r="31" spans="1:118" s="159" customFormat="1" ht="15" customHeight="1" x14ac:dyDescent="0.3">
      <c r="A31" s="142" t="s">
        <v>194</v>
      </c>
      <c r="B31" s="167" t="s">
        <v>194</v>
      </c>
      <c r="C31" s="167" t="s">
        <v>143</v>
      </c>
      <c r="D31" s="182" t="s">
        <v>135</v>
      </c>
      <c r="E31" s="145" t="s">
        <v>139</v>
      </c>
      <c r="F31" s="145" t="s">
        <v>133</v>
      </c>
      <c r="G31" s="145">
        <v>0</v>
      </c>
      <c r="H31" s="145">
        <v>10</v>
      </c>
      <c r="I31" s="145"/>
      <c r="J31" s="145" t="s">
        <v>139</v>
      </c>
      <c r="K31" s="144" t="s">
        <v>139</v>
      </c>
      <c r="L31" s="145" t="s">
        <v>139</v>
      </c>
      <c r="M31" s="145" t="s">
        <v>139</v>
      </c>
      <c r="N31" s="145" t="s">
        <v>135</v>
      </c>
      <c r="O31" s="145" t="s">
        <v>133</v>
      </c>
      <c r="P31" s="145">
        <v>0</v>
      </c>
      <c r="Q31" s="145">
        <f t="shared" si="0"/>
        <v>1</v>
      </c>
      <c r="R31" s="144"/>
      <c r="S31" s="145" t="s">
        <v>133</v>
      </c>
      <c r="T31" s="145">
        <v>1</v>
      </c>
      <c r="U31" s="145">
        <f t="shared" si="36"/>
        <v>0</v>
      </c>
      <c r="V31" s="145">
        <v>1</v>
      </c>
      <c r="W31" s="145">
        <v>1</v>
      </c>
      <c r="X31" s="145">
        <v>1</v>
      </c>
      <c r="Y31" s="145">
        <f t="shared" si="4"/>
        <v>0</v>
      </c>
      <c r="Z31" s="145">
        <f t="shared" si="5"/>
        <v>0</v>
      </c>
      <c r="AA31" s="145">
        <f t="shared" si="6"/>
        <v>0</v>
      </c>
      <c r="AB31" s="145" t="s">
        <v>135</v>
      </c>
      <c r="AC31" s="145" t="s">
        <v>176</v>
      </c>
      <c r="AD31" s="145" t="s">
        <v>139</v>
      </c>
      <c r="AE31" s="145" t="s">
        <v>139</v>
      </c>
      <c r="AF31" s="94">
        <v>0</v>
      </c>
      <c r="AG31" s="144" t="s">
        <v>135</v>
      </c>
      <c r="AH31" s="145">
        <v>0</v>
      </c>
      <c r="AI31" s="145" t="s">
        <v>139</v>
      </c>
      <c r="AJ31" s="145" t="s">
        <v>139</v>
      </c>
      <c r="AK31" s="147" t="s">
        <v>139</v>
      </c>
      <c r="AL31" s="147">
        <v>2</v>
      </c>
      <c r="AM31" s="145">
        <v>0</v>
      </c>
      <c r="AN31" s="145">
        <f t="shared" si="7"/>
        <v>0</v>
      </c>
      <c r="AO31" s="145">
        <v>2</v>
      </c>
      <c r="AP31" s="145">
        <f t="shared" si="8"/>
        <v>0</v>
      </c>
      <c r="AQ31" s="145">
        <f t="shared" si="9"/>
        <v>0</v>
      </c>
      <c r="AR31" s="145">
        <f t="shared" si="10"/>
        <v>0</v>
      </c>
      <c r="AS31" s="145">
        <f t="shared" si="11"/>
        <v>0</v>
      </c>
      <c r="AT31" s="145" t="s">
        <v>135</v>
      </c>
      <c r="AU31" s="144">
        <v>0</v>
      </c>
      <c r="AV31" s="144">
        <f t="shared" si="12"/>
        <v>2</v>
      </c>
      <c r="AW31" s="145" t="s">
        <v>135</v>
      </c>
      <c r="AX31" s="145">
        <v>3</v>
      </c>
      <c r="AY31" s="145"/>
      <c r="AZ31" s="145">
        <f t="shared" si="13"/>
        <v>2</v>
      </c>
      <c r="BA31" s="145"/>
      <c r="BB31" s="145">
        <f t="shared" si="14"/>
        <v>2</v>
      </c>
      <c r="BC31" s="145">
        <f t="shared" si="15"/>
        <v>2</v>
      </c>
      <c r="BD31" s="145">
        <v>3</v>
      </c>
      <c r="BE31" s="145">
        <v>3</v>
      </c>
      <c r="BF31" s="145">
        <v>2</v>
      </c>
      <c r="BG31" s="144"/>
      <c r="BH31" s="145"/>
      <c r="BI31" s="145"/>
      <c r="BJ31" s="145"/>
      <c r="BK31" s="145"/>
      <c r="BL31" s="148">
        <f t="shared" si="16"/>
        <v>0</v>
      </c>
      <c r="BM31" s="144">
        <v>1</v>
      </c>
      <c r="BN31" s="144"/>
      <c r="BO31" s="144"/>
      <c r="BP31" s="144"/>
      <c r="BQ31" s="144"/>
      <c r="BR31" s="144"/>
      <c r="BS31" s="144"/>
      <c r="BT31" s="144"/>
      <c r="BU31" s="144"/>
      <c r="BV31" s="149">
        <v>1</v>
      </c>
      <c r="BW31" s="144"/>
      <c r="BX31" s="144"/>
      <c r="BY31" s="150">
        <f>SUM(Tabel22620[[#This Row],[TS Basis / Compact 1]:[TS bedrijfs voering]])</f>
        <v>2</v>
      </c>
      <c r="BZ31" s="151"/>
      <c r="CA31" s="144">
        <v>1</v>
      </c>
      <c r="CB31" s="144"/>
      <c r="CC31" s="144"/>
      <c r="CD31" s="144"/>
      <c r="CE31" s="144" t="s">
        <v>168</v>
      </c>
      <c r="CF31" s="144"/>
      <c r="CG31" s="144"/>
      <c r="CH31" s="144"/>
      <c r="CI31" s="152"/>
      <c r="CJ31" s="168">
        <v>1</v>
      </c>
      <c r="CK31" s="154"/>
      <c r="CL31" s="154">
        <f t="shared" si="17"/>
        <v>0</v>
      </c>
      <c r="CM31" s="154">
        <f t="shared" si="18"/>
        <v>0</v>
      </c>
      <c r="CN31" s="155"/>
      <c r="CO31" s="154">
        <f t="shared" si="19"/>
        <v>0</v>
      </c>
      <c r="CP31" s="154">
        <f>99+(50*Tabel22620[[#This Row],[Aantal rookgasafvoer aangesloten]])</f>
        <v>99</v>
      </c>
      <c r="CQ31" s="154"/>
      <c r="CR31" s="154"/>
      <c r="CS31" s="157">
        <f t="shared" si="20"/>
        <v>5</v>
      </c>
      <c r="CT31" s="158">
        <f t="shared" si="26"/>
        <v>1</v>
      </c>
      <c r="CU31" s="158">
        <v>0</v>
      </c>
      <c r="CV31" s="158">
        <f t="shared" si="21"/>
        <v>125</v>
      </c>
      <c r="CW31" s="158">
        <f t="shared" si="22"/>
        <v>0</v>
      </c>
      <c r="CX31" s="158">
        <f t="shared" si="27"/>
        <v>0</v>
      </c>
      <c r="CY31" s="157"/>
      <c r="CZ31" s="157"/>
      <c r="DA31" s="158" t="e">
        <f>#REF!+CO31+CT31+CX31</f>
        <v>#REF!</v>
      </c>
      <c r="DB31" s="158">
        <f t="shared" si="23"/>
        <v>225</v>
      </c>
      <c r="DD31" s="104">
        <f>Tabel35721[[#This Row],[Rookgasafvoer Afschrijving 15 jaar]]</f>
        <v>0</v>
      </c>
      <c r="DE31" s="104">
        <f>Tabel35721[[#This Row],[Rookgasafvoer beheer per jaar (onderhoud)]]+Tabel35721[[#This Row],[Rookgasafvoer beheer (storingen) PM]]</f>
        <v>99</v>
      </c>
      <c r="DF31" s="160">
        <f t="shared" si="28"/>
        <v>99</v>
      </c>
      <c r="DG31" s="160"/>
      <c r="DH31" s="160" t="e">
        <f>#REF!+Tabel35721[[#This Row],[Lucht Afschrijving 5 jaar]]</f>
        <v>#REF!</v>
      </c>
      <c r="DI31" s="160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1" s="160" t="e">
        <f t="shared" si="29"/>
        <v>#REF!</v>
      </c>
      <c r="DK31" s="160" t="e">
        <f t="shared" si="30"/>
        <v>#REF!</v>
      </c>
      <c r="DL31" s="183"/>
      <c r="DM31" s="184" t="e">
        <f>SUM(DK30:DK31)</f>
        <v>#REF!</v>
      </c>
      <c r="DN31" s="185" t="s">
        <v>194</v>
      </c>
    </row>
    <row r="32" spans="1:118" ht="15" customHeight="1" x14ac:dyDescent="0.3">
      <c r="A32" s="106" t="s">
        <v>196</v>
      </c>
      <c r="B32" s="107" t="s">
        <v>197</v>
      </c>
      <c r="C32" s="107" t="s">
        <v>143</v>
      </c>
      <c r="D32" s="108" t="s">
        <v>133</v>
      </c>
      <c r="E32" s="109" t="s">
        <v>198</v>
      </c>
      <c r="F32" s="110" t="s">
        <v>133</v>
      </c>
      <c r="G32" s="109">
        <v>10</v>
      </c>
      <c r="H32" s="112">
        <v>10</v>
      </c>
      <c r="I32" s="112"/>
      <c r="J32" s="108"/>
      <c r="K32" s="108" t="s">
        <v>133</v>
      </c>
      <c r="L32" s="140">
        <v>2013</v>
      </c>
      <c r="M32" s="108" t="s">
        <v>136</v>
      </c>
      <c r="N32" s="108" t="s">
        <v>135</v>
      </c>
      <c r="O32" s="112" t="s">
        <v>133</v>
      </c>
      <c r="P32" s="109">
        <v>0</v>
      </c>
      <c r="Q32" s="112">
        <f t="shared" si="0"/>
        <v>1</v>
      </c>
      <c r="R32" s="108" t="s">
        <v>135</v>
      </c>
      <c r="S32" s="112" t="s">
        <v>133</v>
      </c>
      <c r="T32" s="109">
        <f>IF(AND($G32&lt;$H32,$H32&lt;11),$T$4,0)</f>
        <v>0</v>
      </c>
      <c r="U32" s="109">
        <f t="shared" si="36"/>
        <v>0</v>
      </c>
      <c r="V32" s="109">
        <v>1</v>
      </c>
      <c r="W32" s="109">
        <v>1</v>
      </c>
      <c r="X32" s="109">
        <f t="shared" si="3"/>
        <v>0</v>
      </c>
      <c r="Y32" s="109">
        <v>1</v>
      </c>
      <c r="Z32" s="109">
        <v>1</v>
      </c>
      <c r="AA32" s="109">
        <v>1</v>
      </c>
      <c r="AB32" s="109" t="s">
        <v>131</v>
      </c>
      <c r="AC32" s="109" t="s">
        <v>146</v>
      </c>
      <c r="AD32" s="109" t="s">
        <v>147</v>
      </c>
      <c r="AE32" s="109" t="s">
        <v>148</v>
      </c>
      <c r="AF32" s="94">
        <v>1</v>
      </c>
      <c r="AG32" s="109" t="s">
        <v>135</v>
      </c>
      <c r="AH32" s="109">
        <v>6</v>
      </c>
      <c r="AI32" s="109" t="s">
        <v>139</v>
      </c>
      <c r="AJ32" s="109" t="s">
        <v>149</v>
      </c>
      <c r="AK32" s="114" t="s">
        <v>149</v>
      </c>
      <c r="AL32" s="114"/>
      <c r="AM32" s="112">
        <v>1</v>
      </c>
      <c r="AN32" s="112">
        <f t="shared" si="7"/>
        <v>0</v>
      </c>
      <c r="AO32" s="109">
        <f>IF(AB32="Nee",Tabel22620[[#This Row],[Aantal tracés verwacht na (ver)nieuwbouw]]*$AO$4,0)</f>
        <v>0</v>
      </c>
      <c r="AP32" s="109">
        <f t="shared" si="8"/>
        <v>0</v>
      </c>
      <c r="AQ32" s="109">
        <f t="shared" si="9"/>
        <v>0</v>
      </c>
      <c r="AR32" s="109">
        <v>1</v>
      </c>
      <c r="AS32" s="109">
        <f t="shared" si="11"/>
        <v>0</v>
      </c>
      <c r="AT32" s="109" t="s">
        <v>135</v>
      </c>
      <c r="AU32" s="108">
        <v>0</v>
      </c>
      <c r="AV32" s="115">
        <f t="shared" si="12"/>
        <v>3</v>
      </c>
      <c r="AW32" s="108" t="s">
        <v>133</v>
      </c>
      <c r="AX32" s="109">
        <v>5</v>
      </c>
      <c r="AY32" s="109"/>
      <c r="AZ32" s="112">
        <f t="shared" si="13"/>
        <v>3</v>
      </c>
      <c r="BA32" s="109"/>
      <c r="BB32" s="112">
        <f t="shared" si="14"/>
        <v>3</v>
      </c>
      <c r="BC32" s="112">
        <f t="shared" si="15"/>
        <v>3</v>
      </c>
      <c r="BD32" s="109">
        <v>3</v>
      </c>
      <c r="BE32" s="109">
        <v>3</v>
      </c>
      <c r="BF32" s="109">
        <v>3</v>
      </c>
      <c r="BG32" s="108"/>
      <c r="BH32" s="109"/>
      <c r="BI32" s="109"/>
      <c r="BJ32" s="109"/>
      <c r="BK32" s="109"/>
      <c r="BL32" s="116">
        <f t="shared" si="16"/>
        <v>0</v>
      </c>
      <c r="BM32" s="117">
        <v>1</v>
      </c>
      <c r="BN32" s="117"/>
      <c r="BO32" s="117"/>
      <c r="BP32" s="117"/>
      <c r="BQ32" s="117"/>
      <c r="BR32" s="117">
        <v>1</v>
      </c>
      <c r="BS32" s="117"/>
      <c r="BT32" s="117"/>
      <c r="BU32" s="117"/>
      <c r="BV32" s="118">
        <v>1</v>
      </c>
      <c r="BW32" s="117"/>
      <c r="BX32" s="117"/>
      <c r="BY32" s="119">
        <f>SUM(Tabel22620[[#This Row],[TS Basis / Compact 1]:[TS bedrijfs voering]])</f>
        <v>3</v>
      </c>
      <c r="BZ32" s="120"/>
      <c r="CA32" s="91">
        <v>1</v>
      </c>
      <c r="CB32" s="91"/>
      <c r="CC32" s="91"/>
      <c r="CD32" s="117"/>
      <c r="CE32" s="121">
        <v>1</v>
      </c>
      <c r="CF32" s="121"/>
      <c r="CG32" s="121"/>
      <c r="CH32" s="117"/>
      <c r="CI32" s="122"/>
      <c r="CJ32" s="123">
        <v>1</v>
      </c>
      <c r="CK32" s="124"/>
      <c r="CL32" s="124">
        <f t="shared" si="17"/>
        <v>1</v>
      </c>
      <c r="CM32" s="124">
        <f t="shared" si="18"/>
        <v>0</v>
      </c>
      <c r="CN32" s="137"/>
      <c r="CO32" s="124">
        <f t="shared" si="19"/>
        <v>6.6666666666666666E-2</v>
      </c>
      <c r="CP32" s="124">
        <f>99+(50*Tabel22620[[#This Row],[Aantal rookgasafvoer aangesloten]])</f>
        <v>399</v>
      </c>
      <c r="CQ32" s="124"/>
      <c r="CR32" s="124"/>
      <c r="CS32" s="139">
        <f t="shared" si="20"/>
        <v>6</v>
      </c>
      <c r="CT32" s="125">
        <f t="shared" si="26"/>
        <v>1.2</v>
      </c>
      <c r="CU32" s="125">
        <v>0</v>
      </c>
      <c r="CV32" s="125">
        <f t="shared" si="21"/>
        <v>125</v>
      </c>
      <c r="CW32" s="125">
        <f t="shared" si="22"/>
        <v>0</v>
      </c>
      <c r="CX32" s="125">
        <f t="shared" si="27"/>
        <v>0</v>
      </c>
      <c r="CY32" s="139"/>
      <c r="CZ32" s="139"/>
      <c r="DA32" s="125" t="e">
        <f>#REF!+CO32+CT32+CX32</f>
        <v>#REF!</v>
      </c>
      <c r="DB32" s="125">
        <f t="shared" si="23"/>
        <v>525</v>
      </c>
      <c r="DD32" s="104">
        <f>Tabel35721[[#This Row],[Rookgasafvoer Afschrijving 15 jaar]]</f>
        <v>6.6666666666666666E-2</v>
      </c>
      <c r="DE32" s="104">
        <f>Tabel35721[[#This Row],[Rookgasafvoer beheer per jaar (onderhoud)]]+Tabel35721[[#This Row],[Rookgasafvoer beheer (storingen) PM]]</f>
        <v>399</v>
      </c>
      <c r="DF32" s="126">
        <f t="shared" si="28"/>
        <v>399.06666666666666</v>
      </c>
      <c r="DG32" s="127"/>
      <c r="DH32" s="127" t="e">
        <f>#REF!+Tabel35721[[#This Row],[Lucht Afschrijving 5 jaar]]</f>
        <v>#REF!</v>
      </c>
      <c r="DI32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2" s="126" t="e">
        <f t="shared" si="29"/>
        <v>#REF!</v>
      </c>
      <c r="DK32" s="128" t="e">
        <f t="shared" si="30"/>
        <v>#REF!</v>
      </c>
      <c r="DL32" s="135"/>
    </row>
    <row r="33" spans="1:118" ht="12.75" customHeight="1" x14ac:dyDescent="0.3">
      <c r="A33" s="106" t="s">
        <v>196</v>
      </c>
      <c r="B33" s="107" t="s">
        <v>199</v>
      </c>
      <c r="C33" s="107" t="s">
        <v>143</v>
      </c>
      <c r="D33" s="108" t="s">
        <v>133</v>
      </c>
      <c r="E33" s="109" t="s">
        <v>198</v>
      </c>
      <c r="F33" s="110" t="s">
        <v>133</v>
      </c>
      <c r="G33" s="109">
        <v>8</v>
      </c>
      <c r="H33" s="112">
        <v>10</v>
      </c>
      <c r="I33" s="112"/>
      <c r="J33" s="108"/>
      <c r="K33" s="108" t="s">
        <v>135</v>
      </c>
      <c r="L33" s="113">
        <v>2013</v>
      </c>
      <c r="M33" s="108" t="s">
        <v>153</v>
      </c>
      <c r="N33" s="108" t="s">
        <v>135</v>
      </c>
      <c r="O33" s="112" t="s">
        <v>133</v>
      </c>
      <c r="P33" s="109">
        <v>0</v>
      </c>
      <c r="Q33" s="112">
        <f t="shared" si="0"/>
        <v>1</v>
      </c>
      <c r="R33" s="108" t="s">
        <v>135</v>
      </c>
      <c r="S33" s="112" t="s">
        <v>133</v>
      </c>
      <c r="T33" s="109">
        <v>1</v>
      </c>
      <c r="U33" s="109">
        <f t="shared" si="36"/>
        <v>0</v>
      </c>
      <c r="V33" s="109">
        <v>1</v>
      </c>
      <c r="W33" s="109">
        <v>1</v>
      </c>
      <c r="X33" s="109">
        <v>1</v>
      </c>
      <c r="Y33" s="109">
        <v>1</v>
      </c>
      <c r="Z33" s="109">
        <v>1</v>
      </c>
      <c r="AA33" s="109">
        <v>1</v>
      </c>
      <c r="AB33" s="109" t="s">
        <v>131</v>
      </c>
      <c r="AC33" s="109" t="s">
        <v>146</v>
      </c>
      <c r="AD33" s="109" t="s">
        <v>147</v>
      </c>
      <c r="AE33" s="109" t="s">
        <v>155</v>
      </c>
      <c r="AF33" s="94">
        <v>1</v>
      </c>
      <c r="AG33" s="109" t="s">
        <v>135</v>
      </c>
      <c r="AH33" s="109">
        <v>2</v>
      </c>
      <c r="AI33" s="109" t="s">
        <v>139</v>
      </c>
      <c r="AJ33" s="109" t="s">
        <v>149</v>
      </c>
      <c r="AK33" s="114" t="s">
        <v>149</v>
      </c>
      <c r="AL33" s="114"/>
      <c r="AM33" s="112">
        <f t="shared" ref="AM33:AM43" si="37">BM33</f>
        <v>1</v>
      </c>
      <c r="AN33" s="112">
        <f t="shared" si="7"/>
        <v>0</v>
      </c>
      <c r="AO33" s="109">
        <f>IF(AB33="Nee",Tabel22620[[#This Row],[Aantal tracés verwacht na (ver)nieuwbouw]]*$AO$4,0)</f>
        <v>0</v>
      </c>
      <c r="AP33" s="109">
        <f t="shared" si="8"/>
        <v>0</v>
      </c>
      <c r="AQ33" s="109">
        <v>1</v>
      </c>
      <c r="AR33" s="109">
        <f t="shared" si="10"/>
        <v>0</v>
      </c>
      <c r="AS33" s="109">
        <f t="shared" si="11"/>
        <v>0</v>
      </c>
      <c r="AT33" s="109" t="s">
        <v>131</v>
      </c>
      <c r="AU33" s="108">
        <v>2</v>
      </c>
      <c r="AV33" s="115">
        <f t="shared" si="12"/>
        <v>1</v>
      </c>
      <c r="AW33" s="108" t="s">
        <v>133</v>
      </c>
      <c r="AX33" s="109">
        <v>2</v>
      </c>
      <c r="AY33" s="109"/>
      <c r="AZ33" s="112">
        <f t="shared" si="13"/>
        <v>1</v>
      </c>
      <c r="BA33" s="109"/>
      <c r="BB33" s="112">
        <f t="shared" si="14"/>
        <v>1</v>
      </c>
      <c r="BC33" s="112">
        <f t="shared" si="15"/>
        <v>0</v>
      </c>
      <c r="BD33" s="109">
        <f t="shared" si="24"/>
        <v>0</v>
      </c>
      <c r="BE33" s="109">
        <f t="shared" si="25"/>
        <v>0</v>
      </c>
      <c r="BF33" s="109">
        <v>1</v>
      </c>
      <c r="BG33" s="108"/>
      <c r="BH33" s="109"/>
      <c r="BI33" s="109"/>
      <c r="BJ33" s="109"/>
      <c r="BK33" s="109"/>
      <c r="BL33" s="116">
        <f t="shared" si="16"/>
        <v>0</v>
      </c>
      <c r="BM33" s="117">
        <v>1</v>
      </c>
      <c r="BN33" s="117"/>
      <c r="BO33" s="117"/>
      <c r="BP33" s="117"/>
      <c r="BQ33" s="117"/>
      <c r="BR33" s="117"/>
      <c r="BS33" s="117"/>
      <c r="BT33" s="117"/>
      <c r="BU33" s="117"/>
      <c r="BV33" s="118"/>
      <c r="BW33" s="117"/>
      <c r="BX33" s="117"/>
      <c r="BY33" s="119">
        <f>SUM(Tabel22620[[#This Row],[TS Basis / Compact 1]:[TS bedrijfs voering]])</f>
        <v>1</v>
      </c>
      <c r="BZ33" s="120"/>
      <c r="CA33" s="91">
        <v>1</v>
      </c>
      <c r="CB33" s="91"/>
      <c r="CC33" s="91"/>
      <c r="CD33" s="117"/>
      <c r="CE33" s="121">
        <v>1</v>
      </c>
      <c r="CF33" s="121"/>
      <c r="CG33" s="121"/>
      <c r="CH33" s="117"/>
      <c r="CI33" s="122"/>
      <c r="CJ33" s="123">
        <v>1</v>
      </c>
      <c r="CK33" s="124"/>
      <c r="CL33" s="124">
        <f t="shared" si="17"/>
        <v>1</v>
      </c>
      <c r="CM33" s="124">
        <f t="shared" si="18"/>
        <v>0</v>
      </c>
      <c r="CN33" s="137"/>
      <c r="CO33" s="124">
        <f t="shared" si="19"/>
        <v>6.6666666666666666E-2</v>
      </c>
      <c r="CP33" s="124">
        <f>99+(50*Tabel22620[[#This Row],[Aantal rookgasafvoer aangesloten]])</f>
        <v>199</v>
      </c>
      <c r="CQ33" s="124"/>
      <c r="CR33" s="124"/>
      <c r="CS33" s="139">
        <f t="shared" si="20"/>
        <v>1</v>
      </c>
      <c r="CT33" s="125">
        <f t="shared" si="26"/>
        <v>0.2</v>
      </c>
      <c r="CU33" s="125">
        <v>0</v>
      </c>
      <c r="CV33" s="125">
        <f t="shared" si="21"/>
        <v>125</v>
      </c>
      <c r="CW33" s="125">
        <f t="shared" si="22"/>
        <v>0</v>
      </c>
      <c r="CX33" s="125">
        <f t="shared" si="27"/>
        <v>0</v>
      </c>
      <c r="CY33" s="139"/>
      <c r="CZ33" s="139"/>
      <c r="DA33" s="125" t="e">
        <f>#REF!+CO33+CT33+CX33</f>
        <v>#REF!</v>
      </c>
      <c r="DB33" s="125">
        <f t="shared" si="23"/>
        <v>325</v>
      </c>
      <c r="DD33" s="104">
        <f>Tabel35721[[#This Row],[Rookgasafvoer Afschrijving 15 jaar]]</f>
        <v>6.6666666666666666E-2</v>
      </c>
      <c r="DE33" s="104">
        <f>Tabel35721[[#This Row],[Rookgasafvoer beheer per jaar (onderhoud)]]+Tabel35721[[#This Row],[Rookgasafvoer beheer (storingen) PM]]</f>
        <v>199</v>
      </c>
      <c r="DF33" s="126">
        <f t="shared" si="28"/>
        <v>199.06666666666666</v>
      </c>
      <c r="DG33" s="127"/>
      <c r="DH33" s="127" t="e">
        <f>#REF!+Tabel35721[[#This Row],[Lucht Afschrijving 5 jaar]]</f>
        <v>#REF!</v>
      </c>
      <c r="DI33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3" s="126" t="e">
        <f t="shared" si="29"/>
        <v>#REF!</v>
      </c>
      <c r="DK33" s="128" t="e">
        <f t="shared" si="30"/>
        <v>#REF!</v>
      </c>
      <c r="DL33" s="129"/>
      <c r="DM33" s="162" t="e">
        <f>SUM(DK32:DK33)</f>
        <v>#REF!</v>
      </c>
      <c r="DN33" s="163" t="s">
        <v>196</v>
      </c>
    </row>
    <row r="34" spans="1:118" ht="15" customHeight="1" x14ac:dyDescent="0.3">
      <c r="A34" s="106" t="s">
        <v>200</v>
      </c>
      <c r="B34" s="107" t="s">
        <v>200</v>
      </c>
      <c r="C34" s="107" t="s">
        <v>143</v>
      </c>
      <c r="D34" s="108" t="s">
        <v>133</v>
      </c>
      <c r="E34" s="109" t="s">
        <v>151</v>
      </c>
      <c r="F34" s="110" t="s">
        <v>133</v>
      </c>
      <c r="G34" s="109">
        <v>10</v>
      </c>
      <c r="H34" s="112">
        <v>10</v>
      </c>
      <c r="I34" s="112"/>
      <c r="J34" s="109" t="s">
        <v>152</v>
      </c>
      <c r="K34" s="108" t="s">
        <v>133</v>
      </c>
      <c r="L34" s="113">
        <v>2009</v>
      </c>
      <c r="M34" s="108" t="s">
        <v>153</v>
      </c>
      <c r="N34" s="108" t="s">
        <v>131</v>
      </c>
      <c r="O34" s="112" t="s">
        <v>133</v>
      </c>
      <c r="P34" s="109">
        <v>1</v>
      </c>
      <c r="Q34" s="112">
        <f t="shared" si="0"/>
        <v>1</v>
      </c>
      <c r="R34" s="108" t="s">
        <v>135</v>
      </c>
      <c r="S34" s="112" t="s">
        <v>133</v>
      </c>
      <c r="T34" s="109">
        <f t="shared" ref="T34:T41" si="38">IF(AND($G34&lt;$H34,$H34&lt;11),$T$4,0)</f>
        <v>0</v>
      </c>
      <c r="U34" s="109">
        <f t="shared" si="36"/>
        <v>0</v>
      </c>
      <c r="V34" s="109">
        <f t="shared" si="2"/>
        <v>0</v>
      </c>
      <c r="W34" s="109">
        <f t="shared" si="31"/>
        <v>0</v>
      </c>
      <c r="X34" s="109">
        <f t="shared" si="3"/>
        <v>0</v>
      </c>
      <c r="Y34" s="109">
        <v>1</v>
      </c>
      <c r="Z34" s="109">
        <v>1</v>
      </c>
      <c r="AA34" s="109">
        <v>1</v>
      </c>
      <c r="AB34" s="109" t="s">
        <v>131</v>
      </c>
      <c r="AC34" s="109" t="s">
        <v>146</v>
      </c>
      <c r="AD34" s="109" t="s">
        <v>154</v>
      </c>
      <c r="AE34" s="109" t="s">
        <v>155</v>
      </c>
      <c r="AF34" s="94">
        <v>1</v>
      </c>
      <c r="AG34" s="109" t="s">
        <v>131</v>
      </c>
      <c r="AH34" s="109">
        <v>3</v>
      </c>
      <c r="AI34" s="109" t="s">
        <v>139</v>
      </c>
      <c r="AJ34" s="109" t="s">
        <v>156</v>
      </c>
      <c r="AK34" s="114" t="s">
        <v>156</v>
      </c>
      <c r="AL34" s="114"/>
      <c r="AM34" s="112">
        <f t="shared" si="37"/>
        <v>1</v>
      </c>
      <c r="AN34" s="112">
        <f t="shared" si="7"/>
        <v>0</v>
      </c>
      <c r="AO34" s="109">
        <f>IF(AB34="Nee",Tabel22620[[#This Row],[Aantal tracés verwacht na (ver)nieuwbouw]]*$AO$4,0)</f>
        <v>0</v>
      </c>
      <c r="AP34" s="109">
        <f t="shared" si="8"/>
        <v>0</v>
      </c>
      <c r="AQ34" s="109">
        <v>1</v>
      </c>
      <c r="AR34" s="109">
        <f t="shared" si="10"/>
        <v>0</v>
      </c>
      <c r="AS34" s="109">
        <f t="shared" si="11"/>
        <v>0</v>
      </c>
      <c r="AT34" s="109" t="s">
        <v>131</v>
      </c>
      <c r="AU34" s="108">
        <v>3</v>
      </c>
      <c r="AV34" s="115">
        <f t="shared" si="12"/>
        <v>1</v>
      </c>
      <c r="AW34" s="109" t="s">
        <v>135</v>
      </c>
      <c r="AX34" s="109">
        <v>3</v>
      </c>
      <c r="AY34" s="109"/>
      <c r="AZ34" s="112">
        <f t="shared" si="13"/>
        <v>1</v>
      </c>
      <c r="BA34" s="109"/>
      <c r="BB34" s="112">
        <f t="shared" si="14"/>
        <v>1</v>
      </c>
      <c r="BC34" s="112">
        <f t="shared" si="15"/>
        <v>0</v>
      </c>
      <c r="BD34" s="109">
        <v>1</v>
      </c>
      <c r="BE34" s="109">
        <v>1</v>
      </c>
      <c r="BF34" s="109">
        <v>1</v>
      </c>
      <c r="BG34" s="108"/>
      <c r="BH34" s="109"/>
      <c r="BI34" s="109"/>
      <c r="BJ34" s="109"/>
      <c r="BK34" s="109"/>
      <c r="BL34" s="116">
        <f t="shared" si="16"/>
        <v>0</v>
      </c>
      <c r="BM34" s="117">
        <v>1</v>
      </c>
      <c r="BN34" s="117"/>
      <c r="BO34" s="117"/>
      <c r="BP34" s="117"/>
      <c r="BQ34" s="117"/>
      <c r="BR34" s="117"/>
      <c r="BS34" s="117"/>
      <c r="BT34" s="117"/>
      <c r="BU34" s="117"/>
      <c r="BV34" s="118"/>
      <c r="BW34" s="117"/>
      <c r="BX34" s="117"/>
      <c r="BY34" s="119">
        <f>SUM(Tabel22620[[#This Row],[TS Basis / Compact 1]:[TS bedrijfs voering]])</f>
        <v>1</v>
      </c>
      <c r="BZ34" s="120"/>
      <c r="CA34" s="91">
        <v>1</v>
      </c>
      <c r="CB34" s="91"/>
      <c r="CC34" s="91"/>
      <c r="CD34" s="117"/>
      <c r="CE34" s="121">
        <v>1</v>
      </c>
      <c r="CF34" s="121"/>
      <c r="CG34" s="121"/>
      <c r="CH34" s="117"/>
      <c r="CI34" s="122"/>
      <c r="CJ34" s="123">
        <v>1</v>
      </c>
      <c r="CK34" s="124"/>
      <c r="CL34" s="124">
        <f t="shared" si="17"/>
        <v>1</v>
      </c>
      <c r="CM34" s="124">
        <f t="shared" si="18"/>
        <v>0</v>
      </c>
      <c r="CN34" s="137"/>
      <c r="CO34" s="124">
        <f t="shared" si="19"/>
        <v>6.6666666666666666E-2</v>
      </c>
      <c r="CP34" s="124">
        <f>99+(50*Tabel22620[[#This Row],[Aantal rookgasafvoer aangesloten]])</f>
        <v>249</v>
      </c>
      <c r="CQ34" s="124"/>
      <c r="CR34" s="124"/>
      <c r="CS34" s="139">
        <f t="shared" si="20"/>
        <v>2</v>
      </c>
      <c r="CT34" s="125">
        <f t="shared" si="26"/>
        <v>0.4</v>
      </c>
      <c r="CU34" s="125">
        <v>0</v>
      </c>
      <c r="CV34" s="125">
        <f t="shared" si="21"/>
        <v>125</v>
      </c>
      <c r="CW34" s="125">
        <f t="shared" si="22"/>
        <v>0</v>
      </c>
      <c r="CX34" s="125">
        <f t="shared" si="27"/>
        <v>0</v>
      </c>
      <c r="CY34" s="139"/>
      <c r="CZ34" s="139"/>
      <c r="DA34" s="125" t="e">
        <f>#REF!+CO34+CT34+CX34</f>
        <v>#REF!</v>
      </c>
      <c r="DB34" s="125">
        <f t="shared" si="23"/>
        <v>375</v>
      </c>
      <c r="DD34" s="104">
        <f>Tabel35721[[#This Row],[Rookgasafvoer Afschrijving 15 jaar]]</f>
        <v>6.6666666666666666E-2</v>
      </c>
      <c r="DE34" s="104">
        <f>Tabel35721[[#This Row],[Rookgasafvoer beheer per jaar (onderhoud)]]+Tabel35721[[#This Row],[Rookgasafvoer beheer (storingen) PM]]</f>
        <v>249</v>
      </c>
      <c r="DF34" s="126">
        <f t="shared" si="28"/>
        <v>249.06666666666666</v>
      </c>
      <c r="DG34" s="127"/>
      <c r="DH34" s="127" t="e">
        <f>#REF!+Tabel35721[[#This Row],[Lucht Afschrijving 5 jaar]]</f>
        <v>#REF!</v>
      </c>
      <c r="DI34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4" s="126" t="e">
        <f t="shared" si="29"/>
        <v>#REF!</v>
      </c>
      <c r="DK34" s="128" t="e">
        <f t="shared" si="30"/>
        <v>#REF!</v>
      </c>
      <c r="DL34" s="169"/>
      <c r="DM34" s="162" t="e">
        <f>SUM(DK34)</f>
        <v>#REF!</v>
      </c>
      <c r="DN34" s="163" t="s">
        <v>200</v>
      </c>
    </row>
    <row r="35" spans="1:118" s="159" customFormat="1" ht="15" customHeight="1" x14ac:dyDescent="0.3">
      <c r="A35" s="142" t="s">
        <v>201</v>
      </c>
      <c r="B35" s="167" t="s">
        <v>201</v>
      </c>
      <c r="C35" s="167" t="s">
        <v>143</v>
      </c>
      <c r="D35" s="144" t="s">
        <v>139</v>
      </c>
      <c r="E35" s="145"/>
      <c r="F35" s="145" t="s">
        <v>133</v>
      </c>
      <c r="G35" s="145"/>
      <c r="H35" s="145">
        <v>14</v>
      </c>
      <c r="I35" s="145"/>
      <c r="J35" s="145"/>
      <c r="K35" s="144"/>
      <c r="L35" s="146"/>
      <c r="M35" s="145" t="s">
        <v>139</v>
      </c>
      <c r="N35" s="144"/>
      <c r="O35" s="145" t="s">
        <v>133</v>
      </c>
      <c r="P35" s="145">
        <v>0</v>
      </c>
      <c r="Q35" s="145">
        <f t="shared" si="0"/>
        <v>2</v>
      </c>
      <c r="R35" s="144"/>
      <c r="S35" s="145" t="s">
        <v>133</v>
      </c>
      <c r="T35" s="145">
        <f t="shared" si="38"/>
        <v>0</v>
      </c>
      <c r="U35" s="145">
        <v>1</v>
      </c>
      <c r="V35" s="145">
        <f t="shared" si="2"/>
        <v>0</v>
      </c>
      <c r="W35" s="145">
        <v>2</v>
      </c>
      <c r="X35" s="145">
        <f t="shared" si="3"/>
        <v>0</v>
      </c>
      <c r="Y35" s="145">
        <f t="shared" si="4"/>
        <v>0</v>
      </c>
      <c r="Z35" s="145">
        <f t="shared" si="5"/>
        <v>0</v>
      </c>
      <c r="AA35" s="145">
        <f t="shared" si="6"/>
        <v>0</v>
      </c>
      <c r="AB35" s="145" t="s">
        <v>139</v>
      </c>
      <c r="AC35" s="145" t="s">
        <v>146</v>
      </c>
      <c r="AD35" s="145" t="s">
        <v>139</v>
      </c>
      <c r="AE35" s="145"/>
      <c r="AF35" s="94">
        <v>0</v>
      </c>
      <c r="AG35" s="144"/>
      <c r="AH35" s="145">
        <v>0</v>
      </c>
      <c r="AI35" s="145" t="s">
        <v>135</v>
      </c>
      <c r="AJ35" s="145"/>
      <c r="AK35" s="147"/>
      <c r="AL35" s="147"/>
      <c r="AM35" s="145">
        <f t="shared" si="37"/>
        <v>1</v>
      </c>
      <c r="AN35" s="145">
        <f t="shared" si="7"/>
        <v>1</v>
      </c>
      <c r="AO35" s="145">
        <f>IF(AB35="Nee",Tabel22620[[#This Row],[Aantal tracés verwacht na (ver)nieuwbouw]]*$AO$4,0)</f>
        <v>0</v>
      </c>
      <c r="AP35" s="145">
        <v>1</v>
      </c>
      <c r="AQ35" s="145">
        <f t="shared" si="9"/>
        <v>0</v>
      </c>
      <c r="AR35" s="145">
        <f t="shared" si="10"/>
        <v>0</v>
      </c>
      <c r="AS35" s="145">
        <f t="shared" si="11"/>
        <v>0</v>
      </c>
      <c r="AT35" s="145" t="s">
        <v>135</v>
      </c>
      <c r="AU35" s="144"/>
      <c r="AV35" s="144">
        <f t="shared" si="12"/>
        <v>3</v>
      </c>
      <c r="AW35" s="144"/>
      <c r="AX35" s="145"/>
      <c r="AY35" s="145"/>
      <c r="AZ35" s="145">
        <f t="shared" si="13"/>
        <v>3</v>
      </c>
      <c r="BA35" s="145"/>
      <c r="BB35" s="145">
        <f t="shared" si="14"/>
        <v>3</v>
      </c>
      <c r="BC35" s="145">
        <f t="shared" si="15"/>
        <v>3</v>
      </c>
      <c r="BD35" s="145">
        <v>3</v>
      </c>
      <c r="BE35" s="145">
        <v>3</v>
      </c>
      <c r="BF35" s="145">
        <v>3</v>
      </c>
      <c r="BG35" s="144"/>
      <c r="BH35" s="145"/>
      <c r="BI35" s="145"/>
      <c r="BJ35" s="145"/>
      <c r="BK35" s="145"/>
      <c r="BL35" s="148">
        <f t="shared" si="16"/>
        <v>0</v>
      </c>
      <c r="BM35" s="144">
        <v>1</v>
      </c>
      <c r="BN35" s="144"/>
      <c r="BO35" s="144"/>
      <c r="BP35" s="144">
        <v>1</v>
      </c>
      <c r="BQ35" s="144"/>
      <c r="BR35" s="144"/>
      <c r="BS35" s="144"/>
      <c r="BT35" s="144"/>
      <c r="BU35" s="144"/>
      <c r="BV35" s="149">
        <v>1</v>
      </c>
      <c r="BW35" s="144"/>
      <c r="BX35" s="144"/>
      <c r="BY35" s="150">
        <f>SUM(Tabel22620[[#This Row],[TS Basis / Compact 1]:[TS bedrijfs voering]])</f>
        <v>3</v>
      </c>
      <c r="BZ35" s="151"/>
      <c r="CA35" s="144">
        <v>1</v>
      </c>
      <c r="CB35" s="144"/>
      <c r="CC35" s="144"/>
      <c r="CD35" s="144"/>
      <c r="CE35" s="144"/>
      <c r="CF35" s="144" t="s">
        <v>168</v>
      </c>
      <c r="CG35" s="144" t="s">
        <v>168</v>
      </c>
      <c r="CH35" s="144"/>
      <c r="CI35" s="152"/>
      <c r="CJ35" s="168">
        <v>1</v>
      </c>
      <c r="CK35" s="154"/>
      <c r="CL35" s="154">
        <f t="shared" si="17"/>
        <v>0</v>
      </c>
      <c r="CM35" s="154">
        <f t="shared" si="18"/>
        <v>0</v>
      </c>
      <c r="CN35" s="155"/>
      <c r="CO35" s="154">
        <f t="shared" si="19"/>
        <v>0</v>
      </c>
      <c r="CP35" s="154">
        <f>99+(50*Tabel22620[[#This Row],[Aantal rookgasafvoer aangesloten]])</f>
        <v>99</v>
      </c>
      <c r="CQ35" s="154"/>
      <c r="CR35" s="154"/>
      <c r="CS35" s="157">
        <f t="shared" si="20"/>
        <v>6</v>
      </c>
      <c r="CT35" s="158">
        <f t="shared" si="26"/>
        <v>1.2</v>
      </c>
      <c r="CU35" s="158">
        <v>0</v>
      </c>
      <c r="CV35" s="158">
        <f t="shared" si="21"/>
        <v>125</v>
      </c>
      <c r="CW35" s="158">
        <f t="shared" si="22"/>
        <v>0</v>
      </c>
      <c r="CX35" s="158">
        <f t="shared" si="27"/>
        <v>0</v>
      </c>
      <c r="CY35" s="157"/>
      <c r="CZ35" s="157"/>
      <c r="DA35" s="158" t="e">
        <f>#REF!+CO35+CT35+CX35</f>
        <v>#REF!</v>
      </c>
      <c r="DB35" s="158">
        <f>CJ35+CK35+CP35+CR35+CU35+CV35+CY49+CZ49</f>
        <v>975</v>
      </c>
      <c r="DD35" s="104">
        <f>Tabel35721[[#This Row],[Rookgasafvoer Afschrijving 15 jaar]]</f>
        <v>0</v>
      </c>
      <c r="DE35" s="104">
        <f>Tabel35721[[#This Row],[Rookgasafvoer beheer per jaar (onderhoud)]]+Tabel35721[[#This Row],[Rookgasafvoer beheer (storingen) PM]]</f>
        <v>99</v>
      </c>
      <c r="DF35" s="160">
        <f t="shared" si="28"/>
        <v>99</v>
      </c>
      <c r="DG35" s="160"/>
      <c r="DH35" s="160" t="e">
        <f>#REF!+Tabel35721[[#This Row],[Lucht Afschrijving 5 jaar]]</f>
        <v>#REF!</v>
      </c>
      <c r="DI35" s="160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5" s="160" t="e">
        <f t="shared" si="29"/>
        <v>#REF!</v>
      </c>
      <c r="DK35" s="160" t="e">
        <f t="shared" si="30"/>
        <v>#REF!</v>
      </c>
      <c r="DL35" s="186"/>
      <c r="DM35" s="184" t="e">
        <f>SUM(DK35)</f>
        <v>#REF!</v>
      </c>
      <c r="DN35" s="185" t="s">
        <v>201</v>
      </c>
    </row>
    <row r="36" spans="1:118" s="179" customFormat="1" ht="12.75" customHeight="1" x14ac:dyDescent="0.3">
      <c r="A36" s="89" t="s">
        <v>202</v>
      </c>
      <c r="B36" s="90" t="s">
        <v>203</v>
      </c>
      <c r="C36" s="90" t="s">
        <v>143</v>
      </c>
      <c r="D36" s="91" t="s">
        <v>133</v>
      </c>
      <c r="E36" s="92" t="s">
        <v>204</v>
      </c>
      <c r="F36" s="92" t="s">
        <v>133</v>
      </c>
      <c r="G36" s="92">
        <v>11</v>
      </c>
      <c r="H36" s="92">
        <v>14</v>
      </c>
      <c r="I36" s="92">
        <v>1</v>
      </c>
      <c r="J36" s="92" t="s">
        <v>144</v>
      </c>
      <c r="K36" s="91" t="s">
        <v>133</v>
      </c>
      <c r="L36" s="93">
        <v>2014</v>
      </c>
      <c r="M36" s="91" t="s">
        <v>153</v>
      </c>
      <c r="N36" s="91" t="s">
        <v>135</v>
      </c>
      <c r="O36" s="92" t="s">
        <v>133</v>
      </c>
      <c r="P36" s="92">
        <v>0</v>
      </c>
      <c r="Q36" s="92">
        <f t="shared" si="0"/>
        <v>1</v>
      </c>
      <c r="R36" s="91" t="s">
        <v>135</v>
      </c>
      <c r="S36" s="92" t="s">
        <v>133</v>
      </c>
      <c r="T36" s="92">
        <f t="shared" si="38"/>
        <v>0</v>
      </c>
      <c r="U36" s="92">
        <v>1</v>
      </c>
      <c r="V36" s="92">
        <v>1</v>
      </c>
      <c r="W36" s="92">
        <v>1</v>
      </c>
      <c r="X36" s="92">
        <f t="shared" si="3"/>
        <v>0</v>
      </c>
      <c r="Y36" s="92">
        <v>1</v>
      </c>
      <c r="Z36" s="92">
        <v>1</v>
      </c>
      <c r="AA36" s="92">
        <v>1</v>
      </c>
      <c r="AB36" s="92" t="s">
        <v>133</v>
      </c>
      <c r="AC36" s="92" t="s">
        <v>146</v>
      </c>
      <c r="AD36" s="92" t="s">
        <v>154</v>
      </c>
      <c r="AE36" s="92" t="s">
        <v>155</v>
      </c>
      <c r="AF36" s="94">
        <v>2</v>
      </c>
      <c r="AG36" s="91" t="s">
        <v>133</v>
      </c>
      <c r="AH36" s="92">
        <v>2</v>
      </c>
      <c r="AI36" s="92" t="s">
        <v>135</v>
      </c>
      <c r="AJ36" s="92" t="s">
        <v>156</v>
      </c>
      <c r="AK36" s="95" t="s">
        <v>156</v>
      </c>
      <c r="AL36" s="95"/>
      <c r="AM36" s="92">
        <f t="shared" si="37"/>
        <v>1</v>
      </c>
      <c r="AN36" s="92">
        <f t="shared" si="7"/>
        <v>1</v>
      </c>
      <c r="AO36" s="92">
        <f>IF(AB36="Nee",Tabel22620[[#This Row],[Aantal tracés verwacht na (ver)nieuwbouw]]*$AO$4,0)</f>
        <v>0</v>
      </c>
      <c r="AP36" s="92">
        <v>1</v>
      </c>
      <c r="AQ36" s="92">
        <v>1</v>
      </c>
      <c r="AR36" s="92">
        <f t="shared" si="10"/>
        <v>0</v>
      </c>
      <c r="AS36" s="92">
        <f t="shared" si="11"/>
        <v>0</v>
      </c>
      <c r="AT36" s="92" t="s">
        <v>133</v>
      </c>
      <c r="AU36" s="91">
        <v>2</v>
      </c>
      <c r="AV36" s="91">
        <f t="shared" si="12"/>
        <v>2</v>
      </c>
      <c r="AW36" s="91" t="s">
        <v>133</v>
      </c>
      <c r="AX36" s="92">
        <v>2</v>
      </c>
      <c r="AY36" s="92"/>
      <c r="AZ36" s="92">
        <f t="shared" si="13"/>
        <v>2</v>
      </c>
      <c r="BA36" s="92"/>
      <c r="BB36" s="92">
        <f t="shared" si="14"/>
        <v>2</v>
      </c>
      <c r="BC36" s="92">
        <f t="shared" si="15"/>
        <v>0</v>
      </c>
      <c r="BD36" s="92">
        <f t="shared" si="24"/>
        <v>0</v>
      </c>
      <c r="BE36" s="92">
        <f t="shared" si="25"/>
        <v>0</v>
      </c>
      <c r="BF36" s="92">
        <v>2</v>
      </c>
      <c r="BG36" s="91"/>
      <c r="BH36" s="92"/>
      <c r="BI36" s="92"/>
      <c r="BJ36" s="92"/>
      <c r="BK36" s="92"/>
      <c r="BL36" s="96">
        <f t="shared" si="16"/>
        <v>0</v>
      </c>
      <c r="BM36" s="91">
        <v>1</v>
      </c>
      <c r="BN36" s="91"/>
      <c r="BO36" s="91"/>
      <c r="BP36" s="91">
        <v>1</v>
      </c>
      <c r="BQ36" s="91"/>
      <c r="BR36" s="91"/>
      <c r="BS36" s="91"/>
      <c r="BT36" s="91"/>
      <c r="BU36" s="91"/>
      <c r="BV36" s="97"/>
      <c r="BW36" s="91"/>
      <c r="BX36" s="91"/>
      <c r="BY36" s="98">
        <f>SUM(Tabel22620[[#This Row],[TS Basis / Compact 1]:[TS bedrijfs voering]])</f>
        <v>2</v>
      </c>
      <c r="BZ36" s="99"/>
      <c r="CA36" s="91">
        <v>1</v>
      </c>
      <c r="CB36" s="91"/>
      <c r="CC36" s="91"/>
      <c r="CD36" s="91"/>
      <c r="CE36" s="91"/>
      <c r="CF36" s="91">
        <v>1</v>
      </c>
      <c r="CG36" s="91">
        <v>1</v>
      </c>
      <c r="CH36" s="91"/>
      <c r="CI36" s="100"/>
      <c r="CJ36" s="175">
        <v>1</v>
      </c>
      <c r="CK36" s="102"/>
      <c r="CL36" s="102">
        <f t="shared" si="17"/>
        <v>1</v>
      </c>
      <c r="CM36" s="102">
        <f t="shared" si="18"/>
        <v>0</v>
      </c>
      <c r="CN36" s="176"/>
      <c r="CO36" s="102">
        <f t="shared" si="19"/>
        <v>6.6666666666666666E-2</v>
      </c>
      <c r="CP36" s="177">
        <f>99+(50*Tabel22620[[#This Row],[Aantal rookgasafvoer aangesloten]])</f>
        <v>199</v>
      </c>
      <c r="CQ36" s="177"/>
      <c r="CR36" s="102"/>
      <c r="CS36" s="178">
        <f t="shared" si="20"/>
        <v>2</v>
      </c>
      <c r="CT36" s="103">
        <f t="shared" si="26"/>
        <v>0.4</v>
      </c>
      <c r="CU36" s="103">
        <v>0</v>
      </c>
      <c r="CV36" s="103">
        <f t="shared" si="21"/>
        <v>125</v>
      </c>
      <c r="CW36" s="103">
        <f t="shared" si="22"/>
        <v>0</v>
      </c>
      <c r="CX36" s="103">
        <f t="shared" si="27"/>
        <v>0</v>
      </c>
      <c r="CY36" s="178"/>
      <c r="CZ36" s="178"/>
      <c r="DA36" s="103" t="e">
        <f>#REF!+CO36+CT36+CX36</f>
        <v>#REF!</v>
      </c>
      <c r="DB36" s="103">
        <f t="shared" ref="DB36:DB76" si="39">CJ36+CK36+CP36+CR36+CU36+CV36+CY36+CZ36</f>
        <v>325</v>
      </c>
      <c r="DD36" s="104">
        <f>Tabel35721[[#This Row],[Rookgasafvoer Afschrijving 15 jaar]]</f>
        <v>6.6666666666666666E-2</v>
      </c>
      <c r="DE36" s="104">
        <f>Tabel35721[[#This Row],[Rookgasafvoer beheer per jaar (onderhoud)]]+Tabel35721[[#This Row],[Rookgasafvoer beheer (storingen) PM]]</f>
        <v>199</v>
      </c>
      <c r="DF36" s="104">
        <f t="shared" si="28"/>
        <v>199.06666666666666</v>
      </c>
      <c r="DG36" s="104"/>
      <c r="DH36" s="104" t="e">
        <f>#REF!+Tabel35721[[#This Row],[Lucht Afschrijving 5 jaar]]</f>
        <v>#REF!</v>
      </c>
      <c r="DI36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6" s="104" t="e">
        <f t="shared" si="29"/>
        <v>#REF!</v>
      </c>
      <c r="DK36" s="104" t="e">
        <f t="shared" si="30"/>
        <v>#REF!</v>
      </c>
      <c r="DL36" s="105"/>
    </row>
    <row r="37" spans="1:118" s="179" customFormat="1" ht="12.75" customHeight="1" x14ac:dyDescent="0.3">
      <c r="A37" s="89" t="s">
        <v>202</v>
      </c>
      <c r="B37" s="90" t="s">
        <v>205</v>
      </c>
      <c r="C37" s="90" t="s">
        <v>143</v>
      </c>
      <c r="D37" s="91" t="s">
        <v>139</v>
      </c>
      <c r="E37" s="92"/>
      <c r="F37" s="92" t="s">
        <v>133</v>
      </c>
      <c r="G37" s="92">
        <v>10</v>
      </c>
      <c r="H37" s="92">
        <v>14</v>
      </c>
      <c r="I37" s="92">
        <v>1</v>
      </c>
      <c r="J37" s="92"/>
      <c r="K37" s="91"/>
      <c r="L37" s="93"/>
      <c r="M37" s="92" t="s">
        <v>139</v>
      </c>
      <c r="N37" s="91"/>
      <c r="O37" s="92" t="s">
        <v>133</v>
      </c>
      <c r="P37" s="92">
        <v>0</v>
      </c>
      <c r="Q37" s="92">
        <f t="shared" si="0"/>
        <v>1</v>
      </c>
      <c r="R37" s="91"/>
      <c r="S37" s="92" t="s">
        <v>133</v>
      </c>
      <c r="T37" s="92">
        <f t="shared" si="38"/>
        <v>0</v>
      </c>
      <c r="U37" s="92">
        <v>1</v>
      </c>
      <c r="V37" s="92">
        <f t="shared" si="2"/>
        <v>0</v>
      </c>
      <c r="W37" s="92">
        <v>1</v>
      </c>
      <c r="X37" s="92">
        <f t="shared" si="3"/>
        <v>0</v>
      </c>
      <c r="Y37" s="92">
        <f t="shared" si="4"/>
        <v>0</v>
      </c>
      <c r="Z37" s="92">
        <f t="shared" si="5"/>
        <v>0</v>
      </c>
      <c r="AA37" s="92">
        <f t="shared" si="6"/>
        <v>0</v>
      </c>
      <c r="AB37" s="92" t="s">
        <v>139</v>
      </c>
      <c r="AC37" s="92" t="s">
        <v>146</v>
      </c>
      <c r="AD37" s="92"/>
      <c r="AE37" s="97" t="s">
        <v>155</v>
      </c>
      <c r="AF37" s="94">
        <v>2</v>
      </c>
      <c r="AG37" s="91"/>
      <c r="AH37" s="92">
        <v>0</v>
      </c>
      <c r="AI37" s="92" t="s">
        <v>133</v>
      </c>
      <c r="AJ37" s="92"/>
      <c r="AK37" s="95"/>
      <c r="AL37" s="95"/>
      <c r="AM37" s="92">
        <f t="shared" si="37"/>
        <v>1</v>
      </c>
      <c r="AN37" s="92">
        <f t="shared" si="7"/>
        <v>0</v>
      </c>
      <c r="AO37" s="92">
        <f>IF(AB37="Nee",Tabel22620[[#This Row],[Aantal tracés verwacht na (ver)nieuwbouw]]*$AO$4,0)</f>
        <v>0</v>
      </c>
      <c r="AP37" s="92">
        <f t="shared" si="8"/>
        <v>0</v>
      </c>
      <c r="AQ37" s="92">
        <v>1</v>
      </c>
      <c r="AR37" s="92">
        <f t="shared" si="10"/>
        <v>0</v>
      </c>
      <c r="AS37" s="92">
        <f t="shared" si="11"/>
        <v>0</v>
      </c>
      <c r="AT37" s="92" t="s">
        <v>133</v>
      </c>
      <c r="AU37" s="91"/>
      <c r="AV37" s="91">
        <f t="shared" si="12"/>
        <v>2</v>
      </c>
      <c r="AW37" s="91"/>
      <c r="AX37" s="92"/>
      <c r="AY37" s="92"/>
      <c r="AZ37" s="92">
        <f t="shared" si="13"/>
        <v>2</v>
      </c>
      <c r="BA37" s="92"/>
      <c r="BB37" s="92">
        <f t="shared" si="14"/>
        <v>2</v>
      </c>
      <c r="BC37" s="92">
        <f t="shared" si="15"/>
        <v>2</v>
      </c>
      <c r="BD37" s="92">
        <v>2</v>
      </c>
      <c r="BE37" s="92">
        <v>2</v>
      </c>
      <c r="BF37" s="92">
        <v>2</v>
      </c>
      <c r="BG37" s="91"/>
      <c r="BH37" s="92"/>
      <c r="BI37" s="92"/>
      <c r="BJ37" s="92"/>
      <c r="BK37" s="92"/>
      <c r="BL37" s="96">
        <f t="shared" si="16"/>
        <v>0</v>
      </c>
      <c r="BM37" s="91">
        <v>1</v>
      </c>
      <c r="BN37" s="91"/>
      <c r="BO37" s="91"/>
      <c r="BP37" s="91">
        <v>1</v>
      </c>
      <c r="BQ37" s="91"/>
      <c r="BR37" s="91"/>
      <c r="BS37" s="91"/>
      <c r="BT37" s="91"/>
      <c r="BU37" s="91"/>
      <c r="BV37" s="97"/>
      <c r="BW37" s="91"/>
      <c r="BX37" s="91"/>
      <c r="BY37" s="98">
        <f>SUM(Tabel22620[[#This Row],[TS Basis / Compact 1]:[TS bedrijfs voering]])</f>
        <v>2</v>
      </c>
      <c r="BZ37" s="99"/>
      <c r="CA37" s="91"/>
      <c r="CB37" s="91">
        <v>1</v>
      </c>
      <c r="CC37" s="91">
        <v>1</v>
      </c>
      <c r="CD37" s="91"/>
      <c r="CE37" s="91"/>
      <c r="CF37" s="91">
        <v>1</v>
      </c>
      <c r="CG37" s="91">
        <v>1</v>
      </c>
      <c r="CH37" s="91"/>
      <c r="CI37" s="100"/>
      <c r="CJ37" s="101">
        <v>1</v>
      </c>
      <c r="CK37" s="102"/>
      <c r="CL37" s="102">
        <f t="shared" si="17"/>
        <v>1</v>
      </c>
      <c r="CM37" s="102">
        <f t="shared" si="18"/>
        <v>0</v>
      </c>
      <c r="CN37" s="176"/>
      <c r="CO37" s="102">
        <f t="shared" si="19"/>
        <v>6.6666666666666666E-2</v>
      </c>
      <c r="CP37" s="102">
        <f>99+(50*Tabel22620[[#This Row],[Aantal rookgasafvoer aangesloten]])</f>
        <v>99</v>
      </c>
      <c r="CQ37" s="102"/>
      <c r="CR37" s="102"/>
      <c r="CS37" s="178">
        <f t="shared" si="20"/>
        <v>4</v>
      </c>
      <c r="CT37" s="103">
        <f t="shared" si="26"/>
        <v>0.8</v>
      </c>
      <c r="CU37" s="103">
        <v>0</v>
      </c>
      <c r="CV37" s="103">
        <f t="shared" si="21"/>
        <v>125</v>
      </c>
      <c r="CW37" s="103">
        <f t="shared" si="22"/>
        <v>0</v>
      </c>
      <c r="CX37" s="103">
        <f t="shared" si="27"/>
        <v>0</v>
      </c>
      <c r="CY37" s="178"/>
      <c r="CZ37" s="178"/>
      <c r="DA37" s="103" t="e">
        <f>#REF!+CO37+CT37+CX37</f>
        <v>#REF!</v>
      </c>
      <c r="DB37" s="103">
        <f t="shared" si="39"/>
        <v>225</v>
      </c>
      <c r="DD37" s="104">
        <f>Tabel35721[[#This Row],[Rookgasafvoer Afschrijving 15 jaar]]</f>
        <v>6.6666666666666666E-2</v>
      </c>
      <c r="DE37" s="104">
        <f>Tabel35721[[#This Row],[Rookgasafvoer beheer per jaar (onderhoud)]]+Tabel35721[[#This Row],[Rookgasafvoer beheer (storingen) PM]]</f>
        <v>99</v>
      </c>
      <c r="DF37" s="104">
        <f t="shared" si="28"/>
        <v>99.066666666666663</v>
      </c>
      <c r="DG37" s="104"/>
      <c r="DH37" s="104" t="e">
        <f>#REF!+Tabel35721[[#This Row],[Lucht Afschrijving 5 jaar]]</f>
        <v>#REF!</v>
      </c>
      <c r="DI37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37" s="104" t="e">
        <f t="shared" si="29"/>
        <v>#REF!</v>
      </c>
      <c r="DK37" s="104" t="e">
        <f t="shared" si="30"/>
        <v>#REF!</v>
      </c>
      <c r="DL37" s="132"/>
      <c r="DM37" s="180" t="e">
        <f>SUM(DK36:DK37)</f>
        <v>#REF!</v>
      </c>
      <c r="DN37" s="181" t="s">
        <v>202</v>
      </c>
    </row>
    <row r="38" spans="1:118" s="179" customFormat="1" ht="12.75" customHeight="1" x14ac:dyDescent="0.3">
      <c r="A38" s="89" t="s">
        <v>206</v>
      </c>
      <c r="B38" s="90" t="s">
        <v>206</v>
      </c>
      <c r="C38" s="90" t="s">
        <v>131</v>
      </c>
      <c r="D38" s="91" t="s">
        <v>131</v>
      </c>
      <c r="E38" s="92" t="s">
        <v>132</v>
      </c>
      <c r="F38" s="92" t="s">
        <v>133</v>
      </c>
      <c r="G38" s="92">
        <v>15</v>
      </c>
      <c r="H38" s="92">
        <v>14</v>
      </c>
      <c r="I38" s="91"/>
      <c r="J38" s="91"/>
      <c r="K38" s="91" t="s">
        <v>131</v>
      </c>
      <c r="L38" s="92">
        <v>2013</v>
      </c>
      <c r="M38" s="92"/>
      <c r="N38" s="92" t="s">
        <v>131</v>
      </c>
      <c r="O38" s="92" t="s">
        <v>133</v>
      </c>
      <c r="P38" s="92">
        <v>1</v>
      </c>
      <c r="Q38" s="92">
        <f t="shared" si="0"/>
        <v>3</v>
      </c>
      <c r="R38" s="91" t="s">
        <v>131</v>
      </c>
      <c r="S38" s="92" t="s">
        <v>133</v>
      </c>
      <c r="T38" s="92">
        <f t="shared" si="38"/>
        <v>0</v>
      </c>
      <c r="U38" s="92">
        <f>IF(AND($G38&lt;$H38,$H38&gt;13),$U$4,0)</f>
        <v>0</v>
      </c>
      <c r="V38" s="92">
        <f t="shared" si="2"/>
        <v>0</v>
      </c>
      <c r="W38" s="92">
        <v>2</v>
      </c>
      <c r="X38" s="92">
        <f t="shared" si="3"/>
        <v>0</v>
      </c>
      <c r="Y38" s="92">
        <f t="shared" si="4"/>
        <v>0</v>
      </c>
      <c r="Z38" s="92">
        <f t="shared" si="5"/>
        <v>0</v>
      </c>
      <c r="AA38" s="92">
        <f t="shared" si="6"/>
        <v>0</v>
      </c>
      <c r="AB38" s="92" t="s">
        <v>131</v>
      </c>
      <c r="AC38" s="92" t="s">
        <v>146</v>
      </c>
      <c r="AD38" s="92" t="s">
        <v>147</v>
      </c>
      <c r="AE38" s="92" t="s">
        <v>148</v>
      </c>
      <c r="AF38" s="94">
        <v>2</v>
      </c>
      <c r="AG38" s="92" t="s">
        <v>135</v>
      </c>
      <c r="AH38" s="92">
        <v>5</v>
      </c>
      <c r="AI38" s="92" t="s">
        <v>135</v>
      </c>
      <c r="AJ38" s="92" t="s">
        <v>149</v>
      </c>
      <c r="AK38" s="95" t="s">
        <v>149</v>
      </c>
      <c r="AL38" s="95"/>
      <c r="AM38" s="92">
        <f t="shared" si="37"/>
        <v>1</v>
      </c>
      <c r="AN38" s="92">
        <f t="shared" si="7"/>
        <v>1</v>
      </c>
      <c r="AO38" s="92">
        <f>IF(AB38="Nee",Tabel22620[[#This Row],[Aantal tracés verwacht na (ver)nieuwbouw]]*$AO$4,0)</f>
        <v>0</v>
      </c>
      <c r="AP38" s="92">
        <v>1</v>
      </c>
      <c r="AQ38" s="92">
        <f t="shared" si="9"/>
        <v>0</v>
      </c>
      <c r="AR38" s="92">
        <v>1</v>
      </c>
      <c r="AS38" s="92">
        <f t="shared" si="11"/>
        <v>0</v>
      </c>
      <c r="AT38" s="92" t="s">
        <v>131</v>
      </c>
      <c r="AU38" s="91">
        <v>4</v>
      </c>
      <c r="AV38" s="91">
        <f t="shared" si="12"/>
        <v>4</v>
      </c>
      <c r="AW38" s="91" t="s">
        <v>133</v>
      </c>
      <c r="AX38" s="92">
        <v>6</v>
      </c>
      <c r="AY38" s="92"/>
      <c r="AZ38" s="92">
        <f t="shared" si="13"/>
        <v>4</v>
      </c>
      <c r="BA38" s="92"/>
      <c r="BB38" s="92">
        <f t="shared" si="14"/>
        <v>4</v>
      </c>
      <c r="BC38" s="92">
        <f t="shared" si="15"/>
        <v>0</v>
      </c>
      <c r="BD38" s="187">
        <f t="shared" si="24"/>
        <v>0</v>
      </c>
      <c r="BE38" s="187">
        <f t="shared" si="25"/>
        <v>0</v>
      </c>
      <c r="BF38" s="187">
        <v>4</v>
      </c>
      <c r="BG38" s="91"/>
      <c r="BH38" s="92"/>
      <c r="BI38" s="92"/>
      <c r="BJ38" s="92"/>
      <c r="BK38" s="92"/>
      <c r="BL38" s="96">
        <f t="shared" si="16"/>
        <v>0</v>
      </c>
      <c r="BM38" s="91">
        <v>1</v>
      </c>
      <c r="BN38" s="91"/>
      <c r="BO38" s="91"/>
      <c r="BP38" s="91">
        <v>1</v>
      </c>
      <c r="BQ38" s="91">
        <v>1</v>
      </c>
      <c r="BR38" s="91"/>
      <c r="BS38" s="91">
        <v>1</v>
      </c>
      <c r="BT38" s="91"/>
      <c r="BU38" s="91"/>
      <c r="BV38" s="97"/>
      <c r="BW38" s="91"/>
      <c r="BX38" s="91"/>
      <c r="BY38" s="98">
        <f>SUM(Tabel22620[[#This Row],[TS Basis / Compact 1]:[TS bedrijfs voering]])</f>
        <v>4</v>
      </c>
      <c r="BZ38" s="99"/>
      <c r="CA38" s="91">
        <v>1</v>
      </c>
      <c r="CB38" s="91"/>
      <c r="CC38" s="91"/>
      <c r="CD38" s="91">
        <v>1</v>
      </c>
      <c r="CE38" s="91"/>
      <c r="CF38" s="91">
        <v>1</v>
      </c>
      <c r="CG38" s="91">
        <v>1</v>
      </c>
      <c r="CH38" s="91">
        <v>1</v>
      </c>
      <c r="CI38" s="100"/>
      <c r="CJ38" s="101">
        <v>1</v>
      </c>
      <c r="CK38" s="102">
        <v>1</v>
      </c>
      <c r="CL38" s="102">
        <f t="shared" si="17"/>
        <v>1</v>
      </c>
      <c r="CM38" s="102">
        <f t="shared" si="18"/>
        <v>0</v>
      </c>
      <c r="CN38" s="176"/>
      <c r="CO38" s="102">
        <f t="shared" si="19"/>
        <v>6.6666666666666666E-2</v>
      </c>
      <c r="CP38" s="102">
        <f>99+(50*Tabel22620[[#This Row],[Aantal rookgasafvoer aangesloten]])</f>
        <v>349</v>
      </c>
      <c r="CQ38" s="102">
        <v>6</v>
      </c>
      <c r="CR38" s="102">
        <v>1</v>
      </c>
      <c r="CS38" s="178">
        <f t="shared" si="20"/>
        <v>4</v>
      </c>
      <c r="CT38" s="103">
        <f t="shared" si="26"/>
        <v>0.8</v>
      </c>
      <c r="CU38" s="103">
        <v>0</v>
      </c>
      <c r="CV38" s="103">
        <f t="shared" si="21"/>
        <v>125</v>
      </c>
      <c r="CW38" s="103">
        <f t="shared" si="22"/>
        <v>0</v>
      </c>
      <c r="CX38" s="103">
        <f t="shared" si="27"/>
        <v>0</v>
      </c>
      <c r="CY38" s="178"/>
      <c r="CZ38" s="178"/>
      <c r="DA38" s="103" t="e">
        <f>#REF!+CO38+CT38+CX38</f>
        <v>#REF!</v>
      </c>
      <c r="DB38" s="103">
        <f t="shared" si="39"/>
        <v>477</v>
      </c>
      <c r="DD38" s="104">
        <f>Tabel35721[[#This Row],[Rookgasafvoer Afschrijving 15 jaar]]</f>
        <v>6.6666666666666666E-2</v>
      </c>
      <c r="DE38" s="104">
        <f>Tabel35721[[#This Row],[Rookgasafvoer beheer per jaar (onderhoud)]]+Tabel35721[[#This Row],[Rookgasafvoer beheer (storingen) PM]]</f>
        <v>350</v>
      </c>
      <c r="DF38" s="104">
        <f t="shared" si="28"/>
        <v>350.06666666666666</v>
      </c>
      <c r="DG38" s="104"/>
      <c r="DH38" s="104" t="e">
        <f>#REF!+Tabel35721[[#This Row],[Lucht Afschrijving 5 jaar]]</f>
        <v>#REF!</v>
      </c>
      <c r="DI38" s="104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38" s="104" t="e">
        <f t="shared" si="29"/>
        <v>#REF!</v>
      </c>
      <c r="DK38" s="104" t="e">
        <f t="shared" si="30"/>
        <v>#REF!</v>
      </c>
      <c r="DL38" s="105"/>
    </row>
    <row r="39" spans="1:118" ht="15" customHeight="1" x14ac:dyDescent="0.3">
      <c r="A39" s="106" t="s">
        <v>206</v>
      </c>
      <c r="B39" s="107" t="s">
        <v>207</v>
      </c>
      <c r="C39" s="107" t="s">
        <v>131</v>
      </c>
      <c r="D39" s="108" t="s">
        <v>131</v>
      </c>
      <c r="E39" s="109" t="s">
        <v>208</v>
      </c>
      <c r="F39" s="110" t="s">
        <v>133</v>
      </c>
      <c r="G39" s="109">
        <v>8</v>
      </c>
      <c r="H39" s="112">
        <v>14</v>
      </c>
      <c r="I39" s="112"/>
      <c r="J39" s="108"/>
      <c r="K39" s="108" t="s">
        <v>131</v>
      </c>
      <c r="L39" s="113">
        <v>2016</v>
      </c>
      <c r="M39" s="108" t="s">
        <v>136</v>
      </c>
      <c r="N39" s="108" t="s">
        <v>131</v>
      </c>
      <c r="O39" s="112" t="s">
        <v>133</v>
      </c>
      <c r="P39" s="109">
        <v>0</v>
      </c>
      <c r="Q39" s="112">
        <f t="shared" si="0"/>
        <v>0</v>
      </c>
      <c r="R39" s="108" t="s">
        <v>131</v>
      </c>
      <c r="S39" s="112" t="s">
        <v>133</v>
      </c>
      <c r="T39" s="109">
        <f t="shared" si="38"/>
        <v>0</v>
      </c>
      <c r="U39" s="109">
        <v>1</v>
      </c>
      <c r="V39" s="109">
        <f t="shared" si="2"/>
        <v>0</v>
      </c>
      <c r="W39" s="109">
        <f t="shared" si="31"/>
        <v>0</v>
      </c>
      <c r="X39" s="109">
        <f t="shared" si="3"/>
        <v>0</v>
      </c>
      <c r="Y39" s="109">
        <f t="shared" si="4"/>
        <v>0</v>
      </c>
      <c r="Z39" s="109">
        <f t="shared" si="5"/>
        <v>0</v>
      </c>
      <c r="AA39" s="109">
        <f t="shared" si="6"/>
        <v>0</v>
      </c>
      <c r="AB39" s="109" t="s">
        <v>131</v>
      </c>
      <c r="AC39" s="109" t="s">
        <v>146</v>
      </c>
      <c r="AD39" s="109" t="s">
        <v>147</v>
      </c>
      <c r="AE39" s="109" t="s">
        <v>148</v>
      </c>
      <c r="AF39" s="94">
        <v>1</v>
      </c>
      <c r="AG39" s="109" t="s">
        <v>135</v>
      </c>
      <c r="AH39" s="109">
        <v>3</v>
      </c>
      <c r="AI39" s="109" t="s">
        <v>135</v>
      </c>
      <c r="AJ39" s="109" t="s">
        <v>149</v>
      </c>
      <c r="AK39" s="114" t="s">
        <v>149</v>
      </c>
      <c r="AL39" s="114"/>
      <c r="AM39" s="112">
        <f t="shared" si="37"/>
        <v>1</v>
      </c>
      <c r="AN39" s="112">
        <f t="shared" si="7"/>
        <v>1</v>
      </c>
      <c r="AO39" s="109">
        <f>IF(AB39="Nee",Tabel22620[[#This Row],[Aantal tracés verwacht na (ver)nieuwbouw]]*$AO$4,0)</f>
        <v>0</v>
      </c>
      <c r="AP39" s="109">
        <v>1</v>
      </c>
      <c r="AQ39" s="109">
        <f t="shared" si="9"/>
        <v>0</v>
      </c>
      <c r="AR39" s="109">
        <v>1</v>
      </c>
      <c r="AS39" s="109">
        <f t="shared" si="11"/>
        <v>0</v>
      </c>
      <c r="AT39" s="109" t="s">
        <v>131</v>
      </c>
      <c r="AU39" s="108">
        <v>2</v>
      </c>
      <c r="AV39" s="115">
        <f t="shared" si="12"/>
        <v>1</v>
      </c>
      <c r="AW39" s="108" t="s">
        <v>133</v>
      </c>
      <c r="AX39" s="109">
        <v>3</v>
      </c>
      <c r="AY39" s="109"/>
      <c r="AZ39" s="112">
        <f t="shared" si="13"/>
        <v>1</v>
      </c>
      <c r="BA39" s="109"/>
      <c r="BB39" s="112">
        <f t="shared" si="14"/>
        <v>1</v>
      </c>
      <c r="BC39" s="112">
        <f t="shared" si="15"/>
        <v>0</v>
      </c>
      <c r="BD39" s="109">
        <f t="shared" si="24"/>
        <v>0</v>
      </c>
      <c r="BE39" s="109">
        <f t="shared" si="25"/>
        <v>0</v>
      </c>
      <c r="BF39" s="109">
        <v>1</v>
      </c>
      <c r="BG39" s="108"/>
      <c r="BH39" s="109"/>
      <c r="BI39" s="109"/>
      <c r="BJ39" s="109"/>
      <c r="BK39" s="109"/>
      <c r="BL39" s="116">
        <f t="shared" si="16"/>
        <v>0</v>
      </c>
      <c r="BM39" s="117">
        <v>1</v>
      </c>
      <c r="BN39" s="117"/>
      <c r="BO39" s="117"/>
      <c r="BP39" s="117"/>
      <c r="BQ39" s="117"/>
      <c r="BR39" s="117"/>
      <c r="BS39" s="117"/>
      <c r="BT39" s="117"/>
      <c r="BU39" s="117"/>
      <c r="BV39" s="118"/>
      <c r="BW39" s="117"/>
      <c r="BX39" s="117"/>
      <c r="BY39" s="119">
        <f>SUM(Tabel22620[[#This Row],[TS Basis / Compact 1]:[TS bedrijfs voering]])</f>
        <v>1</v>
      </c>
      <c r="BZ39" s="120"/>
      <c r="CA39" s="91">
        <v>1</v>
      </c>
      <c r="CB39" s="91"/>
      <c r="CC39" s="91"/>
      <c r="CD39" s="117"/>
      <c r="CE39" s="121">
        <v>1</v>
      </c>
      <c r="CF39" s="121"/>
      <c r="CG39" s="121"/>
      <c r="CH39" s="117"/>
      <c r="CI39" s="122"/>
      <c r="CJ39" s="123">
        <v>1</v>
      </c>
      <c r="CK39" s="124">
        <v>1</v>
      </c>
      <c r="CL39" s="124">
        <f t="shared" si="17"/>
        <v>1</v>
      </c>
      <c r="CM39" s="124">
        <f t="shared" si="18"/>
        <v>0</v>
      </c>
      <c r="CN39" s="137"/>
      <c r="CO39" s="124">
        <f t="shared" si="19"/>
        <v>6.6666666666666666E-2</v>
      </c>
      <c r="CP39" s="124">
        <f>99+(50*Tabel22620[[#This Row],[Aantal rookgasafvoer aangesloten]])</f>
        <v>249</v>
      </c>
      <c r="CQ39" s="124">
        <v>4</v>
      </c>
      <c r="CR39" s="124">
        <v>1</v>
      </c>
      <c r="CS39" s="139">
        <f t="shared" si="20"/>
        <v>1</v>
      </c>
      <c r="CT39" s="125">
        <f t="shared" si="26"/>
        <v>0.2</v>
      </c>
      <c r="CU39" s="125">
        <v>0</v>
      </c>
      <c r="CV39" s="125">
        <f t="shared" si="21"/>
        <v>125</v>
      </c>
      <c r="CW39" s="125">
        <f t="shared" si="22"/>
        <v>0</v>
      </c>
      <c r="CX39" s="125">
        <f t="shared" si="27"/>
        <v>0</v>
      </c>
      <c r="CY39" s="139"/>
      <c r="CZ39" s="139"/>
      <c r="DA39" s="125" t="e">
        <f>#REF!+CO39+CT39+CX39</f>
        <v>#REF!</v>
      </c>
      <c r="DB39" s="125">
        <f t="shared" si="39"/>
        <v>377</v>
      </c>
      <c r="DD39" s="104">
        <f>Tabel35721[[#This Row],[Rookgasafvoer Afschrijving 15 jaar]]</f>
        <v>6.6666666666666666E-2</v>
      </c>
      <c r="DE39" s="104">
        <f>Tabel35721[[#This Row],[Rookgasafvoer beheer per jaar (onderhoud)]]+Tabel35721[[#This Row],[Rookgasafvoer beheer (storingen) PM]]</f>
        <v>250</v>
      </c>
      <c r="DF39" s="126">
        <f t="shared" si="28"/>
        <v>250.06666666666666</v>
      </c>
      <c r="DG39" s="127"/>
      <c r="DH39" s="127" t="e">
        <f>#REF!+Tabel35721[[#This Row],[Lucht Afschrijving 5 jaar]]</f>
        <v>#REF!</v>
      </c>
      <c r="DI39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39" s="126" t="e">
        <f t="shared" si="29"/>
        <v>#REF!</v>
      </c>
      <c r="DK39" s="128" t="e">
        <f t="shared" si="30"/>
        <v>#REF!</v>
      </c>
      <c r="DL39" s="135"/>
    </row>
    <row r="40" spans="1:118" s="179" customFormat="1" ht="12.75" customHeight="1" x14ac:dyDescent="0.3">
      <c r="A40" s="89" t="s">
        <v>206</v>
      </c>
      <c r="B40" s="90" t="s">
        <v>209</v>
      </c>
      <c r="C40" s="90" t="s">
        <v>131</v>
      </c>
      <c r="D40" s="91" t="s">
        <v>131</v>
      </c>
      <c r="E40" s="92" t="s">
        <v>132</v>
      </c>
      <c r="F40" s="92" t="s">
        <v>133</v>
      </c>
      <c r="G40" s="92">
        <v>10</v>
      </c>
      <c r="H40" s="92">
        <v>14</v>
      </c>
      <c r="I40" s="91">
        <v>1</v>
      </c>
      <c r="J40" s="91"/>
      <c r="K40" s="91" t="s">
        <v>131</v>
      </c>
      <c r="L40" s="93">
        <v>1996</v>
      </c>
      <c r="M40" s="91" t="s">
        <v>153</v>
      </c>
      <c r="N40" s="91" t="s">
        <v>131</v>
      </c>
      <c r="O40" s="92" t="s">
        <v>133</v>
      </c>
      <c r="P40" s="92"/>
      <c r="Q40" s="92">
        <f t="shared" si="0"/>
        <v>1</v>
      </c>
      <c r="R40" s="91" t="s">
        <v>131</v>
      </c>
      <c r="S40" s="92" t="s">
        <v>133</v>
      </c>
      <c r="T40" s="92">
        <f t="shared" si="38"/>
        <v>0</v>
      </c>
      <c r="U40" s="92">
        <v>1</v>
      </c>
      <c r="V40" s="92">
        <f t="shared" si="2"/>
        <v>0</v>
      </c>
      <c r="W40" s="92">
        <v>1</v>
      </c>
      <c r="X40" s="92">
        <f t="shared" si="3"/>
        <v>0</v>
      </c>
      <c r="Y40" s="92">
        <f t="shared" si="4"/>
        <v>0</v>
      </c>
      <c r="Z40" s="92">
        <f t="shared" si="5"/>
        <v>0</v>
      </c>
      <c r="AA40" s="92">
        <f t="shared" si="6"/>
        <v>0</v>
      </c>
      <c r="AB40" s="92" t="s">
        <v>131</v>
      </c>
      <c r="AC40" s="92" t="s">
        <v>146</v>
      </c>
      <c r="AD40" s="92" t="s">
        <v>147</v>
      </c>
      <c r="AE40" s="92" t="s">
        <v>148</v>
      </c>
      <c r="AF40" s="94">
        <v>2</v>
      </c>
      <c r="AG40" s="92" t="s">
        <v>135</v>
      </c>
      <c r="AH40" s="92">
        <v>1</v>
      </c>
      <c r="AI40" s="92" t="s">
        <v>135</v>
      </c>
      <c r="AJ40" s="92" t="s">
        <v>149</v>
      </c>
      <c r="AK40" s="95" t="s">
        <v>149</v>
      </c>
      <c r="AL40" s="95"/>
      <c r="AM40" s="92">
        <f t="shared" si="37"/>
        <v>1</v>
      </c>
      <c r="AN40" s="92">
        <f t="shared" si="7"/>
        <v>1</v>
      </c>
      <c r="AO40" s="92">
        <f>IF(AB40="Nee",Tabel22620[[#This Row],[Aantal tracés verwacht na (ver)nieuwbouw]]*$AO$4,0)</f>
        <v>0</v>
      </c>
      <c r="AP40" s="92">
        <v>1</v>
      </c>
      <c r="AQ40" s="92">
        <f t="shared" si="9"/>
        <v>0</v>
      </c>
      <c r="AR40" s="92">
        <v>1</v>
      </c>
      <c r="AS40" s="92">
        <f t="shared" si="11"/>
        <v>0</v>
      </c>
      <c r="AT40" s="92" t="s">
        <v>131</v>
      </c>
      <c r="AU40" s="91">
        <v>1</v>
      </c>
      <c r="AV40" s="91">
        <f t="shared" si="12"/>
        <v>2</v>
      </c>
      <c r="AW40" s="92" t="s">
        <v>135</v>
      </c>
      <c r="AX40" s="92">
        <v>1</v>
      </c>
      <c r="AY40" s="92"/>
      <c r="AZ40" s="92">
        <f t="shared" si="13"/>
        <v>2</v>
      </c>
      <c r="BA40" s="92"/>
      <c r="BB40" s="92">
        <f t="shared" si="14"/>
        <v>2</v>
      </c>
      <c r="BC40" s="92">
        <f t="shared" si="15"/>
        <v>1</v>
      </c>
      <c r="BD40" s="92">
        <v>2</v>
      </c>
      <c r="BE40" s="92">
        <v>2</v>
      </c>
      <c r="BF40" s="92">
        <v>2</v>
      </c>
      <c r="BG40" s="91"/>
      <c r="BH40" s="92"/>
      <c r="BI40" s="92"/>
      <c r="BJ40" s="92"/>
      <c r="BK40" s="92"/>
      <c r="BL40" s="96">
        <f t="shared" si="16"/>
        <v>0</v>
      </c>
      <c r="BM40" s="91">
        <v>1</v>
      </c>
      <c r="BN40" s="91"/>
      <c r="BO40" s="91"/>
      <c r="BP40" s="91">
        <v>1</v>
      </c>
      <c r="BQ40" s="91"/>
      <c r="BR40" s="91"/>
      <c r="BS40" s="91"/>
      <c r="BT40" s="91"/>
      <c r="BU40" s="91"/>
      <c r="BV40" s="97"/>
      <c r="BW40" s="91"/>
      <c r="BX40" s="91"/>
      <c r="BY40" s="98">
        <f>SUM(Tabel22620[[#This Row],[TS Basis / Compact 1]:[TS bedrijfs voering]])</f>
        <v>2</v>
      </c>
      <c r="BZ40" s="99"/>
      <c r="CA40" s="91">
        <v>1</v>
      </c>
      <c r="CB40" s="91"/>
      <c r="CC40" s="91"/>
      <c r="CD40" s="91"/>
      <c r="CE40" s="91"/>
      <c r="CF40" s="91">
        <v>1</v>
      </c>
      <c r="CG40" s="91">
        <v>1</v>
      </c>
      <c r="CH40" s="91"/>
      <c r="CI40" s="100"/>
      <c r="CJ40" s="175">
        <v>1</v>
      </c>
      <c r="CK40" s="102">
        <v>1</v>
      </c>
      <c r="CL40" s="102">
        <f t="shared" si="17"/>
        <v>1</v>
      </c>
      <c r="CM40" s="102">
        <f t="shared" si="18"/>
        <v>0</v>
      </c>
      <c r="CN40" s="176"/>
      <c r="CO40" s="102">
        <f t="shared" si="19"/>
        <v>6.6666666666666666E-2</v>
      </c>
      <c r="CP40" s="177">
        <f>99+(50*Tabel22620[[#This Row],[Aantal rookgasafvoer aangesloten]])</f>
        <v>149</v>
      </c>
      <c r="CQ40" s="177">
        <v>2</v>
      </c>
      <c r="CR40" s="102">
        <v>1</v>
      </c>
      <c r="CS40" s="178">
        <f t="shared" si="20"/>
        <v>4</v>
      </c>
      <c r="CT40" s="103">
        <f t="shared" si="26"/>
        <v>0.8</v>
      </c>
      <c r="CU40" s="103">
        <v>0</v>
      </c>
      <c r="CV40" s="103">
        <f t="shared" si="21"/>
        <v>125</v>
      </c>
      <c r="CW40" s="103">
        <f t="shared" si="22"/>
        <v>0</v>
      </c>
      <c r="CX40" s="103">
        <f t="shared" si="27"/>
        <v>0</v>
      </c>
      <c r="CY40" s="178"/>
      <c r="CZ40" s="178"/>
      <c r="DA40" s="103" t="e">
        <f>#REF!+CO40+CT40+CX40</f>
        <v>#REF!</v>
      </c>
      <c r="DB40" s="103">
        <f t="shared" si="39"/>
        <v>277</v>
      </c>
      <c r="DD40" s="104">
        <f>Tabel35721[[#This Row],[Rookgasafvoer Afschrijving 15 jaar]]</f>
        <v>6.6666666666666666E-2</v>
      </c>
      <c r="DE40" s="104">
        <f>Tabel35721[[#This Row],[Rookgasafvoer beheer per jaar (onderhoud)]]+Tabel35721[[#This Row],[Rookgasafvoer beheer (storingen) PM]]</f>
        <v>150</v>
      </c>
      <c r="DF40" s="104">
        <f t="shared" si="28"/>
        <v>150.06666666666666</v>
      </c>
      <c r="DG40" s="104"/>
      <c r="DH40" s="104" t="e">
        <f>#REF!+Tabel35721[[#This Row],[Lucht Afschrijving 5 jaar]]</f>
        <v>#REF!</v>
      </c>
      <c r="DI40" s="104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40" s="104" t="e">
        <f t="shared" si="29"/>
        <v>#REF!</v>
      </c>
      <c r="DK40" s="104" t="e">
        <f t="shared" si="30"/>
        <v>#REF!</v>
      </c>
      <c r="DL40" s="132"/>
      <c r="DM40" s="180" t="e">
        <f>SUM(DK38:DK40)</f>
        <v>#REF!</v>
      </c>
      <c r="DN40" s="181" t="s">
        <v>206</v>
      </c>
    </row>
    <row r="41" spans="1:118" ht="12.75" customHeight="1" x14ac:dyDescent="0.3">
      <c r="A41" s="106" t="s">
        <v>210</v>
      </c>
      <c r="B41" s="107" t="s">
        <v>211</v>
      </c>
      <c r="C41" s="107" t="s">
        <v>143</v>
      </c>
      <c r="D41" s="108" t="s">
        <v>133</v>
      </c>
      <c r="E41" s="109" t="s">
        <v>212</v>
      </c>
      <c r="F41" s="110" t="s">
        <v>133</v>
      </c>
      <c r="G41" s="109">
        <v>11</v>
      </c>
      <c r="H41" s="112">
        <v>10</v>
      </c>
      <c r="I41" s="112"/>
      <c r="J41" s="108" t="s">
        <v>152</v>
      </c>
      <c r="K41" s="108" t="s">
        <v>133</v>
      </c>
      <c r="L41" s="113">
        <v>2013</v>
      </c>
      <c r="M41" s="108" t="s">
        <v>136</v>
      </c>
      <c r="N41" s="108" t="s">
        <v>133</v>
      </c>
      <c r="O41" s="112" t="s">
        <v>133</v>
      </c>
      <c r="P41" s="109">
        <v>2</v>
      </c>
      <c r="Q41" s="112">
        <f t="shared" si="0"/>
        <v>1</v>
      </c>
      <c r="R41" s="108" t="s">
        <v>135</v>
      </c>
      <c r="S41" s="112" t="s">
        <v>133</v>
      </c>
      <c r="T41" s="109">
        <f t="shared" si="38"/>
        <v>0</v>
      </c>
      <c r="U41" s="109">
        <f t="shared" ref="U41:U54" si="40">IF(AND($G41&lt;$H41,$H41&gt;13),$U$4,0)</f>
        <v>0</v>
      </c>
      <c r="V41" s="109">
        <f t="shared" si="2"/>
        <v>0</v>
      </c>
      <c r="W41" s="109">
        <f t="shared" si="31"/>
        <v>0</v>
      </c>
      <c r="X41" s="109">
        <f t="shared" si="3"/>
        <v>0</v>
      </c>
      <c r="Y41" s="109">
        <v>1</v>
      </c>
      <c r="Z41" s="109">
        <v>1</v>
      </c>
      <c r="AA41" s="109">
        <v>1</v>
      </c>
      <c r="AB41" s="109" t="s">
        <v>131</v>
      </c>
      <c r="AC41" s="109" t="s">
        <v>189</v>
      </c>
      <c r="AD41" s="109" t="s">
        <v>154</v>
      </c>
      <c r="AE41" s="109" t="s">
        <v>155</v>
      </c>
      <c r="AF41" s="94">
        <v>1</v>
      </c>
      <c r="AG41" s="109" t="s">
        <v>135</v>
      </c>
      <c r="AH41" s="109">
        <v>2</v>
      </c>
      <c r="AI41" s="109" t="s">
        <v>139</v>
      </c>
      <c r="AJ41" s="109" t="s">
        <v>173</v>
      </c>
      <c r="AK41" s="114"/>
      <c r="AL41" s="114"/>
      <c r="AM41" s="112">
        <f t="shared" si="37"/>
        <v>1</v>
      </c>
      <c r="AN41" s="112">
        <f t="shared" si="7"/>
        <v>0</v>
      </c>
      <c r="AO41" s="109">
        <f>IF(AB41="Nee",Tabel22620[[#This Row],[Aantal tracés verwacht na (ver)nieuwbouw]]*$AO$4,0)</f>
        <v>0</v>
      </c>
      <c r="AP41" s="109">
        <f t="shared" si="8"/>
        <v>0</v>
      </c>
      <c r="AQ41" s="109">
        <v>1</v>
      </c>
      <c r="AR41" s="109">
        <f t="shared" si="10"/>
        <v>0</v>
      </c>
      <c r="AS41" s="109">
        <f t="shared" si="11"/>
        <v>0</v>
      </c>
      <c r="AT41" s="109" t="s">
        <v>131</v>
      </c>
      <c r="AU41" s="108">
        <v>3</v>
      </c>
      <c r="AV41" s="115">
        <f t="shared" si="12"/>
        <v>3</v>
      </c>
      <c r="AW41" s="108" t="s">
        <v>133</v>
      </c>
      <c r="AX41" s="109">
        <v>7</v>
      </c>
      <c r="AY41" s="109"/>
      <c r="AZ41" s="112">
        <f t="shared" si="13"/>
        <v>3</v>
      </c>
      <c r="BA41" s="109"/>
      <c r="BB41" s="112">
        <f t="shared" si="14"/>
        <v>3</v>
      </c>
      <c r="BC41" s="112">
        <f t="shared" si="15"/>
        <v>0</v>
      </c>
      <c r="BD41" s="109">
        <f t="shared" si="24"/>
        <v>0</v>
      </c>
      <c r="BE41" s="109">
        <f t="shared" si="25"/>
        <v>0</v>
      </c>
      <c r="BF41" s="109">
        <v>3</v>
      </c>
      <c r="BG41" s="108"/>
      <c r="BH41" s="109"/>
      <c r="BI41" s="109"/>
      <c r="BJ41" s="109"/>
      <c r="BK41" s="109"/>
      <c r="BL41" s="116">
        <f t="shared" si="16"/>
        <v>0</v>
      </c>
      <c r="BM41" s="117">
        <v>1</v>
      </c>
      <c r="BN41" s="117"/>
      <c r="BO41" s="117"/>
      <c r="BP41" s="117"/>
      <c r="BQ41" s="117"/>
      <c r="BR41" s="117">
        <v>1</v>
      </c>
      <c r="BS41" s="117"/>
      <c r="BT41" s="117"/>
      <c r="BU41" s="117"/>
      <c r="BV41" s="118">
        <v>1</v>
      </c>
      <c r="BW41" s="117"/>
      <c r="BX41" s="117"/>
      <c r="BY41" s="119">
        <f>SUM(Tabel22620[[#This Row],[TS Basis / Compact 1]:[TS bedrijfs voering]])</f>
        <v>3</v>
      </c>
      <c r="BZ41" s="120"/>
      <c r="CA41" s="91">
        <v>1</v>
      </c>
      <c r="CB41" s="91"/>
      <c r="CC41" s="91"/>
      <c r="CD41" s="117"/>
      <c r="CE41" s="121">
        <v>1</v>
      </c>
      <c r="CF41" s="121"/>
      <c r="CG41" s="121"/>
      <c r="CH41" s="117"/>
      <c r="CI41" s="122"/>
      <c r="CJ41" s="136">
        <v>1</v>
      </c>
      <c r="CK41" s="124"/>
      <c r="CL41" s="124">
        <f t="shared" si="17"/>
        <v>1</v>
      </c>
      <c r="CM41" s="124">
        <f t="shared" si="18"/>
        <v>0</v>
      </c>
      <c r="CN41" s="137"/>
      <c r="CO41" s="124">
        <f t="shared" si="19"/>
        <v>6.6666666666666666E-2</v>
      </c>
      <c r="CP41" s="138">
        <f>99+(50*Tabel22620[[#This Row],[Aantal rookgasafvoer aangesloten]])</f>
        <v>199</v>
      </c>
      <c r="CQ41" s="138"/>
      <c r="CR41" s="124"/>
      <c r="CS41" s="139">
        <f t="shared" si="20"/>
        <v>3</v>
      </c>
      <c r="CT41" s="125">
        <f t="shared" si="26"/>
        <v>0.6</v>
      </c>
      <c r="CU41" s="125">
        <v>0</v>
      </c>
      <c r="CV41" s="125">
        <f t="shared" si="21"/>
        <v>125</v>
      </c>
      <c r="CW41" s="125">
        <f t="shared" si="22"/>
        <v>0</v>
      </c>
      <c r="CX41" s="125">
        <f t="shared" si="27"/>
        <v>0</v>
      </c>
      <c r="CY41" s="139"/>
      <c r="CZ41" s="139"/>
      <c r="DA41" s="125" t="e">
        <f>#REF!+CO41+CT41+CX41</f>
        <v>#REF!</v>
      </c>
      <c r="DB41" s="125">
        <f t="shared" si="39"/>
        <v>325</v>
      </c>
      <c r="DD41" s="104">
        <f>Tabel35721[[#This Row],[Rookgasafvoer Afschrijving 15 jaar]]</f>
        <v>6.6666666666666666E-2</v>
      </c>
      <c r="DE41" s="104">
        <f>Tabel35721[[#This Row],[Rookgasafvoer beheer per jaar (onderhoud)]]+Tabel35721[[#This Row],[Rookgasafvoer beheer (storingen) PM]]</f>
        <v>199</v>
      </c>
      <c r="DF41" s="126">
        <f t="shared" si="28"/>
        <v>199.06666666666666</v>
      </c>
      <c r="DG41" s="127"/>
      <c r="DH41" s="127" t="e">
        <f>#REF!+Tabel35721[[#This Row],[Lucht Afschrijving 5 jaar]]</f>
        <v>#REF!</v>
      </c>
      <c r="DI41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1" s="126" t="e">
        <f t="shared" si="29"/>
        <v>#REF!</v>
      </c>
      <c r="DK41" s="128" t="e">
        <f t="shared" si="30"/>
        <v>#REF!</v>
      </c>
      <c r="DL41" s="135"/>
    </row>
    <row r="42" spans="1:118" ht="15" customHeight="1" x14ac:dyDescent="0.3">
      <c r="A42" s="106" t="s">
        <v>210</v>
      </c>
      <c r="B42" s="188" t="s">
        <v>213</v>
      </c>
      <c r="C42" s="188" t="s">
        <v>143</v>
      </c>
      <c r="D42" s="174" t="s">
        <v>135</v>
      </c>
      <c r="E42" s="109" t="s">
        <v>139</v>
      </c>
      <c r="F42" s="110" t="s">
        <v>133</v>
      </c>
      <c r="G42" s="109">
        <v>0</v>
      </c>
      <c r="H42" s="112">
        <v>10</v>
      </c>
      <c r="I42" s="112"/>
      <c r="J42" s="109" t="s">
        <v>139</v>
      </c>
      <c r="K42" s="108" t="s">
        <v>139</v>
      </c>
      <c r="L42" s="109" t="s">
        <v>139</v>
      </c>
      <c r="M42" s="109" t="s">
        <v>139</v>
      </c>
      <c r="N42" s="109" t="s">
        <v>135</v>
      </c>
      <c r="O42" s="112" t="s">
        <v>133</v>
      </c>
      <c r="P42" s="109">
        <v>0</v>
      </c>
      <c r="Q42" s="112">
        <f t="shared" si="0"/>
        <v>1</v>
      </c>
      <c r="R42" s="108" t="s">
        <v>135</v>
      </c>
      <c r="S42" s="112" t="s">
        <v>133</v>
      </c>
      <c r="T42" s="109">
        <v>1</v>
      </c>
      <c r="U42" s="109">
        <f t="shared" si="40"/>
        <v>0</v>
      </c>
      <c r="V42" s="109">
        <v>1</v>
      </c>
      <c r="W42" s="109">
        <v>1</v>
      </c>
      <c r="X42" s="109">
        <v>1</v>
      </c>
      <c r="Y42" s="109">
        <v>1</v>
      </c>
      <c r="Z42" s="109">
        <v>1</v>
      </c>
      <c r="AA42" s="109">
        <v>1</v>
      </c>
      <c r="AB42" s="109" t="s">
        <v>135</v>
      </c>
      <c r="AC42" s="109" t="s">
        <v>137</v>
      </c>
      <c r="AD42" s="109" t="s">
        <v>138</v>
      </c>
      <c r="AE42" s="109" t="s">
        <v>138</v>
      </c>
      <c r="AF42" s="94">
        <v>1</v>
      </c>
      <c r="AG42" s="108" t="s">
        <v>135</v>
      </c>
      <c r="AH42" s="109">
        <v>0</v>
      </c>
      <c r="AI42" s="109" t="s">
        <v>139</v>
      </c>
      <c r="AJ42" s="109" t="s">
        <v>139</v>
      </c>
      <c r="AK42" s="114" t="s">
        <v>139</v>
      </c>
      <c r="AL42" s="114">
        <v>2</v>
      </c>
      <c r="AM42" s="112">
        <f t="shared" si="37"/>
        <v>1</v>
      </c>
      <c r="AN42" s="112">
        <f t="shared" si="7"/>
        <v>0</v>
      </c>
      <c r="AO42" s="109">
        <v>2</v>
      </c>
      <c r="AP42" s="109">
        <f t="shared" si="8"/>
        <v>0</v>
      </c>
      <c r="AQ42" s="109">
        <f t="shared" si="9"/>
        <v>0</v>
      </c>
      <c r="AR42" s="109">
        <f t="shared" si="10"/>
        <v>0</v>
      </c>
      <c r="AS42" s="109">
        <v>1</v>
      </c>
      <c r="AT42" s="109" t="s">
        <v>135</v>
      </c>
      <c r="AU42" s="108">
        <v>0</v>
      </c>
      <c r="AV42" s="115">
        <f t="shared" si="12"/>
        <v>2</v>
      </c>
      <c r="AW42" s="109" t="s">
        <v>135</v>
      </c>
      <c r="AX42" s="109">
        <v>2</v>
      </c>
      <c r="AY42" s="109"/>
      <c r="AZ42" s="112">
        <f t="shared" si="13"/>
        <v>2</v>
      </c>
      <c r="BA42" s="109"/>
      <c r="BB42" s="112">
        <f t="shared" si="14"/>
        <v>2</v>
      </c>
      <c r="BC42" s="112">
        <f t="shared" si="15"/>
        <v>2</v>
      </c>
      <c r="BD42" s="109">
        <v>3</v>
      </c>
      <c r="BE42" s="109">
        <v>3</v>
      </c>
      <c r="BF42" s="109">
        <v>2</v>
      </c>
      <c r="BG42" s="108"/>
      <c r="BH42" s="109"/>
      <c r="BI42" s="109"/>
      <c r="BJ42" s="109"/>
      <c r="BK42" s="109"/>
      <c r="BL42" s="116">
        <f t="shared" si="16"/>
        <v>0</v>
      </c>
      <c r="BM42" s="117">
        <v>1</v>
      </c>
      <c r="BN42" s="117"/>
      <c r="BO42" s="117"/>
      <c r="BP42" s="117"/>
      <c r="BQ42" s="117"/>
      <c r="BR42" s="117"/>
      <c r="BS42" s="117"/>
      <c r="BT42" s="117"/>
      <c r="BU42" s="117"/>
      <c r="BV42" s="118">
        <v>1</v>
      </c>
      <c r="BW42" s="117"/>
      <c r="BX42" s="117"/>
      <c r="BY42" s="119">
        <f>SUM(Tabel22620[[#This Row],[TS Basis / Compact 1]:[TS bedrijfs voering]])</f>
        <v>2</v>
      </c>
      <c r="BZ42" s="120"/>
      <c r="CA42" s="91">
        <v>1</v>
      </c>
      <c r="CB42" s="91"/>
      <c r="CC42" s="91"/>
      <c r="CD42" s="117"/>
      <c r="CE42" s="121">
        <v>1</v>
      </c>
      <c r="CF42" s="121"/>
      <c r="CG42" s="121"/>
      <c r="CH42" s="117"/>
      <c r="CI42" s="122"/>
      <c r="CJ42" s="123">
        <v>1</v>
      </c>
      <c r="CK42" s="124"/>
      <c r="CL42" s="124">
        <f t="shared" si="17"/>
        <v>1</v>
      </c>
      <c r="CM42" s="124">
        <f t="shared" si="18"/>
        <v>0</v>
      </c>
      <c r="CN42" s="137"/>
      <c r="CO42" s="124">
        <f t="shared" si="19"/>
        <v>6.6666666666666666E-2</v>
      </c>
      <c r="CP42" s="124">
        <f>99+(50*Tabel22620[[#This Row],[Aantal rookgasafvoer aangesloten]])</f>
        <v>99</v>
      </c>
      <c r="CQ42" s="124"/>
      <c r="CR42" s="124"/>
      <c r="CS42" s="139">
        <f t="shared" si="20"/>
        <v>5</v>
      </c>
      <c r="CT42" s="125">
        <f t="shared" si="26"/>
        <v>1</v>
      </c>
      <c r="CU42" s="125">
        <v>0</v>
      </c>
      <c r="CV42" s="125">
        <f t="shared" si="21"/>
        <v>125</v>
      </c>
      <c r="CW42" s="125">
        <f t="shared" si="22"/>
        <v>0</v>
      </c>
      <c r="CX42" s="125">
        <f t="shared" si="27"/>
        <v>0</v>
      </c>
      <c r="CY42" s="139"/>
      <c r="CZ42" s="139"/>
      <c r="DA42" s="125" t="e">
        <f>#REF!+CO42+CT42+CX42</f>
        <v>#REF!</v>
      </c>
      <c r="DB42" s="125">
        <f t="shared" si="39"/>
        <v>225</v>
      </c>
      <c r="DD42" s="104">
        <f>Tabel35721[[#This Row],[Rookgasafvoer Afschrijving 15 jaar]]</f>
        <v>6.6666666666666666E-2</v>
      </c>
      <c r="DE42" s="104">
        <f>Tabel35721[[#This Row],[Rookgasafvoer beheer per jaar (onderhoud)]]+Tabel35721[[#This Row],[Rookgasafvoer beheer (storingen) PM]]</f>
        <v>99</v>
      </c>
      <c r="DF42" s="126">
        <f t="shared" si="28"/>
        <v>99.066666666666663</v>
      </c>
      <c r="DG42" s="127"/>
      <c r="DH42" s="127" t="e">
        <f>#REF!+Tabel35721[[#This Row],[Lucht Afschrijving 5 jaar]]</f>
        <v>#REF!</v>
      </c>
      <c r="DI42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2" s="126" t="e">
        <f t="shared" si="29"/>
        <v>#REF!</v>
      </c>
      <c r="DK42" s="128" t="e">
        <f t="shared" si="30"/>
        <v>#REF!</v>
      </c>
      <c r="DL42" s="135"/>
    </row>
    <row r="43" spans="1:118" ht="15" customHeight="1" x14ac:dyDescent="0.3">
      <c r="A43" s="106" t="s">
        <v>210</v>
      </c>
      <c r="B43" s="107" t="s">
        <v>214</v>
      </c>
      <c r="C43" s="107" t="s">
        <v>143</v>
      </c>
      <c r="D43" s="108" t="s">
        <v>133</v>
      </c>
      <c r="E43" s="109" t="s">
        <v>178</v>
      </c>
      <c r="F43" s="110" t="s">
        <v>133</v>
      </c>
      <c r="G43" s="109">
        <v>8</v>
      </c>
      <c r="H43" s="112">
        <v>10</v>
      </c>
      <c r="I43" s="112"/>
      <c r="J43" s="108" t="s">
        <v>152</v>
      </c>
      <c r="K43" s="108" t="s">
        <v>133</v>
      </c>
      <c r="L43" s="113">
        <v>2010</v>
      </c>
      <c r="M43" s="108" t="s">
        <v>153</v>
      </c>
      <c r="N43" s="108" t="s">
        <v>135</v>
      </c>
      <c r="O43" s="112" t="s">
        <v>133</v>
      </c>
      <c r="P43" s="109">
        <v>0</v>
      </c>
      <c r="Q43" s="112">
        <f t="shared" si="0"/>
        <v>1</v>
      </c>
      <c r="R43" s="108" t="s">
        <v>135</v>
      </c>
      <c r="S43" s="112" t="s">
        <v>133</v>
      </c>
      <c r="T43" s="109">
        <v>1</v>
      </c>
      <c r="U43" s="109">
        <f t="shared" si="40"/>
        <v>0</v>
      </c>
      <c r="V43" s="109">
        <v>1</v>
      </c>
      <c r="W43" s="109">
        <v>1</v>
      </c>
      <c r="X43" s="109">
        <v>1</v>
      </c>
      <c r="Y43" s="109">
        <v>1</v>
      </c>
      <c r="Z43" s="109">
        <v>1</v>
      </c>
      <c r="AA43" s="109">
        <v>1</v>
      </c>
      <c r="AB43" s="109" t="s">
        <v>131</v>
      </c>
      <c r="AC43" s="109" t="s">
        <v>146</v>
      </c>
      <c r="AD43" s="109" t="s">
        <v>154</v>
      </c>
      <c r="AE43" s="109" t="s">
        <v>155</v>
      </c>
      <c r="AF43" s="94">
        <v>1</v>
      </c>
      <c r="AG43" s="109" t="s">
        <v>135</v>
      </c>
      <c r="AH43" s="109">
        <v>3</v>
      </c>
      <c r="AI43" s="109" t="s">
        <v>139</v>
      </c>
      <c r="AJ43" s="109" t="s">
        <v>173</v>
      </c>
      <c r="AK43" s="114"/>
      <c r="AL43" s="114"/>
      <c r="AM43" s="112">
        <f t="shared" si="37"/>
        <v>1</v>
      </c>
      <c r="AN43" s="112">
        <f t="shared" si="7"/>
        <v>0</v>
      </c>
      <c r="AO43" s="109">
        <f>IF(AB43="Nee",Tabel22620[[#This Row],[Aantal tracés verwacht na (ver)nieuwbouw]]*$AO$4,0)</f>
        <v>0</v>
      </c>
      <c r="AP43" s="109">
        <f t="shared" si="8"/>
        <v>0</v>
      </c>
      <c r="AQ43" s="109">
        <v>1</v>
      </c>
      <c r="AR43" s="109">
        <f t="shared" si="10"/>
        <v>0</v>
      </c>
      <c r="AS43" s="109">
        <f t="shared" si="11"/>
        <v>0</v>
      </c>
      <c r="AT43" s="109" t="s">
        <v>135</v>
      </c>
      <c r="AU43" s="108">
        <v>0</v>
      </c>
      <c r="AV43" s="115">
        <f t="shared" si="12"/>
        <v>2</v>
      </c>
      <c r="AW43" s="109" t="s">
        <v>135</v>
      </c>
      <c r="AX43" s="109"/>
      <c r="AY43" s="109"/>
      <c r="AZ43" s="112">
        <f t="shared" si="13"/>
        <v>2</v>
      </c>
      <c r="BA43" s="109"/>
      <c r="BB43" s="112">
        <f t="shared" si="14"/>
        <v>2</v>
      </c>
      <c r="BC43" s="112">
        <f t="shared" si="15"/>
        <v>2</v>
      </c>
      <c r="BD43" s="109">
        <v>3</v>
      </c>
      <c r="BE43" s="109">
        <v>3</v>
      </c>
      <c r="BF43" s="109">
        <v>2</v>
      </c>
      <c r="BG43" s="108"/>
      <c r="BH43" s="109"/>
      <c r="BI43" s="109"/>
      <c r="BJ43" s="109"/>
      <c r="BK43" s="109"/>
      <c r="BL43" s="116">
        <f t="shared" si="16"/>
        <v>0</v>
      </c>
      <c r="BM43" s="117">
        <v>1</v>
      </c>
      <c r="BN43" s="117"/>
      <c r="BO43" s="117"/>
      <c r="BP43" s="117"/>
      <c r="BQ43" s="117"/>
      <c r="BR43" s="117"/>
      <c r="BS43" s="117"/>
      <c r="BT43" s="117"/>
      <c r="BU43" s="117"/>
      <c r="BV43" s="118">
        <v>1</v>
      </c>
      <c r="BW43" s="117"/>
      <c r="BX43" s="117"/>
      <c r="BY43" s="119">
        <f>SUM(Tabel22620[[#This Row],[TS Basis / Compact 1]:[TS bedrijfs voering]])</f>
        <v>2</v>
      </c>
      <c r="BZ43" s="120"/>
      <c r="CA43" s="91">
        <v>1</v>
      </c>
      <c r="CB43" s="91"/>
      <c r="CC43" s="91"/>
      <c r="CD43" s="117"/>
      <c r="CE43" s="121">
        <v>1</v>
      </c>
      <c r="CF43" s="121"/>
      <c r="CG43" s="121"/>
      <c r="CH43" s="117"/>
      <c r="CI43" s="122"/>
      <c r="CJ43" s="136">
        <v>1</v>
      </c>
      <c r="CK43" s="124"/>
      <c r="CL43" s="124">
        <f t="shared" si="17"/>
        <v>1</v>
      </c>
      <c r="CM43" s="124">
        <f t="shared" si="18"/>
        <v>0</v>
      </c>
      <c r="CN43" s="137"/>
      <c r="CO43" s="124">
        <f t="shared" si="19"/>
        <v>6.6666666666666666E-2</v>
      </c>
      <c r="CP43" s="138">
        <f>99+(50*Tabel22620[[#This Row],[Aantal rookgasafvoer aangesloten]])</f>
        <v>249</v>
      </c>
      <c r="CQ43" s="138"/>
      <c r="CR43" s="124"/>
      <c r="CS43" s="139">
        <f t="shared" si="20"/>
        <v>5</v>
      </c>
      <c r="CT43" s="125">
        <f t="shared" si="26"/>
        <v>1</v>
      </c>
      <c r="CU43" s="125">
        <v>0</v>
      </c>
      <c r="CV43" s="125">
        <f t="shared" si="21"/>
        <v>125</v>
      </c>
      <c r="CW43" s="125">
        <f t="shared" si="22"/>
        <v>0</v>
      </c>
      <c r="CX43" s="125">
        <f t="shared" si="27"/>
        <v>0</v>
      </c>
      <c r="CY43" s="139"/>
      <c r="CZ43" s="139"/>
      <c r="DA43" s="125" t="e">
        <f>#REF!+CO43+CT43+CX43</f>
        <v>#REF!</v>
      </c>
      <c r="DB43" s="125">
        <f t="shared" si="39"/>
        <v>375</v>
      </c>
      <c r="DD43" s="104">
        <f>Tabel35721[[#This Row],[Rookgasafvoer Afschrijving 15 jaar]]</f>
        <v>6.6666666666666666E-2</v>
      </c>
      <c r="DE43" s="104">
        <f>Tabel35721[[#This Row],[Rookgasafvoer beheer per jaar (onderhoud)]]+Tabel35721[[#This Row],[Rookgasafvoer beheer (storingen) PM]]</f>
        <v>249</v>
      </c>
      <c r="DF43" s="126">
        <f t="shared" si="28"/>
        <v>249.06666666666666</v>
      </c>
      <c r="DG43" s="127"/>
      <c r="DH43" s="127" t="e">
        <f>#REF!+Tabel35721[[#This Row],[Lucht Afschrijving 5 jaar]]</f>
        <v>#REF!</v>
      </c>
      <c r="DI43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3" s="126" t="e">
        <f t="shared" si="29"/>
        <v>#REF!</v>
      </c>
      <c r="DK43" s="128" t="e">
        <f t="shared" si="30"/>
        <v>#REF!</v>
      </c>
      <c r="DL43" s="135"/>
    </row>
    <row r="44" spans="1:118" ht="12.75" customHeight="1" x14ac:dyDescent="0.3">
      <c r="A44" s="106" t="s">
        <v>210</v>
      </c>
      <c r="B44" s="107" t="s">
        <v>215</v>
      </c>
      <c r="C44" s="107" t="s">
        <v>143</v>
      </c>
      <c r="D44" s="174" t="s">
        <v>135</v>
      </c>
      <c r="E44" s="109" t="s">
        <v>139</v>
      </c>
      <c r="F44" s="110" t="s">
        <v>133</v>
      </c>
      <c r="G44" s="109">
        <v>0</v>
      </c>
      <c r="H44" s="112">
        <v>10</v>
      </c>
      <c r="I44" s="112"/>
      <c r="J44" s="109" t="s">
        <v>139</v>
      </c>
      <c r="K44" s="108" t="s">
        <v>139</v>
      </c>
      <c r="L44" s="109" t="s">
        <v>139</v>
      </c>
      <c r="M44" s="109" t="s">
        <v>139</v>
      </c>
      <c r="N44" s="108" t="s">
        <v>135</v>
      </c>
      <c r="O44" s="112" t="s">
        <v>133</v>
      </c>
      <c r="P44" s="109">
        <v>0</v>
      </c>
      <c r="Q44" s="112">
        <f t="shared" si="0"/>
        <v>1</v>
      </c>
      <c r="R44" s="108" t="s">
        <v>135</v>
      </c>
      <c r="S44" s="112" t="s">
        <v>133</v>
      </c>
      <c r="T44" s="109">
        <v>1</v>
      </c>
      <c r="U44" s="109">
        <f t="shared" si="40"/>
        <v>0</v>
      </c>
      <c r="V44" s="109">
        <v>1</v>
      </c>
      <c r="W44" s="109">
        <v>1</v>
      </c>
      <c r="X44" s="109">
        <v>1</v>
      </c>
      <c r="Y44" s="109">
        <v>1</v>
      </c>
      <c r="Z44" s="109">
        <v>1</v>
      </c>
      <c r="AA44" s="109">
        <v>1</v>
      </c>
      <c r="AB44" s="109" t="s">
        <v>131</v>
      </c>
      <c r="AC44" s="109" t="s">
        <v>137</v>
      </c>
      <c r="AD44" s="109" t="s">
        <v>138</v>
      </c>
      <c r="AE44" s="109" t="s">
        <v>138</v>
      </c>
      <c r="AF44" s="94">
        <v>1</v>
      </c>
      <c r="AG44" s="108" t="s">
        <v>135</v>
      </c>
      <c r="AH44" s="109">
        <v>0</v>
      </c>
      <c r="AI44" s="109" t="s">
        <v>139</v>
      </c>
      <c r="AJ44" s="109" t="s">
        <v>139</v>
      </c>
      <c r="AK44" s="114" t="s">
        <v>139</v>
      </c>
      <c r="AL44" s="114"/>
      <c r="AM44" s="112">
        <v>0</v>
      </c>
      <c r="AN44" s="112">
        <f t="shared" si="7"/>
        <v>0</v>
      </c>
      <c r="AO44" s="109">
        <f>IF(AB44="Nee",Tabel22620[[#This Row],[Aantal tracés verwacht na (ver)nieuwbouw]]*$AO$4,0)</f>
        <v>0</v>
      </c>
      <c r="AP44" s="109">
        <f t="shared" si="8"/>
        <v>0</v>
      </c>
      <c r="AQ44" s="109">
        <f t="shared" si="9"/>
        <v>0</v>
      </c>
      <c r="AR44" s="109">
        <f t="shared" si="10"/>
        <v>0</v>
      </c>
      <c r="AS44" s="109">
        <f t="shared" si="11"/>
        <v>0</v>
      </c>
      <c r="AT44" s="109" t="s">
        <v>135</v>
      </c>
      <c r="AU44" s="108">
        <v>4</v>
      </c>
      <c r="AV44" s="115">
        <f t="shared" si="12"/>
        <v>1</v>
      </c>
      <c r="AW44" s="108" t="s">
        <v>133</v>
      </c>
      <c r="AX44" s="109">
        <v>1</v>
      </c>
      <c r="AY44" s="109">
        <v>4</v>
      </c>
      <c r="AZ44" s="112">
        <f t="shared" si="13"/>
        <v>1</v>
      </c>
      <c r="BA44" s="109"/>
      <c r="BB44" s="112">
        <f t="shared" si="14"/>
        <v>1</v>
      </c>
      <c r="BC44" s="112">
        <f t="shared" si="15"/>
        <v>0</v>
      </c>
      <c r="BD44" s="109">
        <f t="shared" si="24"/>
        <v>0</v>
      </c>
      <c r="BE44" s="109">
        <f t="shared" si="25"/>
        <v>0</v>
      </c>
      <c r="BF44" s="109">
        <v>1</v>
      </c>
      <c r="BG44" s="108"/>
      <c r="BH44" s="109"/>
      <c r="BI44" s="109"/>
      <c r="BJ44" s="109"/>
      <c r="BK44" s="109"/>
      <c r="BL44" s="116">
        <f t="shared" si="16"/>
        <v>0</v>
      </c>
      <c r="BM44" s="117">
        <v>1</v>
      </c>
      <c r="BN44" s="117"/>
      <c r="BO44" s="117"/>
      <c r="BP44" s="117"/>
      <c r="BQ44" s="117"/>
      <c r="BR44" s="117"/>
      <c r="BS44" s="117"/>
      <c r="BT44" s="117"/>
      <c r="BU44" s="117"/>
      <c r="BV44" s="118"/>
      <c r="BW44" s="117"/>
      <c r="BX44" s="117"/>
      <c r="BY44" s="119">
        <f>SUM(Tabel22620[[#This Row],[TS Basis / Compact 1]:[TS bedrijfs voering]])</f>
        <v>1</v>
      </c>
      <c r="BZ44" s="120"/>
      <c r="CA44" s="91">
        <v>1</v>
      </c>
      <c r="CB44" s="91"/>
      <c r="CC44" s="91"/>
      <c r="CD44" s="117"/>
      <c r="CE44" s="121">
        <v>1</v>
      </c>
      <c r="CF44" s="121"/>
      <c r="CG44" s="121"/>
      <c r="CH44" s="117"/>
      <c r="CI44" s="122"/>
      <c r="CJ44" s="136">
        <v>1</v>
      </c>
      <c r="CK44" s="124"/>
      <c r="CL44" s="124">
        <f t="shared" si="17"/>
        <v>0</v>
      </c>
      <c r="CM44" s="124">
        <f t="shared" si="18"/>
        <v>0</v>
      </c>
      <c r="CN44" s="137"/>
      <c r="CO44" s="124">
        <f t="shared" si="19"/>
        <v>0</v>
      </c>
      <c r="CP44" s="138">
        <f>99+(50*Tabel22620[[#This Row],[Aantal rookgasafvoer aangesloten]])</f>
        <v>99</v>
      </c>
      <c r="CQ44" s="138"/>
      <c r="CR44" s="124"/>
      <c r="CS44" s="139">
        <f t="shared" si="20"/>
        <v>1</v>
      </c>
      <c r="CT44" s="125">
        <f t="shared" si="26"/>
        <v>0.2</v>
      </c>
      <c r="CU44" s="125">
        <v>0</v>
      </c>
      <c r="CV44" s="125">
        <f t="shared" si="21"/>
        <v>125</v>
      </c>
      <c r="CW44" s="125">
        <f t="shared" si="22"/>
        <v>0</v>
      </c>
      <c r="CX44" s="125">
        <f t="shared" si="27"/>
        <v>0</v>
      </c>
      <c r="CY44" s="139"/>
      <c r="CZ44" s="139"/>
      <c r="DA44" s="125" t="e">
        <f>#REF!+CO44+CT44+CX44</f>
        <v>#REF!</v>
      </c>
      <c r="DB44" s="125">
        <f t="shared" si="39"/>
        <v>225</v>
      </c>
      <c r="DD44" s="104">
        <f>Tabel35721[[#This Row],[Rookgasafvoer Afschrijving 15 jaar]]</f>
        <v>0</v>
      </c>
      <c r="DE44" s="104">
        <f>Tabel35721[[#This Row],[Rookgasafvoer beheer per jaar (onderhoud)]]+Tabel35721[[#This Row],[Rookgasafvoer beheer (storingen) PM]]</f>
        <v>99</v>
      </c>
      <c r="DF44" s="126">
        <f t="shared" si="28"/>
        <v>99</v>
      </c>
      <c r="DG44" s="127"/>
      <c r="DH44" s="127" t="e">
        <f>#REF!+Tabel35721[[#This Row],[Lucht Afschrijving 5 jaar]]</f>
        <v>#REF!</v>
      </c>
      <c r="DI44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4" s="126" t="e">
        <f t="shared" si="29"/>
        <v>#REF!</v>
      </c>
      <c r="DK44" s="128" t="e">
        <f t="shared" si="30"/>
        <v>#REF!</v>
      </c>
      <c r="DL44" s="135"/>
    </row>
    <row r="45" spans="1:118" ht="12.75" customHeight="1" x14ac:dyDescent="0.3">
      <c r="A45" s="106" t="s">
        <v>210</v>
      </c>
      <c r="B45" s="107" t="s">
        <v>216</v>
      </c>
      <c r="C45" s="107" t="s">
        <v>143</v>
      </c>
      <c r="D45" s="108" t="s">
        <v>133</v>
      </c>
      <c r="E45" s="109" t="s">
        <v>151</v>
      </c>
      <c r="F45" s="110" t="s">
        <v>133</v>
      </c>
      <c r="G45" s="109">
        <v>10</v>
      </c>
      <c r="H45" s="112">
        <v>10</v>
      </c>
      <c r="I45" s="112"/>
      <c r="J45" s="108" t="s">
        <v>152</v>
      </c>
      <c r="K45" s="108" t="s">
        <v>131</v>
      </c>
      <c r="L45" s="113">
        <v>2004</v>
      </c>
      <c r="M45" s="108" t="s">
        <v>153</v>
      </c>
      <c r="N45" s="108" t="s">
        <v>135</v>
      </c>
      <c r="O45" s="112" t="s">
        <v>133</v>
      </c>
      <c r="P45" s="109" t="s">
        <v>159</v>
      </c>
      <c r="Q45" s="112">
        <f t="shared" si="0"/>
        <v>1</v>
      </c>
      <c r="R45" s="108" t="s">
        <v>135</v>
      </c>
      <c r="S45" s="112" t="s">
        <v>133</v>
      </c>
      <c r="T45" s="109">
        <f>IF(AND($G45&lt;$H45,$H45&lt;11),$T$4,0)</f>
        <v>0</v>
      </c>
      <c r="U45" s="109">
        <f t="shared" si="40"/>
        <v>0</v>
      </c>
      <c r="V45" s="109">
        <v>1</v>
      </c>
      <c r="W45" s="109">
        <f t="shared" si="31"/>
        <v>0</v>
      </c>
      <c r="X45" s="109">
        <f t="shared" si="3"/>
        <v>0</v>
      </c>
      <c r="Y45" s="109">
        <v>1</v>
      </c>
      <c r="Z45" s="109">
        <v>1</v>
      </c>
      <c r="AA45" s="109">
        <v>1</v>
      </c>
      <c r="AB45" s="109" t="s">
        <v>131</v>
      </c>
      <c r="AC45" s="109" t="s">
        <v>146</v>
      </c>
      <c r="AD45" s="109" t="s">
        <v>154</v>
      </c>
      <c r="AE45" s="109" t="s">
        <v>155</v>
      </c>
      <c r="AF45" s="94">
        <v>1</v>
      </c>
      <c r="AG45" s="109" t="s">
        <v>131</v>
      </c>
      <c r="AH45" s="109">
        <v>1</v>
      </c>
      <c r="AI45" s="109" t="s">
        <v>139</v>
      </c>
      <c r="AJ45" s="109" t="s">
        <v>156</v>
      </c>
      <c r="AK45" s="114" t="s">
        <v>156</v>
      </c>
      <c r="AL45" s="114"/>
      <c r="AM45" s="112">
        <v>0</v>
      </c>
      <c r="AN45" s="112">
        <f t="shared" si="7"/>
        <v>0</v>
      </c>
      <c r="AO45" s="109">
        <f>IF(AB45="Nee",Tabel22620[[#This Row],[Aantal tracés verwacht na (ver)nieuwbouw]]*$AO$4,0)</f>
        <v>0</v>
      </c>
      <c r="AP45" s="109">
        <f t="shared" si="8"/>
        <v>0</v>
      </c>
      <c r="AQ45" s="109">
        <f t="shared" si="9"/>
        <v>0</v>
      </c>
      <c r="AR45" s="109">
        <f t="shared" si="10"/>
        <v>0</v>
      </c>
      <c r="AS45" s="109">
        <f t="shared" si="11"/>
        <v>0</v>
      </c>
      <c r="AT45" s="109" t="s">
        <v>135</v>
      </c>
      <c r="AU45" s="108">
        <v>0</v>
      </c>
      <c r="AV45" s="115">
        <f t="shared" si="12"/>
        <v>2</v>
      </c>
      <c r="AW45" s="109" t="s">
        <v>135</v>
      </c>
      <c r="AX45" s="109">
        <v>1</v>
      </c>
      <c r="AY45" s="109">
        <v>0</v>
      </c>
      <c r="AZ45" s="112">
        <f t="shared" si="13"/>
        <v>2</v>
      </c>
      <c r="BA45" s="109"/>
      <c r="BB45" s="112">
        <f t="shared" si="14"/>
        <v>2</v>
      </c>
      <c r="BC45" s="112">
        <f t="shared" si="15"/>
        <v>2</v>
      </c>
      <c r="BD45" s="109">
        <v>3</v>
      </c>
      <c r="BE45" s="109">
        <v>3</v>
      </c>
      <c r="BF45" s="109">
        <v>2</v>
      </c>
      <c r="BG45" s="108"/>
      <c r="BH45" s="109"/>
      <c r="BI45" s="109"/>
      <c r="BJ45" s="109"/>
      <c r="BK45" s="109"/>
      <c r="BL45" s="116">
        <f t="shared" si="16"/>
        <v>0</v>
      </c>
      <c r="BM45" s="117">
        <v>1</v>
      </c>
      <c r="BN45" s="117"/>
      <c r="BO45" s="117"/>
      <c r="BP45" s="117"/>
      <c r="BQ45" s="117">
        <v>1</v>
      </c>
      <c r="BR45" s="117"/>
      <c r="BS45" s="117"/>
      <c r="BT45" s="117"/>
      <c r="BU45" s="117"/>
      <c r="BV45" s="118"/>
      <c r="BW45" s="117"/>
      <c r="BX45" s="117"/>
      <c r="BY45" s="119">
        <f>SUM(Tabel22620[[#This Row],[TS Basis / Compact 1]:[TS bedrijfs voering]])</f>
        <v>2</v>
      </c>
      <c r="BZ45" s="120"/>
      <c r="CA45" s="91">
        <v>1</v>
      </c>
      <c r="CB45" s="91"/>
      <c r="CC45" s="91"/>
      <c r="CD45" s="117">
        <v>1</v>
      </c>
      <c r="CE45" s="121">
        <v>1</v>
      </c>
      <c r="CF45" s="121"/>
      <c r="CG45" s="121"/>
      <c r="CH45" s="117">
        <v>1</v>
      </c>
      <c r="CI45" s="122"/>
      <c r="CJ45" s="123">
        <v>1</v>
      </c>
      <c r="CK45" s="124"/>
      <c r="CL45" s="124">
        <f t="shared" si="17"/>
        <v>0</v>
      </c>
      <c r="CM45" s="124">
        <f t="shared" si="18"/>
        <v>0</v>
      </c>
      <c r="CN45" s="137"/>
      <c r="CO45" s="124">
        <f t="shared" si="19"/>
        <v>0</v>
      </c>
      <c r="CP45" s="124">
        <f>99+(50*Tabel22620[[#This Row],[Aantal rookgasafvoer aangesloten]])</f>
        <v>149</v>
      </c>
      <c r="CQ45" s="124"/>
      <c r="CR45" s="124"/>
      <c r="CS45" s="139">
        <f t="shared" si="20"/>
        <v>5</v>
      </c>
      <c r="CT45" s="125">
        <f t="shared" si="26"/>
        <v>1</v>
      </c>
      <c r="CU45" s="125">
        <v>0</v>
      </c>
      <c r="CV45" s="125">
        <f t="shared" si="21"/>
        <v>125</v>
      </c>
      <c r="CW45" s="125">
        <f t="shared" si="22"/>
        <v>0</v>
      </c>
      <c r="CX45" s="125">
        <f t="shared" si="27"/>
        <v>0</v>
      </c>
      <c r="CY45" s="139"/>
      <c r="CZ45" s="139"/>
      <c r="DA45" s="125" t="e">
        <f>#REF!+CO45+CT45+CX45</f>
        <v>#REF!</v>
      </c>
      <c r="DB45" s="125">
        <f t="shared" si="39"/>
        <v>275</v>
      </c>
      <c r="DD45" s="104">
        <f>Tabel35721[[#This Row],[Rookgasafvoer Afschrijving 15 jaar]]</f>
        <v>0</v>
      </c>
      <c r="DE45" s="104">
        <f>Tabel35721[[#This Row],[Rookgasafvoer beheer per jaar (onderhoud)]]+Tabel35721[[#This Row],[Rookgasafvoer beheer (storingen) PM]]</f>
        <v>149</v>
      </c>
      <c r="DF45" s="126">
        <f t="shared" si="28"/>
        <v>149</v>
      </c>
      <c r="DG45" s="127"/>
      <c r="DH45" s="127" t="e">
        <f>#REF!+Tabel35721[[#This Row],[Lucht Afschrijving 5 jaar]]</f>
        <v>#REF!</v>
      </c>
      <c r="DI45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5" s="126" t="e">
        <f t="shared" si="29"/>
        <v>#REF!</v>
      </c>
      <c r="DK45" s="128" t="e">
        <f t="shared" si="30"/>
        <v>#REF!</v>
      </c>
      <c r="DL45" s="135"/>
    </row>
    <row r="46" spans="1:118" ht="12.75" customHeight="1" x14ac:dyDescent="0.3">
      <c r="A46" s="106" t="s">
        <v>210</v>
      </c>
      <c r="B46" s="107" t="s">
        <v>217</v>
      </c>
      <c r="C46" s="107" t="s">
        <v>143</v>
      </c>
      <c r="D46" s="108" t="s">
        <v>133</v>
      </c>
      <c r="E46" s="109" t="s">
        <v>178</v>
      </c>
      <c r="F46" s="110" t="s">
        <v>133</v>
      </c>
      <c r="G46" s="109">
        <v>8</v>
      </c>
      <c r="H46" s="112">
        <v>10</v>
      </c>
      <c r="I46" s="112"/>
      <c r="J46" s="109" t="s">
        <v>152</v>
      </c>
      <c r="K46" s="108" t="s">
        <v>133</v>
      </c>
      <c r="L46" s="113">
        <v>2011</v>
      </c>
      <c r="M46" s="108" t="s">
        <v>153</v>
      </c>
      <c r="N46" s="108" t="s">
        <v>135</v>
      </c>
      <c r="O46" s="112" t="s">
        <v>133</v>
      </c>
      <c r="P46" s="109">
        <v>0</v>
      </c>
      <c r="Q46" s="112">
        <f t="shared" si="0"/>
        <v>1</v>
      </c>
      <c r="R46" s="108" t="s">
        <v>135</v>
      </c>
      <c r="S46" s="112" t="s">
        <v>133</v>
      </c>
      <c r="T46" s="109">
        <v>1</v>
      </c>
      <c r="U46" s="109">
        <f t="shared" si="40"/>
        <v>0</v>
      </c>
      <c r="V46" s="109">
        <v>1</v>
      </c>
      <c r="W46" s="109">
        <v>1</v>
      </c>
      <c r="X46" s="109">
        <v>1</v>
      </c>
      <c r="Y46" s="109">
        <v>1</v>
      </c>
      <c r="Z46" s="109">
        <v>1</v>
      </c>
      <c r="AA46" s="109">
        <v>1</v>
      </c>
      <c r="AB46" s="109" t="s">
        <v>131</v>
      </c>
      <c r="AC46" s="109" t="s">
        <v>146</v>
      </c>
      <c r="AD46" s="109" t="s">
        <v>154</v>
      </c>
      <c r="AE46" s="109" t="s">
        <v>155</v>
      </c>
      <c r="AF46" s="94">
        <v>1</v>
      </c>
      <c r="AG46" s="109" t="s">
        <v>135</v>
      </c>
      <c r="AH46" s="109">
        <v>1</v>
      </c>
      <c r="AI46" s="109" t="s">
        <v>139</v>
      </c>
      <c r="AJ46" s="109" t="s">
        <v>173</v>
      </c>
      <c r="AK46" s="114"/>
      <c r="AL46" s="114"/>
      <c r="AM46" s="112">
        <f>BM46</f>
        <v>1</v>
      </c>
      <c r="AN46" s="112">
        <f t="shared" si="7"/>
        <v>0</v>
      </c>
      <c r="AO46" s="109">
        <f>IF(AB46="Nee",Tabel22620[[#This Row],[Aantal tracés verwacht na (ver)nieuwbouw]]*$AO$4,0)</f>
        <v>0</v>
      </c>
      <c r="AP46" s="109">
        <f t="shared" si="8"/>
        <v>0</v>
      </c>
      <c r="AQ46" s="109">
        <v>1</v>
      </c>
      <c r="AR46" s="109">
        <f t="shared" si="10"/>
        <v>0</v>
      </c>
      <c r="AS46" s="109">
        <f t="shared" si="11"/>
        <v>0</v>
      </c>
      <c r="AT46" s="109" t="s">
        <v>135</v>
      </c>
      <c r="AU46" s="108">
        <v>0</v>
      </c>
      <c r="AV46" s="115">
        <f t="shared" si="12"/>
        <v>1</v>
      </c>
      <c r="AW46" s="108" t="s">
        <v>133</v>
      </c>
      <c r="AX46" s="109">
        <v>1</v>
      </c>
      <c r="AY46" s="109"/>
      <c r="AZ46" s="112">
        <f t="shared" si="13"/>
        <v>1</v>
      </c>
      <c r="BA46" s="109"/>
      <c r="BB46" s="112">
        <f t="shared" si="14"/>
        <v>1</v>
      </c>
      <c r="BC46" s="112">
        <f t="shared" si="15"/>
        <v>1</v>
      </c>
      <c r="BD46" s="109">
        <v>1</v>
      </c>
      <c r="BE46" s="109">
        <v>1</v>
      </c>
      <c r="BF46" s="109">
        <v>1</v>
      </c>
      <c r="BG46" s="108"/>
      <c r="BH46" s="109"/>
      <c r="BI46" s="109"/>
      <c r="BJ46" s="109"/>
      <c r="BK46" s="109"/>
      <c r="BL46" s="116">
        <f t="shared" si="16"/>
        <v>0</v>
      </c>
      <c r="BM46" s="117">
        <v>1</v>
      </c>
      <c r="BN46" s="117"/>
      <c r="BO46" s="117"/>
      <c r="BP46" s="117"/>
      <c r="BQ46" s="117"/>
      <c r="BR46" s="117"/>
      <c r="BS46" s="117"/>
      <c r="BT46" s="117"/>
      <c r="BU46" s="117"/>
      <c r="BV46" s="118"/>
      <c r="BW46" s="117"/>
      <c r="BX46" s="117"/>
      <c r="BY46" s="119">
        <f>SUM(Tabel22620[[#This Row],[TS Basis / Compact 1]:[TS bedrijfs voering]])</f>
        <v>1</v>
      </c>
      <c r="BZ46" s="120"/>
      <c r="CA46" s="91">
        <v>1</v>
      </c>
      <c r="CB46" s="91"/>
      <c r="CC46" s="91"/>
      <c r="CD46" s="117"/>
      <c r="CE46" s="121">
        <v>1</v>
      </c>
      <c r="CF46" s="121"/>
      <c r="CG46" s="121"/>
      <c r="CH46" s="117"/>
      <c r="CI46" s="122"/>
      <c r="CJ46" s="123">
        <v>1</v>
      </c>
      <c r="CK46" s="124"/>
      <c r="CL46" s="124">
        <f t="shared" si="17"/>
        <v>1</v>
      </c>
      <c r="CM46" s="124">
        <f t="shared" si="18"/>
        <v>0</v>
      </c>
      <c r="CN46" s="137"/>
      <c r="CO46" s="124">
        <f t="shared" si="19"/>
        <v>6.6666666666666666E-2</v>
      </c>
      <c r="CP46" s="124">
        <f>99+(50*Tabel22620[[#This Row],[Aantal rookgasafvoer aangesloten]])</f>
        <v>149</v>
      </c>
      <c r="CQ46" s="124"/>
      <c r="CR46" s="124"/>
      <c r="CS46" s="139">
        <f t="shared" si="20"/>
        <v>2</v>
      </c>
      <c r="CT46" s="125">
        <f t="shared" si="26"/>
        <v>0.4</v>
      </c>
      <c r="CU46" s="125">
        <v>0</v>
      </c>
      <c r="CV46" s="125">
        <f t="shared" si="21"/>
        <v>125</v>
      </c>
      <c r="CW46" s="125">
        <f t="shared" si="22"/>
        <v>0</v>
      </c>
      <c r="CX46" s="125">
        <f t="shared" si="27"/>
        <v>0</v>
      </c>
      <c r="CY46" s="139"/>
      <c r="CZ46" s="139"/>
      <c r="DA46" s="125" t="e">
        <f>#REF!+CO46+CT46+CX46</f>
        <v>#REF!</v>
      </c>
      <c r="DB46" s="125">
        <f t="shared" si="39"/>
        <v>275</v>
      </c>
      <c r="DD46" s="104">
        <f>Tabel35721[[#This Row],[Rookgasafvoer Afschrijving 15 jaar]]</f>
        <v>6.6666666666666666E-2</v>
      </c>
      <c r="DE46" s="104">
        <f>Tabel35721[[#This Row],[Rookgasafvoer beheer per jaar (onderhoud)]]+Tabel35721[[#This Row],[Rookgasafvoer beheer (storingen) PM]]</f>
        <v>149</v>
      </c>
      <c r="DF46" s="126">
        <f t="shared" si="28"/>
        <v>149.06666666666666</v>
      </c>
      <c r="DG46" s="127"/>
      <c r="DH46" s="127" t="e">
        <f>#REF!+Tabel35721[[#This Row],[Lucht Afschrijving 5 jaar]]</f>
        <v>#REF!</v>
      </c>
      <c r="DI46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6" s="126" t="e">
        <f t="shared" si="29"/>
        <v>#REF!</v>
      </c>
      <c r="DK46" s="128" t="e">
        <f t="shared" si="30"/>
        <v>#REF!</v>
      </c>
      <c r="DL46" s="135"/>
    </row>
    <row r="47" spans="1:118" ht="15" customHeight="1" x14ac:dyDescent="0.3">
      <c r="A47" s="106" t="s">
        <v>210</v>
      </c>
      <c r="B47" s="188" t="s">
        <v>218</v>
      </c>
      <c r="C47" s="188" t="s">
        <v>143</v>
      </c>
      <c r="D47" s="174" t="s">
        <v>135</v>
      </c>
      <c r="E47" s="109" t="s">
        <v>139</v>
      </c>
      <c r="F47" s="110" t="s">
        <v>133</v>
      </c>
      <c r="G47" s="109">
        <v>0</v>
      </c>
      <c r="H47" s="112">
        <v>10</v>
      </c>
      <c r="I47" s="112"/>
      <c r="J47" s="109" t="s">
        <v>139</v>
      </c>
      <c r="K47" s="108" t="s">
        <v>139</v>
      </c>
      <c r="L47" s="109" t="s">
        <v>139</v>
      </c>
      <c r="M47" s="109" t="s">
        <v>139</v>
      </c>
      <c r="N47" s="109" t="s">
        <v>135</v>
      </c>
      <c r="O47" s="112" t="s">
        <v>133</v>
      </c>
      <c r="P47" s="109">
        <v>0</v>
      </c>
      <c r="Q47" s="112">
        <f t="shared" si="0"/>
        <v>1</v>
      </c>
      <c r="R47" s="108" t="s">
        <v>135</v>
      </c>
      <c r="S47" s="112" t="s">
        <v>133</v>
      </c>
      <c r="T47" s="109">
        <v>1</v>
      </c>
      <c r="U47" s="109">
        <f t="shared" si="40"/>
        <v>0</v>
      </c>
      <c r="V47" s="109">
        <v>1</v>
      </c>
      <c r="W47" s="109">
        <v>1</v>
      </c>
      <c r="X47" s="109">
        <v>1</v>
      </c>
      <c r="Y47" s="109">
        <v>1</v>
      </c>
      <c r="Z47" s="109">
        <v>1</v>
      </c>
      <c r="AA47" s="109">
        <v>1</v>
      </c>
      <c r="AB47" s="109" t="s">
        <v>135</v>
      </c>
      <c r="AC47" s="109" t="s">
        <v>146</v>
      </c>
      <c r="AD47" s="109" t="s">
        <v>154</v>
      </c>
      <c r="AE47" s="109" t="s">
        <v>155</v>
      </c>
      <c r="AF47" s="94">
        <v>1</v>
      </c>
      <c r="AG47" s="108" t="s">
        <v>135</v>
      </c>
      <c r="AH47" s="109">
        <v>1</v>
      </c>
      <c r="AI47" s="109" t="s">
        <v>139</v>
      </c>
      <c r="AJ47" s="109" t="s">
        <v>139</v>
      </c>
      <c r="AK47" s="114" t="s">
        <v>173</v>
      </c>
      <c r="AL47" s="114">
        <v>2</v>
      </c>
      <c r="AM47" s="112">
        <v>0</v>
      </c>
      <c r="AN47" s="112">
        <f t="shared" si="7"/>
        <v>0</v>
      </c>
      <c r="AO47" s="109">
        <v>2</v>
      </c>
      <c r="AP47" s="109">
        <f t="shared" si="8"/>
        <v>0</v>
      </c>
      <c r="AQ47" s="109">
        <f t="shared" si="9"/>
        <v>0</v>
      </c>
      <c r="AR47" s="109">
        <f t="shared" si="10"/>
        <v>0</v>
      </c>
      <c r="AS47" s="109">
        <f t="shared" si="11"/>
        <v>0</v>
      </c>
      <c r="AT47" s="109" t="s">
        <v>135</v>
      </c>
      <c r="AU47" s="108">
        <v>0</v>
      </c>
      <c r="AV47" s="115">
        <f t="shared" si="12"/>
        <v>1</v>
      </c>
      <c r="AW47" s="109" t="s">
        <v>135</v>
      </c>
      <c r="AX47" s="109">
        <v>1</v>
      </c>
      <c r="AY47" s="109"/>
      <c r="AZ47" s="112">
        <f t="shared" si="13"/>
        <v>1</v>
      </c>
      <c r="BA47" s="109"/>
      <c r="BB47" s="112">
        <f t="shared" si="14"/>
        <v>1</v>
      </c>
      <c r="BC47" s="112">
        <f t="shared" si="15"/>
        <v>1</v>
      </c>
      <c r="BD47" s="109">
        <v>2</v>
      </c>
      <c r="BE47" s="109">
        <v>2</v>
      </c>
      <c r="BF47" s="109">
        <v>1</v>
      </c>
      <c r="BG47" s="108"/>
      <c r="BH47" s="109"/>
      <c r="BI47" s="109"/>
      <c r="BJ47" s="109"/>
      <c r="BK47" s="109"/>
      <c r="BL47" s="116">
        <f t="shared" si="16"/>
        <v>0</v>
      </c>
      <c r="BM47" s="117">
        <v>1</v>
      </c>
      <c r="BN47" s="117"/>
      <c r="BO47" s="117"/>
      <c r="BP47" s="117"/>
      <c r="BQ47" s="117"/>
      <c r="BR47" s="117"/>
      <c r="BS47" s="117"/>
      <c r="BT47" s="117"/>
      <c r="BU47" s="117"/>
      <c r="BV47" s="118"/>
      <c r="BW47" s="117"/>
      <c r="BX47" s="117"/>
      <c r="BY47" s="119">
        <f>SUM(Tabel22620[[#This Row],[TS Basis / Compact 1]:[TS bedrijfs voering]])</f>
        <v>1</v>
      </c>
      <c r="BZ47" s="120"/>
      <c r="CA47" s="91">
        <v>1</v>
      </c>
      <c r="CB47" s="91"/>
      <c r="CC47" s="91"/>
      <c r="CD47" s="117"/>
      <c r="CE47" s="121">
        <v>1</v>
      </c>
      <c r="CF47" s="121"/>
      <c r="CG47" s="121"/>
      <c r="CH47" s="117"/>
      <c r="CI47" s="122"/>
      <c r="CJ47" s="123">
        <v>1</v>
      </c>
      <c r="CK47" s="124"/>
      <c r="CL47" s="124">
        <f t="shared" si="17"/>
        <v>0</v>
      </c>
      <c r="CM47" s="124">
        <f t="shared" si="18"/>
        <v>0</v>
      </c>
      <c r="CN47" s="137"/>
      <c r="CO47" s="124">
        <f t="shared" si="19"/>
        <v>0</v>
      </c>
      <c r="CP47" s="124">
        <f>99+(50*Tabel22620[[#This Row],[Aantal rookgasafvoer aangesloten]])</f>
        <v>149</v>
      </c>
      <c r="CQ47" s="124"/>
      <c r="CR47" s="124"/>
      <c r="CS47" s="139">
        <f t="shared" si="20"/>
        <v>3</v>
      </c>
      <c r="CT47" s="125">
        <f t="shared" si="26"/>
        <v>0.6</v>
      </c>
      <c r="CU47" s="125">
        <v>0</v>
      </c>
      <c r="CV47" s="125">
        <f t="shared" si="21"/>
        <v>125</v>
      </c>
      <c r="CW47" s="125">
        <f t="shared" si="22"/>
        <v>0</v>
      </c>
      <c r="CX47" s="125">
        <f t="shared" si="27"/>
        <v>0</v>
      </c>
      <c r="CY47" s="139"/>
      <c r="CZ47" s="139"/>
      <c r="DA47" s="125" t="e">
        <f>#REF!+CO47+CT47+CX47</f>
        <v>#REF!</v>
      </c>
      <c r="DB47" s="125">
        <f t="shared" si="39"/>
        <v>275</v>
      </c>
      <c r="DD47" s="104">
        <f>Tabel35721[[#This Row],[Rookgasafvoer Afschrijving 15 jaar]]</f>
        <v>0</v>
      </c>
      <c r="DE47" s="104">
        <f>Tabel35721[[#This Row],[Rookgasafvoer beheer per jaar (onderhoud)]]+Tabel35721[[#This Row],[Rookgasafvoer beheer (storingen) PM]]</f>
        <v>149</v>
      </c>
      <c r="DF47" s="126">
        <f t="shared" si="28"/>
        <v>149</v>
      </c>
      <c r="DG47" s="127"/>
      <c r="DH47" s="127" t="e">
        <f>#REF!+Tabel35721[[#This Row],[Lucht Afschrijving 5 jaar]]</f>
        <v>#REF!</v>
      </c>
      <c r="DI47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47" s="126" t="e">
        <f t="shared" si="29"/>
        <v>#REF!</v>
      </c>
      <c r="DK47" s="128" t="e">
        <f t="shared" si="30"/>
        <v>#REF!</v>
      </c>
      <c r="DL47" s="129"/>
      <c r="DM47" s="162" t="e">
        <f>SUM(DK41:DK47)</f>
        <v>#REF!</v>
      </c>
      <c r="DN47" s="163" t="s">
        <v>210</v>
      </c>
    </row>
    <row r="48" spans="1:118" ht="15" customHeight="1" x14ac:dyDescent="0.3">
      <c r="A48" s="106" t="s">
        <v>219</v>
      </c>
      <c r="B48" s="107" t="s">
        <v>220</v>
      </c>
      <c r="C48" s="107" t="s">
        <v>131</v>
      </c>
      <c r="D48" s="108" t="s">
        <v>133</v>
      </c>
      <c r="E48" s="109" t="s">
        <v>151</v>
      </c>
      <c r="F48" s="110" t="s">
        <v>133</v>
      </c>
      <c r="G48" s="109">
        <v>10</v>
      </c>
      <c r="H48" s="112">
        <v>10</v>
      </c>
      <c r="I48" s="112"/>
      <c r="J48" s="108" t="s">
        <v>144</v>
      </c>
      <c r="K48" s="108" t="s">
        <v>131</v>
      </c>
      <c r="L48" s="113">
        <v>2007</v>
      </c>
      <c r="M48" s="108" t="s">
        <v>153</v>
      </c>
      <c r="N48" s="108" t="s">
        <v>133</v>
      </c>
      <c r="O48" s="112" t="s">
        <v>133</v>
      </c>
      <c r="P48" s="109" t="s">
        <v>159</v>
      </c>
      <c r="Q48" s="112">
        <f t="shared" si="0"/>
        <v>1</v>
      </c>
      <c r="R48" s="108" t="s">
        <v>131</v>
      </c>
      <c r="S48" s="112" t="s">
        <v>133</v>
      </c>
      <c r="T48" s="109">
        <f>IF(AND($G48&lt;$H48,$H48&lt;11),$T$4,0)</f>
        <v>0</v>
      </c>
      <c r="U48" s="109">
        <f t="shared" si="40"/>
        <v>0</v>
      </c>
      <c r="V48" s="109">
        <f t="shared" si="2"/>
        <v>0</v>
      </c>
      <c r="W48" s="109">
        <f t="shared" si="31"/>
        <v>0</v>
      </c>
      <c r="X48" s="109">
        <f t="shared" si="3"/>
        <v>0</v>
      </c>
      <c r="Y48" s="109">
        <f t="shared" si="4"/>
        <v>0</v>
      </c>
      <c r="Z48" s="109">
        <f t="shared" si="5"/>
        <v>0</v>
      </c>
      <c r="AA48" s="109">
        <f t="shared" si="6"/>
        <v>0</v>
      </c>
      <c r="AB48" s="109" t="s">
        <v>131</v>
      </c>
      <c r="AC48" s="109" t="s">
        <v>146</v>
      </c>
      <c r="AD48" s="109" t="s">
        <v>154</v>
      </c>
      <c r="AE48" s="109" t="s">
        <v>155</v>
      </c>
      <c r="AF48" s="94">
        <v>1</v>
      </c>
      <c r="AG48" s="109" t="s">
        <v>131</v>
      </c>
      <c r="AH48" s="109">
        <v>2</v>
      </c>
      <c r="AI48" s="109" t="s">
        <v>139</v>
      </c>
      <c r="AJ48" s="109" t="s">
        <v>156</v>
      </c>
      <c r="AK48" s="114" t="s">
        <v>156</v>
      </c>
      <c r="AL48" s="114"/>
      <c r="AM48" s="112">
        <f t="shared" ref="AM48:AM69" si="41">BM48</f>
        <v>1</v>
      </c>
      <c r="AN48" s="112">
        <f t="shared" si="7"/>
        <v>0</v>
      </c>
      <c r="AO48" s="109">
        <f>IF(AB48="Nee",Tabel22620[[#This Row],[Aantal tracés verwacht na (ver)nieuwbouw]]*$AO$4,0)</f>
        <v>0</v>
      </c>
      <c r="AP48" s="109">
        <f t="shared" si="8"/>
        <v>0</v>
      </c>
      <c r="AQ48" s="109">
        <v>1</v>
      </c>
      <c r="AR48" s="109">
        <f t="shared" si="10"/>
        <v>0</v>
      </c>
      <c r="AS48" s="109">
        <f t="shared" si="11"/>
        <v>0</v>
      </c>
      <c r="AT48" s="109" t="s">
        <v>131</v>
      </c>
      <c r="AU48" s="108">
        <v>2</v>
      </c>
      <c r="AV48" s="115">
        <f t="shared" si="12"/>
        <v>1</v>
      </c>
      <c r="AW48" s="108" t="s">
        <v>133</v>
      </c>
      <c r="AX48" s="109">
        <v>3</v>
      </c>
      <c r="AY48" s="109"/>
      <c r="AZ48" s="112">
        <f t="shared" si="13"/>
        <v>1</v>
      </c>
      <c r="BA48" s="109"/>
      <c r="BB48" s="112">
        <f t="shared" si="14"/>
        <v>1</v>
      </c>
      <c r="BC48" s="112">
        <f t="shared" si="15"/>
        <v>0</v>
      </c>
      <c r="BD48" s="109">
        <f t="shared" si="24"/>
        <v>0</v>
      </c>
      <c r="BE48" s="109">
        <f t="shared" si="25"/>
        <v>0</v>
      </c>
      <c r="BF48" s="109">
        <v>1</v>
      </c>
      <c r="BG48" s="108"/>
      <c r="BH48" s="109"/>
      <c r="BI48" s="109"/>
      <c r="BJ48" s="109"/>
      <c r="BK48" s="109"/>
      <c r="BL48" s="116">
        <f t="shared" si="16"/>
        <v>0</v>
      </c>
      <c r="BM48" s="117">
        <v>1</v>
      </c>
      <c r="BN48" s="117"/>
      <c r="BO48" s="117"/>
      <c r="BP48" s="117"/>
      <c r="BQ48" s="117"/>
      <c r="BR48" s="117"/>
      <c r="BS48" s="117"/>
      <c r="BT48" s="117"/>
      <c r="BU48" s="117"/>
      <c r="BV48" s="118"/>
      <c r="BW48" s="117"/>
      <c r="BX48" s="117"/>
      <c r="BY48" s="119">
        <f>SUM(Tabel22620[[#This Row],[TS Basis / Compact 1]:[TS bedrijfs voering]])</f>
        <v>1</v>
      </c>
      <c r="BZ48" s="120"/>
      <c r="CA48" s="91">
        <v>1</v>
      </c>
      <c r="CB48" s="91"/>
      <c r="CC48" s="91"/>
      <c r="CD48" s="117"/>
      <c r="CE48" s="121">
        <v>1</v>
      </c>
      <c r="CF48" s="121"/>
      <c r="CG48" s="121"/>
      <c r="CH48" s="117"/>
      <c r="CI48" s="122"/>
      <c r="CJ48" s="123">
        <v>1</v>
      </c>
      <c r="CK48" s="124">
        <v>1</v>
      </c>
      <c r="CL48" s="124">
        <f t="shared" si="17"/>
        <v>1</v>
      </c>
      <c r="CM48" s="124">
        <f t="shared" si="18"/>
        <v>0</v>
      </c>
      <c r="CN48" s="137"/>
      <c r="CO48" s="124">
        <f t="shared" si="19"/>
        <v>6.6666666666666666E-2</v>
      </c>
      <c r="CP48" s="124">
        <f>99+(50*Tabel22620[[#This Row],[Aantal rookgasafvoer aangesloten]])</f>
        <v>199</v>
      </c>
      <c r="CQ48" s="124">
        <v>3</v>
      </c>
      <c r="CR48" s="124">
        <v>1</v>
      </c>
      <c r="CS48" s="139">
        <f t="shared" si="20"/>
        <v>1</v>
      </c>
      <c r="CT48" s="125">
        <f t="shared" si="26"/>
        <v>0.2</v>
      </c>
      <c r="CU48" s="125">
        <v>0</v>
      </c>
      <c r="CV48" s="125">
        <f t="shared" si="21"/>
        <v>125</v>
      </c>
      <c r="CW48" s="125">
        <f t="shared" si="22"/>
        <v>0</v>
      </c>
      <c r="CX48" s="125">
        <f t="shared" si="27"/>
        <v>0</v>
      </c>
      <c r="CY48" s="139"/>
      <c r="CZ48" s="139"/>
      <c r="DA48" s="125" t="e">
        <f>#REF!+CO48+CT48+CX48</f>
        <v>#REF!</v>
      </c>
      <c r="DB48" s="125">
        <f t="shared" si="39"/>
        <v>327</v>
      </c>
      <c r="DD48" s="104">
        <f>Tabel35721[[#This Row],[Rookgasafvoer Afschrijving 15 jaar]]</f>
        <v>6.6666666666666666E-2</v>
      </c>
      <c r="DE48" s="104">
        <f>Tabel35721[[#This Row],[Rookgasafvoer beheer per jaar (onderhoud)]]+Tabel35721[[#This Row],[Rookgasafvoer beheer (storingen) PM]]</f>
        <v>200</v>
      </c>
      <c r="DF48" s="126">
        <f t="shared" si="28"/>
        <v>200.06666666666666</v>
      </c>
      <c r="DG48" s="127"/>
      <c r="DH48" s="127" t="e">
        <f>#REF!+Tabel35721[[#This Row],[Lucht Afschrijving 5 jaar]]</f>
        <v>#REF!</v>
      </c>
      <c r="DI48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48" s="126" t="e">
        <f t="shared" si="29"/>
        <v>#REF!</v>
      </c>
      <c r="DK48" s="128" t="e">
        <f t="shared" si="30"/>
        <v>#REF!</v>
      </c>
      <c r="DL48" s="135"/>
    </row>
    <row r="49" spans="1:118" ht="15" customHeight="1" x14ac:dyDescent="0.3">
      <c r="A49" s="106" t="s">
        <v>219</v>
      </c>
      <c r="B49" s="107" t="s">
        <v>221</v>
      </c>
      <c r="C49" s="107" t="s">
        <v>131</v>
      </c>
      <c r="D49" s="108" t="s">
        <v>133</v>
      </c>
      <c r="E49" s="109"/>
      <c r="F49" s="110" t="s">
        <v>133</v>
      </c>
      <c r="G49" s="109"/>
      <c r="H49" s="112">
        <v>10</v>
      </c>
      <c r="I49" s="112"/>
      <c r="J49" s="108" t="s">
        <v>152</v>
      </c>
      <c r="K49" s="108" t="s">
        <v>143</v>
      </c>
      <c r="L49" s="113"/>
      <c r="M49" s="108" t="s">
        <v>136</v>
      </c>
      <c r="N49" s="108" t="s">
        <v>135</v>
      </c>
      <c r="O49" s="112" t="s">
        <v>133</v>
      </c>
      <c r="P49" s="109">
        <v>1</v>
      </c>
      <c r="Q49" s="112">
        <f t="shared" si="0"/>
        <v>1</v>
      </c>
      <c r="R49" s="108" t="s">
        <v>133</v>
      </c>
      <c r="S49" s="112" t="s">
        <v>133</v>
      </c>
      <c r="T49" s="109">
        <v>1</v>
      </c>
      <c r="U49" s="109">
        <f t="shared" si="40"/>
        <v>0</v>
      </c>
      <c r="V49" s="109">
        <v>1</v>
      </c>
      <c r="W49" s="109">
        <f t="shared" si="31"/>
        <v>0</v>
      </c>
      <c r="X49" s="109">
        <v>1</v>
      </c>
      <c r="Y49" s="109">
        <f t="shared" si="4"/>
        <v>0</v>
      </c>
      <c r="Z49" s="109">
        <f t="shared" si="5"/>
        <v>0</v>
      </c>
      <c r="AA49" s="109">
        <f t="shared" si="6"/>
        <v>0</v>
      </c>
      <c r="AB49" s="109" t="s">
        <v>131</v>
      </c>
      <c r="AC49" s="109" t="s">
        <v>137</v>
      </c>
      <c r="AD49" s="109" t="s">
        <v>138</v>
      </c>
      <c r="AE49" s="109" t="s">
        <v>138</v>
      </c>
      <c r="AF49" s="94">
        <v>1</v>
      </c>
      <c r="AG49" s="108" t="s">
        <v>135</v>
      </c>
      <c r="AH49" s="109">
        <v>1</v>
      </c>
      <c r="AI49" s="109" t="s">
        <v>139</v>
      </c>
      <c r="AJ49" s="109" t="s">
        <v>139</v>
      </c>
      <c r="AK49" s="114"/>
      <c r="AL49" s="114"/>
      <c r="AM49" s="112">
        <f t="shared" si="41"/>
        <v>1</v>
      </c>
      <c r="AN49" s="112">
        <f t="shared" si="7"/>
        <v>0</v>
      </c>
      <c r="AO49" s="109">
        <f>IF(AB49="Nee",Tabel22620[[#This Row],[Aantal tracés verwacht na (ver)nieuwbouw]]*$AO$4,0)</f>
        <v>0</v>
      </c>
      <c r="AP49" s="109">
        <f t="shared" si="8"/>
        <v>0</v>
      </c>
      <c r="AQ49" s="109">
        <f t="shared" si="9"/>
        <v>0</v>
      </c>
      <c r="AR49" s="109">
        <f t="shared" si="10"/>
        <v>0</v>
      </c>
      <c r="AS49" s="109">
        <v>1</v>
      </c>
      <c r="AT49" s="109" t="s">
        <v>131</v>
      </c>
      <c r="AU49" s="108">
        <v>0</v>
      </c>
      <c r="AV49" s="115">
        <f t="shared" si="12"/>
        <v>6</v>
      </c>
      <c r="AW49" s="108" t="s">
        <v>133</v>
      </c>
      <c r="AX49" s="109">
        <v>1</v>
      </c>
      <c r="AY49" s="109"/>
      <c r="AZ49" s="112">
        <f t="shared" si="13"/>
        <v>6</v>
      </c>
      <c r="BA49" s="109"/>
      <c r="BB49" s="112">
        <f t="shared" si="14"/>
        <v>6</v>
      </c>
      <c r="BC49" s="112">
        <f t="shared" si="15"/>
        <v>6</v>
      </c>
      <c r="BD49" s="109">
        <v>6</v>
      </c>
      <c r="BE49" s="109">
        <v>6</v>
      </c>
      <c r="BF49" s="109">
        <v>5</v>
      </c>
      <c r="BG49" s="108"/>
      <c r="BH49" s="109"/>
      <c r="BI49" s="108">
        <v>1</v>
      </c>
      <c r="BJ49" s="109"/>
      <c r="BK49" s="109"/>
      <c r="BL49" s="116">
        <f t="shared" si="16"/>
        <v>7500</v>
      </c>
      <c r="BM49" s="117">
        <v>1</v>
      </c>
      <c r="BN49" s="117"/>
      <c r="BO49" s="117"/>
      <c r="BP49" s="117"/>
      <c r="BQ49" s="117"/>
      <c r="BR49" s="117">
        <v>1</v>
      </c>
      <c r="BS49" s="117">
        <v>1</v>
      </c>
      <c r="BT49" s="117">
        <v>1</v>
      </c>
      <c r="BU49" s="117"/>
      <c r="BV49" s="118">
        <v>2</v>
      </c>
      <c r="BW49" s="117"/>
      <c r="BX49" s="117"/>
      <c r="BY49" s="119">
        <f>SUM(Tabel22620[[#This Row],[TS Basis / Compact 1]:[TS bedrijfs voering]])</f>
        <v>6</v>
      </c>
      <c r="BZ49" s="120"/>
      <c r="CA49" s="91">
        <v>1</v>
      </c>
      <c r="CB49" s="91"/>
      <c r="CC49" s="91"/>
      <c r="CD49" s="117"/>
      <c r="CE49" s="121">
        <v>1</v>
      </c>
      <c r="CF49" s="121"/>
      <c r="CG49" s="121"/>
      <c r="CH49" s="117"/>
      <c r="CI49" s="122"/>
      <c r="CJ49" s="123">
        <v>1</v>
      </c>
      <c r="CK49" s="124">
        <v>1</v>
      </c>
      <c r="CL49" s="124">
        <f t="shared" si="17"/>
        <v>1</v>
      </c>
      <c r="CM49" s="124">
        <f t="shared" si="18"/>
        <v>0</v>
      </c>
      <c r="CN49" s="137"/>
      <c r="CO49" s="124">
        <f t="shared" si="19"/>
        <v>6.6666666666666666E-2</v>
      </c>
      <c r="CP49" s="124">
        <f>99+(50*Tabel22620[[#This Row],[Aantal rookgasafvoer aangesloten]])</f>
        <v>149</v>
      </c>
      <c r="CQ49" s="124">
        <v>2</v>
      </c>
      <c r="CR49" s="124">
        <v>1</v>
      </c>
      <c r="CS49" s="139">
        <f t="shared" si="20"/>
        <v>11</v>
      </c>
      <c r="CT49" s="125">
        <f t="shared" si="26"/>
        <v>2.2000000000000002</v>
      </c>
      <c r="CU49" s="125">
        <v>0</v>
      </c>
      <c r="CV49" s="125">
        <f t="shared" si="21"/>
        <v>125</v>
      </c>
      <c r="CW49" s="125">
        <f t="shared" si="22"/>
        <v>7500</v>
      </c>
      <c r="CX49" s="125">
        <f t="shared" si="27"/>
        <v>500</v>
      </c>
      <c r="CY49" s="139">
        <f>1*250</f>
        <v>250</v>
      </c>
      <c r="CZ49" s="139">
        <f>1*500</f>
        <v>500</v>
      </c>
      <c r="DA49" s="125" t="e">
        <f>#REF!+CO49+CT49+CX49</f>
        <v>#REF!</v>
      </c>
      <c r="DB49" s="125">
        <f t="shared" si="39"/>
        <v>1027</v>
      </c>
      <c r="DD49" s="104">
        <f>Tabel35721[[#This Row],[Rookgasafvoer Afschrijving 15 jaar]]</f>
        <v>6.6666666666666666E-2</v>
      </c>
      <c r="DE49" s="104">
        <f>Tabel35721[[#This Row],[Rookgasafvoer beheer per jaar (onderhoud)]]+Tabel35721[[#This Row],[Rookgasafvoer beheer (storingen) PM]]</f>
        <v>150</v>
      </c>
      <c r="DF49" s="126">
        <f t="shared" si="28"/>
        <v>150.06666666666666</v>
      </c>
      <c r="DG49" s="127"/>
      <c r="DH49" s="127" t="e">
        <f>#REF!+Tabel35721[[#This Row],[Lucht Afschrijving 5 jaar]]</f>
        <v>#REF!</v>
      </c>
      <c r="DI49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49" s="126" t="e">
        <f t="shared" si="29"/>
        <v>#REF!</v>
      </c>
      <c r="DK49" s="128" t="e">
        <f t="shared" si="30"/>
        <v>#REF!</v>
      </c>
      <c r="DL49" s="135"/>
    </row>
    <row r="50" spans="1:118" ht="15" customHeight="1" x14ac:dyDescent="0.3">
      <c r="A50" s="106" t="s">
        <v>219</v>
      </c>
      <c r="B50" s="107" t="s">
        <v>222</v>
      </c>
      <c r="C50" s="107" t="s">
        <v>131</v>
      </c>
      <c r="D50" s="108" t="s">
        <v>133</v>
      </c>
      <c r="E50" s="109" t="s">
        <v>223</v>
      </c>
      <c r="F50" s="110" t="s">
        <v>133</v>
      </c>
      <c r="G50" s="109">
        <v>10</v>
      </c>
      <c r="H50" s="112">
        <v>10</v>
      </c>
      <c r="I50" s="112"/>
      <c r="J50" s="109" t="s">
        <v>152</v>
      </c>
      <c r="K50" s="108" t="s">
        <v>131</v>
      </c>
      <c r="L50" s="109">
        <v>2014</v>
      </c>
      <c r="M50" s="109" t="s">
        <v>136</v>
      </c>
      <c r="N50" s="109" t="s">
        <v>131</v>
      </c>
      <c r="O50" s="112" t="s">
        <v>133</v>
      </c>
      <c r="P50" s="109" t="s">
        <v>159</v>
      </c>
      <c r="Q50" s="112">
        <f t="shared" si="0"/>
        <v>1</v>
      </c>
      <c r="R50" s="108" t="s">
        <v>135</v>
      </c>
      <c r="S50" s="112" t="s">
        <v>133</v>
      </c>
      <c r="T50" s="109">
        <f t="shared" ref="T50:T66" si="42">IF(AND($G50&lt;$H50,$H50&lt;11),$T$4,0)</f>
        <v>0</v>
      </c>
      <c r="U50" s="109">
        <f t="shared" si="40"/>
        <v>0</v>
      </c>
      <c r="V50" s="109">
        <f t="shared" si="2"/>
        <v>0</v>
      </c>
      <c r="W50" s="109">
        <f t="shared" si="31"/>
        <v>0</v>
      </c>
      <c r="X50" s="109">
        <f t="shared" si="3"/>
        <v>0</v>
      </c>
      <c r="Y50" s="109">
        <v>1</v>
      </c>
      <c r="Z50" s="109">
        <v>1</v>
      </c>
      <c r="AA50" s="109">
        <v>1</v>
      </c>
      <c r="AB50" s="109" t="s">
        <v>131</v>
      </c>
      <c r="AC50" s="109" t="s">
        <v>146</v>
      </c>
      <c r="AD50" s="109" t="s">
        <v>147</v>
      </c>
      <c r="AE50" s="109" t="s">
        <v>148</v>
      </c>
      <c r="AF50" s="94">
        <v>1</v>
      </c>
      <c r="AG50" s="109" t="s">
        <v>135</v>
      </c>
      <c r="AH50" s="109">
        <v>3</v>
      </c>
      <c r="AI50" s="109" t="s">
        <v>139</v>
      </c>
      <c r="AJ50" s="109" t="s">
        <v>149</v>
      </c>
      <c r="AK50" s="114" t="s">
        <v>149</v>
      </c>
      <c r="AL50" s="114"/>
      <c r="AM50" s="112">
        <f t="shared" si="41"/>
        <v>1</v>
      </c>
      <c r="AN50" s="112">
        <f t="shared" si="7"/>
        <v>0</v>
      </c>
      <c r="AO50" s="109">
        <f>IF(AB50="Nee",Tabel22620[[#This Row],[Aantal tracés verwacht na (ver)nieuwbouw]]*$AO$4,0)</f>
        <v>0</v>
      </c>
      <c r="AP50" s="109">
        <f t="shared" si="8"/>
        <v>0</v>
      </c>
      <c r="AQ50" s="109">
        <f t="shared" si="9"/>
        <v>0</v>
      </c>
      <c r="AR50" s="109">
        <v>1</v>
      </c>
      <c r="AS50" s="109">
        <f t="shared" si="11"/>
        <v>0</v>
      </c>
      <c r="AT50" s="109" t="s">
        <v>131</v>
      </c>
      <c r="AU50" s="108">
        <v>0</v>
      </c>
      <c r="AV50" s="115">
        <f t="shared" si="12"/>
        <v>3</v>
      </c>
      <c r="AW50" s="108" t="s">
        <v>133</v>
      </c>
      <c r="AX50" s="109">
        <v>5</v>
      </c>
      <c r="AY50" s="109"/>
      <c r="AZ50" s="112">
        <f t="shared" si="13"/>
        <v>3</v>
      </c>
      <c r="BA50" s="109"/>
      <c r="BB50" s="112">
        <f t="shared" si="14"/>
        <v>3</v>
      </c>
      <c r="BC50" s="112">
        <f t="shared" si="15"/>
        <v>3</v>
      </c>
      <c r="BD50" s="109">
        <v>3</v>
      </c>
      <c r="BE50" s="109">
        <v>3</v>
      </c>
      <c r="BF50" s="109">
        <v>3</v>
      </c>
      <c r="BG50" s="108"/>
      <c r="BH50" s="109"/>
      <c r="BI50" s="109"/>
      <c r="BJ50" s="109"/>
      <c r="BK50" s="109"/>
      <c r="BL50" s="116">
        <f t="shared" si="16"/>
        <v>0</v>
      </c>
      <c r="BM50" s="117">
        <v>1</v>
      </c>
      <c r="BN50" s="117"/>
      <c r="BO50" s="117"/>
      <c r="BP50" s="117"/>
      <c r="BQ50" s="117">
        <v>1</v>
      </c>
      <c r="BR50" s="117"/>
      <c r="BS50" s="117">
        <v>1</v>
      </c>
      <c r="BT50" s="117"/>
      <c r="BU50" s="117"/>
      <c r="BV50" s="118"/>
      <c r="BW50" s="117"/>
      <c r="BX50" s="117"/>
      <c r="BY50" s="119">
        <f>SUM(Tabel22620[[#This Row],[TS Basis / Compact 1]:[TS bedrijfs voering]])</f>
        <v>3</v>
      </c>
      <c r="BZ50" s="120"/>
      <c r="CA50" s="91">
        <v>1</v>
      </c>
      <c r="CB50" s="91"/>
      <c r="CC50" s="91"/>
      <c r="CD50" s="117">
        <v>1</v>
      </c>
      <c r="CE50" s="121">
        <v>1</v>
      </c>
      <c r="CF50" s="121"/>
      <c r="CG50" s="121"/>
      <c r="CH50" s="117">
        <v>1</v>
      </c>
      <c r="CI50" s="122"/>
      <c r="CJ50" s="123">
        <v>1</v>
      </c>
      <c r="CK50" s="124">
        <v>1</v>
      </c>
      <c r="CL50" s="124">
        <f t="shared" si="17"/>
        <v>1</v>
      </c>
      <c r="CM50" s="124">
        <f t="shared" si="18"/>
        <v>0</v>
      </c>
      <c r="CN50" s="137"/>
      <c r="CO50" s="124">
        <f t="shared" si="19"/>
        <v>6.6666666666666666E-2</v>
      </c>
      <c r="CP50" s="124">
        <f>99+(50*Tabel22620[[#This Row],[Aantal rookgasafvoer aangesloten]])</f>
        <v>249</v>
      </c>
      <c r="CQ50" s="124">
        <v>4</v>
      </c>
      <c r="CR50" s="124">
        <v>1</v>
      </c>
      <c r="CS50" s="139">
        <f t="shared" si="20"/>
        <v>6</v>
      </c>
      <c r="CT50" s="125">
        <f t="shared" si="26"/>
        <v>1.2</v>
      </c>
      <c r="CU50" s="125">
        <v>0</v>
      </c>
      <c r="CV50" s="125">
        <f t="shared" si="21"/>
        <v>125</v>
      </c>
      <c r="CW50" s="125">
        <f t="shared" si="22"/>
        <v>0</v>
      </c>
      <c r="CX50" s="125">
        <f t="shared" si="27"/>
        <v>0</v>
      </c>
      <c r="CY50" s="139"/>
      <c r="CZ50" s="139"/>
      <c r="DA50" s="125" t="e">
        <f>#REF!+CO50+CT50+CX50</f>
        <v>#REF!</v>
      </c>
      <c r="DB50" s="125">
        <f t="shared" si="39"/>
        <v>377</v>
      </c>
      <c r="DD50" s="104">
        <f>Tabel35721[[#This Row],[Rookgasafvoer Afschrijving 15 jaar]]</f>
        <v>6.6666666666666666E-2</v>
      </c>
      <c r="DE50" s="104">
        <f>Tabel35721[[#This Row],[Rookgasafvoer beheer per jaar (onderhoud)]]+Tabel35721[[#This Row],[Rookgasafvoer beheer (storingen) PM]]</f>
        <v>250</v>
      </c>
      <c r="DF50" s="126">
        <f t="shared" si="28"/>
        <v>250.06666666666666</v>
      </c>
      <c r="DG50" s="127"/>
      <c r="DH50" s="127" t="e">
        <f>#REF!+Tabel35721[[#This Row],[Lucht Afschrijving 5 jaar]]</f>
        <v>#REF!</v>
      </c>
      <c r="DI50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50" s="126" t="e">
        <f t="shared" si="29"/>
        <v>#REF!</v>
      </c>
      <c r="DK50" s="128" t="e">
        <f t="shared" si="30"/>
        <v>#REF!</v>
      </c>
      <c r="DL50" s="135"/>
    </row>
    <row r="51" spans="1:118" ht="15" customHeight="1" x14ac:dyDescent="0.3">
      <c r="A51" s="106" t="s">
        <v>219</v>
      </c>
      <c r="B51" s="107" t="s">
        <v>224</v>
      </c>
      <c r="C51" s="107" t="s">
        <v>131</v>
      </c>
      <c r="D51" s="108" t="s">
        <v>133</v>
      </c>
      <c r="E51" s="109" t="s">
        <v>223</v>
      </c>
      <c r="F51" s="110" t="s">
        <v>133</v>
      </c>
      <c r="G51" s="109">
        <v>11</v>
      </c>
      <c r="H51" s="112">
        <v>10</v>
      </c>
      <c r="I51" s="112"/>
      <c r="J51" s="108" t="s">
        <v>144</v>
      </c>
      <c r="K51" s="108" t="s">
        <v>131</v>
      </c>
      <c r="L51" s="113">
        <v>2015</v>
      </c>
      <c r="M51" s="108" t="s">
        <v>136</v>
      </c>
      <c r="N51" s="108" t="s">
        <v>131</v>
      </c>
      <c r="O51" s="112" t="s">
        <v>133</v>
      </c>
      <c r="P51" s="109" t="s">
        <v>159</v>
      </c>
      <c r="Q51" s="112">
        <f t="shared" si="0"/>
        <v>1</v>
      </c>
      <c r="R51" s="108" t="s">
        <v>135</v>
      </c>
      <c r="S51" s="112" t="s">
        <v>133</v>
      </c>
      <c r="T51" s="109">
        <f t="shared" si="42"/>
        <v>0</v>
      </c>
      <c r="U51" s="109">
        <f t="shared" si="40"/>
        <v>0</v>
      </c>
      <c r="V51" s="109">
        <f t="shared" si="2"/>
        <v>0</v>
      </c>
      <c r="W51" s="109">
        <f t="shared" si="31"/>
        <v>0</v>
      </c>
      <c r="X51" s="109">
        <f t="shared" si="3"/>
        <v>0</v>
      </c>
      <c r="Y51" s="109">
        <v>1</v>
      </c>
      <c r="Z51" s="109">
        <v>1</v>
      </c>
      <c r="AA51" s="109">
        <v>1</v>
      </c>
      <c r="AB51" s="109" t="s">
        <v>131</v>
      </c>
      <c r="AC51" s="109" t="s">
        <v>146</v>
      </c>
      <c r="AD51" s="109" t="s">
        <v>147</v>
      </c>
      <c r="AE51" s="109" t="s">
        <v>148</v>
      </c>
      <c r="AF51" s="94">
        <v>1</v>
      </c>
      <c r="AG51" s="109" t="s">
        <v>135</v>
      </c>
      <c r="AH51" s="109">
        <v>2</v>
      </c>
      <c r="AI51" s="109" t="s">
        <v>139</v>
      </c>
      <c r="AJ51" s="109" t="s">
        <v>149</v>
      </c>
      <c r="AK51" s="114" t="s">
        <v>149</v>
      </c>
      <c r="AL51" s="114"/>
      <c r="AM51" s="112">
        <f t="shared" si="41"/>
        <v>1</v>
      </c>
      <c r="AN51" s="112">
        <f t="shared" si="7"/>
        <v>0</v>
      </c>
      <c r="AO51" s="109">
        <f>IF(AB51="Nee",Tabel22620[[#This Row],[Aantal tracés verwacht na (ver)nieuwbouw]]*$AO$4,0)</f>
        <v>0</v>
      </c>
      <c r="AP51" s="109">
        <f t="shared" si="8"/>
        <v>0</v>
      </c>
      <c r="AQ51" s="109">
        <f t="shared" si="9"/>
        <v>0</v>
      </c>
      <c r="AR51" s="109">
        <v>1</v>
      </c>
      <c r="AS51" s="109">
        <f t="shared" si="11"/>
        <v>0</v>
      </c>
      <c r="AT51" s="109" t="s">
        <v>131</v>
      </c>
      <c r="AU51" s="108">
        <v>1</v>
      </c>
      <c r="AV51" s="115">
        <f t="shared" si="12"/>
        <v>1</v>
      </c>
      <c r="AW51" s="108" t="s">
        <v>133</v>
      </c>
      <c r="AX51" s="109">
        <v>2</v>
      </c>
      <c r="AY51" s="109"/>
      <c r="AZ51" s="112">
        <f t="shared" si="13"/>
        <v>1</v>
      </c>
      <c r="BA51" s="109"/>
      <c r="BB51" s="112">
        <f t="shared" si="14"/>
        <v>1</v>
      </c>
      <c r="BC51" s="112">
        <f t="shared" si="15"/>
        <v>0</v>
      </c>
      <c r="BD51" s="109">
        <f t="shared" si="24"/>
        <v>0</v>
      </c>
      <c r="BE51" s="109">
        <f t="shared" si="25"/>
        <v>0</v>
      </c>
      <c r="BF51" s="109">
        <v>1</v>
      </c>
      <c r="BG51" s="108"/>
      <c r="BH51" s="109"/>
      <c r="BI51" s="109"/>
      <c r="BJ51" s="109"/>
      <c r="BK51" s="109"/>
      <c r="BL51" s="116">
        <f t="shared" si="16"/>
        <v>0</v>
      </c>
      <c r="BM51" s="117">
        <v>1</v>
      </c>
      <c r="BN51" s="117"/>
      <c r="BO51" s="117"/>
      <c r="BP51" s="117"/>
      <c r="BQ51" s="117"/>
      <c r="BR51" s="117"/>
      <c r="BS51" s="117"/>
      <c r="BT51" s="117"/>
      <c r="BU51" s="117"/>
      <c r="BV51" s="118"/>
      <c r="BW51" s="117"/>
      <c r="BX51" s="117"/>
      <c r="BY51" s="119">
        <f>SUM(Tabel22620[[#This Row],[TS Basis / Compact 1]:[TS bedrijfs voering]])</f>
        <v>1</v>
      </c>
      <c r="BZ51" s="120"/>
      <c r="CA51" s="91">
        <v>1</v>
      </c>
      <c r="CB51" s="91"/>
      <c r="CC51" s="91"/>
      <c r="CD51" s="117"/>
      <c r="CE51" s="121">
        <v>1</v>
      </c>
      <c r="CF51" s="121"/>
      <c r="CG51" s="121"/>
      <c r="CH51" s="117"/>
      <c r="CI51" s="122"/>
      <c r="CJ51" s="123">
        <v>1</v>
      </c>
      <c r="CK51" s="124">
        <v>1</v>
      </c>
      <c r="CL51" s="124">
        <f t="shared" si="17"/>
        <v>1</v>
      </c>
      <c r="CM51" s="124">
        <f t="shared" si="18"/>
        <v>0</v>
      </c>
      <c r="CN51" s="137"/>
      <c r="CO51" s="124">
        <f t="shared" si="19"/>
        <v>6.6666666666666666E-2</v>
      </c>
      <c r="CP51" s="124">
        <f>99+(50*Tabel22620[[#This Row],[Aantal rookgasafvoer aangesloten]])</f>
        <v>199</v>
      </c>
      <c r="CQ51" s="124">
        <v>3</v>
      </c>
      <c r="CR51" s="124">
        <v>1</v>
      </c>
      <c r="CS51" s="139">
        <f t="shared" si="20"/>
        <v>1</v>
      </c>
      <c r="CT51" s="125">
        <f t="shared" si="26"/>
        <v>0.2</v>
      </c>
      <c r="CU51" s="125">
        <v>0</v>
      </c>
      <c r="CV51" s="125">
        <f t="shared" si="21"/>
        <v>125</v>
      </c>
      <c r="CW51" s="125">
        <f t="shared" si="22"/>
        <v>0</v>
      </c>
      <c r="CX51" s="125">
        <f t="shared" si="27"/>
        <v>0</v>
      </c>
      <c r="CY51" s="139"/>
      <c r="CZ51" s="139"/>
      <c r="DA51" s="125" t="e">
        <f>#REF!+CO51+CT51+CX51</f>
        <v>#REF!</v>
      </c>
      <c r="DB51" s="125">
        <f t="shared" si="39"/>
        <v>327</v>
      </c>
      <c r="DD51" s="104">
        <f>Tabel35721[[#This Row],[Rookgasafvoer Afschrijving 15 jaar]]</f>
        <v>6.6666666666666666E-2</v>
      </c>
      <c r="DE51" s="104">
        <f>Tabel35721[[#This Row],[Rookgasafvoer beheer per jaar (onderhoud)]]+Tabel35721[[#This Row],[Rookgasafvoer beheer (storingen) PM]]</f>
        <v>200</v>
      </c>
      <c r="DF51" s="126">
        <f t="shared" si="28"/>
        <v>200.06666666666666</v>
      </c>
      <c r="DG51" s="127"/>
      <c r="DH51" s="127" t="e">
        <f>#REF!+Tabel35721[[#This Row],[Lucht Afschrijving 5 jaar]]</f>
        <v>#REF!</v>
      </c>
      <c r="DI51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51" s="126" t="e">
        <f t="shared" si="29"/>
        <v>#REF!</v>
      </c>
      <c r="DK51" s="128" t="e">
        <f t="shared" si="30"/>
        <v>#REF!</v>
      </c>
      <c r="DL51" s="135"/>
    </row>
    <row r="52" spans="1:118" ht="12.75" customHeight="1" x14ac:dyDescent="0.3">
      <c r="A52" s="106" t="s">
        <v>219</v>
      </c>
      <c r="B52" s="107" t="s">
        <v>225</v>
      </c>
      <c r="C52" s="107" t="s">
        <v>131</v>
      </c>
      <c r="D52" s="108" t="s">
        <v>133</v>
      </c>
      <c r="E52" s="109" t="s">
        <v>178</v>
      </c>
      <c r="F52" s="110" t="s">
        <v>133</v>
      </c>
      <c r="G52" s="109">
        <v>10</v>
      </c>
      <c r="H52" s="112">
        <v>10</v>
      </c>
      <c r="I52" s="112"/>
      <c r="J52" s="108" t="s">
        <v>152</v>
      </c>
      <c r="K52" s="108" t="s">
        <v>131</v>
      </c>
      <c r="L52" s="113">
        <v>2010</v>
      </c>
      <c r="M52" s="108" t="s">
        <v>153</v>
      </c>
      <c r="N52" s="108" t="s">
        <v>135</v>
      </c>
      <c r="O52" s="112" t="s">
        <v>133</v>
      </c>
      <c r="P52" s="109" t="s">
        <v>159</v>
      </c>
      <c r="Q52" s="112">
        <f t="shared" si="0"/>
        <v>1</v>
      </c>
      <c r="R52" s="108" t="s">
        <v>135</v>
      </c>
      <c r="S52" s="112" t="s">
        <v>133</v>
      </c>
      <c r="T52" s="109">
        <f t="shared" si="42"/>
        <v>0</v>
      </c>
      <c r="U52" s="109">
        <f t="shared" si="40"/>
        <v>0</v>
      </c>
      <c r="V52" s="109">
        <v>1</v>
      </c>
      <c r="W52" s="109">
        <f t="shared" si="31"/>
        <v>0</v>
      </c>
      <c r="X52" s="109">
        <f t="shared" si="3"/>
        <v>0</v>
      </c>
      <c r="Y52" s="109">
        <v>1</v>
      </c>
      <c r="Z52" s="109">
        <v>1</v>
      </c>
      <c r="AA52" s="109">
        <v>1</v>
      </c>
      <c r="AB52" s="109" t="s">
        <v>131</v>
      </c>
      <c r="AC52" s="109" t="s">
        <v>146</v>
      </c>
      <c r="AD52" s="109" t="s">
        <v>147</v>
      </c>
      <c r="AE52" s="109" t="s">
        <v>148</v>
      </c>
      <c r="AF52" s="94">
        <v>1</v>
      </c>
      <c r="AG52" s="109" t="s">
        <v>135</v>
      </c>
      <c r="AH52" s="109">
        <v>3</v>
      </c>
      <c r="AI52" s="109" t="s">
        <v>139</v>
      </c>
      <c r="AJ52" s="109" t="s">
        <v>149</v>
      </c>
      <c r="AK52" s="114" t="s">
        <v>149</v>
      </c>
      <c r="AL52" s="114"/>
      <c r="AM52" s="112">
        <f t="shared" si="41"/>
        <v>1</v>
      </c>
      <c r="AN52" s="112">
        <f t="shared" si="7"/>
        <v>0</v>
      </c>
      <c r="AO52" s="109">
        <f>IF(AB52="Nee",Tabel22620[[#This Row],[Aantal tracés verwacht na (ver)nieuwbouw]]*$AO$4,0)</f>
        <v>0</v>
      </c>
      <c r="AP52" s="109">
        <f t="shared" si="8"/>
        <v>0</v>
      </c>
      <c r="AQ52" s="109">
        <f t="shared" si="9"/>
        <v>0</v>
      </c>
      <c r="AR52" s="109">
        <v>1</v>
      </c>
      <c r="AS52" s="109">
        <f t="shared" si="11"/>
        <v>0</v>
      </c>
      <c r="AT52" s="109" t="s">
        <v>135</v>
      </c>
      <c r="AU52" s="108">
        <v>0</v>
      </c>
      <c r="AV52" s="115">
        <f t="shared" si="12"/>
        <v>1</v>
      </c>
      <c r="AW52" s="108" t="s">
        <v>133</v>
      </c>
      <c r="AX52" s="109">
        <v>3</v>
      </c>
      <c r="AY52" s="109"/>
      <c r="AZ52" s="112">
        <f t="shared" si="13"/>
        <v>1</v>
      </c>
      <c r="BA52" s="109"/>
      <c r="BB52" s="112">
        <f t="shared" si="14"/>
        <v>1</v>
      </c>
      <c r="BC52" s="112">
        <f t="shared" si="15"/>
        <v>1</v>
      </c>
      <c r="BD52" s="109">
        <v>1</v>
      </c>
      <c r="BE52" s="109">
        <v>1</v>
      </c>
      <c r="BF52" s="109">
        <v>1</v>
      </c>
      <c r="BG52" s="108"/>
      <c r="BH52" s="109"/>
      <c r="BI52" s="109"/>
      <c r="BJ52" s="109"/>
      <c r="BK52" s="109"/>
      <c r="BL52" s="116">
        <f t="shared" si="16"/>
        <v>0</v>
      </c>
      <c r="BM52" s="117">
        <v>1</v>
      </c>
      <c r="BN52" s="117"/>
      <c r="BO52" s="117"/>
      <c r="BP52" s="117"/>
      <c r="BQ52" s="117"/>
      <c r="BR52" s="117"/>
      <c r="BS52" s="117"/>
      <c r="BT52" s="117"/>
      <c r="BU52" s="117"/>
      <c r="BV52" s="118"/>
      <c r="BW52" s="117"/>
      <c r="BX52" s="117"/>
      <c r="BY52" s="119">
        <f>SUM(Tabel22620[[#This Row],[TS Basis / Compact 1]:[TS bedrijfs voering]])</f>
        <v>1</v>
      </c>
      <c r="BZ52" s="120"/>
      <c r="CA52" s="91">
        <v>1</v>
      </c>
      <c r="CB52" s="91"/>
      <c r="CC52" s="91"/>
      <c r="CD52" s="117"/>
      <c r="CE52" s="121">
        <v>1</v>
      </c>
      <c r="CF52" s="121"/>
      <c r="CG52" s="121"/>
      <c r="CH52" s="117"/>
      <c r="CI52" s="122"/>
      <c r="CJ52" s="136">
        <v>1</v>
      </c>
      <c r="CK52" s="124">
        <v>1</v>
      </c>
      <c r="CL52" s="124">
        <f t="shared" si="17"/>
        <v>1</v>
      </c>
      <c r="CM52" s="124">
        <f t="shared" si="18"/>
        <v>0</v>
      </c>
      <c r="CN52" s="137"/>
      <c r="CO52" s="124">
        <f t="shared" si="19"/>
        <v>6.6666666666666666E-2</v>
      </c>
      <c r="CP52" s="138">
        <f>99+(50*Tabel22620[[#This Row],[Aantal rookgasafvoer aangesloten]])</f>
        <v>249</v>
      </c>
      <c r="CQ52" s="138">
        <v>4</v>
      </c>
      <c r="CR52" s="124">
        <v>1</v>
      </c>
      <c r="CS52" s="139">
        <f t="shared" si="20"/>
        <v>2</v>
      </c>
      <c r="CT52" s="125">
        <f t="shared" si="26"/>
        <v>0.4</v>
      </c>
      <c r="CU52" s="125">
        <v>0</v>
      </c>
      <c r="CV52" s="125">
        <f t="shared" si="21"/>
        <v>125</v>
      </c>
      <c r="CW52" s="125">
        <f t="shared" si="22"/>
        <v>0</v>
      </c>
      <c r="CX52" s="125">
        <f t="shared" si="27"/>
        <v>0</v>
      </c>
      <c r="CY52" s="139"/>
      <c r="CZ52" s="139"/>
      <c r="DA52" s="125" t="e">
        <f>#REF!+CO52+CT52+CX52</f>
        <v>#REF!</v>
      </c>
      <c r="DB52" s="125">
        <f t="shared" si="39"/>
        <v>377</v>
      </c>
      <c r="DD52" s="104">
        <f>Tabel35721[[#This Row],[Rookgasafvoer Afschrijving 15 jaar]]</f>
        <v>6.6666666666666666E-2</v>
      </c>
      <c r="DE52" s="104">
        <f>Tabel35721[[#This Row],[Rookgasafvoer beheer per jaar (onderhoud)]]+Tabel35721[[#This Row],[Rookgasafvoer beheer (storingen) PM]]</f>
        <v>250</v>
      </c>
      <c r="DF52" s="126">
        <f t="shared" si="28"/>
        <v>250.06666666666666</v>
      </c>
      <c r="DG52" s="127"/>
      <c r="DH52" s="127" t="e">
        <f>#REF!+Tabel35721[[#This Row],[Lucht Afschrijving 5 jaar]]</f>
        <v>#REF!</v>
      </c>
      <c r="DI52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52" s="126" t="e">
        <f t="shared" si="29"/>
        <v>#REF!</v>
      </c>
      <c r="DK52" s="128" t="e">
        <f t="shared" si="30"/>
        <v>#REF!</v>
      </c>
      <c r="DL52" s="135"/>
    </row>
    <row r="53" spans="1:118" ht="15" customHeight="1" x14ac:dyDescent="0.3">
      <c r="A53" s="106" t="s">
        <v>219</v>
      </c>
      <c r="B53" s="107" t="s">
        <v>226</v>
      </c>
      <c r="C53" s="107" t="s">
        <v>131</v>
      </c>
      <c r="D53" s="108" t="s">
        <v>133</v>
      </c>
      <c r="E53" s="109" t="s">
        <v>223</v>
      </c>
      <c r="F53" s="110" t="s">
        <v>133</v>
      </c>
      <c r="G53" s="109">
        <v>11</v>
      </c>
      <c r="H53" s="112">
        <v>10</v>
      </c>
      <c r="I53" s="112"/>
      <c r="J53" s="108" t="s">
        <v>152</v>
      </c>
      <c r="K53" s="108" t="s">
        <v>131</v>
      </c>
      <c r="L53" s="113">
        <v>2015</v>
      </c>
      <c r="M53" s="108" t="s">
        <v>136</v>
      </c>
      <c r="N53" s="108" t="s">
        <v>135</v>
      </c>
      <c r="O53" s="112" t="s">
        <v>133</v>
      </c>
      <c r="P53" s="109" t="s">
        <v>159</v>
      </c>
      <c r="Q53" s="112">
        <f t="shared" si="0"/>
        <v>1</v>
      </c>
      <c r="R53" s="108" t="s">
        <v>135</v>
      </c>
      <c r="S53" s="112" t="s">
        <v>133</v>
      </c>
      <c r="T53" s="109">
        <f t="shared" si="42"/>
        <v>0</v>
      </c>
      <c r="U53" s="109">
        <f t="shared" si="40"/>
        <v>0</v>
      </c>
      <c r="V53" s="109">
        <v>1</v>
      </c>
      <c r="W53" s="109">
        <f t="shared" si="31"/>
        <v>0</v>
      </c>
      <c r="X53" s="109">
        <f t="shared" si="3"/>
        <v>0</v>
      </c>
      <c r="Y53" s="109">
        <v>1</v>
      </c>
      <c r="Z53" s="109">
        <v>1</v>
      </c>
      <c r="AA53" s="109">
        <v>1</v>
      </c>
      <c r="AB53" s="109" t="s">
        <v>131</v>
      </c>
      <c r="AC53" s="109" t="s">
        <v>146</v>
      </c>
      <c r="AD53" s="109" t="s">
        <v>147</v>
      </c>
      <c r="AE53" s="109" t="s">
        <v>148</v>
      </c>
      <c r="AF53" s="94">
        <v>1</v>
      </c>
      <c r="AG53" s="109" t="s">
        <v>135</v>
      </c>
      <c r="AH53" s="109">
        <v>3</v>
      </c>
      <c r="AI53" s="109" t="s">
        <v>139</v>
      </c>
      <c r="AJ53" s="109" t="s">
        <v>149</v>
      </c>
      <c r="AK53" s="114" t="s">
        <v>149</v>
      </c>
      <c r="AL53" s="114"/>
      <c r="AM53" s="112">
        <f t="shared" si="41"/>
        <v>1</v>
      </c>
      <c r="AN53" s="112">
        <f t="shared" si="7"/>
        <v>0</v>
      </c>
      <c r="AO53" s="109">
        <f>IF(AB53="Nee",Tabel22620[[#This Row],[Aantal tracés verwacht na (ver)nieuwbouw]]*$AO$4,0)</f>
        <v>0</v>
      </c>
      <c r="AP53" s="109">
        <f t="shared" si="8"/>
        <v>0</v>
      </c>
      <c r="AQ53" s="109">
        <f t="shared" si="9"/>
        <v>0</v>
      </c>
      <c r="AR53" s="109">
        <v>1</v>
      </c>
      <c r="AS53" s="109">
        <f t="shared" si="11"/>
        <v>0</v>
      </c>
      <c r="AT53" s="109" t="s">
        <v>131</v>
      </c>
      <c r="AU53" s="108">
        <v>2</v>
      </c>
      <c r="AV53" s="115">
        <f t="shared" si="12"/>
        <v>3</v>
      </c>
      <c r="AW53" s="108" t="s">
        <v>133</v>
      </c>
      <c r="AX53" s="109">
        <v>3</v>
      </c>
      <c r="AY53" s="109"/>
      <c r="AZ53" s="112">
        <f t="shared" si="13"/>
        <v>3</v>
      </c>
      <c r="BA53" s="109"/>
      <c r="BB53" s="112">
        <f t="shared" si="14"/>
        <v>3</v>
      </c>
      <c r="BC53" s="112">
        <f t="shared" si="15"/>
        <v>1</v>
      </c>
      <c r="BD53" s="109">
        <v>1</v>
      </c>
      <c r="BE53" s="109">
        <v>1</v>
      </c>
      <c r="BF53" s="109">
        <v>3</v>
      </c>
      <c r="BG53" s="108"/>
      <c r="BH53" s="109"/>
      <c r="BI53" s="109"/>
      <c r="BJ53" s="109"/>
      <c r="BK53" s="109"/>
      <c r="BL53" s="116">
        <f t="shared" si="16"/>
        <v>0</v>
      </c>
      <c r="BM53" s="117">
        <v>1</v>
      </c>
      <c r="BN53" s="117"/>
      <c r="BO53" s="117"/>
      <c r="BP53" s="117"/>
      <c r="BQ53" s="117">
        <v>1</v>
      </c>
      <c r="BR53" s="117"/>
      <c r="BS53" s="117"/>
      <c r="BT53" s="117"/>
      <c r="BU53" s="117">
        <v>1</v>
      </c>
      <c r="BV53" s="118"/>
      <c r="BW53" s="117"/>
      <c r="BX53" s="117"/>
      <c r="BY53" s="119">
        <f>SUM(Tabel22620[[#This Row],[TS Basis / Compact 1]:[TS bedrijfs voering]])</f>
        <v>3</v>
      </c>
      <c r="BZ53" s="120"/>
      <c r="CA53" s="91">
        <v>1</v>
      </c>
      <c r="CB53" s="91"/>
      <c r="CC53" s="91"/>
      <c r="CD53" s="117">
        <v>1</v>
      </c>
      <c r="CE53" s="121">
        <v>1</v>
      </c>
      <c r="CF53" s="121"/>
      <c r="CG53" s="121"/>
      <c r="CH53" s="117">
        <v>1</v>
      </c>
      <c r="CI53" s="122"/>
      <c r="CJ53" s="123">
        <v>1</v>
      </c>
      <c r="CK53" s="124">
        <v>1</v>
      </c>
      <c r="CL53" s="124">
        <f t="shared" si="17"/>
        <v>1</v>
      </c>
      <c r="CM53" s="124">
        <f t="shared" si="18"/>
        <v>0</v>
      </c>
      <c r="CN53" s="137"/>
      <c r="CO53" s="124">
        <f t="shared" si="19"/>
        <v>6.6666666666666666E-2</v>
      </c>
      <c r="CP53" s="124">
        <f>99+(50*Tabel22620[[#This Row],[Aantal rookgasafvoer aangesloten]])</f>
        <v>249</v>
      </c>
      <c r="CQ53" s="124">
        <v>4</v>
      </c>
      <c r="CR53" s="124">
        <v>1</v>
      </c>
      <c r="CS53" s="139">
        <f t="shared" si="20"/>
        <v>4</v>
      </c>
      <c r="CT53" s="125">
        <f t="shared" si="26"/>
        <v>0.8</v>
      </c>
      <c r="CU53" s="125">
        <v>0</v>
      </c>
      <c r="CV53" s="125">
        <f t="shared" si="21"/>
        <v>125</v>
      </c>
      <c r="CW53" s="125">
        <f t="shared" si="22"/>
        <v>0</v>
      </c>
      <c r="CX53" s="125">
        <f t="shared" si="27"/>
        <v>0</v>
      </c>
      <c r="CY53" s="139"/>
      <c r="CZ53" s="139"/>
      <c r="DA53" s="125" t="e">
        <f>#REF!+CO53+CT53+CX53</f>
        <v>#REF!</v>
      </c>
      <c r="DB53" s="125">
        <f t="shared" si="39"/>
        <v>377</v>
      </c>
      <c r="DD53" s="104">
        <f>Tabel35721[[#This Row],[Rookgasafvoer Afschrijving 15 jaar]]</f>
        <v>6.6666666666666666E-2</v>
      </c>
      <c r="DE53" s="104">
        <f>Tabel35721[[#This Row],[Rookgasafvoer beheer per jaar (onderhoud)]]+Tabel35721[[#This Row],[Rookgasafvoer beheer (storingen) PM]]</f>
        <v>250</v>
      </c>
      <c r="DF53" s="126">
        <f t="shared" si="28"/>
        <v>250.06666666666666</v>
      </c>
      <c r="DG53" s="127"/>
      <c r="DH53" s="127" t="e">
        <f>#REF!+Tabel35721[[#This Row],[Lucht Afschrijving 5 jaar]]</f>
        <v>#REF!</v>
      </c>
      <c r="DI53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53" s="126" t="e">
        <f t="shared" si="29"/>
        <v>#REF!</v>
      </c>
      <c r="DK53" s="128" t="e">
        <f t="shared" si="30"/>
        <v>#REF!</v>
      </c>
      <c r="DL53" s="135"/>
    </row>
    <row r="54" spans="1:118" ht="15" customHeight="1" x14ac:dyDescent="0.3">
      <c r="A54" s="106" t="s">
        <v>219</v>
      </c>
      <c r="B54" s="107" t="s">
        <v>227</v>
      </c>
      <c r="C54" s="107" t="s">
        <v>131</v>
      </c>
      <c r="D54" s="108" t="s">
        <v>133</v>
      </c>
      <c r="E54" s="109" t="s">
        <v>151</v>
      </c>
      <c r="F54" s="110" t="s">
        <v>133</v>
      </c>
      <c r="G54" s="109">
        <v>10</v>
      </c>
      <c r="H54" s="112">
        <v>10</v>
      </c>
      <c r="I54" s="112"/>
      <c r="J54" s="108" t="s">
        <v>152</v>
      </c>
      <c r="K54" s="108" t="s">
        <v>131</v>
      </c>
      <c r="L54" s="113">
        <v>2004</v>
      </c>
      <c r="M54" s="108" t="s">
        <v>153</v>
      </c>
      <c r="N54" s="108" t="s">
        <v>135</v>
      </c>
      <c r="O54" s="112" t="s">
        <v>133</v>
      </c>
      <c r="P54" s="109" t="s">
        <v>159</v>
      </c>
      <c r="Q54" s="112">
        <f t="shared" si="0"/>
        <v>1</v>
      </c>
      <c r="R54" s="108" t="s">
        <v>135</v>
      </c>
      <c r="S54" s="112" t="s">
        <v>133</v>
      </c>
      <c r="T54" s="109">
        <f t="shared" si="42"/>
        <v>0</v>
      </c>
      <c r="U54" s="109">
        <f t="shared" si="40"/>
        <v>0</v>
      </c>
      <c r="V54" s="109">
        <v>1</v>
      </c>
      <c r="W54" s="109">
        <f t="shared" si="31"/>
        <v>0</v>
      </c>
      <c r="X54" s="109">
        <f t="shared" si="3"/>
        <v>0</v>
      </c>
      <c r="Y54" s="109">
        <v>1</v>
      </c>
      <c r="Z54" s="109">
        <v>1</v>
      </c>
      <c r="AA54" s="109">
        <v>1</v>
      </c>
      <c r="AB54" s="109" t="s">
        <v>131</v>
      </c>
      <c r="AC54" s="109" t="s">
        <v>146</v>
      </c>
      <c r="AD54" s="109" t="s">
        <v>154</v>
      </c>
      <c r="AE54" s="109" t="s">
        <v>155</v>
      </c>
      <c r="AF54" s="94">
        <v>1</v>
      </c>
      <c r="AG54" s="109" t="s">
        <v>131</v>
      </c>
      <c r="AH54" s="109">
        <v>2</v>
      </c>
      <c r="AI54" s="109" t="s">
        <v>139</v>
      </c>
      <c r="AJ54" s="109" t="s">
        <v>156</v>
      </c>
      <c r="AK54" s="114" t="s">
        <v>156</v>
      </c>
      <c r="AL54" s="114"/>
      <c r="AM54" s="112">
        <f t="shared" si="41"/>
        <v>1</v>
      </c>
      <c r="AN54" s="112">
        <f t="shared" si="7"/>
        <v>0</v>
      </c>
      <c r="AO54" s="109">
        <f>IF(AB54="Nee",Tabel22620[[#This Row],[Aantal tracés verwacht na (ver)nieuwbouw]]*$AO$4,0)</f>
        <v>0</v>
      </c>
      <c r="AP54" s="109">
        <f t="shared" si="8"/>
        <v>0</v>
      </c>
      <c r="AQ54" s="109">
        <v>1</v>
      </c>
      <c r="AR54" s="109">
        <f t="shared" si="10"/>
        <v>0</v>
      </c>
      <c r="AS54" s="109">
        <f t="shared" si="11"/>
        <v>0</v>
      </c>
      <c r="AT54" s="109" t="s">
        <v>131</v>
      </c>
      <c r="AU54" s="108">
        <v>0</v>
      </c>
      <c r="AV54" s="115">
        <f t="shared" si="12"/>
        <v>1</v>
      </c>
      <c r="AW54" s="108" t="s">
        <v>133</v>
      </c>
      <c r="AX54" s="109">
        <v>3</v>
      </c>
      <c r="AY54" s="109"/>
      <c r="AZ54" s="112">
        <f t="shared" si="13"/>
        <v>1</v>
      </c>
      <c r="BA54" s="109"/>
      <c r="BB54" s="112">
        <f t="shared" si="14"/>
        <v>1</v>
      </c>
      <c r="BC54" s="112">
        <f t="shared" si="15"/>
        <v>1</v>
      </c>
      <c r="BD54" s="109">
        <v>1</v>
      </c>
      <c r="BE54" s="109">
        <v>1</v>
      </c>
      <c r="BF54" s="109">
        <v>1</v>
      </c>
      <c r="BG54" s="108"/>
      <c r="BH54" s="109"/>
      <c r="BI54" s="109"/>
      <c r="BJ54" s="109"/>
      <c r="BK54" s="109"/>
      <c r="BL54" s="116">
        <f t="shared" si="16"/>
        <v>0</v>
      </c>
      <c r="BM54" s="117">
        <v>1</v>
      </c>
      <c r="BN54" s="117"/>
      <c r="BO54" s="117"/>
      <c r="BP54" s="117"/>
      <c r="BQ54" s="189"/>
      <c r="BR54" s="117"/>
      <c r="BS54" s="117"/>
      <c r="BT54" s="117"/>
      <c r="BU54" s="117"/>
      <c r="BV54" s="118"/>
      <c r="BW54" s="117"/>
      <c r="BX54" s="117"/>
      <c r="BY54" s="190">
        <f>SUM(Tabel22620[[#This Row],[TS Basis / Compact 1]:[TS bedrijfs voering]])</f>
        <v>1</v>
      </c>
      <c r="BZ54" s="191"/>
      <c r="CA54" s="91">
        <v>1</v>
      </c>
      <c r="CB54" s="192"/>
      <c r="CC54" s="192"/>
      <c r="CD54" s="189"/>
      <c r="CE54" s="121">
        <v>1</v>
      </c>
      <c r="CF54" s="193"/>
      <c r="CG54" s="193"/>
      <c r="CH54" s="189"/>
      <c r="CI54" s="122"/>
      <c r="CJ54" s="123">
        <v>1</v>
      </c>
      <c r="CK54" s="124">
        <v>1</v>
      </c>
      <c r="CL54" s="124">
        <f t="shared" si="17"/>
        <v>1</v>
      </c>
      <c r="CM54" s="124">
        <f t="shared" si="18"/>
        <v>0</v>
      </c>
      <c r="CN54" s="137"/>
      <c r="CO54" s="124">
        <f t="shared" si="19"/>
        <v>6.6666666666666666E-2</v>
      </c>
      <c r="CP54" s="124">
        <f>99+(50*Tabel22620[[#This Row],[Aantal rookgasafvoer aangesloten]])</f>
        <v>199</v>
      </c>
      <c r="CQ54" s="124">
        <v>3</v>
      </c>
      <c r="CR54" s="124">
        <v>1</v>
      </c>
      <c r="CS54" s="139">
        <f t="shared" si="20"/>
        <v>2</v>
      </c>
      <c r="CT54" s="125">
        <f t="shared" si="26"/>
        <v>0.4</v>
      </c>
      <c r="CU54" s="125">
        <v>0</v>
      </c>
      <c r="CV54" s="125">
        <f t="shared" si="21"/>
        <v>125</v>
      </c>
      <c r="CW54" s="125">
        <f t="shared" si="22"/>
        <v>0</v>
      </c>
      <c r="CX54" s="125">
        <f t="shared" si="27"/>
        <v>0</v>
      </c>
      <c r="CY54" s="139"/>
      <c r="CZ54" s="139"/>
      <c r="DA54" s="125" t="e">
        <f>#REF!+CO54+CT54+CX54</f>
        <v>#REF!</v>
      </c>
      <c r="DB54" s="125">
        <f t="shared" si="39"/>
        <v>327</v>
      </c>
      <c r="DD54" s="104">
        <f>Tabel35721[[#This Row],[Rookgasafvoer Afschrijving 15 jaar]]</f>
        <v>6.6666666666666666E-2</v>
      </c>
      <c r="DE54" s="104">
        <f>Tabel35721[[#This Row],[Rookgasafvoer beheer per jaar (onderhoud)]]+Tabel35721[[#This Row],[Rookgasafvoer beheer (storingen) PM]]</f>
        <v>200</v>
      </c>
      <c r="DF54" s="126">
        <f t="shared" si="28"/>
        <v>200.06666666666666</v>
      </c>
      <c r="DG54" s="127"/>
      <c r="DH54" s="127" t="e">
        <f>#REF!+Tabel35721[[#This Row],[Lucht Afschrijving 5 jaar]]</f>
        <v>#REF!</v>
      </c>
      <c r="DI54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54" s="126" t="e">
        <f t="shared" si="29"/>
        <v>#REF!</v>
      </c>
      <c r="DK54" s="128" t="e">
        <f>DF54+DJ54</f>
        <v>#REF!</v>
      </c>
      <c r="DL54" s="129"/>
      <c r="DM54" s="130" t="e">
        <f>SUM(DK48:DK54)</f>
        <v>#REF!</v>
      </c>
      <c r="DN54" s="163" t="s">
        <v>219</v>
      </c>
    </row>
    <row r="55" spans="1:118" s="179" customFormat="1" ht="15" customHeight="1" x14ac:dyDescent="0.3">
      <c r="A55" s="89" t="s">
        <v>228</v>
      </c>
      <c r="B55" s="90" t="s">
        <v>229</v>
      </c>
      <c r="C55" s="90" t="s">
        <v>143</v>
      </c>
      <c r="D55" s="91" t="s">
        <v>133</v>
      </c>
      <c r="E55" s="92"/>
      <c r="F55" s="92" t="s">
        <v>133</v>
      </c>
      <c r="G55" s="92">
        <v>10</v>
      </c>
      <c r="H55" s="92">
        <v>14</v>
      </c>
      <c r="I55" s="91">
        <v>1</v>
      </c>
      <c r="J55" s="91" t="s">
        <v>134</v>
      </c>
      <c r="K55" s="91"/>
      <c r="L55" s="93"/>
      <c r="M55" s="91" t="s">
        <v>153</v>
      </c>
      <c r="N55" s="91" t="s">
        <v>135</v>
      </c>
      <c r="O55" s="92" t="s">
        <v>133</v>
      </c>
      <c r="P55" s="92" t="s">
        <v>139</v>
      </c>
      <c r="Q55" s="92">
        <f t="shared" si="0"/>
        <v>2</v>
      </c>
      <c r="R55" s="91" t="s">
        <v>135</v>
      </c>
      <c r="S55" s="92" t="s">
        <v>133</v>
      </c>
      <c r="T55" s="92">
        <f t="shared" si="42"/>
        <v>0</v>
      </c>
      <c r="U55" s="92">
        <v>1</v>
      </c>
      <c r="V55" s="92">
        <v>1</v>
      </c>
      <c r="W55" s="92">
        <f t="shared" si="31"/>
        <v>0</v>
      </c>
      <c r="X55" s="92">
        <f t="shared" si="3"/>
        <v>0</v>
      </c>
      <c r="Y55" s="92">
        <v>1</v>
      </c>
      <c r="Z55" s="92">
        <v>1</v>
      </c>
      <c r="AA55" s="92">
        <v>1</v>
      </c>
      <c r="AB55" s="92" t="s">
        <v>131</v>
      </c>
      <c r="AC55" s="92" t="s">
        <v>137</v>
      </c>
      <c r="AD55" s="92" t="s">
        <v>138</v>
      </c>
      <c r="AE55" s="92" t="s">
        <v>138</v>
      </c>
      <c r="AF55" s="94">
        <v>2</v>
      </c>
      <c r="AG55" s="91" t="s">
        <v>135</v>
      </c>
      <c r="AH55" s="92">
        <v>4</v>
      </c>
      <c r="AI55" s="92" t="s">
        <v>139</v>
      </c>
      <c r="AJ55" s="92" t="s">
        <v>139</v>
      </c>
      <c r="AK55" s="95"/>
      <c r="AL55" s="95"/>
      <c r="AM55" s="92">
        <f t="shared" si="41"/>
        <v>1</v>
      </c>
      <c r="AN55" s="92">
        <f t="shared" si="7"/>
        <v>0</v>
      </c>
      <c r="AO55" s="92">
        <f>IF(AB55="Nee",Tabel22620[[#This Row],[Aantal tracés verwacht na (ver)nieuwbouw]]*$AO$4,0)</f>
        <v>0</v>
      </c>
      <c r="AP55" s="92">
        <f t="shared" si="8"/>
        <v>0</v>
      </c>
      <c r="AQ55" s="92">
        <f t="shared" si="9"/>
        <v>0</v>
      </c>
      <c r="AR55" s="92">
        <f t="shared" si="10"/>
        <v>0</v>
      </c>
      <c r="AS55" s="92">
        <v>1</v>
      </c>
      <c r="AT55" s="92" t="s">
        <v>135</v>
      </c>
      <c r="AU55" s="91">
        <v>0</v>
      </c>
      <c r="AV55" s="91">
        <f t="shared" si="12"/>
        <v>3</v>
      </c>
      <c r="AW55" s="91" t="s">
        <v>135</v>
      </c>
      <c r="AX55" s="92">
        <v>4</v>
      </c>
      <c r="AY55" s="92"/>
      <c r="AZ55" s="92">
        <f t="shared" si="13"/>
        <v>3</v>
      </c>
      <c r="BA55" s="92"/>
      <c r="BB55" s="92">
        <f t="shared" si="14"/>
        <v>3</v>
      </c>
      <c r="BC55" s="92">
        <f t="shared" si="15"/>
        <v>3</v>
      </c>
      <c r="BD55" s="92">
        <v>3</v>
      </c>
      <c r="BE55" s="92">
        <v>4</v>
      </c>
      <c r="BF55" s="92">
        <v>3</v>
      </c>
      <c r="BG55" s="91"/>
      <c r="BH55" s="92"/>
      <c r="BI55" s="92"/>
      <c r="BJ55" s="92"/>
      <c r="BK55" s="92"/>
      <c r="BL55" s="96">
        <f t="shared" si="16"/>
        <v>0</v>
      </c>
      <c r="BM55" s="91">
        <v>1</v>
      </c>
      <c r="BN55" s="91"/>
      <c r="BO55" s="91"/>
      <c r="BP55" s="91">
        <v>1</v>
      </c>
      <c r="BQ55" s="91"/>
      <c r="BR55" s="91">
        <v>1</v>
      </c>
      <c r="BS55" s="91"/>
      <c r="BT55" s="91"/>
      <c r="BU55" s="91"/>
      <c r="BV55" s="97"/>
      <c r="BW55" s="91"/>
      <c r="BX55" s="91"/>
      <c r="BY55" s="98">
        <f>SUM(Tabel22620[[#This Row],[TS Basis / Compact 1]:[TS bedrijfs voering]])</f>
        <v>3</v>
      </c>
      <c r="BZ55" s="99"/>
      <c r="CA55" s="91"/>
      <c r="CB55" s="91">
        <v>1</v>
      </c>
      <c r="CC55" s="91">
        <v>1</v>
      </c>
      <c r="CD55" s="91"/>
      <c r="CE55" s="91"/>
      <c r="CF55" s="91">
        <v>1</v>
      </c>
      <c r="CG55" s="91">
        <v>1</v>
      </c>
      <c r="CH55" s="91"/>
      <c r="CI55" s="100"/>
      <c r="CJ55" s="101">
        <v>1</v>
      </c>
      <c r="CK55" s="102"/>
      <c r="CL55" s="102">
        <f t="shared" si="17"/>
        <v>1</v>
      </c>
      <c r="CM55" s="102">
        <f t="shared" si="18"/>
        <v>0</v>
      </c>
      <c r="CN55" s="176"/>
      <c r="CO55" s="102">
        <f t="shared" si="19"/>
        <v>6.6666666666666666E-2</v>
      </c>
      <c r="CP55" s="102">
        <f>99+(50*Tabel22620[[#This Row],[Aantal rookgasafvoer aangesloten]])</f>
        <v>299</v>
      </c>
      <c r="CQ55" s="102"/>
      <c r="CR55" s="102"/>
      <c r="CS55" s="178">
        <f t="shared" si="20"/>
        <v>7</v>
      </c>
      <c r="CT55" s="103">
        <f t="shared" si="26"/>
        <v>1.4</v>
      </c>
      <c r="CU55" s="103">
        <v>0</v>
      </c>
      <c r="CV55" s="103">
        <f t="shared" si="21"/>
        <v>125</v>
      </c>
      <c r="CW55" s="103">
        <f t="shared" si="22"/>
        <v>0</v>
      </c>
      <c r="CX55" s="103">
        <f t="shared" si="27"/>
        <v>0</v>
      </c>
      <c r="CY55" s="178"/>
      <c r="CZ55" s="178"/>
      <c r="DA55" s="103" t="e">
        <f>#REF!+CO55+CT55+CX55</f>
        <v>#REF!</v>
      </c>
      <c r="DB55" s="103">
        <f t="shared" si="39"/>
        <v>425</v>
      </c>
      <c r="DD55" s="104">
        <f>Tabel35721[[#This Row],[Rookgasafvoer Afschrijving 15 jaar]]</f>
        <v>6.6666666666666666E-2</v>
      </c>
      <c r="DE55" s="104">
        <f>Tabel35721[[#This Row],[Rookgasafvoer beheer per jaar (onderhoud)]]+Tabel35721[[#This Row],[Rookgasafvoer beheer (storingen) PM]]</f>
        <v>299</v>
      </c>
      <c r="DF55" s="104">
        <f t="shared" si="28"/>
        <v>299.06666666666666</v>
      </c>
      <c r="DG55" s="104"/>
      <c r="DH55" s="104" t="e">
        <f>#REF!+Tabel35721[[#This Row],[Lucht Afschrijving 5 jaar]]</f>
        <v>#REF!</v>
      </c>
      <c r="DI55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55" s="104" t="e">
        <f t="shared" si="29"/>
        <v>#REF!</v>
      </c>
      <c r="DK55" s="104" t="e">
        <f t="shared" si="30"/>
        <v>#REF!</v>
      </c>
      <c r="DL55" s="105"/>
    </row>
    <row r="56" spans="1:118" s="179" customFormat="1" ht="15" customHeight="1" x14ac:dyDescent="0.3">
      <c r="A56" s="89" t="s">
        <v>228</v>
      </c>
      <c r="B56" s="90" t="s">
        <v>230</v>
      </c>
      <c r="C56" s="90" t="s">
        <v>143</v>
      </c>
      <c r="D56" s="91" t="s">
        <v>131</v>
      </c>
      <c r="E56" s="92" t="s">
        <v>151</v>
      </c>
      <c r="F56" s="92" t="s">
        <v>133</v>
      </c>
      <c r="G56" s="92"/>
      <c r="H56" s="92">
        <v>14</v>
      </c>
      <c r="I56" s="91">
        <v>1</v>
      </c>
      <c r="J56" s="91" t="s">
        <v>152</v>
      </c>
      <c r="K56" s="91" t="s">
        <v>135</v>
      </c>
      <c r="L56" s="93">
        <v>1996</v>
      </c>
      <c r="M56" s="91" t="s">
        <v>153</v>
      </c>
      <c r="N56" s="91" t="s">
        <v>131</v>
      </c>
      <c r="O56" s="92" t="s">
        <v>133</v>
      </c>
      <c r="P56" s="92">
        <v>1</v>
      </c>
      <c r="Q56" s="92">
        <f t="shared" si="0"/>
        <v>1</v>
      </c>
      <c r="R56" s="91" t="s">
        <v>135</v>
      </c>
      <c r="S56" s="92" t="s">
        <v>133</v>
      </c>
      <c r="T56" s="92">
        <f t="shared" si="42"/>
        <v>0</v>
      </c>
      <c r="U56" s="92">
        <v>1</v>
      </c>
      <c r="V56" s="92">
        <f t="shared" si="2"/>
        <v>0</v>
      </c>
      <c r="W56" s="92">
        <f t="shared" si="31"/>
        <v>0</v>
      </c>
      <c r="X56" s="92">
        <f t="shared" si="3"/>
        <v>0</v>
      </c>
      <c r="Y56" s="92">
        <v>1</v>
      </c>
      <c r="Z56" s="92">
        <v>1</v>
      </c>
      <c r="AA56" s="92">
        <v>1</v>
      </c>
      <c r="AB56" s="92" t="s">
        <v>131</v>
      </c>
      <c r="AC56" s="92" t="s">
        <v>146</v>
      </c>
      <c r="AD56" s="92" t="s">
        <v>154</v>
      </c>
      <c r="AE56" s="92" t="s">
        <v>155</v>
      </c>
      <c r="AF56" s="94">
        <v>2</v>
      </c>
      <c r="AG56" s="91" t="s">
        <v>131</v>
      </c>
      <c r="AH56" s="92">
        <v>3</v>
      </c>
      <c r="AI56" s="92" t="s">
        <v>135</v>
      </c>
      <c r="AJ56" s="92" t="s">
        <v>156</v>
      </c>
      <c r="AK56" s="95" t="s">
        <v>156</v>
      </c>
      <c r="AL56" s="95"/>
      <c r="AM56" s="92">
        <f t="shared" si="41"/>
        <v>1</v>
      </c>
      <c r="AN56" s="92">
        <f t="shared" si="7"/>
        <v>1</v>
      </c>
      <c r="AO56" s="92">
        <f>IF(AB56="Nee",Tabel22620[[#This Row],[Aantal tracés verwacht na (ver)nieuwbouw]]*$AO$4,0)</f>
        <v>0</v>
      </c>
      <c r="AP56" s="92">
        <v>1</v>
      </c>
      <c r="AQ56" s="92">
        <v>1</v>
      </c>
      <c r="AR56" s="92">
        <f t="shared" si="10"/>
        <v>0</v>
      </c>
      <c r="AS56" s="92">
        <f t="shared" si="11"/>
        <v>0</v>
      </c>
      <c r="AT56" s="92" t="s">
        <v>131</v>
      </c>
      <c r="AU56" s="91">
        <v>0</v>
      </c>
      <c r="AV56" s="91">
        <f t="shared" si="12"/>
        <v>2</v>
      </c>
      <c r="AW56" s="91" t="s">
        <v>133</v>
      </c>
      <c r="AX56" s="92">
        <v>4</v>
      </c>
      <c r="AY56" s="92"/>
      <c r="AZ56" s="92">
        <f t="shared" si="13"/>
        <v>2</v>
      </c>
      <c r="BA56" s="92"/>
      <c r="BB56" s="92">
        <f t="shared" si="14"/>
        <v>2</v>
      </c>
      <c r="BC56" s="92">
        <f t="shared" si="15"/>
        <v>2</v>
      </c>
      <c r="BD56" s="92">
        <v>2</v>
      </c>
      <c r="BE56" s="92">
        <v>2</v>
      </c>
      <c r="BF56" s="92">
        <v>2</v>
      </c>
      <c r="BG56" s="91"/>
      <c r="BH56" s="92"/>
      <c r="BI56" s="92"/>
      <c r="BJ56" s="92"/>
      <c r="BK56" s="92"/>
      <c r="BL56" s="96">
        <f t="shared" si="16"/>
        <v>0</v>
      </c>
      <c r="BM56" s="91">
        <v>1</v>
      </c>
      <c r="BN56" s="91"/>
      <c r="BO56" s="91"/>
      <c r="BP56" s="91">
        <v>1</v>
      </c>
      <c r="BQ56" s="91"/>
      <c r="BR56" s="91"/>
      <c r="BS56" s="91"/>
      <c r="BT56" s="91"/>
      <c r="BU56" s="91"/>
      <c r="BV56" s="97"/>
      <c r="BW56" s="91"/>
      <c r="BX56" s="91"/>
      <c r="BY56" s="98">
        <f>SUM(Tabel22620[[#This Row],[TS Basis / Compact 1]:[TS bedrijfs voering]])</f>
        <v>2</v>
      </c>
      <c r="BZ56" s="99"/>
      <c r="CA56" s="91"/>
      <c r="CB56" s="91">
        <v>1</v>
      </c>
      <c r="CC56" s="91">
        <v>1</v>
      </c>
      <c r="CD56" s="91"/>
      <c r="CE56" s="91"/>
      <c r="CF56" s="91">
        <v>1</v>
      </c>
      <c r="CG56" s="91">
        <v>1</v>
      </c>
      <c r="CH56" s="91"/>
      <c r="CI56" s="100"/>
      <c r="CJ56" s="101">
        <v>1</v>
      </c>
      <c r="CK56" s="102"/>
      <c r="CL56" s="102">
        <f t="shared" si="17"/>
        <v>1</v>
      </c>
      <c r="CM56" s="102">
        <f t="shared" si="18"/>
        <v>0</v>
      </c>
      <c r="CN56" s="176"/>
      <c r="CO56" s="102">
        <f t="shared" si="19"/>
        <v>6.6666666666666666E-2</v>
      </c>
      <c r="CP56" s="102">
        <f>99+(50*Tabel22620[[#This Row],[Aantal rookgasafvoer aangesloten]])</f>
        <v>249</v>
      </c>
      <c r="CQ56" s="102"/>
      <c r="CR56" s="102"/>
      <c r="CS56" s="178">
        <f t="shared" si="20"/>
        <v>4</v>
      </c>
      <c r="CT56" s="103">
        <f t="shared" si="26"/>
        <v>0.8</v>
      </c>
      <c r="CU56" s="103">
        <v>0</v>
      </c>
      <c r="CV56" s="103">
        <f t="shared" si="21"/>
        <v>125</v>
      </c>
      <c r="CW56" s="103">
        <f t="shared" si="22"/>
        <v>0</v>
      </c>
      <c r="CX56" s="103">
        <f t="shared" si="27"/>
        <v>0</v>
      </c>
      <c r="CY56" s="178"/>
      <c r="CZ56" s="178"/>
      <c r="DA56" s="103" t="e">
        <f>#REF!+CO56+CT56+CX56</f>
        <v>#REF!</v>
      </c>
      <c r="DB56" s="103">
        <f t="shared" si="39"/>
        <v>375</v>
      </c>
      <c r="DD56" s="104">
        <f>Tabel35721[[#This Row],[Rookgasafvoer Afschrijving 15 jaar]]</f>
        <v>6.6666666666666666E-2</v>
      </c>
      <c r="DE56" s="104">
        <f>Tabel35721[[#This Row],[Rookgasafvoer beheer per jaar (onderhoud)]]+Tabel35721[[#This Row],[Rookgasafvoer beheer (storingen) PM]]</f>
        <v>249</v>
      </c>
      <c r="DF56" s="104">
        <f t="shared" si="28"/>
        <v>249.06666666666666</v>
      </c>
      <c r="DG56" s="104"/>
      <c r="DH56" s="104" t="e">
        <f>#REF!+Tabel35721[[#This Row],[Lucht Afschrijving 5 jaar]]</f>
        <v>#REF!</v>
      </c>
      <c r="DI56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56" s="104" t="e">
        <f t="shared" si="29"/>
        <v>#REF!</v>
      </c>
      <c r="DK56" s="104" t="e">
        <f t="shared" si="30"/>
        <v>#REF!</v>
      </c>
      <c r="DL56" s="105"/>
    </row>
    <row r="57" spans="1:118" s="179" customFormat="1" ht="12.75" customHeight="1" x14ac:dyDescent="0.3">
      <c r="A57" s="89" t="s">
        <v>228</v>
      </c>
      <c r="B57" s="90" t="s">
        <v>231</v>
      </c>
      <c r="C57" s="90" t="s">
        <v>143</v>
      </c>
      <c r="D57" s="91" t="s">
        <v>133</v>
      </c>
      <c r="E57" s="92" t="s">
        <v>232</v>
      </c>
      <c r="F57" s="92" t="s">
        <v>133</v>
      </c>
      <c r="G57" s="92">
        <v>10</v>
      </c>
      <c r="H57" s="92">
        <v>14</v>
      </c>
      <c r="I57" s="194">
        <v>1</v>
      </c>
      <c r="J57" s="194" t="s">
        <v>152</v>
      </c>
      <c r="K57" s="91" t="s">
        <v>131</v>
      </c>
      <c r="L57" s="93">
        <v>2014</v>
      </c>
      <c r="M57" s="91" t="s">
        <v>153</v>
      </c>
      <c r="N57" s="91" t="s">
        <v>133</v>
      </c>
      <c r="O57" s="92" t="s">
        <v>133</v>
      </c>
      <c r="P57" s="92">
        <v>1</v>
      </c>
      <c r="Q57" s="92">
        <f t="shared" si="0"/>
        <v>3</v>
      </c>
      <c r="R57" s="91" t="s">
        <v>135</v>
      </c>
      <c r="S57" s="92" t="s">
        <v>133</v>
      </c>
      <c r="T57" s="92">
        <f t="shared" si="42"/>
        <v>0</v>
      </c>
      <c r="U57" s="92">
        <v>1</v>
      </c>
      <c r="V57" s="92">
        <f t="shared" si="2"/>
        <v>0</v>
      </c>
      <c r="W57" s="92">
        <v>3</v>
      </c>
      <c r="X57" s="92">
        <f t="shared" si="3"/>
        <v>0</v>
      </c>
      <c r="Y57" s="92">
        <v>1</v>
      </c>
      <c r="Z57" s="92">
        <v>1</v>
      </c>
      <c r="AA57" s="92">
        <v>1</v>
      </c>
      <c r="AB57" s="92" t="s">
        <v>133</v>
      </c>
      <c r="AC57" s="92" t="s">
        <v>146</v>
      </c>
      <c r="AD57" s="92" t="s">
        <v>154</v>
      </c>
      <c r="AE57" s="92" t="s">
        <v>155</v>
      </c>
      <c r="AF57" s="94">
        <v>2</v>
      </c>
      <c r="AG57" s="91" t="s">
        <v>131</v>
      </c>
      <c r="AH57" s="92">
        <v>4</v>
      </c>
      <c r="AI57" s="92" t="s">
        <v>135</v>
      </c>
      <c r="AJ57" s="92" t="s">
        <v>156</v>
      </c>
      <c r="AK57" s="95" t="s">
        <v>156</v>
      </c>
      <c r="AL57" s="95"/>
      <c r="AM57" s="92">
        <f t="shared" si="41"/>
        <v>1</v>
      </c>
      <c r="AN57" s="92">
        <f t="shared" si="7"/>
        <v>1</v>
      </c>
      <c r="AO57" s="92">
        <f>IF(AB57="Nee",Tabel22620[[#This Row],[Aantal tracés verwacht na (ver)nieuwbouw]]*$AO$4,0)</f>
        <v>0</v>
      </c>
      <c r="AP57" s="92">
        <v>1</v>
      </c>
      <c r="AQ57" s="92">
        <v>1</v>
      </c>
      <c r="AR57" s="92">
        <f t="shared" si="10"/>
        <v>0</v>
      </c>
      <c r="AS57" s="92">
        <f t="shared" si="11"/>
        <v>0</v>
      </c>
      <c r="AT57" s="92" t="s">
        <v>133</v>
      </c>
      <c r="AU57" s="91">
        <v>4</v>
      </c>
      <c r="AV57" s="91">
        <f t="shared" si="12"/>
        <v>4</v>
      </c>
      <c r="AW57" s="91" t="s">
        <v>133</v>
      </c>
      <c r="AX57" s="92">
        <v>6</v>
      </c>
      <c r="AY57" s="92"/>
      <c r="AZ57" s="92">
        <f t="shared" si="13"/>
        <v>4</v>
      </c>
      <c r="BA57" s="92"/>
      <c r="BB57" s="92">
        <f t="shared" si="14"/>
        <v>4</v>
      </c>
      <c r="BC57" s="92">
        <f t="shared" si="15"/>
        <v>0</v>
      </c>
      <c r="BD57" s="195">
        <f t="shared" si="24"/>
        <v>0</v>
      </c>
      <c r="BE57" s="195">
        <f t="shared" si="25"/>
        <v>0</v>
      </c>
      <c r="BF57" s="195">
        <v>4</v>
      </c>
      <c r="BG57" s="91"/>
      <c r="BH57" s="92"/>
      <c r="BI57" s="92"/>
      <c r="BJ57" s="92"/>
      <c r="BK57" s="92"/>
      <c r="BL57" s="96">
        <f t="shared" si="16"/>
        <v>0</v>
      </c>
      <c r="BM57" s="91">
        <v>1</v>
      </c>
      <c r="BN57" s="91">
        <v>1</v>
      </c>
      <c r="BO57" s="91"/>
      <c r="BP57" s="91">
        <v>1</v>
      </c>
      <c r="BQ57" s="91">
        <v>1</v>
      </c>
      <c r="BR57" s="91"/>
      <c r="BS57" s="91"/>
      <c r="BT57" s="91"/>
      <c r="BU57" s="91"/>
      <c r="BV57" s="97"/>
      <c r="BW57" s="91"/>
      <c r="BX57" s="91"/>
      <c r="BY57" s="98">
        <f>SUM(Tabel22620[[#This Row],[TS Basis / Compact 1]:[TS bedrijfs voering]])</f>
        <v>4</v>
      </c>
      <c r="BZ57" s="99"/>
      <c r="CA57" s="91"/>
      <c r="CB57" s="91">
        <v>1</v>
      </c>
      <c r="CC57" s="91">
        <v>1</v>
      </c>
      <c r="CD57" s="91">
        <v>1</v>
      </c>
      <c r="CE57" s="91"/>
      <c r="CF57" s="91">
        <v>1</v>
      </c>
      <c r="CG57" s="91">
        <v>1</v>
      </c>
      <c r="CH57" s="91">
        <v>1</v>
      </c>
      <c r="CI57" s="100"/>
      <c r="CJ57" s="101">
        <v>1</v>
      </c>
      <c r="CK57" s="102"/>
      <c r="CL57" s="102">
        <f t="shared" si="17"/>
        <v>1</v>
      </c>
      <c r="CM57" s="102">
        <f t="shared" si="18"/>
        <v>0</v>
      </c>
      <c r="CN57" s="176"/>
      <c r="CO57" s="102">
        <f t="shared" si="19"/>
        <v>6.6666666666666666E-2</v>
      </c>
      <c r="CP57" s="102">
        <f>99+(50*Tabel22620[[#This Row],[Aantal rookgasafvoer aangesloten]])</f>
        <v>299</v>
      </c>
      <c r="CQ57" s="102"/>
      <c r="CR57" s="102"/>
      <c r="CS57" s="178">
        <f t="shared" si="20"/>
        <v>4</v>
      </c>
      <c r="CT57" s="103">
        <f t="shared" si="26"/>
        <v>0.8</v>
      </c>
      <c r="CU57" s="103">
        <v>0</v>
      </c>
      <c r="CV57" s="103">
        <f t="shared" si="21"/>
        <v>125</v>
      </c>
      <c r="CW57" s="103">
        <f t="shared" si="22"/>
        <v>0</v>
      </c>
      <c r="CX57" s="103">
        <f t="shared" si="27"/>
        <v>0</v>
      </c>
      <c r="CY57" s="178"/>
      <c r="CZ57" s="178"/>
      <c r="DA57" s="103" t="e">
        <f>#REF!+CO57+CT57+CX57</f>
        <v>#REF!</v>
      </c>
      <c r="DB57" s="103">
        <f t="shared" si="39"/>
        <v>425</v>
      </c>
      <c r="DD57" s="104">
        <f>Tabel35721[[#This Row],[Rookgasafvoer Afschrijving 15 jaar]]</f>
        <v>6.6666666666666666E-2</v>
      </c>
      <c r="DE57" s="104">
        <f>Tabel35721[[#This Row],[Rookgasafvoer beheer per jaar (onderhoud)]]+Tabel35721[[#This Row],[Rookgasafvoer beheer (storingen) PM]]</f>
        <v>299</v>
      </c>
      <c r="DF57" s="104">
        <f t="shared" si="28"/>
        <v>299.06666666666666</v>
      </c>
      <c r="DG57" s="104"/>
      <c r="DH57" s="104" t="e">
        <f>#REF!+Tabel35721[[#This Row],[Lucht Afschrijving 5 jaar]]</f>
        <v>#REF!</v>
      </c>
      <c r="DI57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57" s="104" t="e">
        <f t="shared" si="29"/>
        <v>#REF!</v>
      </c>
      <c r="DK57" s="104" t="e">
        <f t="shared" si="30"/>
        <v>#REF!</v>
      </c>
      <c r="DL57" s="105"/>
    </row>
    <row r="58" spans="1:118" s="179" customFormat="1" ht="12.75" customHeight="1" x14ac:dyDescent="0.3">
      <c r="A58" s="89" t="s">
        <v>228</v>
      </c>
      <c r="B58" s="90" t="s">
        <v>233</v>
      </c>
      <c r="C58" s="90" t="s">
        <v>143</v>
      </c>
      <c r="D58" s="91" t="s">
        <v>133</v>
      </c>
      <c r="E58" s="92" t="s">
        <v>234</v>
      </c>
      <c r="F58" s="92" t="s">
        <v>133</v>
      </c>
      <c r="G58" s="92">
        <v>11</v>
      </c>
      <c r="H58" s="92">
        <v>14</v>
      </c>
      <c r="I58" s="91">
        <v>1</v>
      </c>
      <c r="J58" s="91"/>
      <c r="K58" s="91" t="s">
        <v>133</v>
      </c>
      <c r="L58" s="93">
        <v>2002</v>
      </c>
      <c r="M58" s="91" t="s">
        <v>153</v>
      </c>
      <c r="N58" s="91" t="s">
        <v>135</v>
      </c>
      <c r="O58" s="92" t="s">
        <v>133</v>
      </c>
      <c r="P58" s="92">
        <v>3</v>
      </c>
      <c r="Q58" s="92">
        <f t="shared" si="0"/>
        <v>2</v>
      </c>
      <c r="R58" s="91" t="s">
        <v>135</v>
      </c>
      <c r="S58" s="92" t="s">
        <v>133</v>
      </c>
      <c r="T58" s="92">
        <f t="shared" si="42"/>
        <v>0</v>
      </c>
      <c r="U58" s="92">
        <v>1</v>
      </c>
      <c r="V58" s="92">
        <v>1</v>
      </c>
      <c r="W58" s="92">
        <f t="shared" si="31"/>
        <v>0</v>
      </c>
      <c r="X58" s="92">
        <f t="shared" si="3"/>
        <v>0</v>
      </c>
      <c r="Y58" s="92">
        <v>1</v>
      </c>
      <c r="Z58" s="92">
        <v>1</v>
      </c>
      <c r="AA58" s="92">
        <v>1</v>
      </c>
      <c r="AB58" s="92" t="s">
        <v>131</v>
      </c>
      <c r="AC58" s="92" t="s">
        <v>137</v>
      </c>
      <c r="AD58" s="92" t="s">
        <v>138</v>
      </c>
      <c r="AE58" s="92" t="s">
        <v>138</v>
      </c>
      <c r="AF58" s="94">
        <v>2</v>
      </c>
      <c r="AG58" s="91" t="s">
        <v>135</v>
      </c>
      <c r="AH58" s="92">
        <v>2</v>
      </c>
      <c r="AI58" s="92" t="s">
        <v>139</v>
      </c>
      <c r="AJ58" s="92" t="s">
        <v>139</v>
      </c>
      <c r="AK58" s="95" t="s">
        <v>139</v>
      </c>
      <c r="AL58" s="95"/>
      <c r="AM58" s="92">
        <f t="shared" si="41"/>
        <v>1</v>
      </c>
      <c r="AN58" s="92">
        <f t="shared" si="7"/>
        <v>0</v>
      </c>
      <c r="AO58" s="92">
        <f>IF(AB58="Nee",Tabel22620[[#This Row],[Aantal tracés verwacht na (ver)nieuwbouw]]*$AO$4,0)</f>
        <v>0</v>
      </c>
      <c r="AP58" s="92">
        <f t="shared" si="8"/>
        <v>0</v>
      </c>
      <c r="AQ58" s="92">
        <f t="shared" si="9"/>
        <v>0</v>
      </c>
      <c r="AR58" s="92">
        <f t="shared" si="10"/>
        <v>0</v>
      </c>
      <c r="AS58" s="92">
        <v>1</v>
      </c>
      <c r="AT58" s="92" t="s">
        <v>133</v>
      </c>
      <c r="AU58" s="91">
        <v>2</v>
      </c>
      <c r="AV58" s="91">
        <f t="shared" si="12"/>
        <v>3</v>
      </c>
      <c r="AW58" s="91" t="s">
        <v>133</v>
      </c>
      <c r="AX58" s="92">
        <v>3</v>
      </c>
      <c r="AY58" s="92"/>
      <c r="AZ58" s="92">
        <f t="shared" si="13"/>
        <v>3</v>
      </c>
      <c r="BA58" s="92"/>
      <c r="BB58" s="92">
        <f t="shared" si="14"/>
        <v>3</v>
      </c>
      <c r="BC58" s="92">
        <f t="shared" si="15"/>
        <v>1</v>
      </c>
      <c r="BD58" s="92">
        <v>1</v>
      </c>
      <c r="BE58" s="92">
        <v>1</v>
      </c>
      <c r="BF58" s="92">
        <v>3</v>
      </c>
      <c r="BG58" s="91"/>
      <c r="BH58" s="92"/>
      <c r="BI58" s="92"/>
      <c r="BJ58" s="92"/>
      <c r="BK58" s="92"/>
      <c r="BL58" s="96">
        <f t="shared" si="16"/>
        <v>0</v>
      </c>
      <c r="BM58" s="91">
        <v>1</v>
      </c>
      <c r="BN58" s="91"/>
      <c r="BO58" s="91"/>
      <c r="BP58" s="91">
        <v>1</v>
      </c>
      <c r="BQ58" s="91"/>
      <c r="BR58" s="91"/>
      <c r="BS58" s="91"/>
      <c r="BT58" s="91"/>
      <c r="BU58" s="91"/>
      <c r="BV58" s="97">
        <v>1</v>
      </c>
      <c r="BW58" s="91"/>
      <c r="BX58" s="91"/>
      <c r="BY58" s="98">
        <f>SUM(Tabel22620[[#This Row],[TS Basis / Compact 1]:[TS bedrijfs voering]])</f>
        <v>3</v>
      </c>
      <c r="BZ58" s="99"/>
      <c r="CA58" s="91"/>
      <c r="CB58" s="91">
        <v>1</v>
      </c>
      <c r="CC58" s="91">
        <v>1</v>
      </c>
      <c r="CD58" s="91"/>
      <c r="CE58" s="91"/>
      <c r="CF58" s="91">
        <v>1</v>
      </c>
      <c r="CG58" s="91">
        <v>1</v>
      </c>
      <c r="CH58" s="91"/>
      <c r="CI58" s="100"/>
      <c r="CJ58" s="101">
        <v>1</v>
      </c>
      <c r="CK58" s="102"/>
      <c r="CL58" s="102">
        <f t="shared" si="17"/>
        <v>1</v>
      </c>
      <c r="CM58" s="102">
        <f t="shared" si="18"/>
        <v>0</v>
      </c>
      <c r="CN58" s="176"/>
      <c r="CO58" s="102">
        <f t="shared" si="19"/>
        <v>6.6666666666666666E-2</v>
      </c>
      <c r="CP58" s="102">
        <f>99+(50*Tabel22620[[#This Row],[Aantal rookgasafvoer aangesloten]])</f>
        <v>199</v>
      </c>
      <c r="CQ58" s="102"/>
      <c r="CR58" s="102"/>
      <c r="CS58" s="178">
        <f t="shared" si="20"/>
        <v>4</v>
      </c>
      <c r="CT58" s="103">
        <f t="shared" si="26"/>
        <v>0.8</v>
      </c>
      <c r="CU58" s="103">
        <v>0</v>
      </c>
      <c r="CV58" s="103">
        <f t="shared" si="21"/>
        <v>125</v>
      </c>
      <c r="CW58" s="103">
        <f t="shared" si="22"/>
        <v>0</v>
      </c>
      <c r="CX58" s="103">
        <f t="shared" si="27"/>
        <v>0</v>
      </c>
      <c r="CY58" s="178"/>
      <c r="CZ58" s="178"/>
      <c r="DA58" s="103" t="e">
        <f>#REF!+CO58+CT58+CX58</f>
        <v>#REF!</v>
      </c>
      <c r="DB58" s="103">
        <f t="shared" si="39"/>
        <v>325</v>
      </c>
      <c r="DD58" s="104">
        <f>Tabel35721[[#This Row],[Rookgasafvoer Afschrijving 15 jaar]]</f>
        <v>6.6666666666666666E-2</v>
      </c>
      <c r="DE58" s="104">
        <f>Tabel35721[[#This Row],[Rookgasafvoer beheer per jaar (onderhoud)]]+Tabel35721[[#This Row],[Rookgasafvoer beheer (storingen) PM]]</f>
        <v>199</v>
      </c>
      <c r="DF58" s="104">
        <f t="shared" si="28"/>
        <v>199.06666666666666</v>
      </c>
      <c r="DG58" s="104"/>
      <c r="DH58" s="104" t="e">
        <f>#REF!+Tabel35721[[#This Row],[Lucht Afschrijving 5 jaar]]</f>
        <v>#REF!</v>
      </c>
      <c r="DI58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58" s="104" t="e">
        <f t="shared" si="29"/>
        <v>#REF!</v>
      </c>
      <c r="DK58" s="104" t="e">
        <f t="shared" si="30"/>
        <v>#REF!</v>
      </c>
      <c r="DL58" s="105"/>
    </row>
    <row r="59" spans="1:118" s="179" customFormat="1" ht="12.75" customHeight="1" x14ac:dyDescent="0.3">
      <c r="A59" s="89" t="s">
        <v>228</v>
      </c>
      <c r="B59" s="196" t="s">
        <v>235</v>
      </c>
      <c r="C59" s="196" t="s">
        <v>143</v>
      </c>
      <c r="D59" s="91" t="s">
        <v>133</v>
      </c>
      <c r="E59" s="92" t="s">
        <v>236</v>
      </c>
      <c r="F59" s="92" t="s">
        <v>133</v>
      </c>
      <c r="G59" s="92">
        <v>16</v>
      </c>
      <c r="H59" s="92">
        <v>14</v>
      </c>
      <c r="I59" s="92"/>
      <c r="J59" s="91" t="s">
        <v>237</v>
      </c>
      <c r="K59" s="91" t="s">
        <v>131</v>
      </c>
      <c r="L59" s="93">
        <v>2018</v>
      </c>
      <c r="M59" s="91" t="s">
        <v>153</v>
      </c>
      <c r="N59" s="91" t="s">
        <v>133</v>
      </c>
      <c r="O59" s="92" t="s">
        <v>133</v>
      </c>
      <c r="P59" s="92">
        <v>3</v>
      </c>
      <c r="Q59" s="92">
        <f t="shared" si="0"/>
        <v>2</v>
      </c>
      <c r="R59" s="91" t="s">
        <v>133</v>
      </c>
      <c r="S59" s="92" t="s">
        <v>133</v>
      </c>
      <c r="T59" s="92">
        <f t="shared" si="42"/>
        <v>0</v>
      </c>
      <c r="U59" s="92">
        <f t="shared" ref="U59:U68" si="43">IF(AND($G59&lt;$H59,$H59&gt;13),$U$4,0)</f>
        <v>0</v>
      </c>
      <c r="V59" s="92">
        <f t="shared" si="2"/>
        <v>0</v>
      </c>
      <c r="W59" s="92">
        <f t="shared" si="31"/>
        <v>0</v>
      </c>
      <c r="X59" s="92">
        <f t="shared" si="3"/>
        <v>0</v>
      </c>
      <c r="Y59" s="92">
        <f t="shared" si="4"/>
        <v>0</v>
      </c>
      <c r="Z59" s="92">
        <f t="shared" si="5"/>
        <v>0</v>
      </c>
      <c r="AA59" s="92">
        <f t="shared" si="6"/>
        <v>0</v>
      </c>
      <c r="AB59" s="92" t="s">
        <v>133</v>
      </c>
      <c r="AC59" s="92" t="s">
        <v>146</v>
      </c>
      <c r="AD59" s="92" t="s">
        <v>154</v>
      </c>
      <c r="AE59" s="92" t="s">
        <v>155</v>
      </c>
      <c r="AF59" s="94">
        <v>2</v>
      </c>
      <c r="AG59" s="91" t="s">
        <v>133</v>
      </c>
      <c r="AH59" s="92">
        <v>4</v>
      </c>
      <c r="AI59" s="92" t="s">
        <v>133</v>
      </c>
      <c r="AJ59" s="92" t="s">
        <v>156</v>
      </c>
      <c r="AK59" s="95" t="s">
        <v>156</v>
      </c>
      <c r="AL59" s="95"/>
      <c r="AM59" s="92">
        <f t="shared" si="41"/>
        <v>1</v>
      </c>
      <c r="AN59" s="92">
        <f t="shared" si="7"/>
        <v>0</v>
      </c>
      <c r="AO59" s="92">
        <f>IF(AB59="Nee",Tabel22620[[#This Row],[Aantal tracés verwacht na (ver)nieuwbouw]]*$AO$4,0)</f>
        <v>0</v>
      </c>
      <c r="AP59" s="92">
        <f t="shared" si="8"/>
        <v>0</v>
      </c>
      <c r="AQ59" s="92">
        <v>1</v>
      </c>
      <c r="AR59" s="92">
        <f t="shared" si="10"/>
        <v>0</v>
      </c>
      <c r="AS59" s="92">
        <f t="shared" si="11"/>
        <v>0</v>
      </c>
      <c r="AT59" s="92" t="s">
        <v>133</v>
      </c>
      <c r="AU59" s="91">
        <v>4</v>
      </c>
      <c r="AV59" s="91">
        <f t="shared" si="12"/>
        <v>3</v>
      </c>
      <c r="AW59" s="91" t="s">
        <v>133</v>
      </c>
      <c r="AX59" s="92">
        <v>4</v>
      </c>
      <c r="AY59" s="92"/>
      <c r="AZ59" s="92">
        <f t="shared" si="13"/>
        <v>3</v>
      </c>
      <c r="BA59" s="92"/>
      <c r="BB59" s="92">
        <f t="shared" si="14"/>
        <v>3</v>
      </c>
      <c r="BC59" s="92">
        <f t="shared" si="15"/>
        <v>0</v>
      </c>
      <c r="BD59" s="92">
        <f t="shared" si="24"/>
        <v>0</v>
      </c>
      <c r="BE59" s="92">
        <f t="shared" si="25"/>
        <v>0</v>
      </c>
      <c r="BF59" s="92">
        <v>3</v>
      </c>
      <c r="BG59" s="91"/>
      <c r="BH59" s="92"/>
      <c r="BI59" s="92"/>
      <c r="BJ59" s="92"/>
      <c r="BK59" s="92"/>
      <c r="BL59" s="96">
        <f t="shared" si="16"/>
        <v>0</v>
      </c>
      <c r="BM59" s="91">
        <v>1</v>
      </c>
      <c r="BN59" s="91"/>
      <c r="BO59" s="91"/>
      <c r="BP59" s="91">
        <v>1</v>
      </c>
      <c r="BQ59" s="91"/>
      <c r="BR59" s="91">
        <v>1</v>
      </c>
      <c r="BS59" s="91"/>
      <c r="BT59" s="91"/>
      <c r="BU59" s="91"/>
      <c r="BV59" s="97"/>
      <c r="BW59" s="91"/>
      <c r="BX59" s="91"/>
      <c r="BY59" s="98">
        <f>SUM(Tabel22620[[#This Row],[TS Basis / Compact 1]:[TS bedrijfs voering]])</f>
        <v>3</v>
      </c>
      <c r="BZ59" s="99"/>
      <c r="CA59" s="91"/>
      <c r="CB59" s="91">
        <v>1</v>
      </c>
      <c r="CC59" s="91">
        <v>1</v>
      </c>
      <c r="CD59" s="91"/>
      <c r="CE59" s="91"/>
      <c r="CF59" s="91">
        <v>1</v>
      </c>
      <c r="CG59" s="91">
        <v>1</v>
      </c>
      <c r="CH59" s="91"/>
      <c r="CI59" s="100"/>
      <c r="CJ59" s="175">
        <v>1</v>
      </c>
      <c r="CK59" s="102"/>
      <c r="CL59" s="102">
        <f t="shared" si="17"/>
        <v>1</v>
      </c>
      <c r="CM59" s="102">
        <f t="shared" si="18"/>
        <v>0</v>
      </c>
      <c r="CN59" s="176"/>
      <c r="CO59" s="102">
        <f t="shared" si="19"/>
        <v>6.6666666666666666E-2</v>
      </c>
      <c r="CP59" s="177">
        <f>99+(50*Tabel22620[[#This Row],[Aantal rookgasafvoer aangesloten]])</f>
        <v>299</v>
      </c>
      <c r="CQ59" s="177"/>
      <c r="CR59" s="102"/>
      <c r="CS59" s="178">
        <f t="shared" si="20"/>
        <v>3</v>
      </c>
      <c r="CT59" s="103">
        <f t="shared" si="26"/>
        <v>0.6</v>
      </c>
      <c r="CU59" s="103">
        <v>0</v>
      </c>
      <c r="CV59" s="103">
        <f t="shared" si="21"/>
        <v>125</v>
      </c>
      <c r="CW59" s="103">
        <f t="shared" si="22"/>
        <v>0</v>
      </c>
      <c r="CX59" s="103">
        <f t="shared" si="27"/>
        <v>0</v>
      </c>
      <c r="CY59" s="178"/>
      <c r="CZ59" s="178"/>
      <c r="DA59" s="103" t="e">
        <f>#REF!+CO59+CT59+CX59</f>
        <v>#REF!</v>
      </c>
      <c r="DB59" s="103">
        <f t="shared" si="39"/>
        <v>425</v>
      </c>
      <c r="DD59" s="104">
        <f>Tabel35721[[#This Row],[Rookgasafvoer Afschrijving 15 jaar]]</f>
        <v>6.6666666666666666E-2</v>
      </c>
      <c r="DE59" s="104">
        <f>Tabel35721[[#This Row],[Rookgasafvoer beheer per jaar (onderhoud)]]+Tabel35721[[#This Row],[Rookgasafvoer beheer (storingen) PM]]</f>
        <v>299</v>
      </c>
      <c r="DF59" s="104">
        <f t="shared" si="28"/>
        <v>299.06666666666666</v>
      </c>
      <c r="DG59" s="104"/>
      <c r="DH59" s="104" t="e">
        <f>#REF!+Tabel35721[[#This Row],[Lucht Afschrijving 5 jaar]]</f>
        <v>#REF!</v>
      </c>
      <c r="DI59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59" s="104" t="e">
        <f t="shared" si="29"/>
        <v>#REF!</v>
      </c>
      <c r="DK59" s="104" t="e">
        <f t="shared" si="30"/>
        <v>#REF!</v>
      </c>
      <c r="DL59" s="132"/>
      <c r="DM59" s="180" t="e">
        <f>SUM(DK55:DK59)</f>
        <v>#REF!</v>
      </c>
      <c r="DN59" s="181" t="s">
        <v>228</v>
      </c>
    </row>
    <row r="60" spans="1:118" s="179" customFormat="1" ht="12.75" customHeight="1" x14ac:dyDescent="0.3">
      <c r="A60" s="89" t="s">
        <v>238</v>
      </c>
      <c r="B60" s="90" t="s">
        <v>238</v>
      </c>
      <c r="C60" s="90" t="s">
        <v>143</v>
      </c>
      <c r="D60" s="91" t="s">
        <v>133</v>
      </c>
      <c r="E60" s="92" t="s">
        <v>239</v>
      </c>
      <c r="F60" s="92" t="s">
        <v>133</v>
      </c>
      <c r="G60" s="92">
        <v>16</v>
      </c>
      <c r="H60" s="92">
        <v>14</v>
      </c>
      <c r="I60" s="92"/>
      <c r="J60" s="91" t="s">
        <v>144</v>
      </c>
      <c r="K60" s="91" t="s">
        <v>133</v>
      </c>
      <c r="L60" s="93">
        <v>2000</v>
      </c>
      <c r="M60" s="91" t="s">
        <v>136</v>
      </c>
      <c r="N60" s="91" t="s">
        <v>133</v>
      </c>
      <c r="O60" s="92" t="s">
        <v>133</v>
      </c>
      <c r="P60" s="92">
        <v>1</v>
      </c>
      <c r="Q60" s="92">
        <f t="shared" si="0"/>
        <v>5</v>
      </c>
      <c r="R60" s="91" t="s">
        <v>133</v>
      </c>
      <c r="S60" s="92" t="s">
        <v>133</v>
      </c>
      <c r="T60" s="92">
        <f t="shared" si="42"/>
        <v>0</v>
      </c>
      <c r="U60" s="92">
        <f t="shared" si="43"/>
        <v>0</v>
      </c>
      <c r="V60" s="92">
        <f t="shared" si="2"/>
        <v>0</v>
      </c>
      <c r="W60" s="92">
        <v>5</v>
      </c>
      <c r="X60" s="92">
        <f t="shared" si="3"/>
        <v>0</v>
      </c>
      <c r="Y60" s="92">
        <f t="shared" si="4"/>
        <v>0</v>
      </c>
      <c r="Z60" s="92">
        <f t="shared" si="5"/>
        <v>0</v>
      </c>
      <c r="AA60" s="92">
        <f t="shared" si="6"/>
        <v>0</v>
      </c>
      <c r="AB60" s="92" t="s">
        <v>133</v>
      </c>
      <c r="AC60" s="92" t="s">
        <v>146</v>
      </c>
      <c r="AD60" s="92" t="s">
        <v>154</v>
      </c>
      <c r="AE60" s="92" t="s">
        <v>155</v>
      </c>
      <c r="AF60" s="94">
        <v>2</v>
      </c>
      <c r="AG60" s="91" t="s">
        <v>133</v>
      </c>
      <c r="AH60" s="92">
        <v>7</v>
      </c>
      <c r="AI60" s="92" t="s">
        <v>135</v>
      </c>
      <c r="AJ60" s="92" t="s">
        <v>156</v>
      </c>
      <c r="AK60" s="95" t="s">
        <v>156</v>
      </c>
      <c r="AL60" s="95"/>
      <c r="AM60" s="92">
        <f t="shared" si="41"/>
        <v>1</v>
      </c>
      <c r="AN60" s="92">
        <f t="shared" si="7"/>
        <v>1</v>
      </c>
      <c r="AO60" s="92">
        <f>IF(AB60="Nee",Tabel22620[[#This Row],[Aantal tracés verwacht na (ver)nieuwbouw]]*$AO$4,0)</f>
        <v>0</v>
      </c>
      <c r="AP60" s="92">
        <v>1</v>
      </c>
      <c r="AQ60" s="92">
        <v>1</v>
      </c>
      <c r="AR60" s="92">
        <f t="shared" si="10"/>
        <v>0</v>
      </c>
      <c r="AS60" s="92">
        <f t="shared" si="11"/>
        <v>0</v>
      </c>
      <c r="AT60" s="92" t="s">
        <v>133</v>
      </c>
      <c r="AU60" s="91">
        <v>7</v>
      </c>
      <c r="AV60" s="91">
        <f t="shared" si="12"/>
        <v>6</v>
      </c>
      <c r="AW60" s="91" t="s">
        <v>133</v>
      </c>
      <c r="AX60" s="92">
        <v>6</v>
      </c>
      <c r="AY60" s="92"/>
      <c r="AZ60" s="92">
        <f t="shared" si="13"/>
        <v>6</v>
      </c>
      <c r="BA60" s="92"/>
      <c r="BB60" s="92">
        <f t="shared" si="14"/>
        <v>6</v>
      </c>
      <c r="BC60" s="92">
        <f t="shared" si="15"/>
        <v>0</v>
      </c>
      <c r="BD60" s="92">
        <f t="shared" si="24"/>
        <v>0</v>
      </c>
      <c r="BE60" s="92">
        <f t="shared" si="25"/>
        <v>0</v>
      </c>
      <c r="BF60" s="92">
        <v>6</v>
      </c>
      <c r="BG60" s="91"/>
      <c r="BH60" s="92"/>
      <c r="BI60" s="92"/>
      <c r="BJ60" s="92"/>
      <c r="BK60" s="92"/>
      <c r="BL60" s="96">
        <f t="shared" si="16"/>
        <v>0</v>
      </c>
      <c r="BM60" s="91">
        <v>1</v>
      </c>
      <c r="BN60" s="91">
        <v>1</v>
      </c>
      <c r="BO60" s="91"/>
      <c r="BP60" s="91">
        <v>1</v>
      </c>
      <c r="BQ60" s="91">
        <v>1</v>
      </c>
      <c r="BR60" s="91">
        <v>1</v>
      </c>
      <c r="BS60" s="91">
        <v>1</v>
      </c>
      <c r="BT60" s="91"/>
      <c r="BU60" s="91"/>
      <c r="BV60" s="97"/>
      <c r="BW60" s="91"/>
      <c r="BX60" s="91"/>
      <c r="BY60" s="98">
        <f>SUM(Tabel22620[[#This Row],[TS Basis / Compact 1]:[TS bedrijfs voering]])</f>
        <v>6</v>
      </c>
      <c r="BZ60" s="99"/>
      <c r="CA60" s="91">
        <v>1</v>
      </c>
      <c r="CB60" s="91"/>
      <c r="CC60" s="91"/>
      <c r="CD60" s="91">
        <v>1</v>
      </c>
      <c r="CE60" s="91"/>
      <c r="CF60" s="91">
        <v>1</v>
      </c>
      <c r="CG60" s="91">
        <v>1</v>
      </c>
      <c r="CH60" s="91">
        <v>1</v>
      </c>
      <c r="CI60" s="100"/>
      <c r="CJ60" s="175">
        <v>1</v>
      </c>
      <c r="CK60" s="102"/>
      <c r="CL60" s="102">
        <f t="shared" si="17"/>
        <v>1</v>
      </c>
      <c r="CM60" s="102">
        <f t="shared" si="18"/>
        <v>0</v>
      </c>
      <c r="CN60" s="176"/>
      <c r="CO60" s="102">
        <f t="shared" si="19"/>
        <v>6.6666666666666666E-2</v>
      </c>
      <c r="CP60" s="177">
        <f>99+(50*Tabel22620[[#This Row],[Aantal rookgasafvoer aangesloten]])</f>
        <v>449</v>
      </c>
      <c r="CQ60" s="177"/>
      <c r="CR60" s="102"/>
      <c r="CS60" s="178">
        <f t="shared" si="20"/>
        <v>6</v>
      </c>
      <c r="CT60" s="103">
        <f t="shared" si="26"/>
        <v>1.2</v>
      </c>
      <c r="CU60" s="103">
        <v>0</v>
      </c>
      <c r="CV60" s="103">
        <f t="shared" si="21"/>
        <v>125</v>
      </c>
      <c r="CW60" s="103">
        <f t="shared" si="22"/>
        <v>0</v>
      </c>
      <c r="CX60" s="103">
        <f t="shared" si="27"/>
        <v>0</v>
      </c>
      <c r="CY60" s="178"/>
      <c r="CZ60" s="178"/>
      <c r="DA60" s="103" t="e">
        <f>#REF!+CO60+CT60+CX60</f>
        <v>#REF!</v>
      </c>
      <c r="DB60" s="103">
        <f t="shared" si="39"/>
        <v>575</v>
      </c>
      <c r="DD60" s="104">
        <f>Tabel35721[[#This Row],[Rookgasafvoer Afschrijving 15 jaar]]</f>
        <v>6.6666666666666666E-2</v>
      </c>
      <c r="DE60" s="104">
        <f>Tabel35721[[#This Row],[Rookgasafvoer beheer per jaar (onderhoud)]]+Tabel35721[[#This Row],[Rookgasafvoer beheer (storingen) PM]]</f>
        <v>449</v>
      </c>
      <c r="DF60" s="104">
        <f t="shared" si="28"/>
        <v>449.06666666666666</v>
      </c>
      <c r="DG60" s="104"/>
      <c r="DH60" s="104" t="e">
        <f>#REF!+Tabel35721[[#This Row],[Lucht Afschrijving 5 jaar]]</f>
        <v>#REF!</v>
      </c>
      <c r="DI60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0" s="104" t="e">
        <f t="shared" si="29"/>
        <v>#REF!</v>
      </c>
      <c r="DK60" s="104" t="e">
        <f t="shared" si="30"/>
        <v>#REF!</v>
      </c>
      <c r="DL60" s="133"/>
      <c r="DM60" s="180" t="e">
        <f>SUM(DK60)</f>
        <v>#REF!</v>
      </c>
      <c r="DN60" s="181" t="s">
        <v>238</v>
      </c>
    </row>
    <row r="61" spans="1:118" ht="12.75" customHeight="1" x14ac:dyDescent="0.3">
      <c r="A61" s="106" t="s">
        <v>240</v>
      </c>
      <c r="B61" s="197" t="s">
        <v>241</v>
      </c>
      <c r="C61" s="197" t="s">
        <v>143</v>
      </c>
      <c r="D61" s="109" t="s">
        <v>131</v>
      </c>
      <c r="E61" s="109" t="s">
        <v>132</v>
      </c>
      <c r="F61" s="110" t="s">
        <v>133</v>
      </c>
      <c r="G61" s="109">
        <v>15</v>
      </c>
      <c r="H61" s="112">
        <v>10</v>
      </c>
      <c r="I61" s="112"/>
      <c r="J61" s="109" t="s">
        <v>152</v>
      </c>
      <c r="K61" s="113" t="s">
        <v>131</v>
      </c>
      <c r="L61" s="113">
        <v>2015</v>
      </c>
      <c r="M61" s="109" t="s">
        <v>153</v>
      </c>
      <c r="N61" s="109" t="s">
        <v>131</v>
      </c>
      <c r="O61" s="112" t="s">
        <v>133</v>
      </c>
      <c r="P61" s="109">
        <v>0</v>
      </c>
      <c r="Q61" s="112">
        <f t="shared" si="0"/>
        <v>1</v>
      </c>
      <c r="R61" s="109" t="s">
        <v>135</v>
      </c>
      <c r="S61" s="112" t="s">
        <v>133</v>
      </c>
      <c r="T61" s="109">
        <f t="shared" si="42"/>
        <v>0</v>
      </c>
      <c r="U61" s="109">
        <f t="shared" si="43"/>
        <v>0</v>
      </c>
      <c r="V61" s="109">
        <f t="shared" si="2"/>
        <v>0</v>
      </c>
      <c r="W61" s="109">
        <v>1</v>
      </c>
      <c r="X61" s="109">
        <f t="shared" si="3"/>
        <v>0</v>
      </c>
      <c r="Y61" s="109">
        <v>1</v>
      </c>
      <c r="Z61" s="109">
        <v>1</v>
      </c>
      <c r="AA61" s="109">
        <v>1</v>
      </c>
      <c r="AB61" s="109" t="s">
        <v>131</v>
      </c>
      <c r="AC61" s="109" t="s">
        <v>146</v>
      </c>
      <c r="AD61" s="109" t="s">
        <v>154</v>
      </c>
      <c r="AE61" s="109" t="s">
        <v>155</v>
      </c>
      <c r="AF61" s="94">
        <v>1</v>
      </c>
      <c r="AG61" s="109" t="s">
        <v>131</v>
      </c>
      <c r="AH61" s="109">
        <v>2</v>
      </c>
      <c r="AI61" s="109" t="s">
        <v>139</v>
      </c>
      <c r="AJ61" s="109" t="s">
        <v>156</v>
      </c>
      <c r="AK61" s="114" t="s">
        <v>156</v>
      </c>
      <c r="AL61" s="114"/>
      <c r="AM61" s="112">
        <f t="shared" si="41"/>
        <v>1</v>
      </c>
      <c r="AN61" s="112">
        <f t="shared" si="7"/>
        <v>0</v>
      </c>
      <c r="AO61" s="109">
        <f>IF(AB61="Nee",Tabel22620[[#This Row],[Aantal tracés verwacht na (ver)nieuwbouw]]*$AO$4,0)</f>
        <v>0</v>
      </c>
      <c r="AP61" s="109">
        <f t="shared" si="8"/>
        <v>0</v>
      </c>
      <c r="AQ61" s="109">
        <v>1</v>
      </c>
      <c r="AR61" s="109">
        <f t="shared" si="10"/>
        <v>0</v>
      </c>
      <c r="AS61" s="109">
        <f t="shared" si="11"/>
        <v>0</v>
      </c>
      <c r="AT61" s="109" t="s">
        <v>131</v>
      </c>
      <c r="AU61" s="109">
        <v>2</v>
      </c>
      <c r="AV61" s="112">
        <f t="shared" si="12"/>
        <v>1</v>
      </c>
      <c r="AW61" s="108" t="s">
        <v>133</v>
      </c>
      <c r="AX61" s="109">
        <v>2</v>
      </c>
      <c r="AY61" s="109"/>
      <c r="AZ61" s="112">
        <f t="shared" si="13"/>
        <v>1</v>
      </c>
      <c r="BA61" s="109"/>
      <c r="BB61" s="112">
        <f t="shared" si="14"/>
        <v>1</v>
      </c>
      <c r="BC61" s="112">
        <f t="shared" si="15"/>
        <v>0</v>
      </c>
      <c r="BD61" s="109">
        <f t="shared" si="24"/>
        <v>0</v>
      </c>
      <c r="BE61" s="109">
        <f t="shared" si="25"/>
        <v>0</v>
      </c>
      <c r="BF61" s="109">
        <v>1</v>
      </c>
      <c r="BG61" s="109"/>
      <c r="BH61" s="109"/>
      <c r="BI61" s="109"/>
      <c r="BJ61" s="109"/>
      <c r="BK61" s="109"/>
      <c r="BL61" s="166">
        <f t="shared" si="16"/>
        <v>0</v>
      </c>
      <c r="BM61" s="117">
        <v>1</v>
      </c>
      <c r="BN61" s="117"/>
      <c r="BO61" s="117"/>
      <c r="BP61" s="117"/>
      <c r="BQ61" s="117"/>
      <c r="BR61" s="117"/>
      <c r="BS61" s="117"/>
      <c r="BT61" s="117"/>
      <c r="BU61" s="117"/>
      <c r="BV61" s="118"/>
      <c r="BW61" s="117"/>
      <c r="BX61" s="117"/>
      <c r="BY61" s="119">
        <f>SUM(Tabel22620[[#This Row],[TS Basis / Compact 1]:[TS bedrijfs voering]])</f>
        <v>1</v>
      </c>
      <c r="BZ61" s="120"/>
      <c r="CA61" s="91">
        <v>1</v>
      </c>
      <c r="CB61" s="91"/>
      <c r="CC61" s="91"/>
      <c r="CD61" s="117"/>
      <c r="CE61" s="121">
        <v>1</v>
      </c>
      <c r="CF61" s="121"/>
      <c r="CG61" s="121"/>
      <c r="CH61" s="117"/>
      <c r="CI61" s="122"/>
      <c r="CJ61" s="136">
        <v>1</v>
      </c>
      <c r="CK61" s="124"/>
      <c r="CL61" s="124">
        <f t="shared" si="17"/>
        <v>1</v>
      </c>
      <c r="CM61" s="124">
        <f t="shared" si="18"/>
        <v>0</v>
      </c>
      <c r="CN61" s="137"/>
      <c r="CO61" s="124">
        <f t="shared" si="19"/>
        <v>6.6666666666666666E-2</v>
      </c>
      <c r="CP61" s="138">
        <f>99+(50*Tabel22620[[#This Row],[Aantal rookgasafvoer aangesloten]])</f>
        <v>199</v>
      </c>
      <c r="CQ61" s="138"/>
      <c r="CR61" s="124"/>
      <c r="CS61" s="139">
        <f t="shared" si="20"/>
        <v>1</v>
      </c>
      <c r="CT61" s="125">
        <f t="shared" si="26"/>
        <v>0.2</v>
      </c>
      <c r="CU61" s="125">
        <v>0</v>
      </c>
      <c r="CV61" s="125">
        <f t="shared" si="21"/>
        <v>125</v>
      </c>
      <c r="CW61" s="125">
        <f t="shared" si="22"/>
        <v>0</v>
      </c>
      <c r="CX61" s="125">
        <f t="shared" si="27"/>
        <v>0</v>
      </c>
      <c r="CY61" s="139"/>
      <c r="CZ61" s="139"/>
      <c r="DA61" s="125" t="e">
        <f>#REF!+CO61+CT61+CX61</f>
        <v>#REF!</v>
      </c>
      <c r="DB61" s="125">
        <f t="shared" si="39"/>
        <v>325</v>
      </c>
      <c r="DD61" s="104">
        <f>Tabel35721[[#This Row],[Rookgasafvoer Afschrijving 15 jaar]]</f>
        <v>6.6666666666666666E-2</v>
      </c>
      <c r="DE61" s="104">
        <f>Tabel35721[[#This Row],[Rookgasafvoer beheer per jaar (onderhoud)]]+Tabel35721[[#This Row],[Rookgasafvoer beheer (storingen) PM]]</f>
        <v>199</v>
      </c>
      <c r="DF61" s="126">
        <f t="shared" si="28"/>
        <v>199.06666666666666</v>
      </c>
      <c r="DG61" s="127"/>
      <c r="DH61" s="127" t="e">
        <f>#REF!+Tabel35721[[#This Row],[Lucht Afschrijving 5 jaar]]</f>
        <v>#REF!</v>
      </c>
      <c r="DI61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1" s="126" t="e">
        <f t="shared" si="29"/>
        <v>#REF!</v>
      </c>
      <c r="DK61" s="128" t="e">
        <f t="shared" si="30"/>
        <v>#REF!</v>
      </c>
      <c r="DL61" s="135"/>
    </row>
    <row r="62" spans="1:118" ht="12.75" customHeight="1" x14ac:dyDescent="0.3">
      <c r="A62" s="106" t="s">
        <v>240</v>
      </c>
      <c r="B62" s="107" t="s">
        <v>242</v>
      </c>
      <c r="C62" s="107" t="s">
        <v>143</v>
      </c>
      <c r="D62" s="108" t="s">
        <v>133</v>
      </c>
      <c r="E62" s="109" t="s">
        <v>164</v>
      </c>
      <c r="F62" s="110" t="s">
        <v>133</v>
      </c>
      <c r="G62" s="109">
        <v>10</v>
      </c>
      <c r="H62" s="112">
        <v>10</v>
      </c>
      <c r="I62" s="112"/>
      <c r="J62" s="108" t="s">
        <v>144</v>
      </c>
      <c r="K62" s="108" t="s">
        <v>133</v>
      </c>
      <c r="L62" s="113">
        <v>2011</v>
      </c>
      <c r="M62" s="108" t="s">
        <v>153</v>
      </c>
      <c r="N62" s="108" t="s">
        <v>131</v>
      </c>
      <c r="O62" s="112" t="s">
        <v>133</v>
      </c>
      <c r="P62" s="109">
        <v>1</v>
      </c>
      <c r="Q62" s="112">
        <f t="shared" si="0"/>
        <v>1</v>
      </c>
      <c r="R62" s="108" t="s">
        <v>135</v>
      </c>
      <c r="S62" s="112" t="s">
        <v>133</v>
      </c>
      <c r="T62" s="109">
        <f t="shared" si="42"/>
        <v>0</v>
      </c>
      <c r="U62" s="109">
        <f t="shared" si="43"/>
        <v>0</v>
      </c>
      <c r="V62" s="109">
        <f t="shared" si="2"/>
        <v>0</v>
      </c>
      <c r="W62" s="109">
        <f t="shared" si="31"/>
        <v>0</v>
      </c>
      <c r="X62" s="109">
        <f t="shared" si="3"/>
        <v>0</v>
      </c>
      <c r="Y62" s="109">
        <v>1</v>
      </c>
      <c r="Z62" s="109">
        <v>1</v>
      </c>
      <c r="AA62" s="109">
        <v>1</v>
      </c>
      <c r="AB62" s="109" t="s">
        <v>131</v>
      </c>
      <c r="AC62" s="109" t="s">
        <v>146</v>
      </c>
      <c r="AD62" s="109" t="s">
        <v>154</v>
      </c>
      <c r="AE62" s="109" t="s">
        <v>155</v>
      </c>
      <c r="AF62" s="94">
        <v>1</v>
      </c>
      <c r="AG62" s="109" t="s">
        <v>131</v>
      </c>
      <c r="AH62" s="109">
        <v>2</v>
      </c>
      <c r="AI62" s="109" t="s">
        <v>139</v>
      </c>
      <c r="AJ62" s="109" t="s">
        <v>156</v>
      </c>
      <c r="AK62" s="114" t="s">
        <v>156</v>
      </c>
      <c r="AL62" s="114"/>
      <c r="AM62" s="112">
        <f t="shared" si="41"/>
        <v>1</v>
      </c>
      <c r="AN62" s="112">
        <f t="shared" si="7"/>
        <v>0</v>
      </c>
      <c r="AO62" s="109">
        <f>IF(AB62="Nee",Tabel22620[[#This Row],[Aantal tracés verwacht na (ver)nieuwbouw]]*$AO$4,0)</f>
        <v>0</v>
      </c>
      <c r="AP62" s="109">
        <f t="shared" si="8"/>
        <v>0</v>
      </c>
      <c r="AQ62" s="109">
        <v>1</v>
      </c>
      <c r="AR62" s="109">
        <f t="shared" si="10"/>
        <v>0</v>
      </c>
      <c r="AS62" s="109">
        <f t="shared" si="11"/>
        <v>0</v>
      </c>
      <c r="AT62" s="109" t="s">
        <v>133</v>
      </c>
      <c r="AU62" s="108">
        <v>1</v>
      </c>
      <c r="AV62" s="115">
        <f t="shared" si="12"/>
        <v>2</v>
      </c>
      <c r="AW62" s="109" t="s">
        <v>135</v>
      </c>
      <c r="AX62" s="109">
        <v>2</v>
      </c>
      <c r="AY62" s="109"/>
      <c r="AZ62" s="112">
        <f t="shared" si="13"/>
        <v>2</v>
      </c>
      <c r="BA62" s="109"/>
      <c r="BB62" s="112">
        <f t="shared" si="14"/>
        <v>2</v>
      </c>
      <c r="BC62" s="112">
        <f t="shared" si="15"/>
        <v>1</v>
      </c>
      <c r="BD62" s="109">
        <v>2</v>
      </c>
      <c r="BE62" s="109">
        <v>2</v>
      </c>
      <c r="BF62" s="109">
        <v>2</v>
      </c>
      <c r="BG62" s="108"/>
      <c r="BH62" s="109"/>
      <c r="BI62" s="109"/>
      <c r="BJ62" s="109"/>
      <c r="BK62" s="109"/>
      <c r="BL62" s="116">
        <f t="shared" si="16"/>
        <v>0</v>
      </c>
      <c r="BM62" s="117">
        <v>1</v>
      </c>
      <c r="BN62" s="117"/>
      <c r="BO62" s="117"/>
      <c r="BP62" s="117"/>
      <c r="BQ62" s="117"/>
      <c r="BR62" s="117"/>
      <c r="BS62" s="117"/>
      <c r="BT62" s="117"/>
      <c r="BU62" s="117"/>
      <c r="BV62" s="118">
        <v>1</v>
      </c>
      <c r="BW62" s="117"/>
      <c r="BX62" s="117"/>
      <c r="BY62" s="119">
        <f>SUM(Tabel22620[[#This Row],[TS Basis / Compact 1]:[TS bedrijfs voering]])</f>
        <v>2</v>
      </c>
      <c r="BZ62" s="120"/>
      <c r="CA62" s="91">
        <v>1</v>
      </c>
      <c r="CB62" s="91"/>
      <c r="CC62" s="91"/>
      <c r="CD62" s="117"/>
      <c r="CE62" s="121">
        <v>1</v>
      </c>
      <c r="CF62" s="121"/>
      <c r="CG62" s="121"/>
      <c r="CH62" s="117"/>
      <c r="CI62" s="122"/>
      <c r="CJ62" s="123">
        <v>1</v>
      </c>
      <c r="CK62" s="124"/>
      <c r="CL62" s="124">
        <f t="shared" si="17"/>
        <v>1</v>
      </c>
      <c r="CM62" s="124">
        <f t="shared" si="18"/>
        <v>0</v>
      </c>
      <c r="CN62" s="137"/>
      <c r="CO62" s="124">
        <f t="shared" si="19"/>
        <v>6.6666666666666666E-2</v>
      </c>
      <c r="CP62" s="124">
        <f>99+(50*Tabel22620[[#This Row],[Aantal rookgasafvoer aangesloten]])</f>
        <v>199</v>
      </c>
      <c r="CQ62" s="124"/>
      <c r="CR62" s="124"/>
      <c r="CS62" s="139">
        <f t="shared" si="20"/>
        <v>4</v>
      </c>
      <c r="CT62" s="125">
        <f t="shared" si="26"/>
        <v>0.8</v>
      </c>
      <c r="CU62" s="125">
        <v>0</v>
      </c>
      <c r="CV62" s="125">
        <f t="shared" si="21"/>
        <v>125</v>
      </c>
      <c r="CW62" s="125">
        <f t="shared" si="22"/>
        <v>0</v>
      </c>
      <c r="CX62" s="125">
        <f t="shared" si="27"/>
        <v>0</v>
      </c>
      <c r="CY62" s="139"/>
      <c r="CZ62" s="139"/>
      <c r="DA62" s="125" t="e">
        <f>#REF!+CO62+CT62+CX62</f>
        <v>#REF!</v>
      </c>
      <c r="DB62" s="125">
        <f t="shared" si="39"/>
        <v>325</v>
      </c>
      <c r="DD62" s="104">
        <f>Tabel35721[[#This Row],[Rookgasafvoer Afschrijving 15 jaar]]</f>
        <v>6.6666666666666666E-2</v>
      </c>
      <c r="DE62" s="104">
        <f>Tabel35721[[#This Row],[Rookgasafvoer beheer per jaar (onderhoud)]]+Tabel35721[[#This Row],[Rookgasafvoer beheer (storingen) PM]]</f>
        <v>199</v>
      </c>
      <c r="DF62" s="126">
        <f t="shared" si="28"/>
        <v>199.06666666666666</v>
      </c>
      <c r="DG62" s="127"/>
      <c r="DH62" s="127" t="e">
        <f>#REF!+Tabel35721[[#This Row],[Lucht Afschrijving 5 jaar]]</f>
        <v>#REF!</v>
      </c>
      <c r="DI62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2" s="126" t="e">
        <f t="shared" si="29"/>
        <v>#REF!</v>
      </c>
      <c r="DK62" s="128" t="e">
        <f t="shared" si="30"/>
        <v>#REF!</v>
      </c>
      <c r="DL62" s="135"/>
    </row>
    <row r="63" spans="1:118" ht="15" customHeight="1" x14ac:dyDescent="0.3">
      <c r="A63" s="106" t="s">
        <v>240</v>
      </c>
      <c r="B63" s="197" t="s">
        <v>243</v>
      </c>
      <c r="C63" s="197" t="s">
        <v>143</v>
      </c>
      <c r="D63" s="109" t="s">
        <v>133</v>
      </c>
      <c r="E63" s="109" t="s">
        <v>141</v>
      </c>
      <c r="F63" s="110" t="s">
        <v>133</v>
      </c>
      <c r="G63" s="109">
        <v>10</v>
      </c>
      <c r="H63" s="112">
        <v>10</v>
      </c>
      <c r="I63" s="112"/>
      <c r="J63" s="109" t="s">
        <v>134</v>
      </c>
      <c r="K63" s="113" t="s">
        <v>133</v>
      </c>
      <c r="L63" s="113">
        <v>2014</v>
      </c>
      <c r="M63" s="109" t="s">
        <v>153</v>
      </c>
      <c r="N63" s="109" t="s">
        <v>133</v>
      </c>
      <c r="O63" s="112" t="s">
        <v>133</v>
      </c>
      <c r="P63" s="109">
        <v>0</v>
      </c>
      <c r="Q63" s="112">
        <f t="shared" si="0"/>
        <v>1</v>
      </c>
      <c r="R63" s="109" t="s">
        <v>133</v>
      </c>
      <c r="S63" s="112" t="s">
        <v>133</v>
      </c>
      <c r="T63" s="109">
        <f t="shared" si="42"/>
        <v>0</v>
      </c>
      <c r="U63" s="109">
        <f t="shared" si="43"/>
        <v>0</v>
      </c>
      <c r="V63" s="109">
        <f t="shared" si="2"/>
        <v>0</v>
      </c>
      <c r="W63" s="109">
        <v>1</v>
      </c>
      <c r="X63" s="109">
        <f t="shared" si="3"/>
        <v>0</v>
      </c>
      <c r="Y63" s="109">
        <f t="shared" si="4"/>
        <v>0</v>
      </c>
      <c r="Z63" s="109">
        <f t="shared" si="5"/>
        <v>0</v>
      </c>
      <c r="AA63" s="109">
        <f t="shared" si="6"/>
        <v>0</v>
      </c>
      <c r="AB63" s="109" t="s">
        <v>133</v>
      </c>
      <c r="AC63" s="109" t="s">
        <v>146</v>
      </c>
      <c r="AD63" s="109" t="s">
        <v>147</v>
      </c>
      <c r="AE63" s="109" t="s">
        <v>148</v>
      </c>
      <c r="AF63" s="94">
        <v>1</v>
      </c>
      <c r="AG63" s="108" t="s">
        <v>135</v>
      </c>
      <c r="AH63" s="109"/>
      <c r="AI63" s="109" t="s">
        <v>139</v>
      </c>
      <c r="AJ63" s="109" t="s">
        <v>149</v>
      </c>
      <c r="AK63" s="114"/>
      <c r="AL63" s="114"/>
      <c r="AM63" s="112">
        <f t="shared" si="41"/>
        <v>1</v>
      </c>
      <c r="AN63" s="112">
        <f t="shared" si="7"/>
        <v>0</v>
      </c>
      <c r="AO63" s="109">
        <f>IF(AB63="Nee",Tabel22620[[#This Row],[Aantal tracés verwacht na (ver)nieuwbouw]]*$AO$4,0)</f>
        <v>0</v>
      </c>
      <c r="AP63" s="109">
        <f t="shared" si="8"/>
        <v>0</v>
      </c>
      <c r="AQ63" s="109">
        <f t="shared" si="9"/>
        <v>0</v>
      </c>
      <c r="AR63" s="109">
        <v>1</v>
      </c>
      <c r="AS63" s="109">
        <f t="shared" si="11"/>
        <v>0</v>
      </c>
      <c r="AT63" s="109" t="s">
        <v>135</v>
      </c>
      <c r="AU63" s="109">
        <v>0</v>
      </c>
      <c r="AV63" s="112">
        <f t="shared" si="12"/>
        <v>3</v>
      </c>
      <c r="AW63" s="108" t="s">
        <v>133</v>
      </c>
      <c r="AX63" s="109">
        <v>6</v>
      </c>
      <c r="AY63" s="109"/>
      <c r="AZ63" s="112">
        <f t="shared" si="13"/>
        <v>3</v>
      </c>
      <c r="BA63" s="109"/>
      <c r="BB63" s="112">
        <f t="shared" si="14"/>
        <v>3</v>
      </c>
      <c r="BC63" s="112">
        <f t="shared" si="15"/>
        <v>3</v>
      </c>
      <c r="BD63" s="109">
        <v>3</v>
      </c>
      <c r="BE63" s="109">
        <v>3</v>
      </c>
      <c r="BF63" s="109">
        <v>3</v>
      </c>
      <c r="BG63" s="109"/>
      <c r="BH63" s="109"/>
      <c r="BI63" s="109"/>
      <c r="BJ63" s="109"/>
      <c r="BK63" s="109"/>
      <c r="BL63" s="166">
        <f t="shared" si="16"/>
        <v>0</v>
      </c>
      <c r="BM63" s="117">
        <v>1</v>
      </c>
      <c r="BN63" s="117"/>
      <c r="BO63" s="117"/>
      <c r="BP63" s="117"/>
      <c r="BQ63" s="117">
        <v>1</v>
      </c>
      <c r="BR63" s="117"/>
      <c r="BS63" s="117"/>
      <c r="BT63" s="117"/>
      <c r="BU63" s="117"/>
      <c r="BV63" s="118">
        <v>1</v>
      </c>
      <c r="BW63" s="117"/>
      <c r="BX63" s="117"/>
      <c r="BY63" s="119">
        <f>SUM(Tabel22620[[#This Row],[TS Basis / Compact 1]:[TS bedrijfs voering]])</f>
        <v>3</v>
      </c>
      <c r="BZ63" s="120"/>
      <c r="CA63" s="91">
        <v>1</v>
      </c>
      <c r="CB63" s="91"/>
      <c r="CC63" s="91"/>
      <c r="CD63" s="117">
        <v>1</v>
      </c>
      <c r="CE63" s="121">
        <v>1</v>
      </c>
      <c r="CF63" s="121"/>
      <c r="CG63" s="121"/>
      <c r="CH63" s="117">
        <v>1</v>
      </c>
      <c r="CI63" s="122"/>
      <c r="CJ63" s="136">
        <v>1</v>
      </c>
      <c r="CK63" s="124"/>
      <c r="CL63" s="124">
        <f t="shared" si="17"/>
        <v>1</v>
      </c>
      <c r="CM63" s="124">
        <f t="shared" si="18"/>
        <v>0</v>
      </c>
      <c r="CN63" s="137"/>
      <c r="CO63" s="124">
        <f t="shared" si="19"/>
        <v>6.6666666666666666E-2</v>
      </c>
      <c r="CP63" s="138">
        <f>99+(50*Tabel22620[[#This Row],[Aantal rookgasafvoer aangesloten]])</f>
        <v>99</v>
      </c>
      <c r="CQ63" s="138"/>
      <c r="CR63" s="124"/>
      <c r="CS63" s="139">
        <f t="shared" si="20"/>
        <v>6</v>
      </c>
      <c r="CT63" s="125">
        <f t="shared" si="26"/>
        <v>1.2</v>
      </c>
      <c r="CU63" s="125">
        <v>0</v>
      </c>
      <c r="CV63" s="125">
        <f t="shared" si="21"/>
        <v>125</v>
      </c>
      <c r="CW63" s="125">
        <f t="shared" si="22"/>
        <v>0</v>
      </c>
      <c r="CX63" s="125">
        <f t="shared" si="27"/>
        <v>0</v>
      </c>
      <c r="CY63" s="139"/>
      <c r="CZ63" s="139"/>
      <c r="DA63" s="125" t="e">
        <f>#REF!+CO63+CT63+CX63</f>
        <v>#REF!</v>
      </c>
      <c r="DB63" s="125">
        <f t="shared" si="39"/>
        <v>225</v>
      </c>
      <c r="DD63" s="104">
        <f>Tabel35721[[#This Row],[Rookgasafvoer Afschrijving 15 jaar]]</f>
        <v>6.6666666666666666E-2</v>
      </c>
      <c r="DE63" s="104">
        <f>Tabel35721[[#This Row],[Rookgasafvoer beheer per jaar (onderhoud)]]+Tabel35721[[#This Row],[Rookgasafvoer beheer (storingen) PM]]</f>
        <v>99</v>
      </c>
      <c r="DF63" s="126">
        <f t="shared" si="28"/>
        <v>99.066666666666663</v>
      </c>
      <c r="DG63" s="127"/>
      <c r="DH63" s="127" t="e">
        <f>#REF!+Tabel35721[[#This Row],[Lucht Afschrijving 5 jaar]]</f>
        <v>#REF!</v>
      </c>
      <c r="DI63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3" s="126" t="e">
        <f t="shared" si="29"/>
        <v>#REF!</v>
      </c>
      <c r="DK63" s="128" t="e">
        <f t="shared" si="30"/>
        <v>#REF!</v>
      </c>
      <c r="DL63" s="135"/>
    </row>
    <row r="64" spans="1:118" ht="15" customHeight="1" x14ac:dyDescent="0.3">
      <c r="A64" s="106" t="s">
        <v>240</v>
      </c>
      <c r="B64" s="197" t="s">
        <v>244</v>
      </c>
      <c r="C64" s="197" t="s">
        <v>143</v>
      </c>
      <c r="D64" s="109" t="s">
        <v>133</v>
      </c>
      <c r="E64" s="109" t="s">
        <v>151</v>
      </c>
      <c r="F64" s="110" t="s">
        <v>133</v>
      </c>
      <c r="G64" s="109">
        <v>10</v>
      </c>
      <c r="H64" s="112">
        <v>10</v>
      </c>
      <c r="I64" s="112"/>
      <c r="J64" s="109" t="s">
        <v>152</v>
      </c>
      <c r="K64" s="113" t="s">
        <v>133</v>
      </c>
      <c r="L64" s="113">
        <v>2002</v>
      </c>
      <c r="M64" s="109" t="s">
        <v>153</v>
      </c>
      <c r="N64" s="109" t="s">
        <v>133</v>
      </c>
      <c r="O64" s="112" t="s">
        <v>133</v>
      </c>
      <c r="P64" s="109">
        <v>1</v>
      </c>
      <c r="Q64" s="112">
        <f t="shared" si="0"/>
        <v>1</v>
      </c>
      <c r="R64" s="109" t="s">
        <v>135</v>
      </c>
      <c r="S64" s="112" t="s">
        <v>133</v>
      </c>
      <c r="T64" s="109">
        <f t="shared" si="42"/>
        <v>0</v>
      </c>
      <c r="U64" s="109">
        <f t="shared" si="43"/>
        <v>0</v>
      </c>
      <c r="V64" s="109">
        <f t="shared" si="2"/>
        <v>0</v>
      </c>
      <c r="W64" s="109">
        <f t="shared" si="31"/>
        <v>0</v>
      </c>
      <c r="X64" s="109">
        <f t="shared" si="3"/>
        <v>0</v>
      </c>
      <c r="Y64" s="109">
        <v>1</v>
      </c>
      <c r="Z64" s="109">
        <v>1</v>
      </c>
      <c r="AA64" s="109">
        <v>1</v>
      </c>
      <c r="AB64" s="109" t="s">
        <v>133</v>
      </c>
      <c r="AC64" s="109" t="s">
        <v>146</v>
      </c>
      <c r="AD64" s="109" t="s">
        <v>154</v>
      </c>
      <c r="AE64" s="109" t="s">
        <v>155</v>
      </c>
      <c r="AF64" s="94">
        <v>1</v>
      </c>
      <c r="AG64" s="108" t="s">
        <v>133</v>
      </c>
      <c r="AH64" s="109">
        <v>2</v>
      </c>
      <c r="AI64" s="109" t="s">
        <v>139</v>
      </c>
      <c r="AJ64" s="109" t="s">
        <v>156</v>
      </c>
      <c r="AK64" s="114"/>
      <c r="AL64" s="114"/>
      <c r="AM64" s="112">
        <f t="shared" si="41"/>
        <v>1</v>
      </c>
      <c r="AN64" s="112">
        <f t="shared" si="7"/>
        <v>0</v>
      </c>
      <c r="AO64" s="109">
        <f>IF(AB64="Nee",Tabel22620[[#This Row],[Aantal tracés verwacht na (ver)nieuwbouw]]*$AO$4,0)</f>
        <v>0</v>
      </c>
      <c r="AP64" s="109">
        <f t="shared" si="8"/>
        <v>0</v>
      </c>
      <c r="AQ64" s="109">
        <v>1</v>
      </c>
      <c r="AR64" s="109">
        <f t="shared" si="10"/>
        <v>0</v>
      </c>
      <c r="AS64" s="109">
        <f t="shared" si="11"/>
        <v>0</v>
      </c>
      <c r="AT64" s="109" t="s">
        <v>133</v>
      </c>
      <c r="AU64" s="109">
        <v>1</v>
      </c>
      <c r="AV64" s="112">
        <f t="shared" si="12"/>
        <v>1</v>
      </c>
      <c r="AW64" s="108" t="s">
        <v>133</v>
      </c>
      <c r="AX64" s="109">
        <v>2</v>
      </c>
      <c r="AY64" s="109"/>
      <c r="AZ64" s="112">
        <f t="shared" si="13"/>
        <v>1</v>
      </c>
      <c r="BA64" s="109"/>
      <c r="BB64" s="112">
        <f t="shared" si="14"/>
        <v>1</v>
      </c>
      <c r="BC64" s="112">
        <f t="shared" si="15"/>
        <v>0</v>
      </c>
      <c r="BD64" s="109">
        <f t="shared" si="24"/>
        <v>0</v>
      </c>
      <c r="BE64" s="109">
        <f t="shared" si="25"/>
        <v>0</v>
      </c>
      <c r="BF64" s="109">
        <v>1</v>
      </c>
      <c r="BG64" s="109"/>
      <c r="BH64" s="109"/>
      <c r="BI64" s="109"/>
      <c r="BJ64" s="109"/>
      <c r="BK64" s="109"/>
      <c r="BL64" s="166">
        <f t="shared" si="16"/>
        <v>0</v>
      </c>
      <c r="BM64" s="117">
        <v>1</v>
      </c>
      <c r="BN64" s="117"/>
      <c r="BO64" s="117"/>
      <c r="BP64" s="117"/>
      <c r="BQ64" s="117"/>
      <c r="BR64" s="117"/>
      <c r="BS64" s="117"/>
      <c r="BT64" s="117"/>
      <c r="BU64" s="117"/>
      <c r="BV64" s="118"/>
      <c r="BW64" s="117"/>
      <c r="BX64" s="117"/>
      <c r="BY64" s="119">
        <f>SUM(Tabel22620[[#This Row],[TS Basis / Compact 1]:[TS bedrijfs voering]])</f>
        <v>1</v>
      </c>
      <c r="BZ64" s="120"/>
      <c r="CA64" s="91">
        <v>1</v>
      </c>
      <c r="CB64" s="91"/>
      <c r="CC64" s="91"/>
      <c r="CD64" s="117"/>
      <c r="CE64" s="121">
        <v>1</v>
      </c>
      <c r="CF64" s="121"/>
      <c r="CG64" s="121"/>
      <c r="CH64" s="117"/>
      <c r="CI64" s="122"/>
      <c r="CJ64" s="136">
        <v>1</v>
      </c>
      <c r="CK64" s="124"/>
      <c r="CL64" s="124">
        <f t="shared" si="17"/>
        <v>1</v>
      </c>
      <c r="CM64" s="124">
        <f t="shared" si="18"/>
        <v>0</v>
      </c>
      <c r="CN64" s="137"/>
      <c r="CO64" s="124">
        <f t="shared" si="19"/>
        <v>6.6666666666666666E-2</v>
      </c>
      <c r="CP64" s="138">
        <f>99+(50*Tabel22620[[#This Row],[Aantal rookgasafvoer aangesloten]])</f>
        <v>199</v>
      </c>
      <c r="CQ64" s="138"/>
      <c r="CR64" s="124"/>
      <c r="CS64" s="139">
        <f t="shared" si="20"/>
        <v>1</v>
      </c>
      <c r="CT64" s="125">
        <f t="shared" si="26"/>
        <v>0.2</v>
      </c>
      <c r="CU64" s="125">
        <v>0</v>
      </c>
      <c r="CV64" s="125">
        <f t="shared" si="21"/>
        <v>125</v>
      </c>
      <c r="CW64" s="125">
        <f t="shared" si="22"/>
        <v>0</v>
      </c>
      <c r="CX64" s="125">
        <f t="shared" si="27"/>
        <v>0</v>
      </c>
      <c r="CY64" s="139"/>
      <c r="CZ64" s="139"/>
      <c r="DA64" s="125" t="e">
        <f>#REF!+CO64+CT64+CX64</f>
        <v>#REF!</v>
      </c>
      <c r="DB64" s="125">
        <f t="shared" si="39"/>
        <v>325</v>
      </c>
      <c r="DD64" s="104">
        <f>Tabel35721[[#This Row],[Rookgasafvoer Afschrijving 15 jaar]]</f>
        <v>6.6666666666666666E-2</v>
      </c>
      <c r="DE64" s="104">
        <f>Tabel35721[[#This Row],[Rookgasafvoer beheer per jaar (onderhoud)]]+Tabel35721[[#This Row],[Rookgasafvoer beheer (storingen) PM]]</f>
        <v>199</v>
      </c>
      <c r="DF64" s="126">
        <f t="shared" si="28"/>
        <v>199.06666666666666</v>
      </c>
      <c r="DG64" s="127"/>
      <c r="DH64" s="127" t="e">
        <f>#REF!+Tabel35721[[#This Row],[Lucht Afschrijving 5 jaar]]</f>
        <v>#REF!</v>
      </c>
      <c r="DI64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4" s="126" t="e">
        <f t="shared" si="29"/>
        <v>#REF!</v>
      </c>
      <c r="DK64" s="128" t="e">
        <f t="shared" si="30"/>
        <v>#REF!</v>
      </c>
      <c r="DL64" s="135"/>
    </row>
    <row r="65" spans="1:118" ht="12.75" customHeight="1" x14ac:dyDescent="0.3">
      <c r="A65" s="106" t="s">
        <v>240</v>
      </c>
      <c r="B65" s="197" t="s">
        <v>245</v>
      </c>
      <c r="C65" s="197" t="s">
        <v>143</v>
      </c>
      <c r="D65" s="109" t="s">
        <v>133</v>
      </c>
      <c r="E65" s="109" t="s">
        <v>132</v>
      </c>
      <c r="F65" s="110" t="s">
        <v>133</v>
      </c>
      <c r="G65" s="109">
        <v>15</v>
      </c>
      <c r="H65" s="112">
        <v>10</v>
      </c>
      <c r="I65" s="112"/>
      <c r="J65" s="109" t="s">
        <v>134</v>
      </c>
      <c r="K65" s="113" t="s">
        <v>133</v>
      </c>
      <c r="L65" s="113" t="s">
        <v>138</v>
      </c>
      <c r="M65" s="109" t="s">
        <v>153</v>
      </c>
      <c r="N65" s="109" t="s">
        <v>133</v>
      </c>
      <c r="O65" s="112" t="s">
        <v>133</v>
      </c>
      <c r="P65" s="109">
        <v>3</v>
      </c>
      <c r="Q65" s="112">
        <f t="shared" si="0"/>
        <v>1</v>
      </c>
      <c r="R65" s="109" t="s">
        <v>135</v>
      </c>
      <c r="S65" s="112" t="s">
        <v>133</v>
      </c>
      <c r="T65" s="109">
        <f t="shared" si="42"/>
        <v>0</v>
      </c>
      <c r="U65" s="109">
        <f t="shared" si="43"/>
        <v>0</v>
      </c>
      <c r="V65" s="109">
        <f t="shared" si="2"/>
        <v>0</v>
      </c>
      <c r="W65" s="109">
        <f t="shared" si="31"/>
        <v>0</v>
      </c>
      <c r="X65" s="109">
        <f t="shared" si="3"/>
        <v>0</v>
      </c>
      <c r="Y65" s="109">
        <v>1</v>
      </c>
      <c r="Z65" s="109">
        <v>1</v>
      </c>
      <c r="AA65" s="109">
        <v>1</v>
      </c>
      <c r="AB65" s="109" t="s">
        <v>133</v>
      </c>
      <c r="AC65" s="109" t="s">
        <v>146</v>
      </c>
      <c r="AD65" s="109" t="s">
        <v>154</v>
      </c>
      <c r="AE65" s="109" t="s">
        <v>155</v>
      </c>
      <c r="AF65" s="94">
        <v>1</v>
      </c>
      <c r="AG65" s="108" t="s">
        <v>133</v>
      </c>
      <c r="AH65" s="109">
        <v>3</v>
      </c>
      <c r="AI65" s="109" t="s">
        <v>139</v>
      </c>
      <c r="AJ65" s="109" t="s">
        <v>156</v>
      </c>
      <c r="AK65" s="114" t="s">
        <v>156</v>
      </c>
      <c r="AL65" s="114"/>
      <c r="AM65" s="112">
        <f t="shared" si="41"/>
        <v>1</v>
      </c>
      <c r="AN65" s="112">
        <f t="shared" si="7"/>
        <v>0</v>
      </c>
      <c r="AO65" s="109">
        <f>IF(AB65="Nee",Tabel22620[[#This Row],[Aantal tracés verwacht na (ver)nieuwbouw]]*$AO$4,0)</f>
        <v>0</v>
      </c>
      <c r="AP65" s="109">
        <f t="shared" si="8"/>
        <v>0</v>
      </c>
      <c r="AQ65" s="109">
        <v>1</v>
      </c>
      <c r="AR65" s="109">
        <f t="shared" si="10"/>
        <v>0</v>
      </c>
      <c r="AS65" s="109">
        <f t="shared" si="11"/>
        <v>0</v>
      </c>
      <c r="AT65" s="109" t="s">
        <v>133</v>
      </c>
      <c r="AU65" s="109">
        <v>2</v>
      </c>
      <c r="AV65" s="112">
        <f t="shared" si="12"/>
        <v>1</v>
      </c>
      <c r="AW65" s="108" t="s">
        <v>133</v>
      </c>
      <c r="AX65" s="109">
        <v>2</v>
      </c>
      <c r="AY65" s="109"/>
      <c r="AZ65" s="112">
        <f t="shared" si="13"/>
        <v>1</v>
      </c>
      <c r="BA65" s="109"/>
      <c r="BB65" s="112">
        <f t="shared" si="14"/>
        <v>1</v>
      </c>
      <c r="BC65" s="112">
        <f t="shared" si="15"/>
        <v>0</v>
      </c>
      <c r="BD65" s="109">
        <f t="shared" si="24"/>
        <v>0</v>
      </c>
      <c r="BE65" s="109">
        <f t="shared" si="25"/>
        <v>0</v>
      </c>
      <c r="BF65" s="109">
        <v>1</v>
      </c>
      <c r="BG65" s="109"/>
      <c r="BH65" s="109"/>
      <c r="BI65" s="109"/>
      <c r="BJ65" s="109"/>
      <c r="BK65" s="109"/>
      <c r="BL65" s="166">
        <f t="shared" si="16"/>
        <v>0</v>
      </c>
      <c r="BM65" s="117">
        <v>1</v>
      </c>
      <c r="BN65" s="117"/>
      <c r="BO65" s="117"/>
      <c r="BP65" s="117"/>
      <c r="BQ65" s="117"/>
      <c r="BR65" s="117"/>
      <c r="BS65" s="117"/>
      <c r="BT65" s="117"/>
      <c r="BU65" s="117"/>
      <c r="BV65" s="118"/>
      <c r="BW65" s="117"/>
      <c r="BX65" s="117"/>
      <c r="BY65" s="119">
        <f>SUM(Tabel22620[[#This Row],[TS Basis / Compact 1]:[TS bedrijfs voering]])</f>
        <v>1</v>
      </c>
      <c r="BZ65" s="120"/>
      <c r="CA65" s="91">
        <v>1</v>
      </c>
      <c r="CB65" s="91"/>
      <c r="CC65" s="91"/>
      <c r="CD65" s="117"/>
      <c r="CE65" s="121">
        <v>1</v>
      </c>
      <c r="CF65" s="121"/>
      <c r="CG65" s="121"/>
      <c r="CH65" s="117"/>
      <c r="CI65" s="122"/>
      <c r="CJ65" s="123">
        <v>1</v>
      </c>
      <c r="CK65" s="124"/>
      <c r="CL65" s="124">
        <f t="shared" si="17"/>
        <v>1</v>
      </c>
      <c r="CM65" s="124">
        <f t="shared" si="18"/>
        <v>0</v>
      </c>
      <c r="CN65" s="137"/>
      <c r="CO65" s="124">
        <f t="shared" si="19"/>
        <v>6.6666666666666666E-2</v>
      </c>
      <c r="CP65" s="124">
        <f>99+(50*Tabel22620[[#This Row],[Aantal rookgasafvoer aangesloten]])</f>
        <v>249</v>
      </c>
      <c r="CQ65" s="124"/>
      <c r="CR65" s="124"/>
      <c r="CS65" s="139">
        <f t="shared" si="20"/>
        <v>1</v>
      </c>
      <c r="CT65" s="125">
        <f t="shared" si="26"/>
        <v>0.2</v>
      </c>
      <c r="CU65" s="125">
        <v>0</v>
      </c>
      <c r="CV65" s="125">
        <f t="shared" si="21"/>
        <v>125</v>
      </c>
      <c r="CW65" s="125">
        <f t="shared" si="22"/>
        <v>0</v>
      </c>
      <c r="CX65" s="125">
        <f t="shared" si="27"/>
        <v>0</v>
      </c>
      <c r="CY65" s="139"/>
      <c r="CZ65" s="139"/>
      <c r="DA65" s="125" t="e">
        <f>#REF!+CO65+CT65+CX65</f>
        <v>#REF!</v>
      </c>
      <c r="DB65" s="125">
        <f t="shared" si="39"/>
        <v>375</v>
      </c>
      <c r="DD65" s="104">
        <f>Tabel35721[[#This Row],[Rookgasafvoer Afschrijving 15 jaar]]</f>
        <v>6.6666666666666666E-2</v>
      </c>
      <c r="DE65" s="104">
        <f>Tabel35721[[#This Row],[Rookgasafvoer beheer per jaar (onderhoud)]]+Tabel35721[[#This Row],[Rookgasafvoer beheer (storingen) PM]]</f>
        <v>249</v>
      </c>
      <c r="DF65" s="126">
        <f t="shared" si="28"/>
        <v>249.06666666666666</v>
      </c>
      <c r="DG65" s="127"/>
      <c r="DH65" s="127" t="e">
        <f>#REF!+Tabel35721[[#This Row],[Lucht Afschrijving 5 jaar]]</f>
        <v>#REF!</v>
      </c>
      <c r="DI65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5" s="126" t="e">
        <f t="shared" si="29"/>
        <v>#REF!</v>
      </c>
      <c r="DK65" s="128" t="e">
        <f t="shared" si="30"/>
        <v>#REF!</v>
      </c>
      <c r="DL65" s="135"/>
    </row>
    <row r="66" spans="1:118" ht="15" customHeight="1" x14ac:dyDescent="0.3">
      <c r="A66" s="106" t="s">
        <v>240</v>
      </c>
      <c r="B66" s="197" t="s">
        <v>246</v>
      </c>
      <c r="C66" s="197" t="s">
        <v>143</v>
      </c>
      <c r="D66" s="109" t="s">
        <v>133</v>
      </c>
      <c r="E66" s="109" t="s">
        <v>247</v>
      </c>
      <c r="F66" s="110" t="s">
        <v>133</v>
      </c>
      <c r="G66" s="109">
        <v>12</v>
      </c>
      <c r="H66" s="112">
        <v>10</v>
      </c>
      <c r="I66" s="112"/>
      <c r="J66" s="109" t="s">
        <v>144</v>
      </c>
      <c r="K66" s="113" t="s">
        <v>133</v>
      </c>
      <c r="L66" s="109">
        <v>2013</v>
      </c>
      <c r="M66" s="109" t="s">
        <v>136</v>
      </c>
      <c r="N66" s="109" t="s">
        <v>133</v>
      </c>
      <c r="O66" s="112" t="s">
        <v>133</v>
      </c>
      <c r="P66" s="109">
        <v>1</v>
      </c>
      <c r="Q66" s="112">
        <f t="shared" si="0"/>
        <v>1</v>
      </c>
      <c r="R66" s="109" t="s">
        <v>135</v>
      </c>
      <c r="S66" s="112" t="s">
        <v>133</v>
      </c>
      <c r="T66" s="109">
        <f t="shared" si="42"/>
        <v>0</v>
      </c>
      <c r="U66" s="109">
        <f t="shared" si="43"/>
        <v>0</v>
      </c>
      <c r="V66" s="109">
        <f t="shared" si="2"/>
        <v>0</v>
      </c>
      <c r="W66" s="109">
        <f t="shared" si="31"/>
        <v>0</v>
      </c>
      <c r="X66" s="109">
        <f t="shared" si="3"/>
        <v>0</v>
      </c>
      <c r="Y66" s="109">
        <v>1</v>
      </c>
      <c r="Z66" s="109">
        <v>1</v>
      </c>
      <c r="AA66" s="109">
        <v>1</v>
      </c>
      <c r="AB66" s="109" t="s">
        <v>131</v>
      </c>
      <c r="AC66" s="109" t="s">
        <v>146</v>
      </c>
      <c r="AD66" s="109" t="s">
        <v>154</v>
      </c>
      <c r="AE66" s="109" t="s">
        <v>155</v>
      </c>
      <c r="AF66" s="94">
        <v>1</v>
      </c>
      <c r="AG66" s="108" t="s">
        <v>133</v>
      </c>
      <c r="AH66" s="109">
        <v>2</v>
      </c>
      <c r="AI66" s="109" t="s">
        <v>139</v>
      </c>
      <c r="AJ66" s="109" t="s">
        <v>156</v>
      </c>
      <c r="AK66" s="114" t="s">
        <v>156</v>
      </c>
      <c r="AL66" s="114"/>
      <c r="AM66" s="112">
        <f t="shared" si="41"/>
        <v>1</v>
      </c>
      <c r="AN66" s="112">
        <f t="shared" si="7"/>
        <v>0</v>
      </c>
      <c r="AO66" s="109">
        <f>IF(AB66="Nee",Tabel22620[[#This Row],[Aantal tracés verwacht na (ver)nieuwbouw]]*$AO$4,0)</f>
        <v>0</v>
      </c>
      <c r="AP66" s="109">
        <f t="shared" si="8"/>
        <v>0</v>
      </c>
      <c r="AQ66" s="109">
        <v>1</v>
      </c>
      <c r="AR66" s="109">
        <f t="shared" si="10"/>
        <v>0</v>
      </c>
      <c r="AS66" s="109">
        <f t="shared" si="11"/>
        <v>0</v>
      </c>
      <c r="AT66" s="109" t="s">
        <v>133</v>
      </c>
      <c r="AU66" s="109">
        <v>2</v>
      </c>
      <c r="AV66" s="112">
        <f t="shared" si="12"/>
        <v>1</v>
      </c>
      <c r="AW66" s="109"/>
      <c r="AX66" s="109">
        <v>2</v>
      </c>
      <c r="AY66" s="109"/>
      <c r="AZ66" s="112">
        <f t="shared" si="13"/>
        <v>1</v>
      </c>
      <c r="BA66" s="109"/>
      <c r="BB66" s="112">
        <f t="shared" si="14"/>
        <v>1</v>
      </c>
      <c r="BC66" s="112">
        <f t="shared" si="15"/>
        <v>0</v>
      </c>
      <c r="BD66" s="109">
        <f t="shared" si="24"/>
        <v>0</v>
      </c>
      <c r="BE66" s="109">
        <f t="shared" si="25"/>
        <v>0</v>
      </c>
      <c r="BF66" s="109">
        <v>1</v>
      </c>
      <c r="BG66" s="109"/>
      <c r="BH66" s="109"/>
      <c r="BI66" s="109"/>
      <c r="BJ66" s="109"/>
      <c r="BK66" s="109"/>
      <c r="BL66" s="166">
        <f t="shared" si="16"/>
        <v>0</v>
      </c>
      <c r="BM66" s="117">
        <v>1</v>
      </c>
      <c r="BN66" s="117"/>
      <c r="BO66" s="117"/>
      <c r="BP66" s="117"/>
      <c r="BQ66" s="117"/>
      <c r="BR66" s="117"/>
      <c r="BS66" s="117"/>
      <c r="BT66" s="117"/>
      <c r="BU66" s="117"/>
      <c r="BV66" s="118"/>
      <c r="BW66" s="117"/>
      <c r="BX66" s="117"/>
      <c r="BY66" s="119">
        <f>SUM(Tabel22620[[#This Row],[TS Basis / Compact 1]:[TS bedrijfs voering]])</f>
        <v>1</v>
      </c>
      <c r="BZ66" s="120"/>
      <c r="CA66" s="91">
        <v>1</v>
      </c>
      <c r="CB66" s="91"/>
      <c r="CC66" s="91"/>
      <c r="CD66" s="117"/>
      <c r="CE66" s="121">
        <v>1</v>
      </c>
      <c r="CF66" s="121"/>
      <c r="CG66" s="121"/>
      <c r="CH66" s="117"/>
      <c r="CI66" s="122"/>
      <c r="CJ66" s="123">
        <v>1</v>
      </c>
      <c r="CK66" s="124"/>
      <c r="CL66" s="124">
        <f t="shared" si="17"/>
        <v>1</v>
      </c>
      <c r="CM66" s="124">
        <f t="shared" si="18"/>
        <v>0</v>
      </c>
      <c r="CN66" s="137"/>
      <c r="CO66" s="124">
        <f t="shared" si="19"/>
        <v>6.6666666666666666E-2</v>
      </c>
      <c r="CP66" s="124">
        <f>99+(50*Tabel22620[[#This Row],[Aantal rookgasafvoer aangesloten]])</f>
        <v>199</v>
      </c>
      <c r="CQ66" s="124"/>
      <c r="CR66" s="124"/>
      <c r="CS66" s="139">
        <f t="shared" si="20"/>
        <v>1</v>
      </c>
      <c r="CT66" s="125">
        <f t="shared" si="26"/>
        <v>0.2</v>
      </c>
      <c r="CU66" s="125">
        <v>0</v>
      </c>
      <c r="CV66" s="125">
        <f t="shared" si="21"/>
        <v>125</v>
      </c>
      <c r="CW66" s="125">
        <f t="shared" si="22"/>
        <v>0</v>
      </c>
      <c r="CX66" s="125">
        <f t="shared" si="27"/>
        <v>0</v>
      </c>
      <c r="CY66" s="139"/>
      <c r="CZ66" s="139"/>
      <c r="DA66" s="125" t="e">
        <f>#REF!+CO66+CT66+CX66</f>
        <v>#REF!</v>
      </c>
      <c r="DB66" s="125">
        <f t="shared" si="39"/>
        <v>325</v>
      </c>
      <c r="DD66" s="104">
        <f>Tabel35721[[#This Row],[Rookgasafvoer Afschrijving 15 jaar]]</f>
        <v>6.6666666666666666E-2</v>
      </c>
      <c r="DE66" s="104">
        <f>Tabel35721[[#This Row],[Rookgasafvoer beheer per jaar (onderhoud)]]+Tabel35721[[#This Row],[Rookgasafvoer beheer (storingen) PM]]</f>
        <v>199</v>
      </c>
      <c r="DF66" s="126">
        <f t="shared" si="28"/>
        <v>199.06666666666666</v>
      </c>
      <c r="DG66" s="127"/>
      <c r="DH66" s="127" t="e">
        <f>#REF!+Tabel35721[[#This Row],[Lucht Afschrijving 5 jaar]]</f>
        <v>#REF!</v>
      </c>
      <c r="DI66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6" s="126" t="e">
        <f t="shared" si="29"/>
        <v>#REF!</v>
      </c>
      <c r="DK66" s="128" t="e">
        <f t="shared" si="30"/>
        <v>#REF!</v>
      </c>
      <c r="DL66" s="135"/>
    </row>
    <row r="67" spans="1:118" ht="15" customHeight="1" x14ac:dyDescent="0.3">
      <c r="A67" s="106" t="s">
        <v>240</v>
      </c>
      <c r="B67" s="107" t="s">
        <v>248</v>
      </c>
      <c r="C67" s="107" t="s">
        <v>143</v>
      </c>
      <c r="D67" s="108" t="s">
        <v>133</v>
      </c>
      <c r="E67" s="109" t="s">
        <v>198</v>
      </c>
      <c r="F67" s="110" t="s">
        <v>133</v>
      </c>
      <c r="G67" s="109">
        <v>8</v>
      </c>
      <c r="H67" s="112">
        <v>10</v>
      </c>
      <c r="I67" s="112"/>
      <c r="J67" s="108" t="s">
        <v>152</v>
      </c>
      <c r="K67" s="108" t="s">
        <v>131</v>
      </c>
      <c r="L67" s="198">
        <v>2013</v>
      </c>
      <c r="M67" s="108" t="s">
        <v>153</v>
      </c>
      <c r="N67" s="108" t="s">
        <v>135</v>
      </c>
      <c r="O67" s="112" t="s">
        <v>133</v>
      </c>
      <c r="P67" s="109">
        <v>1</v>
      </c>
      <c r="Q67" s="112">
        <f t="shared" si="0"/>
        <v>1</v>
      </c>
      <c r="R67" s="108" t="s">
        <v>135</v>
      </c>
      <c r="S67" s="112" t="s">
        <v>133</v>
      </c>
      <c r="T67" s="109">
        <v>1</v>
      </c>
      <c r="U67" s="109">
        <f t="shared" si="43"/>
        <v>0</v>
      </c>
      <c r="V67" s="109">
        <v>1</v>
      </c>
      <c r="W67" s="109">
        <f t="shared" si="31"/>
        <v>0</v>
      </c>
      <c r="X67" s="109">
        <v>1</v>
      </c>
      <c r="Y67" s="109">
        <v>1</v>
      </c>
      <c r="Z67" s="109">
        <v>1</v>
      </c>
      <c r="AA67" s="109">
        <v>1</v>
      </c>
      <c r="AB67" s="109" t="s">
        <v>131</v>
      </c>
      <c r="AC67" s="109" t="s">
        <v>146</v>
      </c>
      <c r="AD67" s="109" t="s">
        <v>154</v>
      </c>
      <c r="AE67" s="109" t="s">
        <v>155</v>
      </c>
      <c r="AF67" s="94">
        <v>1</v>
      </c>
      <c r="AG67" s="109" t="s">
        <v>131</v>
      </c>
      <c r="AH67" s="109">
        <v>6</v>
      </c>
      <c r="AI67" s="109" t="s">
        <v>139</v>
      </c>
      <c r="AJ67" s="109" t="s">
        <v>156</v>
      </c>
      <c r="AK67" s="114" t="s">
        <v>156</v>
      </c>
      <c r="AL67" s="114"/>
      <c r="AM67" s="112">
        <f t="shared" si="41"/>
        <v>1</v>
      </c>
      <c r="AN67" s="112">
        <f t="shared" si="7"/>
        <v>0</v>
      </c>
      <c r="AO67" s="109">
        <f>IF(AB67="Nee",Tabel22620[[#This Row],[Aantal tracés verwacht na (ver)nieuwbouw]]*$AO$4,0)</f>
        <v>0</v>
      </c>
      <c r="AP67" s="109">
        <f t="shared" si="8"/>
        <v>0</v>
      </c>
      <c r="AQ67" s="109">
        <v>1</v>
      </c>
      <c r="AR67" s="109">
        <f t="shared" si="10"/>
        <v>0</v>
      </c>
      <c r="AS67" s="109">
        <f t="shared" si="11"/>
        <v>0</v>
      </c>
      <c r="AT67" s="109" t="s">
        <v>135</v>
      </c>
      <c r="AU67" s="108">
        <v>0</v>
      </c>
      <c r="AV67" s="115">
        <f t="shared" si="12"/>
        <v>1</v>
      </c>
      <c r="AW67" s="109" t="s">
        <v>135</v>
      </c>
      <c r="AX67" s="109">
        <v>5</v>
      </c>
      <c r="AY67" s="109"/>
      <c r="AZ67" s="112">
        <f t="shared" si="13"/>
        <v>1</v>
      </c>
      <c r="BA67" s="109"/>
      <c r="BB67" s="112">
        <f t="shared" si="14"/>
        <v>1</v>
      </c>
      <c r="BC67" s="112">
        <f t="shared" si="15"/>
        <v>1</v>
      </c>
      <c r="BD67" s="109">
        <v>2</v>
      </c>
      <c r="BE67" s="109">
        <v>2</v>
      </c>
      <c r="BF67" s="109">
        <v>1</v>
      </c>
      <c r="BG67" s="108"/>
      <c r="BH67" s="109"/>
      <c r="BI67" s="109"/>
      <c r="BJ67" s="109"/>
      <c r="BK67" s="109"/>
      <c r="BL67" s="116">
        <f t="shared" si="16"/>
        <v>0</v>
      </c>
      <c r="BM67" s="117">
        <v>1</v>
      </c>
      <c r="BN67" s="117"/>
      <c r="BO67" s="117"/>
      <c r="BP67" s="117"/>
      <c r="BQ67" s="117"/>
      <c r="BR67" s="117"/>
      <c r="BS67" s="117"/>
      <c r="BT67" s="117"/>
      <c r="BU67" s="117"/>
      <c r="BV67" s="118"/>
      <c r="BW67" s="117"/>
      <c r="BX67" s="117"/>
      <c r="BY67" s="119">
        <f>SUM(Tabel22620[[#This Row],[TS Basis / Compact 1]:[TS bedrijfs voering]])</f>
        <v>1</v>
      </c>
      <c r="BZ67" s="120"/>
      <c r="CA67" s="91">
        <v>1</v>
      </c>
      <c r="CB67" s="91"/>
      <c r="CC67" s="91"/>
      <c r="CD67" s="117"/>
      <c r="CE67" s="121">
        <v>1</v>
      </c>
      <c r="CF67" s="121"/>
      <c r="CG67" s="121"/>
      <c r="CH67" s="117"/>
      <c r="CI67" s="122"/>
      <c r="CJ67" s="123">
        <v>1</v>
      </c>
      <c r="CK67" s="124"/>
      <c r="CL67" s="124">
        <f t="shared" si="17"/>
        <v>1</v>
      </c>
      <c r="CM67" s="124">
        <f t="shared" si="18"/>
        <v>0</v>
      </c>
      <c r="CN67" s="137"/>
      <c r="CO67" s="124">
        <f t="shared" si="19"/>
        <v>6.6666666666666666E-2</v>
      </c>
      <c r="CP67" s="124">
        <f>99+(50*Tabel22620[[#This Row],[Aantal rookgasafvoer aangesloten]])</f>
        <v>399</v>
      </c>
      <c r="CQ67" s="124"/>
      <c r="CR67" s="124"/>
      <c r="CS67" s="139">
        <f t="shared" si="20"/>
        <v>3</v>
      </c>
      <c r="CT67" s="125">
        <f t="shared" si="26"/>
        <v>0.6</v>
      </c>
      <c r="CU67" s="125">
        <v>0</v>
      </c>
      <c r="CV67" s="125">
        <f t="shared" si="21"/>
        <v>125</v>
      </c>
      <c r="CW67" s="125">
        <f t="shared" si="22"/>
        <v>0</v>
      </c>
      <c r="CX67" s="125">
        <f t="shared" si="27"/>
        <v>0</v>
      </c>
      <c r="CY67" s="139"/>
      <c r="CZ67" s="139"/>
      <c r="DA67" s="125" t="e">
        <f>#REF!+CO67+CT67+CX67</f>
        <v>#REF!</v>
      </c>
      <c r="DB67" s="125">
        <f t="shared" si="39"/>
        <v>525</v>
      </c>
      <c r="DD67" s="104">
        <f>Tabel35721[[#This Row],[Rookgasafvoer Afschrijving 15 jaar]]</f>
        <v>6.6666666666666666E-2</v>
      </c>
      <c r="DE67" s="104">
        <f>Tabel35721[[#This Row],[Rookgasafvoer beheer per jaar (onderhoud)]]+Tabel35721[[#This Row],[Rookgasafvoer beheer (storingen) PM]]</f>
        <v>399</v>
      </c>
      <c r="DF67" s="126">
        <f t="shared" si="28"/>
        <v>399.06666666666666</v>
      </c>
      <c r="DG67" s="127"/>
      <c r="DH67" s="127" t="e">
        <f>#REF!+Tabel35721[[#This Row],[Lucht Afschrijving 5 jaar]]</f>
        <v>#REF!</v>
      </c>
      <c r="DI67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7" s="126" t="e">
        <f t="shared" si="29"/>
        <v>#REF!</v>
      </c>
      <c r="DK67" s="128" t="e">
        <f t="shared" si="30"/>
        <v>#REF!</v>
      </c>
      <c r="DL67" s="129"/>
      <c r="DM67" s="162" t="e">
        <f>SUM(DK61:DK67)</f>
        <v>#REF!</v>
      </c>
      <c r="DN67" s="163" t="s">
        <v>240</v>
      </c>
    </row>
    <row r="68" spans="1:118" ht="12.75" customHeight="1" x14ac:dyDescent="0.3">
      <c r="A68" s="106" t="s">
        <v>249</v>
      </c>
      <c r="B68" s="107" t="s">
        <v>250</v>
      </c>
      <c r="C68" s="107" t="s">
        <v>143</v>
      </c>
      <c r="D68" s="174" t="s">
        <v>133</v>
      </c>
      <c r="E68" s="109" t="s">
        <v>234</v>
      </c>
      <c r="F68" s="110" t="s">
        <v>133</v>
      </c>
      <c r="G68" s="109">
        <v>0</v>
      </c>
      <c r="H68" s="112">
        <v>10</v>
      </c>
      <c r="I68" s="112"/>
      <c r="J68" s="109" t="s">
        <v>134</v>
      </c>
      <c r="K68" s="108" t="s">
        <v>133</v>
      </c>
      <c r="L68" s="113" t="s">
        <v>138</v>
      </c>
      <c r="M68" s="108" t="s">
        <v>153</v>
      </c>
      <c r="N68" s="108" t="s">
        <v>135</v>
      </c>
      <c r="O68" s="112" t="s">
        <v>133</v>
      </c>
      <c r="P68" s="109">
        <v>0</v>
      </c>
      <c r="Q68" s="112">
        <f t="shared" si="0"/>
        <v>1</v>
      </c>
      <c r="R68" s="108" t="s">
        <v>135</v>
      </c>
      <c r="S68" s="112" t="s">
        <v>133</v>
      </c>
      <c r="T68" s="109">
        <v>1</v>
      </c>
      <c r="U68" s="109">
        <f t="shared" si="43"/>
        <v>0</v>
      </c>
      <c r="V68" s="109">
        <v>1</v>
      </c>
      <c r="W68" s="109">
        <v>1</v>
      </c>
      <c r="X68" s="109">
        <v>1</v>
      </c>
      <c r="Y68" s="109">
        <v>1</v>
      </c>
      <c r="Z68" s="109">
        <v>1</v>
      </c>
      <c r="AA68" s="109">
        <v>1</v>
      </c>
      <c r="AB68" s="109" t="s">
        <v>131</v>
      </c>
      <c r="AC68" s="109" t="s">
        <v>137</v>
      </c>
      <c r="AD68" s="109" t="s">
        <v>138</v>
      </c>
      <c r="AE68" s="109" t="s">
        <v>138</v>
      </c>
      <c r="AF68" s="94">
        <v>1</v>
      </c>
      <c r="AG68" s="108" t="s">
        <v>135</v>
      </c>
      <c r="AH68" s="109">
        <v>3</v>
      </c>
      <c r="AI68" s="109" t="s">
        <v>139</v>
      </c>
      <c r="AJ68" s="109" t="s">
        <v>139</v>
      </c>
      <c r="AK68" s="114"/>
      <c r="AL68" s="114"/>
      <c r="AM68" s="112">
        <f t="shared" si="41"/>
        <v>1</v>
      </c>
      <c r="AN68" s="112">
        <f t="shared" si="7"/>
        <v>0</v>
      </c>
      <c r="AO68" s="109">
        <f>IF(AB68="Nee",Tabel22620[[#This Row],[Aantal tracés verwacht na (ver)nieuwbouw]]*$AO$4,0)</f>
        <v>0</v>
      </c>
      <c r="AP68" s="109">
        <f t="shared" si="8"/>
        <v>0</v>
      </c>
      <c r="AQ68" s="109">
        <f t="shared" si="9"/>
        <v>0</v>
      </c>
      <c r="AR68" s="109">
        <f t="shared" si="10"/>
        <v>0</v>
      </c>
      <c r="AS68" s="109">
        <v>1</v>
      </c>
      <c r="AT68" s="109" t="s">
        <v>135</v>
      </c>
      <c r="AU68" s="108">
        <v>0</v>
      </c>
      <c r="AV68" s="115">
        <f t="shared" si="12"/>
        <v>2</v>
      </c>
      <c r="AW68" s="108" t="s">
        <v>133</v>
      </c>
      <c r="AX68" s="109">
        <v>4</v>
      </c>
      <c r="AY68" s="109"/>
      <c r="AZ68" s="112">
        <f t="shared" si="13"/>
        <v>2</v>
      </c>
      <c r="BA68" s="109"/>
      <c r="BB68" s="112">
        <f t="shared" si="14"/>
        <v>2</v>
      </c>
      <c r="BC68" s="112">
        <f t="shared" si="15"/>
        <v>2</v>
      </c>
      <c r="BD68" s="109">
        <v>2</v>
      </c>
      <c r="BE68" s="109">
        <v>2</v>
      </c>
      <c r="BF68" s="109">
        <v>2</v>
      </c>
      <c r="BG68" s="108"/>
      <c r="BH68" s="109"/>
      <c r="BI68" s="109"/>
      <c r="BJ68" s="109"/>
      <c r="BK68" s="109"/>
      <c r="BL68" s="116">
        <f t="shared" si="16"/>
        <v>0</v>
      </c>
      <c r="BM68" s="117">
        <v>1</v>
      </c>
      <c r="BN68" s="117"/>
      <c r="BO68" s="117"/>
      <c r="BP68" s="117"/>
      <c r="BQ68" s="117"/>
      <c r="BR68" s="117"/>
      <c r="BS68" s="117"/>
      <c r="BT68" s="117"/>
      <c r="BU68" s="117"/>
      <c r="BV68" s="118">
        <v>1</v>
      </c>
      <c r="BW68" s="117"/>
      <c r="BX68" s="117"/>
      <c r="BY68" s="119">
        <f>SUM(Tabel22620[[#This Row],[TS Basis / Compact 1]:[TS bedrijfs voering]])</f>
        <v>2</v>
      </c>
      <c r="BZ68" s="120"/>
      <c r="CA68" s="91">
        <v>1</v>
      </c>
      <c r="CB68" s="91"/>
      <c r="CC68" s="91"/>
      <c r="CD68" s="117"/>
      <c r="CE68" s="121">
        <v>1</v>
      </c>
      <c r="CF68" s="121"/>
      <c r="CG68" s="121"/>
      <c r="CH68" s="117"/>
      <c r="CI68" s="122"/>
      <c r="CJ68" s="123">
        <v>1</v>
      </c>
      <c r="CK68" s="124"/>
      <c r="CL68" s="124">
        <f t="shared" si="17"/>
        <v>1</v>
      </c>
      <c r="CM68" s="124">
        <f t="shared" si="18"/>
        <v>0</v>
      </c>
      <c r="CN68" s="137"/>
      <c r="CO68" s="124">
        <f t="shared" si="19"/>
        <v>6.6666666666666666E-2</v>
      </c>
      <c r="CP68" s="124">
        <f>99+(50*Tabel22620[[#This Row],[Aantal rookgasafvoer aangesloten]])</f>
        <v>249</v>
      </c>
      <c r="CQ68" s="124"/>
      <c r="CR68" s="124"/>
      <c r="CS68" s="139">
        <f t="shared" si="20"/>
        <v>4</v>
      </c>
      <c r="CT68" s="125">
        <f t="shared" si="26"/>
        <v>0.8</v>
      </c>
      <c r="CU68" s="125">
        <v>0</v>
      </c>
      <c r="CV68" s="125">
        <f t="shared" si="21"/>
        <v>125</v>
      </c>
      <c r="CW68" s="125">
        <f t="shared" si="22"/>
        <v>0</v>
      </c>
      <c r="CX68" s="125">
        <f t="shared" si="27"/>
        <v>0</v>
      </c>
      <c r="CY68" s="139"/>
      <c r="CZ68" s="139"/>
      <c r="DA68" s="125" t="e">
        <f>#REF!+CO68+CT68+CX68</f>
        <v>#REF!</v>
      </c>
      <c r="DB68" s="125">
        <f t="shared" si="39"/>
        <v>375</v>
      </c>
      <c r="DD68" s="104">
        <f>Tabel35721[[#This Row],[Rookgasafvoer Afschrijving 15 jaar]]</f>
        <v>6.6666666666666666E-2</v>
      </c>
      <c r="DE68" s="104">
        <f>Tabel35721[[#This Row],[Rookgasafvoer beheer per jaar (onderhoud)]]+Tabel35721[[#This Row],[Rookgasafvoer beheer (storingen) PM]]</f>
        <v>249</v>
      </c>
      <c r="DF68" s="126">
        <f t="shared" si="28"/>
        <v>249.06666666666666</v>
      </c>
      <c r="DG68" s="127"/>
      <c r="DH68" s="127" t="e">
        <f>#REF!+Tabel35721[[#This Row],[Lucht Afschrijving 5 jaar]]</f>
        <v>#REF!</v>
      </c>
      <c r="DI68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8" s="126" t="e">
        <f t="shared" si="29"/>
        <v>#REF!</v>
      </c>
      <c r="DK68" s="128" t="e">
        <f t="shared" si="30"/>
        <v>#REF!</v>
      </c>
      <c r="DL68" s="135"/>
    </row>
    <row r="69" spans="1:118" ht="12.75" customHeight="1" x14ac:dyDescent="0.3">
      <c r="A69" s="106" t="s">
        <v>249</v>
      </c>
      <c r="B69" s="107" t="s">
        <v>249</v>
      </c>
      <c r="C69" s="107" t="s">
        <v>143</v>
      </c>
      <c r="D69" s="174" t="s">
        <v>135</v>
      </c>
      <c r="E69" s="109" t="s">
        <v>139</v>
      </c>
      <c r="F69" s="110" t="s">
        <v>133</v>
      </c>
      <c r="G69" s="109">
        <v>0</v>
      </c>
      <c r="H69" s="112">
        <v>14</v>
      </c>
      <c r="I69" s="112"/>
      <c r="J69" s="109" t="s">
        <v>139</v>
      </c>
      <c r="K69" s="108" t="s">
        <v>139</v>
      </c>
      <c r="L69" s="113" t="s">
        <v>139</v>
      </c>
      <c r="M69" s="109" t="s">
        <v>139</v>
      </c>
      <c r="N69" s="109" t="s">
        <v>135</v>
      </c>
      <c r="O69" s="112" t="s">
        <v>133</v>
      </c>
      <c r="P69" s="109">
        <v>0</v>
      </c>
      <c r="Q69" s="112">
        <f t="shared" si="0"/>
        <v>1</v>
      </c>
      <c r="R69" s="108" t="s">
        <v>135</v>
      </c>
      <c r="S69" s="112" t="s">
        <v>133</v>
      </c>
      <c r="T69" s="109">
        <f>IF(AND($G69&lt;$H69,$H69&lt;11),$T$4,0)</f>
        <v>0</v>
      </c>
      <c r="U69" s="109">
        <v>1</v>
      </c>
      <c r="V69" s="109">
        <v>1</v>
      </c>
      <c r="W69" s="109">
        <v>1</v>
      </c>
      <c r="X69" s="109">
        <f t="shared" si="3"/>
        <v>0</v>
      </c>
      <c r="Y69" s="109">
        <v>1</v>
      </c>
      <c r="Z69" s="109">
        <v>1</v>
      </c>
      <c r="AA69" s="109">
        <v>1</v>
      </c>
      <c r="AB69" s="109" t="s">
        <v>133</v>
      </c>
      <c r="AC69" s="109" t="s">
        <v>137</v>
      </c>
      <c r="AD69" s="109" t="s">
        <v>138</v>
      </c>
      <c r="AE69" s="109" t="s">
        <v>138</v>
      </c>
      <c r="AF69" s="94">
        <v>1</v>
      </c>
      <c r="AG69" s="108" t="s">
        <v>135</v>
      </c>
      <c r="AH69" s="109">
        <v>4</v>
      </c>
      <c r="AI69" s="109" t="s">
        <v>139</v>
      </c>
      <c r="AJ69" s="109" t="s">
        <v>139</v>
      </c>
      <c r="AK69" s="114" t="s">
        <v>139</v>
      </c>
      <c r="AL69" s="114"/>
      <c r="AM69" s="112">
        <f t="shared" si="41"/>
        <v>1</v>
      </c>
      <c r="AN69" s="112">
        <f t="shared" si="7"/>
        <v>0</v>
      </c>
      <c r="AO69" s="109">
        <f>IF(AB69="Nee",Tabel22620[[#This Row],[Aantal tracés verwacht na (ver)nieuwbouw]]*$AO$4,0)</f>
        <v>0</v>
      </c>
      <c r="AP69" s="109">
        <f t="shared" si="8"/>
        <v>0</v>
      </c>
      <c r="AQ69" s="109">
        <f t="shared" si="9"/>
        <v>0</v>
      </c>
      <c r="AR69" s="109">
        <f t="shared" si="10"/>
        <v>0</v>
      </c>
      <c r="AS69" s="109">
        <v>1</v>
      </c>
      <c r="AT69" s="109" t="s">
        <v>135</v>
      </c>
      <c r="AU69" s="108">
        <v>0</v>
      </c>
      <c r="AV69" s="115">
        <f t="shared" si="12"/>
        <v>2</v>
      </c>
      <c r="AW69" s="108" t="s">
        <v>135</v>
      </c>
      <c r="AX69" s="109">
        <v>3</v>
      </c>
      <c r="AY69" s="109"/>
      <c r="AZ69" s="112">
        <f t="shared" si="13"/>
        <v>2</v>
      </c>
      <c r="BA69" s="109"/>
      <c r="BB69" s="112">
        <f t="shared" si="14"/>
        <v>2</v>
      </c>
      <c r="BC69" s="112">
        <f t="shared" si="15"/>
        <v>2</v>
      </c>
      <c r="BD69" s="109">
        <v>3</v>
      </c>
      <c r="BE69" s="109">
        <v>3</v>
      </c>
      <c r="BF69" s="109">
        <v>2</v>
      </c>
      <c r="BG69" s="108"/>
      <c r="BH69" s="109"/>
      <c r="BI69" s="109"/>
      <c r="BJ69" s="109"/>
      <c r="BK69" s="109"/>
      <c r="BL69" s="116">
        <f t="shared" si="16"/>
        <v>0</v>
      </c>
      <c r="BM69" s="117">
        <v>1</v>
      </c>
      <c r="BN69" s="117"/>
      <c r="BO69" s="117"/>
      <c r="BP69" s="117"/>
      <c r="BQ69" s="117"/>
      <c r="BR69" s="117"/>
      <c r="BS69" s="117"/>
      <c r="BT69" s="117"/>
      <c r="BU69" s="117"/>
      <c r="BV69" s="118">
        <v>1</v>
      </c>
      <c r="BW69" s="117"/>
      <c r="BX69" s="117"/>
      <c r="BY69" s="119">
        <f>SUM(Tabel22620[[#This Row],[TS Basis / Compact 1]:[TS bedrijfs voering]])</f>
        <v>2</v>
      </c>
      <c r="BZ69" s="120"/>
      <c r="CA69" s="91"/>
      <c r="CB69" s="91">
        <v>1</v>
      </c>
      <c r="CC69" s="91">
        <v>1</v>
      </c>
      <c r="CD69" s="117"/>
      <c r="CE69" s="121">
        <v>1</v>
      </c>
      <c r="CF69" s="121"/>
      <c r="CG69" s="121"/>
      <c r="CH69" s="117"/>
      <c r="CI69" s="122"/>
      <c r="CJ69" s="136">
        <v>1</v>
      </c>
      <c r="CK69" s="124"/>
      <c r="CL69" s="124">
        <f t="shared" si="17"/>
        <v>1</v>
      </c>
      <c r="CM69" s="124">
        <f t="shared" si="18"/>
        <v>0</v>
      </c>
      <c r="CN69" s="137"/>
      <c r="CO69" s="124">
        <f t="shared" si="19"/>
        <v>6.6666666666666666E-2</v>
      </c>
      <c r="CP69" s="138">
        <f>99+(50*Tabel22620[[#This Row],[Aantal rookgasafvoer aangesloten]])</f>
        <v>299</v>
      </c>
      <c r="CQ69" s="138"/>
      <c r="CR69" s="124"/>
      <c r="CS69" s="139">
        <f t="shared" si="20"/>
        <v>5</v>
      </c>
      <c r="CT69" s="125">
        <f t="shared" si="26"/>
        <v>1</v>
      </c>
      <c r="CU69" s="125">
        <v>0</v>
      </c>
      <c r="CV69" s="125">
        <f t="shared" si="21"/>
        <v>125</v>
      </c>
      <c r="CW69" s="125">
        <f t="shared" si="22"/>
        <v>0</v>
      </c>
      <c r="CX69" s="125">
        <f t="shared" si="27"/>
        <v>0</v>
      </c>
      <c r="CY69" s="139"/>
      <c r="CZ69" s="139"/>
      <c r="DA69" s="125" t="e">
        <f>#REF!+CO69+CT69+CX69</f>
        <v>#REF!</v>
      </c>
      <c r="DB69" s="125">
        <f t="shared" si="39"/>
        <v>425</v>
      </c>
      <c r="DD69" s="104">
        <f>Tabel35721[[#This Row],[Rookgasafvoer Afschrijving 15 jaar]]</f>
        <v>6.6666666666666666E-2</v>
      </c>
      <c r="DE69" s="104">
        <f>Tabel35721[[#This Row],[Rookgasafvoer beheer per jaar (onderhoud)]]+Tabel35721[[#This Row],[Rookgasafvoer beheer (storingen) PM]]</f>
        <v>299</v>
      </c>
      <c r="DF69" s="126">
        <f t="shared" si="28"/>
        <v>299.06666666666666</v>
      </c>
      <c r="DG69" s="127"/>
      <c r="DH69" s="127" t="e">
        <f>#REF!+Tabel35721[[#This Row],[Lucht Afschrijving 5 jaar]]</f>
        <v>#REF!</v>
      </c>
      <c r="DI69" s="127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69" s="126" t="e">
        <f t="shared" si="29"/>
        <v>#REF!</v>
      </c>
      <c r="DK69" s="128" t="e">
        <f t="shared" si="30"/>
        <v>#REF!</v>
      </c>
      <c r="DL69" s="129"/>
      <c r="DM69" s="162" t="e">
        <f>SUM(DK68:DK69)</f>
        <v>#REF!</v>
      </c>
      <c r="DN69" s="163" t="s">
        <v>249</v>
      </c>
    </row>
    <row r="70" spans="1:118" ht="15" customHeight="1" x14ac:dyDescent="0.3">
      <c r="A70" s="106" t="s">
        <v>251</v>
      </c>
      <c r="B70" s="164" t="s">
        <v>252</v>
      </c>
      <c r="C70" s="164" t="s">
        <v>131</v>
      </c>
      <c r="D70" s="108" t="s">
        <v>131</v>
      </c>
      <c r="E70" s="109" t="s">
        <v>253</v>
      </c>
      <c r="F70" s="110" t="s">
        <v>133</v>
      </c>
      <c r="G70" s="109">
        <v>10</v>
      </c>
      <c r="H70" s="112">
        <v>10</v>
      </c>
      <c r="I70" s="112"/>
      <c r="J70" s="108" t="s">
        <v>152</v>
      </c>
      <c r="K70" s="108" t="s">
        <v>133</v>
      </c>
      <c r="L70" s="109">
        <v>2017</v>
      </c>
      <c r="M70" s="108" t="s">
        <v>153</v>
      </c>
      <c r="N70" s="108" t="s">
        <v>131</v>
      </c>
      <c r="O70" s="112" t="s">
        <v>133</v>
      </c>
      <c r="P70" s="109">
        <v>0</v>
      </c>
      <c r="Q70" s="112">
        <f t="shared" ref="Q70:Q76" si="44">IF(H70=14,(BY70-1),1)</f>
        <v>1</v>
      </c>
      <c r="R70" s="108" t="s">
        <v>135</v>
      </c>
      <c r="S70" s="112" t="s">
        <v>133</v>
      </c>
      <c r="T70" s="109">
        <f>IF(AND($G70&lt;$H70,$H70&lt;11),$T$4,0)</f>
        <v>0</v>
      </c>
      <c r="U70" s="109">
        <f>IF(AND($G70&lt;$H70,$H70&gt;13),$U$4,0)</f>
        <v>0</v>
      </c>
      <c r="V70" s="109">
        <f t="shared" ref="V70:V76" si="45">IF(AND($N70="Nee",$O70="ja"),$V$4,0)</f>
        <v>0</v>
      </c>
      <c r="W70" s="109">
        <v>1</v>
      </c>
      <c r="X70" s="109">
        <f t="shared" ref="X70:X76" si="46">IF(OR(T70&gt;0,U70&gt;6),$X$4,0)</f>
        <v>0</v>
      </c>
      <c r="Y70" s="109">
        <v>1</v>
      </c>
      <c r="Z70" s="109">
        <v>1</v>
      </c>
      <c r="AA70" s="109">
        <v>1</v>
      </c>
      <c r="AB70" s="109" t="s">
        <v>131</v>
      </c>
      <c r="AC70" s="109" t="s">
        <v>146</v>
      </c>
      <c r="AD70" s="109" t="s">
        <v>154</v>
      </c>
      <c r="AE70" s="109" t="s">
        <v>155</v>
      </c>
      <c r="AF70" s="94">
        <v>1</v>
      </c>
      <c r="AG70" s="109" t="s">
        <v>131</v>
      </c>
      <c r="AH70" s="109">
        <v>2</v>
      </c>
      <c r="AI70" s="109" t="s">
        <v>139</v>
      </c>
      <c r="AJ70" s="109" t="s">
        <v>156</v>
      </c>
      <c r="AK70" s="114" t="s">
        <v>156</v>
      </c>
      <c r="AL70" s="114"/>
      <c r="AM70" s="112">
        <v>0</v>
      </c>
      <c r="AN70" s="112">
        <f t="shared" ref="AN70:AN76" si="47">IF($AI70="Nee",1,0)</f>
        <v>0</v>
      </c>
      <c r="AO70" s="109">
        <f>IF(AB70="Nee",Tabel22620[[#This Row],[Aantal tracés verwacht na (ver)nieuwbouw]]*$AO$4,0)</f>
        <v>0</v>
      </c>
      <c r="AP70" s="109">
        <f t="shared" ref="AP70:AP75" si="48">IF(AI70="Nee",$AP$4*$AN70,0)</f>
        <v>0</v>
      </c>
      <c r="AQ70" s="109">
        <f t="shared" ref="AQ70:AQ74" si="49">IF(AE70="Overlander",$AQ$4*$AM70,0)</f>
        <v>0</v>
      </c>
      <c r="AR70" s="109">
        <f t="shared" ref="AR70:AR76" si="50">IF(AE70="Nedermann",$AR$4*$AM70,0)</f>
        <v>0</v>
      </c>
      <c r="AS70" s="109">
        <f t="shared" ref="AS70:AS76" si="51">IF(AE70="Onbekend",$AS$4*$AM70,0)</f>
        <v>0</v>
      </c>
      <c r="AT70" s="109" t="s">
        <v>131</v>
      </c>
      <c r="AU70" s="108">
        <v>2</v>
      </c>
      <c r="AV70" s="115">
        <f t="shared" ref="AV70:AV76" si="52">$BY70</f>
        <v>1</v>
      </c>
      <c r="AW70" s="109" t="s">
        <v>135</v>
      </c>
      <c r="AX70" s="109">
        <v>2</v>
      </c>
      <c r="AY70" s="109"/>
      <c r="AZ70" s="112">
        <f t="shared" ref="AZ70:AZ76" si="53">BY70</f>
        <v>1</v>
      </c>
      <c r="BA70" s="109"/>
      <c r="BB70" s="112">
        <f t="shared" ref="BB70:BB76" si="54">BY70</f>
        <v>1</v>
      </c>
      <c r="BC70" s="112">
        <f t="shared" ref="BC70:BC76" si="55">IF(AV70-AU70&gt;0,(AV70-AU70),0)</f>
        <v>0</v>
      </c>
      <c r="BD70" s="109">
        <v>1</v>
      </c>
      <c r="BE70" s="109">
        <v>2</v>
      </c>
      <c r="BF70" s="109">
        <v>1</v>
      </c>
      <c r="BG70" s="108"/>
      <c r="BH70" s="109"/>
      <c r="BI70" s="109"/>
      <c r="BJ70" s="109"/>
      <c r="BK70" s="109"/>
      <c r="BL70" s="116">
        <f t="shared" ref="BL70:BL76" si="56">BG70*3500+BH70*12000+BI70*7500+BJ70*6000+BK70*20000</f>
        <v>0</v>
      </c>
      <c r="BM70" s="117">
        <v>1</v>
      </c>
      <c r="BN70" s="117"/>
      <c r="BO70" s="117"/>
      <c r="BP70" s="117"/>
      <c r="BQ70" s="117"/>
      <c r="BR70" s="117"/>
      <c r="BS70" s="117"/>
      <c r="BT70" s="117"/>
      <c r="BU70" s="117"/>
      <c r="BV70" s="118"/>
      <c r="BW70" s="117"/>
      <c r="BX70" s="117"/>
      <c r="BY70" s="119">
        <f>SUM(Tabel22620[[#This Row],[TS Basis / Compact 1]:[TS bedrijfs voering]])</f>
        <v>1</v>
      </c>
      <c r="BZ70" s="120"/>
      <c r="CA70" s="91">
        <v>1</v>
      </c>
      <c r="CB70" s="91"/>
      <c r="CC70" s="91"/>
      <c r="CD70" s="117"/>
      <c r="CE70" s="121">
        <v>1</v>
      </c>
      <c r="CF70" s="121"/>
      <c r="CG70" s="121"/>
      <c r="CH70" s="117"/>
      <c r="CI70" s="122"/>
      <c r="CJ70" s="123">
        <v>1</v>
      </c>
      <c r="CK70" s="124">
        <v>1</v>
      </c>
      <c r="CL70" s="124">
        <f t="shared" ref="CL70:CL76" si="57">IF($AC70="Punt afzuiging",$AO$4*$BY70,0)+(AQ70+AR70+AS70)</f>
        <v>0</v>
      </c>
      <c r="CM70" s="124">
        <f t="shared" ref="CM70:CM76" si="58">IF($AC70="Punt afzuiging",$AP$4*($BP70+$BO70),0)</f>
        <v>0</v>
      </c>
      <c r="CN70" s="137"/>
      <c r="CO70" s="124">
        <f t="shared" ref="CO70:CO76" si="59">(CL70+CM70)/15</f>
        <v>0</v>
      </c>
      <c r="CP70" s="124">
        <f>99+(50*Tabel22620[[#This Row],[Aantal rookgasafvoer aangesloten]])</f>
        <v>199</v>
      </c>
      <c r="CQ70" s="124">
        <v>3</v>
      </c>
      <c r="CR70" s="124">
        <v>1</v>
      </c>
      <c r="CS70" s="139">
        <f t="shared" ref="CS70:CS76" si="60">BY70*$BD$4+(BE70+BF70)</f>
        <v>3</v>
      </c>
      <c r="CT70" s="125">
        <f t="shared" si="26"/>
        <v>0.6</v>
      </c>
      <c r="CU70" s="125">
        <v>0</v>
      </c>
      <c r="CV70" s="125">
        <f t="shared" ref="CV70:CV76" si="61">250*0.5</f>
        <v>125</v>
      </c>
      <c r="CW70" s="125">
        <f t="shared" ref="CW70:CW76" si="62">BL70</f>
        <v>0</v>
      </c>
      <c r="CX70" s="125">
        <f t="shared" si="27"/>
        <v>0</v>
      </c>
      <c r="CY70" s="139"/>
      <c r="CZ70" s="139"/>
      <c r="DA70" s="125" t="e">
        <f>#REF!+CO70+CT70+CX70</f>
        <v>#REF!</v>
      </c>
      <c r="DB70" s="125">
        <f t="shared" si="39"/>
        <v>327</v>
      </c>
      <c r="DD70" s="104">
        <f>Tabel35721[[#This Row],[Rookgasafvoer Afschrijving 15 jaar]]</f>
        <v>0</v>
      </c>
      <c r="DE70" s="104">
        <f>Tabel35721[[#This Row],[Rookgasafvoer beheer per jaar (onderhoud)]]+Tabel35721[[#This Row],[Rookgasafvoer beheer (storingen) PM]]</f>
        <v>200</v>
      </c>
      <c r="DF70" s="126">
        <f t="shared" si="28"/>
        <v>200</v>
      </c>
      <c r="DG70" s="127"/>
      <c r="DH70" s="127" t="e">
        <f>#REF!+Tabel35721[[#This Row],[Lucht Afschrijving 5 jaar]]</f>
        <v>#REF!</v>
      </c>
      <c r="DI70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0" s="126" t="e">
        <f t="shared" si="29"/>
        <v>#REF!</v>
      </c>
      <c r="DK70" s="128" t="e">
        <f t="shared" si="30"/>
        <v>#REF!</v>
      </c>
      <c r="DL70" s="135"/>
    </row>
    <row r="71" spans="1:118" ht="15" customHeight="1" x14ac:dyDescent="0.3">
      <c r="A71" s="106" t="s">
        <v>251</v>
      </c>
      <c r="B71" s="164" t="s">
        <v>254</v>
      </c>
      <c r="C71" s="164" t="s">
        <v>131</v>
      </c>
      <c r="D71" s="174" t="s">
        <v>135</v>
      </c>
      <c r="E71" s="109" t="s">
        <v>139</v>
      </c>
      <c r="F71" s="110" t="s">
        <v>133</v>
      </c>
      <c r="G71" s="109">
        <v>0</v>
      </c>
      <c r="H71" s="112">
        <v>10</v>
      </c>
      <c r="I71" s="112"/>
      <c r="J71" s="109" t="s">
        <v>139</v>
      </c>
      <c r="K71" s="108" t="s">
        <v>139</v>
      </c>
      <c r="L71" s="109" t="s">
        <v>139</v>
      </c>
      <c r="M71" s="109" t="s">
        <v>139</v>
      </c>
      <c r="N71" s="109" t="s">
        <v>135</v>
      </c>
      <c r="O71" s="112" t="s">
        <v>133</v>
      </c>
      <c r="P71" s="109">
        <v>0</v>
      </c>
      <c r="Q71" s="112">
        <f t="shared" si="44"/>
        <v>1</v>
      </c>
      <c r="R71" s="108" t="s">
        <v>135</v>
      </c>
      <c r="S71" s="112" t="s">
        <v>133</v>
      </c>
      <c r="T71" s="109">
        <v>1</v>
      </c>
      <c r="U71" s="109">
        <f>IF(AND($G71&lt;$H71,$H71&gt;13),$U$4,0)</f>
        <v>0</v>
      </c>
      <c r="V71" s="109">
        <v>1</v>
      </c>
      <c r="W71" s="109">
        <v>1</v>
      </c>
      <c r="X71" s="109">
        <v>1</v>
      </c>
      <c r="Y71" s="109">
        <v>1</v>
      </c>
      <c r="Z71" s="109">
        <v>1</v>
      </c>
      <c r="AA71" s="109">
        <v>1</v>
      </c>
      <c r="AB71" s="109" t="s">
        <v>131</v>
      </c>
      <c r="AC71" s="109" t="s">
        <v>137</v>
      </c>
      <c r="AD71" s="109" t="s">
        <v>255</v>
      </c>
      <c r="AE71" s="109" t="s">
        <v>138</v>
      </c>
      <c r="AF71" s="94">
        <v>1</v>
      </c>
      <c r="AG71" s="108" t="s">
        <v>135</v>
      </c>
      <c r="AH71" s="109">
        <v>0</v>
      </c>
      <c r="AI71" s="109" t="s">
        <v>139</v>
      </c>
      <c r="AJ71" s="109" t="s">
        <v>139</v>
      </c>
      <c r="AK71" s="114" t="s">
        <v>139</v>
      </c>
      <c r="AL71" s="114"/>
      <c r="AM71" s="112">
        <v>0</v>
      </c>
      <c r="AN71" s="112">
        <f t="shared" si="47"/>
        <v>0</v>
      </c>
      <c r="AO71" s="109">
        <f>IF(AB71="Nee",Tabel22620[[#This Row],[Aantal tracés verwacht na (ver)nieuwbouw]]*$AO$4,0)</f>
        <v>0</v>
      </c>
      <c r="AP71" s="109">
        <f t="shared" si="48"/>
        <v>0</v>
      </c>
      <c r="AQ71" s="109">
        <f t="shared" si="49"/>
        <v>0</v>
      </c>
      <c r="AR71" s="109">
        <f t="shared" si="50"/>
        <v>0</v>
      </c>
      <c r="AS71" s="109">
        <f t="shared" si="51"/>
        <v>0</v>
      </c>
      <c r="AT71" s="109" t="s">
        <v>135</v>
      </c>
      <c r="AU71" s="108">
        <v>0</v>
      </c>
      <c r="AV71" s="115">
        <f t="shared" si="52"/>
        <v>2</v>
      </c>
      <c r="AW71" s="109" t="s">
        <v>135</v>
      </c>
      <c r="AX71" s="109">
        <v>2</v>
      </c>
      <c r="AY71" s="109"/>
      <c r="AZ71" s="112">
        <f t="shared" si="53"/>
        <v>2</v>
      </c>
      <c r="BA71" s="109"/>
      <c r="BB71" s="112">
        <f t="shared" si="54"/>
        <v>2</v>
      </c>
      <c r="BC71" s="112">
        <f t="shared" si="55"/>
        <v>2</v>
      </c>
      <c r="BD71" s="109">
        <v>3</v>
      </c>
      <c r="BE71" s="109">
        <v>3</v>
      </c>
      <c r="BF71" s="109">
        <v>2</v>
      </c>
      <c r="BG71" s="108"/>
      <c r="BH71" s="109"/>
      <c r="BI71" s="109"/>
      <c r="BJ71" s="109"/>
      <c r="BK71" s="109"/>
      <c r="BL71" s="116">
        <f t="shared" si="56"/>
        <v>0</v>
      </c>
      <c r="BM71" s="117">
        <v>1</v>
      </c>
      <c r="BN71" s="117"/>
      <c r="BO71" s="117"/>
      <c r="BP71" s="117"/>
      <c r="BQ71" s="117"/>
      <c r="BR71" s="117"/>
      <c r="BS71" s="117"/>
      <c r="BT71" s="117"/>
      <c r="BU71" s="117"/>
      <c r="BV71" s="118">
        <v>1</v>
      </c>
      <c r="BW71" s="117"/>
      <c r="BX71" s="117"/>
      <c r="BY71" s="119">
        <f>SUM(Tabel22620[[#This Row],[TS Basis / Compact 1]:[TS bedrijfs voering]])</f>
        <v>2</v>
      </c>
      <c r="BZ71" s="120"/>
      <c r="CA71" s="91">
        <v>1</v>
      </c>
      <c r="CB71" s="91"/>
      <c r="CC71" s="91"/>
      <c r="CD71" s="117"/>
      <c r="CE71" s="121">
        <v>1</v>
      </c>
      <c r="CF71" s="121"/>
      <c r="CG71" s="121"/>
      <c r="CH71" s="117"/>
      <c r="CI71" s="122"/>
      <c r="CJ71" s="123">
        <v>1</v>
      </c>
      <c r="CK71" s="124">
        <v>1</v>
      </c>
      <c r="CL71" s="124">
        <f t="shared" si="57"/>
        <v>0</v>
      </c>
      <c r="CM71" s="124">
        <f t="shared" si="58"/>
        <v>0</v>
      </c>
      <c r="CN71" s="137"/>
      <c r="CO71" s="124">
        <f t="shared" si="59"/>
        <v>0</v>
      </c>
      <c r="CP71" s="124">
        <f>99+(50*Tabel22620[[#This Row],[Aantal rookgasafvoer aangesloten]])</f>
        <v>99</v>
      </c>
      <c r="CQ71" s="124">
        <v>1</v>
      </c>
      <c r="CR71" s="124">
        <v>1</v>
      </c>
      <c r="CS71" s="139">
        <f t="shared" si="60"/>
        <v>5</v>
      </c>
      <c r="CT71" s="125">
        <f t="shared" ref="CT71:CT76" si="63">CS71/5</f>
        <v>1</v>
      </c>
      <c r="CU71" s="125">
        <v>0</v>
      </c>
      <c r="CV71" s="125">
        <f t="shared" si="61"/>
        <v>125</v>
      </c>
      <c r="CW71" s="125">
        <f t="shared" si="62"/>
        <v>0</v>
      </c>
      <c r="CX71" s="125">
        <f t="shared" ref="CX71:CX76" si="64">CW71/15</f>
        <v>0</v>
      </c>
      <c r="CY71" s="139"/>
      <c r="CZ71" s="139"/>
      <c r="DA71" s="125" t="e">
        <f>#REF!+CO71+CT71+CX71</f>
        <v>#REF!</v>
      </c>
      <c r="DB71" s="125">
        <f t="shared" si="39"/>
        <v>227</v>
      </c>
      <c r="DD71" s="104">
        <f>Tabel35721[[#This Row],[Rookgasafvoer Afschrijving 15 jaar]]</f>
        <v>0</v>
      </c>
      <c r="DE71" s="104">
        <f>Tabel35721[[#This Row],[Rookgasafvoer beheer per jaar (onderhoud)]]+Tabel35721[[#This Row],[Rookgasafvoer beheer (storingen) PM]]</f>
        <v>100</v>
      </c>
      <c r="DF71" s="126">
        <f t="shared" ref="DF71:DF76" si="65">DD71+DE71</f>
        <v>100</v>
      </c>
      <c r="DG71" s="127"/>
      <c r="DH71" s="127" t="e">
        <f>#REF!+Tabel35721[[#This Row],[Lucht Afschrijving 5 jaar]]</f>
        <v>#REF!</v>
      </c>
      <c r="DI71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1" s="126" t="e">
        <f t="shared" ref="DJ71:DJ76" si="66">DH71+DI71</f>
        <v>#REF!</v>
      </c>
      <c r="DK71" s="128" t="e">
        <f t="shared" ref="DK71:DK76" si="67">DF71+DJ71</f>
        <v>#REF!</v>
      </c>
      <c r="DL71" s="135"/>
    </row>
    <row r="72" spans="1:118" ht="12.75" customHeight="1" x14ac:dyDescent="0.3">
      <c r="A72" s="106" t="s">
        <v>251</v>
      </c>
      <c r="B72" s="107" t="s">
        <v>251</v>
      </c>
      <c r="C72" s="107" t="s">
        <v>131</v>
      </c>
      <c r="D72" s="108" t="s">
        <v>133</v>
      </c>
      <c r="E72" s="109" t="s">
        <v>132</v>
      </c>
      <c r="F72" s="110" t="s">
        <v>133</v>
      </c>
      <c r="G72" s="109">
        <v>11</v>
      </c>
      <c r="H72" s="112">
        <v>10</v>
      </c>
      <c r="I72" s="112"/>
      <c r="J72" s="108"/>
      <c r="K72" s="108" t="s">
        <v>133</v>
      </c>
      <c r="L72" s="113">
        <v>2003</v>
      </c>
      <c r="M72" s="108" t="s">
        <v>136</v>
      </c>
      <c r="N72" s="108" t="s">
        <v>135</v>
      </c>
      <c r="O72" s="112" t="s">
        <v>133</v>
      </c>
      <c r="P72" s="109">
        <v>2</v>
      </c>
      <c r="Q72" s="112">
        <f t="shared" si="44"/>
        <v>1</v>
      </c>
      <c r="R72" s="108" t="s">
        <v>135</v>
      </c>
      <c r="S72" s="112" t="s">
        <v>133</v>
      </c>
      <c r="T72" s="109">
        <f>IF(AND($G72&lt;$H72,$H72&lt;11),$T$4,0)</f>
        <v>0</v>
      </c>
      <c r="U72" s="109">
        <f>IF(AND($G72&lt;$H72,$H72&gt;13),$U$4,0)</f>
        <v>0</v>
      </c>
      <c r="V72" s="109">
        <v>1</v>
      </c>
      <c r="W72" s="109">
        <f t="shared" ref="W72:W75" si="68">IF($P72&lt;$Q72,$Q72*$W$4,0)</f>
        <v>0</v>
      </c>
      <c r="X72" s="109">
        <f t="shared" si="46"/>
        <v>0</v>
      </c>
      <c r="Y72" s="109">
        <v>1</v>
      </c>
      <c r="Z72" s="109">
        <v>1</v>
      </c>
      <c r="AA72" s="109">
        <v>1</v>
      </c>
      <c r="AB72" s="109" t="s">
        <v>131</v>
      </c>
      <c r="AC72" s="109" t="s">
        <v>137</v>
      </c>
      <c r="AD72" s="109" t="s">
        <v>138</v>
      </c>
      <c r="AE72" s="109" t="s">
        <v>138</v>
      </c>
      <c r="AF72" s="94">
        <v>1</v>
      </c>
      <c r="AG72" s="108" t="s">
        <v>135</v>
      </c>
      <c r="AH72" s="109">
        <v>0</v>
      </c>
      <c r="AI72" s="109" t="s">
        <v>139</v>
      </c>
      <c r="AJ72" s="109" t="s">
        <v>139</v>
      </c>
      <c r="AK72" s="114"/>
      <c r="AL72" s="114"/>
      <c r="AM72" s="112">
        <f>BM72</f>
        <v>1</v>
      </c>
      <c r="AN72" s="112">
        <f t="shared" si="47"/>
        <v>0</v>
      </c>
      <c r="AO72" s="109">
        <f>IF(AB72="Nee",Tabel22620[[#This Row],[Aantal tracés verwacht na (ver)nieuwbouw]]*$AO$4,0)</f>
        <v>0</v>
      </c>
      <c r="AP72" s="109">
        <f t="shared" si="48"/>
        <v>0</v>
      </c>
      <c r="AQ72" s="109">
        <f t="shared" si="49"/>
        <v>0</v>
      </c>
      <c r="AR72" s="109">
        <f t="shared" si="50"/>
        <v>0</v>
      </c>
      <c r="AS72" s="109">
        <v>1</v>
      </c>
      <c r="AT72" s="109" t="s">
        <v>131</v>
      </c>
      <c r="AU72" s="108">
        <v>4</v>
      </c>
      <c r="AV72" s="115">
        <f t="shared" si="52"/>
        <v>3</v>
      </c>
      <c r="AW72" s="108" t="s">
        <v>133</v>
      </c>
      <c r="AX72" s="109">
        <v>6</v>
      </c>
      <c r="AY72" s="109"/>
      <c r="AZ72" s="112">
        <f t="shared" si="53"/>
        <v>3</v>
      </c>
      <c r="BA72" s="109"/>
      <c r="BB72" s="112">
        <f t="shared" si="54"/>
        <v>3</v>
      </c>
      <c r="BC72" s="112">
        <f t="shared" si="55"/>
        <v>0</v>
      </c>
      <c r="BD72" s="109">
        <f t="shared" ref="BD72:BD74" si="69">IF(AW72="Nee",((BC72+1)*$BD$4),(BC72*$BD$4))</f>
        <v>0</v>
      </c>
      <c r="BE72" s="109">
        <f t="shared" ref="BE72:BE74" si="70">IF(AW72="Nee",((BC72+1)*$BE$4),(BC72*$BE$4))</f>
        <v>0</v>
      </c>
      <c r="BF72" s="109">
        <v>3</v>
      </c>
      <c r="BG72" s="108"/>
      <c r="BH72" s="109"/>
      <c r="BI72" s="109"/>
      <c r="BJ72" s="109"/>
      <c r="BK72" s="109"/>
      <c r="BL72" s="116">
        <f t="shared" si="56"/>
        <v>0</v>
      </c>
      <c r="BM72" s="117">
        <v>1</v>
      </c>
      <c r="BN72" s="117"/>
      <c r="BO72" s="117"/>
      <c r="BP72" s="117"/>
      <c r="BQ72" s="117">
        <v>1</v>
      </c>
      <c r="BR72" s="117"/>
      <c r="BS72" s="117"/>
      <c r="BT72" s="117"/>
      <c r="BU72" s="117"/>
      <c r="BV72" s="118">
        <v>1</v>
      </c>
      <c r="BW72" s="117"/>
      <c r="BX72" s="117"/>
      <c r="BY72" s="119">
        <f>SUM(Tabel22620[[#This Row],[TS Basis / Compact 1]:[TS bedrijfs voering]])</f>
        <v>3</v>
      </c>
      <c r="BZ72" s="120"/>
      <c r="CA72" s="91">
        <v>1</v>
      </c>
      <c r="CB72" s="91"/>
      <c r="CC72" s="91"/>
      <c r="CD72" s="117">
        <v>1</v>
      </c>
      <c r="CE72" s="121">
        <v>1</v>
      </c>
      <c r="CF72" s="121"/>
      <c r="CG72" s="121"/>
      <c r="CH72" s="117">
        <v>1</v>
      </c>
      <c r="CI72" s="122"/>
      <c r="CJ72" s="123">
        <v>1</v>
      </c>
      <c r="CK72" s="124">
        <v>1</v>
      </c>
      <c r="CL72" s="124">
        <f t="shared" si="57"/>
        <v>1</v>
      </c>
      <c r="CM72" s="124">
        <f t="shared" si="58"/>
        <v>0</v>
      </c>
      <c r="CN72" s="137"/>
      <c r="CO72" s="124">
        <f t="shared" si="59"/>
        <v>6.6666666666666666E-2</v>
      </c>
      <c r="CP72" s="124">
        <f>99+(50*Tabel22620[[#This Row],[Aantal rookgasafvoer aangesloten]])</f>
        <v>99</v>
      </c>
      <c r="CQ72" s="124">
        <v>1</v>
      </c>
      <c r="CR72" s="124">
        <v>1</v>
      </c>
      <c r="CS72" s="139">
        <f t="shared" si="60"/>
        <v>3</v>
      </c>
      <c r="CT72" s="125">
        <f t="shared" si="63"/>
        <v>0.6</v>
      </c>
      <c r="CU72" s="125">
        <v>0</v>
      </c>
      <c r="CV72" s="125">
        <f t="shared" si="61"/>
        <v>125</v>
      </c>
      <c r="CW72" s="125">
        <f t="shared" si="62"/>
        <v>0</v>
      </c>
      <c r="CX72" s="125">
        <f t="shared" si="64"/>
        <v>0</v>
      </c>
      <c r="CY72" s="139"/>
      <c r="CZ72" s="139"/>
      <c r="DA72" s="125" t="e">
        <f>#REF!+CO72+CT72+CX72</f>
        <v>#REF!</v>
      </c>
      <c r="DB72" s="125">
        <f t="shared" si="39"/>
        <v>227</v>
      </c>
      <c r="DD72" s="104">
        <f>Tabel35721[[#This Row],[Rookgasafvoer Afschrijving 15 jaar]]</f>
        <v>6.6666666666666666E-2</v>
      </c>
      <c r="DE72" s="104">
        <f>Tabel35721[[#This Row],[Rookgasafvoer beheer per jaar (onderhoud)]]+Tabel35721[[#This Row],[Rookgasafvoer beheer (storingen) PM]]</f>
        <v>100</v>
      </c>
      <c r="DF72" s="126">
        <f t="shared" si="65"/>
        <v>100.06666666666666</v>
      </c>
      <c r="DG72" s="127"/>
      <c r="DH72" s="127" t="e">
        <f>#REF!+Tabel35721[[#This Row],[Lucht Afschrijving 5 jaar]]</f>
        <v>#REF!</v>
      </c>
      <c r="DI72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2" s="126" t="e">
        <f t="shared" si="66"/>
        <v>#REF!</v>
      </c>
      <c r="DK72" s="128" t="e">
        <f t="shared" si="67"/>
        <v>#REF!</v>
      </c>
      <c r="DL72" s="135"/>
    </row>
    <row r="73" spans="1:118" ht="15" customHeight="1" x14ac:dyDescent="0.3">
      <c r="A73" s="106" t="s">
        <v>251</v>
      </c>
      <c r="B73" s="164" t="s">
        <v>256</v>
      </c>
      <c r="C73" s="164" t="s">
        <v>131</v>
      </c>
      <c r="D73" s="108" t="s">
        <v>133</v>
      </c>
      <c r="E73" s="109" t="s">
        <v>232</v>
      </c>
      <c r="F73" s="110" t="s">
        <v>133</v>
      </c>
      <c r="G73" s="109">
        <v>10</v>
      </c>
      <c r="H73" s="112">
        <v>10</v>
      </c>
      <c r="I73" s="112"/>
      <c r="J73" s="108" t="s">
        <v>152</v>
      </c>
      <c r="K73" s="108" t="s">
        <v>133</v>
      </c>
      <c r="L73" s="113">
        <v>2017</v>
      </c>
      <c r="M73" s="108" t="s">
        <v>153</v>
      </c>
      <c r="N73" s="108" t="s">
        <v>131</v>
      </c>
      <c r="O73" s="112" t="s">
        <v>133</v>
      </c>
      <c r="P73" s="109">
        <v>0</v>
      </c>
      <c r="Q73" s="112">
        <f t="shared" si="44"/>
        <v>1</v>
      </c>
      <c r="R73" s="108" t="s">
        <v>135</v>
      </c>
      <c r="S73" s="112" t="s">
        <v>133</v>
      </c>
      <c r="T73" s="109">
        <f>IF(AND($G73&lt;$H73,$H73&lt;11),$T$4,0)</f>
        <v>0</v>
      </c>
      <c r="U73" s="109">
        <f>IF(AND($G73&lt;$H73,$H73&gt;13),$U$4,0)</f>
        <v>0</v>
      </c>
      <c r="V73" s="109">
        <f t="shared" si="45"/>
        <v>0</v>
      </c>
      <c r="W73" s="109">
        <v>1</v>
      </c>
      <c r="X73" s="109">
        <f t="shared" si="46"/>
        <v>0</v>
      </c>
      <c r="Y73" s="109">
        <v>1</v>
      </c>
      <c r="Z73" s="109">
        <v>1</v>
      </c>
      <c r="AA73" s="109">
        <v>1</v>
      </c>
      <c r="AB73" s="109" t="s">
        <v>131</v>
      </c>
      <c r="AC73" s="109" t="s">
        <v>146</v>
      </c>
      <c r="AD73" s="109" t="s">
        <v>154</v>
      </c>
      <c r="AE73" s="109" t="s">
        <v>155</v>
      </c>
      <c r="AF73" s="94">
        <v>1</v>
      </c>
      <c r="AG73" s="109" t="s">
        <v>131</v>
      </c>
      <c r="AH73" s="109">
        <v>1</v>
      </c>
      <c r="AI73" s="109" t="s">
        <v>139</v>
      </c>
      <c r="AJ73" s="109" t="s">
        <v>156</v>
      </c>
      <c r="AK73" s="114" t="s">
        <v>156</v>
      </c>
      <c r="AL73" s="114"/>
      <c r="AM73" s="112">
        <f>BM73</f>
        <v>1</v>
      </c>
      <c r="AN73" s="112">
        <f t="shared" si="47"/>
        <v>0</v>
      </c>
      <c r="AO73" s="109">
        <f>IF(AB73="Nee",Tabel22620[[#This Row],[Aantal tracés verwacht na (ver)nieuwbouw]]*$AO$4,0)</f>
        <v>0</v>
      </c>
      <c r="AP73" s="109">
        <f t="shared" si="48"/>
        <v>0</v>
      </c>
      <c r="AQ73" s="109">
        <v>1</v>
      </c>
      <c r="AR73" s="109">
        <f t="shared" si="50"/>
        <v>0</v>
      </c>
      <c r="AS73" s="109">
        <f t="shared" si="51"/>
        <v>0</v>
      </c>
      <c r="AT73" s="109" t="s">
        <v>131</v>
      </c>
      <c r="AU73" s="108">
        <v>1</v>
      </c>
      <c r="AV73" s="115">
        <f t="shared" si="52"/>
        <v>2</v>
      </c>
      <c r="AW73" s="109" t="s">
        <v>135</v>
      </c>
      <c r="AX73" s="109">
        <v>1</v>
      </c>
      <c r="AY73" s="109"/>
      <c r="AZ73" s="112">
        <f t="shared" si="53"/>
        <v>2</v>
      </c>
      <c r="BA73" s="109"/>
      <c r="BB73" s="112">
        <f t="shared" si="54"/>
        <v>2</v>
      </c>
      <c r="BC73" s="112">
        <f t="shared" si="55"/>
        <v>1</v>
      </c>
      <c r="BD73" s="109">
        <v>2</v>
      </c>
      <c r="BE73" s="109">
        <v>2</v>
      </c>
      <c r="BF73" s="109">
        <v>2</v>
      </c>
      <c r="BG73" s="108"/>
      <c r="BH73" s="109"/>
      <c r="BI73" s="109"/>
      <c r="BJ73" s="109"/>
      <c r="BK73" s="109"/>
      <c r="BL73" s="116">
        <f t="shared" si="56"/>
        <v>0</v>
      </c>
      <c r="BM73" s="117">
        <v>1</v>
      </c>
      <c r="BN73" s="117"/>
      <c r="BO73" s="117"/>
      <c r="BP73" s="117"/>
      <c r="BQ73" s="117"/>
      <c r="BR73" s="117"/>
      <c r="BS73" s="117"/>
      <c r="BT73" s="117"/>
      <c r="BU73" s="117"/>
      <c r="BV73" s="118">
        <v>1</v>
      </c>
      <c r="BW73" s="117"/>
      <c r="BX73" s="117"/>
      <c r="BY73" s="119">
        <f>SUM(Tabel22620[[#This Row],[TS Basis / Compact 1]:[TS bedrijfs voering]])</f>
        <v>2</v>
      </c>
      <c r="BZ73" s="120"/>
      <c r="CA73" s="91">
        <v>1</v>
      </c>
      <c r="CB73" s="91"/>
      <c r="CC73" s="91"/>
      <c r="CD73" s="117"/>
      <c r="CE73" s="121">
        <v>1</v>
      </c>
      <c r="CF73" s="121"/>
      <c r="CG73" s="121"/>
      <c r="CH73" s="117"/>
      <c r="CI73" s="122"/>
      <c r="CJ73" s="123">
        <v>1</v>
      </c>
      <c r="CK73" s="124">
        <v>1</v>
      </c>
      <c r="CL73" s="124">
        <f t="shared" si="57"/>
        <v>1</v>
      </c>
      <c r="CM73" s="124">
        <f t="shared" si="58"/>
        <v>0</v>
      </c>
      <c r="CN73" s="137"/>
      <c r="CO73" s="124">
        <f t="shared" si="59"/>
        <v>6.6666666666666666E-2</v>
      </c>
      <c r="CP73" s="124">
        <f>99+(50*Tabel22620[[#This Row],[Aantal rookgasafvoer aangesloten]])</f>
        <v>149</v>
      </c>
      <c r="CQ73" s="124">
        <v>2</v>
      </c>
      <c r="CR73" s="124">
        <v>1</v>
      </c>
      <c r="CS73" s="139">
        <f t="shared" si="60"/>
        <v>4</v>
      </c>
      <c r="CT73" s="125">
        <f t="shared" si="63"/>
        <v>0.8</v>
      </c>
      <c r="CU73" s="125">
        <v>0</v>
      </c>
      <c r="CV73" s="125">
        <f t="shared" si="61"/>
        <v>125</v>
      </c>
      <c r="CW73" s="125">
        <f t="shared" si="62"/>
        <v>0</v>
      </c>
      <c r="CX73" s="125">
        <f t="shared" si="64"/>
        <v>0</v>
      </c>
      <c r="CY73" s="139"/>
      <c r="CZ73" s="139"/>
      <c r="DA73" s="125" t="e">
        <f>#REF!+CO73+CT73+CX73</f>
        <v>#REF!</v>
      </c>
      <c r="DB73" s="125">
        <f t="shared" si="39"/>
        <v>277</v>
      </c>
      <c r="DD73" s="104">
        <f>Tabel35721[[#This Row],[Rookgasafvoer Afschrijving 15 jaar]]</f>
        <v>6.6666666666666666E-2</v>
      </c>
      <c r="DE73" s="104">
        <f>Tabel35721[[#This Row],[Rookgasafvoer beheer per jaar (onderhoud)]]+Tabel35721[[#This Row],[Rookgasafvoer beheer (storingen) PM]]</f>
        <v>150</v>
      </c>
      <c r="DF73" s="126">
        <f t="shared" si="65"/>
        <v>150.06666666666666</v>
      </c>
      <c r="DG73" s="127"/>
      <c r="DH73" s="127" t="e">
        <f>#REF!+Tabel35721[[#This Row],[Lucht Afschrijving 5 jaar]]</f>
        <v>#REF!</v>
      </c>
      <c r="DI73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3" s="126" t="e">
        <f t="shared" si="66"/>
        <v>#REF!</v>
      </c>
      <c r="DK73" s="128" t="e">
        <f t="shared" si="67"/>
        <v>#REF!</v>
      </c>
      <c r="DL73" s="129"/>
      <c r="DM73" s="162" t="e">
        <f>SUM(DK70:DK73)</f>
        <v>#REF!</v>
      </c>
      <c r="DN73" s="163" t="s">
        <v>251</v>
      </c>
    </row>
    <row r="74" spans="1:118" s="179" customFormat="1" ht="12.75" customHeight="1" x14ac:dyDescent="0.3">
      <c r="A74" s="89" t="s">
        <v>257</v>
      </c>
      <c r="B74" s="90" t="s">
        <v>257</v>
      </c>
      <c r="C74" s="90"/>
      <c r="D74" s="91" t="s">
        <v>133</v>
      </c>
      <c r="E74" s="92" t="s">
        <v>138</v>
      </c>
      <c r="F74" s="92" t="s">
        <v>133</v>
      </c>
      <c r="G74" s="92">
        <v>0</v>
      </c>
      <c r="H74" s="92">
        <v>14</v>
      </c>
      <c r="I74" s="91">
        <v>1</v>
      </c>
      <c r="J74" s="91" t="s">
        <v>144</v>
      </c>
      <c r="K74" s="91" t="s">
        <v>135</v>
      </c>
      <c r="L74" s="93"/>
      <c r="M74" s="91"/>
      <c r="N74" s="91" t="s">
        <v>143</v>
      </c>
      <c r="O74" s="92" t="s">
        <v>133</v>
      </c>
      <c r="P74" s="92">
        <v>0</v>
      </c>
      <c r="Q74" s="92">
        <f t="shared" si="44"/>
        <v>2</v>
      </c>
      <c r="R74" s="91" t="s">
        <v>135</v>
      </c>
      <c r="S74" s="92" t="s">
        <v>133</v>
      </c>
      <c r="T74" s="92">
        <f>IF(AND($G74&lt;$H74,$H74&lt;11),$T$4,0)</f>
        <v>0</v>
      </c>
      <c r="U74" s="92">
        <v>1</v>
      </c>
      <c r="V74" s="92">
        <v>1</v>
      </c>
      <c r="W74" s="92">
        <v>2</v>
      </c>
      <c r="X74" s="92">
        <f t="shared" si="46"/>
        <v>0</v>
      </c>
      <c r="Y74" s="92">
        <v>1</v>
      </c>
      <c r="Z74" s="92">
        <v>1</v>
      </c>
      <c r="AA74" s="92">
        <v>1</v>
      </c>
      <c r="AB74" s="92" t="s">
        <v>131</v>
      </c>
      <c r="AC74" s="92" t="s">
        <v>137</v>
      </c>
      <c r="AD74" s="92" t="s">
        <v>138</v>
      </c>
      <c r="AE74" s="92" t="s">
        <v>138</v>
      </c>
      <c r="AF74" s="94">
        <v>2</v>
      </c>
      <c r="AG74" s="91" t="s">
        <v>135</v>
      </c>
      <c r="AH74" s="92">
        <v>0</v>
      </c>
      <c r="AI74" s="92" t="s">
        <v>139</v>
      </c>
      <c r="AJ74" s="92" t="s">
        <v>139</v>
      </c>
      <c r="AK74" s="95" t="s">
        <v>139</v>
      </c>
      <c r="AL74" s="95"/>
      <c r="AM74" s="92">
        <f>BM74</f>
        <v>1</v>
      </c>
      <c r="AN74" s="92">
        <f t="shared" si="47"/>
        <v>0</v>
      </c>
      <c r="AO74" s="92">
        <f>IF(AB74="Nee",Tabel22620[[#This Row],[Aantal tracés verwacht na (ver)nieuwbouw]]*$AO$4,0)</f>
        <v>0</v>
      </c>
      <c r="AP74" s="92">
        <f t="shared" si="48"/>
        <v>0</v>
      </c>
      <c r="AQ74" s="92">
        <f t="shared" si="49"/>
        <v>0</v>
      </c>
      <c r="AR74" s="92">
        <f t="shared" si="50"/>
        <v>0</v>
      </c>
      <c r="AS74" s="92">
        <v>1</v>
      </c>
      <c r="AT74" s="92" t="s">
        <v>131</v>
      </c>
      <c r="AU74" s="91">
        <v>4</v>
      </c>
      <c r="AV74" s="91">
        <f t="shared" si="52"/>
        <v>3</v>
      </c>
      <c r="AW74" s="91" t="s">
        <v>133</v>
      </c>
      <c r="AX74" s="92">
        <v>6</v>
      </c>
      <c r="AY74" s="92"/>
      <c r="AZ74" s="92">
        <f t="shared" si="53"/>
        <v>3</v>
      </c>
      <c r="BA74" s="92"/>
      <c r="BB74" s="92">
        <f t="shared" si="54"/>
        <v>3</v>
      </c>
      <c r="BC74" s="92">
        <f t="shared" si="55"/>
        <v>0</v>
      </c>
      <c r="BD74" s="92">
        <f t="shared" si="69"/>
        <v>0</v>
      </c>
      <c r="BE74" s="92">
        <f t="shared" si="70"/>
        <v>0</v>
      </c>
      <c r="BF74" s="92">
        <v>3</v>
      </c>
      <c r="BG74" s="91"/>
      <c r="BH74" s="92"/>
      <c r="BI74" s="92"/>
      <c r="BJ74" s="92"/>
      <c r="BK74" s="92"/>
      <c r="BL74" s="96">
        <f t="shared" si="56"/>
        <v>0</v>
      </c>
      <c r="BM74" s="91">
        <v>1</v>
      </c>
      <c r="BN74" s="91"/>
      <c r="BO74" s="91"/>
      <c r="BP74" s="91">
        <v>1</v>
      </c>
      <c r="BQ74" s="91"/>
      <c r="BR74" s="91"/>
      <c r="BS74" s="91">
        <v>1</v>
      </c>
      <c r="BT74" s="91"/>
      <c r="BU74" s="91"/>
      <c r="BV74" s="97"/>
      <c r="BW74" s="91"/>
      <c r="BX74" s="91"/>
      <c r="BY74" s="98">
        <f>SUM(Tabel22620[[#This Row],[TS Basis / Compact 1]:[TS bedrijfs voering]])</f>
        <v>3</v>
      </c>
      <c r="BZ74" s="99"/>
      <c r="CA74" s="91"/>
      <c r="CB74" s="91">
        <v>1</v>
      </c>
      <c r="CC74" s="91">
        <v>1</v>
      </c>
      <c r="CD74" s="91"/>
      <c r="CE74" s="91"/>
      <c r="CF74" s="91">
        <v>1</v>
      </c>
      <c r="CG74" s="91">
        <v>1</v>
      </c>
      <c r="CH74" s="91"/>
      <c r="CI74" s="100"/>
      <c r="CJ74" s="101">
        <v>1</v>
      </c>
      <c r="CK74" s="102"/>
      <c r="CL74" s="102">
        <f t="shared" si="57"/>
        <v>1</v>
      </c>
      <c r="CM74" s="102">
        <f t="shared" si="58"/>
        <v>0</v>
      </c>
      <c r="CN74" s="176"/>
      <c r="CO74" s="102">
        <f t="shared" si="59"/>
        <v>6.6666666666666666E-2</v>
      </c>
      <c r="CP74" s="102">
        <f>99+(50*Tabel22620[[#This Row],[Aantal rookgasafvoer aangesloten]])</f>
        <v>99</v>
      </c>
      <c r="CQ74" s="102"/>
      <c r="CR74" s="102"/>
      <c r="CS74" s="178">
        <f t="shared" si="60"/>
        <v>3</v>
      </c>
      <c r="CT74" s="103">
        <f t="shared" si="63"/>
        <v>0.6</v>
      </c>
      <c r="CU74" s="103">
        <v>0</v>
      </c>
      <c r="CV74" s="103">
        <f t="shared" si="61"/>
        <v>125</v>
      </c>
      <c r="CW74" s="103">
        <f t="shared" si="62"/>
        <v>0</v>
      </c>
      <c r="CX74" s="103">
        <f t="shared" si="64"/>
        <v>0</v>
      </c>
      <c r="CY74" s="178"/>
      <c r="CZ74" s="178"/>
      <c r="DA74" s="103" t="e">
        <f>#REF!+CO74+CT74+CX74</f>
        <v>#REF!</v>
      </c>
      <c r="DB74" s="103">
        <f t="shared" si="39"/>
        <v>225</v>
      </c>
      <c r="DD74" s="104">
        <f>Tabel35721[[#This Row],[Rookgasafvoer Afschrijving 15 jaar]]</f>
        <v>6.6666666666666666E-2</v>
      </c>
      <c r="DE74" s="104">
        <f>Tabel35721[[#This Row],[Rookgasafvoer beheer per jaar (onderhoud)]]+Tabel35721[[#This Row],[Rookgasafvoer beheer (storingen) PM]]</f>
        <v>99</v>
      </c>
      <c r="DF74" s="104">
        <f t="shared" si="65"/>
        <v>99.066666666666663</v>
      </c>
      <c r="DG74" s="104"/>
      <c r="DH74" s="104" t="e">
        <f>#REF!+Tabel35721[[#This Row],[Lucht Afschrijving 5 jaar]]</f>
        <v>#REF!</v>
      </c>
      <c r="DI74" s="104">
        <f>Tabel35721[[#This Row],[Compressor beheer per jaar (onderhoud)]]+Tabel35721[[#This Row],[Compressor beheer (storingen) PM]]+Tabel35721[[#This Row],[Lucht beheer per jaar (onderhoud)]]+Tabel35721[[#This Row],[Lucht beheer (storingen) PM]]</f>
        <v>126</v>
      </c>
      <c r="DJ74" s="104" t="e">
        <f t="shared" si="66"/>
        <v>#REF!</v>
      </c>
      <c r="DK74" s="104" t="e">
        <f t="shared" si="67"/>
        <v>#REF!</v>
      </c>
      <c r="DL74" s="199"/>
      <c r="DM74" s="180" t="e">
        <f>SUM(DK74)</f>
        <v>#REF!</v>
      </c>
      <c r="DN74" s="181" t="s">
        <v>257</v>
      </c>
    </row>
    <row r="75" spans="1:118" s="159" customFormat="1" x14ac:dyDescent="0.3">
      <c r="A75" s="142" t="s">
        <v>258</v>
      </c>
      <c r="B75" s="167" t="s">
        <v>259</v>
      </c>
      <c r="C75" s="167" t="s">
        <v>131</v>
      </c>
      <c r="D75" s="144" t="s">
        <v>133</v>
      </c>
      <c r="E75" s="145" t="s">
        <v>164</v>
      </c>
      <c r="F75" s="145" t="s">
        <v>133</v>
      </c>
      <c r="G75" s="145">
        <v>8</v>
      </c>
      <c r="H75" s="145">
        <v>10</v>
      </c>
      <c r="I75" s="145"/>
      <c r="J75" s="144" t="s">
        <v>152</v>
      </c>
      <c r="K75" s="144" t="s">
        <v>131</v>
      </c>
      <c r="L75" s="146">
        <v>1999</v>
      </c>
      <c r="M75" s="144" t="s">
        <v>153</v>
      </c>
      <c r="N75" s="144" t="s">
        <v>135</v>
      </c>
      <c r="O75" s="145" t="s">
        <v>133</v>
      </c>
      <c r="P75" s="145" t="s">
        <v>159</v>
      </c>
      <c r="Q75" s="145">
        <f t="shared" si="44"/>
        <v>1</v>
      </c>
      <c r="R75" s="144" t="s">
        <v>135</v>
      </c>
      <c r="S75" s="145" t="s">
        <v>133</v>
      </c>
      <c r="T75" s="145">
        <v>1</v>
      </c>
      <c r="U75" s="145">
        <f>IF(AND($G75&lt;$H75,$H75&gt;13),$U$4,0)</f>
        <v>0</v>
      </c>
      <c r="V75" s="145">
        <v>1</v>
      </c>
      <c r="W75" s="145">
        <f t="shared" si="68"/>
        <v>0</v>
      </c>
      <c r="X75" s="145">
        <v>1</v>
      </c>
      <c r="Y75" s="145">
        <v>1</v>
      </c>
      <c r="Z75" s="145">
        <v>1</v>
      </c>
      <c r="AA75" s="145">
        <v>1</v>
      </c>
      <c r="AB75" s="145" t="s">
        <v>131</v>
      </c>
      <c r="AC75" s="145" t="s">
        <v>146</v>
      </c>
      <c r="AD75" s="145" t="s">
        <v>139</v>
      </c>
      <c r="AE75" s="145"/>
      <c r="AF75" s="94">
        <v>0</v>
      </c>
      <c r="AG75" s="145" t="s">
        <v>131</v>
      </c>
      <c r="AH75" s="145">
        <v>1</v>
      </c>
      <c r="AI75" s="145" t="s">
        <v>139</v>
      </c>
      <c r="AJ75" s="145" t="s">
        <v>156</v>
      </c>
      <c r="AK75" s="147" t="s">
        <v>156</v>
      </c>
      <c r="AL75" s="147"/>
      <c r="AM75" s="145">
        <f>BM75</f>
        <v>1</v>
      </c>
      <c r="AN75" s="145">
        <f t="shared" si="47"/>
        <v>0</v>
      </c>
      <c r="AO75" s="145">
        <f>IF(AB75="Nee",Tabel22620[[#This Row],[Aantal tracés verwacht na (ver)nieuwbouw]]*$AO$4,0)</f>
        <v>0</v>
      </c>
      <c r="AP75" s="145">
        <f t="shared" si="48"/>
        <v>0</v>
      </c>
      <c r="AQ75" s="145">
        <v>1</v>
      </c>
      <c r="AR75" s="145">
        <f t="shared" si="50"/>
        <v>0</v>
      </c>
      <c r="AS75" s="145">
        <f t="shared" si="51"/>
        <v>0</v>
      </c>
      <c r="AT75" s="145" t="s">
        <v>131</v>
      </c>
      <c r="AU75" s="144">
        <v>1</v>
      </c>
      <c r="AV75" s="144">
        <f t="shared" si="52"/>
        <v>1</v>
      </c>
      <c r="AW75" s="145" t="s">
        <v>135</v>
      </c>
      <c r="AX75" s="145">
        <v>1</v>
      </c>
      <c r="AY75" s="145"/>
      <c r="AZ75" s="145">
        <f t="shared" si="53"/>
        <v>1</v>
      </c>
      <c r="BA75" s="145"/>
      <c r="BB75" s="145">
        <f t="shared" si="54"/>
        <v>1</v>
      </c>
      <c r="BC75" s="145">
        <f t="shared" si="55"/>
        <v>0</v>
      </c>
      <c r="BD75" s="145">
        <v>1</v>
      </c>
      <c r="BE75" s="145">
        <v>1</v>
      </c>
      <c r="BF75" s="145">
        <v>1</v>
      </c>
      <c r="BG75" s="144"/>
      <c r="BH75" s="145"/>
      <c r="BI75" s="145"/>
      <c r="BJ75" s="145"/>
      <c r="BK75" s="145"/>
      <c r="BL75" s="148">
        <f t="shared" si="56"/>
        <v>0</v>
      </c>
      <c r="BM75" s="144">
        <v>1</v>
      </c>
      <c r="BN75" s="144"/>
      <c r="BO75" s="144"/>
      <c r="BP75" s="144"/>
      <c r="BQ75" s="144"/>
      <c r="BR75" s="144"/>
      <c r="BS75" s="144"/>
      <c r="BT75" s="144"/>
      <c r="BU75" s="144"/>
      <c r="BV75" s="149"/>
      <c r="BW75" s="144"/>
      <c r="BX75" s="144"/>
      <c r="BY75" s="150">
        <f>SUM(Tabel22620[[#This Row],[TS Basis / Compact 1]:[TS bedrijfs voering]])</f>
        <v>1</v>
      </c>
      <c r="BZ75" s="151"/>
      <c r="CA75" s="144">
        <v>1</v>
      </c>
      <c r="CB75" s="144"/>
      <c r="CC75" s="144"/>
      <c r="CD75" s="144"/>
      <c r="CE75" s="144"/>
      <c r="CF75" s="144" t="s">
        <v>168</v>
      </c>
      <c r="CG75" s="144" t="s">
        <v>168</v>
      </c>
      <c r="CH75" s="144"/>
      <c r="CI75" s="152"/>
      <c r="CJ75" s="153">
        <v>1</v>
      </c>
      <c r="CK75" s="154">
        <v>1</v>
      </c>
      <c r="CL75" s="154">
        <f t="shared" si="57"/>
        <v>1</v>
      </c>
      <c r="CM75" s="154">
        <f t="shared" si="58"/>
        <v>0</v>
      </c>
      <c r="CN75" s="155"/>
      <c r="CO75" s="154">
        <f t="shared" si="59"/>
        <v>6.6666666666666666E-2</v>
      </c>
      <c r="CP75" s="156">
        <f>99+(50*Tabel22620[[#This Row],[Aantal rookgasafvoer aangesloten]])</f>
        <v>149</v>
      </c>
      <c r="CQ75" s="156">
        <v>2</v>
      </c>
      <c r="CR75" s="154">
        <v>1</v>
      </c>
      <c r="CS75" s="157">
        <f t="shared" si="60"/>
        <v>2</v>
      </c>
      <c r="CT75" s="158">
        <f t="shared" si="63"/>
        <v>0.4</v>
      </c>
      <c r="CU75" s="158">
        <v>0</v>
      </c>
      <c r="CV75" s="158">
        <f t="shared" si="61"/>
        <v>125</v>
      </c>
      <c r="CW75" s="158">
        <f t="shared" si="62"/>
        <v>0</v>
      </c>
      <c r="CX75" s="158">
        <f t="shared" si="64"/>
        <v>0</v>
      </c>
      <c r="CY75" s="157">
        <f>3*250</f>
        <v>750</v>
      </c>
      <c r="CZ75" s="157">
        <f>3*500</f>
        <v>1500</v>
      </c>
      <c r="DA75" s="158" t="e">
        <f>#REF!+CO75+CT75+CX75</f>
        <v>#REF!</v>
      </c>
      <c r="DB75" s="158">
        <f t="shared" si="39"/>
        <v>2527</v>
      </c>
      <c r="DD75" s="104">
        <f>Tabel35721[[#This Row],[Rookgasafvoer Afschrijving 15 jaar]]</f>
        <v>6.6666666666666666E-2</v>
      </c>
      <c r="DE75" s="104">
        <f>Tabel35721[[#This Row],[Rookgasafvoer beheer per jaar (onderhoud)]]+Tabel35721[[#This Row],[Rookgasafvoer beheer (storingen) PM]]</f>
        <v>150</v>
      </c>
      <c r="DF75" s="160">
        <f t="shared" si="65"/>
        <v>150.06666666666666</v>
      </c>
      <c r="DG75" s="160"/>
      <c r="DH75" s="160" t="e">
        <f>#REF!+Tabel35721[[#This Row],[Lucht Afschrijving 5 jaar]]</f>
        <v>#REF!</v>
      </c>
      <c r="DI75" s="160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5" s="160" t="e">
        <f t="shared" si="66"/>
        <v>#REF!</v>
      </c>
      <c r="DK75" s="160" t="e">
        <f t="shared" si="67"/>
        <v>#REF!</v>
      </c>
      <c r="DL75" s="161"/>
    </row>
    <row r="76" spans="1:118" ht="15" customHeight="1" x14ac:dyDescent="0.3">
      <c r="A76" s="200" t="s">
        <v>258</v>
      </c>
      <c r="B76" s="201" t="s">
        <v>258</v>
      </c>
      <c r="C76" s="201" t="s">
        <v>131</v>
      </c>
      <c r="D76" s="202" t="s">
        <v>133</v>
      </c>
      <c r="E76" s="203" t="s">
        <v>151</v>
      </c>
      <c r="F76" s="204" t="s">
        <v>133</v>
      </c>
      <c r="G76" s="203">
        <v>10</v>
      </c>
      <c r="H76" s="205">
        <v>14</v>
      </c>
      <c r="I76" s="205"/>
      <c r="J76" s="202" t="s">
        <v>134</v>
      </c>
      <c r="K76" s="202" t="s">
        <v>131</v>
      </c>
      <c r="L76" s="206">
        <v>2009</v>
      </c>
      <c r="M76" s="202" t="s">
        <v>136</v>
      </c>
      <c r="N76" s="202" t="s">
        <v>131</v>
      </c>
      <c r="O76" s="205" t="s">
        <v>133</v>
      </c>
      <c r="P76" s="203">
        <v>1</v>
      </c>
      <c r="Q76" s="205">
        <f t="shared" si="44"/>
        <v>5</v>
      </c>
      <c r="R76" s="202" t="s">
        <v>133</v>
      </c>
      <c r="S76" s="205" t="s">
        <v>133</v>
      </c>
      <c r="T76" s="203">
        <f>IF(AND($G76&lt;$H76,$H76&lt;11),$T$4,0)</f>
        <v>0</v>
      </c>
      <c r="U76" s="203">
        <v>1</v>
      </c>
      <c r="V76" s="203">
        <f t="shared" si="45"/>
        <v>0</v>
      </c>
      <c r="W76" s="203">
        <v>5</v>
      </c>
      <c r="X76" s="203">
        <f t="shared" si="46"/>
        <v>0</v>
      </c>
      <c r="Y76" s="203">
        <f t="shared" ref="Y76" si="71">IF(AND($R76="Nee",$S76="ja"),$Y$4,0)</f>
        <v>0</v>
      </c>
      <c r="Z76" s="203">
        <f t="shared" ref="Z76" si="72">IF($Y76&gt;0,$Z$4,0)</f>
        <v>0</v>
      </c>
      <c r="AA76" s="203">
        <f t="shared" ref="AA76" si="73">IF($Y76&gt;0,$AA$4,0)</f>
        <v>0</v>
      </c>
      <c r="AB76" s="203" t="s">
        <v>131</v>
      </c>
      <c r="AC76" s="203" t="s">
        <v>146</v>
      </c>
      <c r="AD76" s="203" t="s">
        <v>154</v>
      </c>
      <c r="AE76" s="203" t="s">
        <v>155</v>
      </c>
      <c r="AF76" s="94">
        <v>1</v>
      </c>
      <c r="AG76" s="203" t="s">
        <v>131</v>
      </c>
      <c r="AH76" s="203">
        <v>6</v>
      </c>
      <c r="AI76" s="203" t="s">
        <v>135</v>
      </c>
      <c r="AJ76" s="203" t="s">
        <v>156</v>
      </c>
      <c r="AK76" s="207" t="s">
        <v>156</v>
      </c>
      <c r="AL76" s="114"/>
      <c r="AM76" s="205">
        <v>1</v>
      </c>
      <c r="AN76" s="205">
        <f t="shared" si="47"/>
        <v>1</v>
      </c>
      <c r="AO76" s="203">
        <f>IF(AB76="Nee",Tabel22620[[#This Row],[Aantal tracés verwacht na (ver)nieuwbouw]]*$AO$4,0)</f>
        <v>0</v>
      </c>
      <c r="AP76" s="203">
        <v>1</v>
      </c>
      <c r="AQ76" s="203">
        <v>1</v>
      </c>
      <c r="AR76" s="203">
        <f t="shared" si="50"/>
        <v>0</v>
      </c>
      <c r="AS76" s="203">
        <f t="shared" si="51"/>
        <v>0</v>
      </c>
      <c r="AT76" s="203" t="s">
        <v>131</v>
      </c>
      <c r="AU76" s="202">
        <v>5</v>
      </c>
      <c r="AV76" s="208">
        <f t="shared" si="52"/>
        <v>6</v>
      </c>
      <c r="AW76" s="202" t="s">
        <v>133</v>
      </c>
      <c r="AX76" s="203">
        <v>8</v>
      </c>
      <c r="AY76" s="203"/>
      <c r="AZ76" s="205">
        <f t="shared" si="53"/>
        <v>6</v>
      </c>
      <c r="BA76" s="203"/>
      <c r="BB76" s="205">
        <f t="shared" si="54"/>
        <v>6</v>
      </c>
      <c r="BC76" s="205">
        <f t="shared" si="55"/>
        <v>1</v>
      </c>
      <c r="BD76" s="203">
        <v>1</v>
      </c>
      <c r="BE76" s="203">
        <v>1</v>
      </c>
      <c r="BF76" s="203">
        <v>6</v>
      </c>
      <c r="BG76" s="202"/>
      <c r="BH76" s="202">
        <v>1</v>
      </c>
      <c r="BI76" s="202"/>
      <c r="BJ76" s="202">
        <v>1</v>
      </c>
      <c r="BK76" s="202">
        <v>1</v>
      </c>
      <c r="BL76" s="209">
        <f t="shared" si="56"/>
        <v>38000</v>
      </c>
      <c r="BM76" s="210">
        <v>1</v>
      </c>
      <c r="BN76" s="210">
        <v>2</v>
      </c>
      <c r="BO76" s="210"/>
      <c r="BP76" s="210">
        <v>1</v>
      </c>
      <c r="BQ76" s="210">
        <v>1</v>
      </c>
      <c r="BR76" s="210"/>
      <c r="BS76" s="210">
        <v>1</v>
      </c>
      <c r="BT76" s="210"/>
      <c r="BU76" s="210"/>
      <c r="BV76" s="211"/>
      <c r="BW76" s="210"/>
      <c r="BX76" s="210"/>
      <c r="BY76" s="212">
        <f>SUM(Tabel22620[[#This Row],[TS Basis / Compact 1]:[TS bedrijfs voering]])</f>
        <v>6</v>
      </c>
      <c r="BZ76" s="120"/>
      <c r="CA76" s="91"/>
      <c r="CB76" s="91">
        <v>1</v>
      </c>
      <c r="CC76" s="91">
        <v>1</v>
      </c>
      <c r="CD76" s="210">
        <v>1</v>
      </c>
      <c r="CE76" s="121">
        <v>1</v>
      </c>
      <c r="CF76" s="121"/>
      <c r="CG76" s="121"/>
      <c r="CH76" s="210">
        <v>1</v>
      </c>
      <c r="CI76" s="122"/>
      <c r="CJ76" s="136">
        <v>1</v>
      </c>
      <c r="CK76" s="124">
        <v>1</v>
      </c>
      <c r="CL76" s="124">
        <f t="shared" si="57"/>
        <v>1</v>
      </c>
      <c r="CM76" s="124">
        <f t="shared" si="58"/>
        <v>0</v>
      </c>
      <c r="CN76" s="137"/>
      <c r="CO76" s="124">
        <f t="shared" si="59"/>
        <v>6.6666666666666666E-2</v>
      </c>
      <c r="CP76" s="138">
        <f>99+(50*Tabel22620[[#This Row],[Aantal rookgasafvoer aangesloten]])</f>
        <v>399</v>
      </c>
      <c r="CQ76" s="138">
        <v>7</v>
      </c>
      <c r="CR76" s="124">
        <v>1</v>
      </c>
      <c r="CS76" s="139">
        <f t="shared" si="60"/>
        <v>7</v>
      </c>
      <c r="CT76" s="125">
        <f t="shared" si="63"/>
        <v>1.4</v>
      </c>
      <c r="CU76" s="125">
        <v>0</v>
      </c>
      <c r="CV76" s="125">
        <f t="shared" si="61"/>
        <v>125</v>
      </c>
      <c r="CW76" s="125">
        <f t="shared" si="62"/>
        <v>38000</v>
      </c>
      <c r="CX76" s="125">
        <f t="shared" si="64"/>
        <v>2533.3333333333335</v>
      </c>
      <c r="CY76" s="139"/>
      <c r="CZ76" s="139"/>
      <c r="DA76" s="125" t="e">
        <f>#REF!+CO76+CT76+CX76</f>
        <v>#REF!</v>
      </c>
      <c r="DB76" s="125">
        <f t="shared" si="39"/>
        <v>527</v>
      </c>
      <c r="DD76" s="104">
        <f>Tabel35721[[#This Row],[Rookgasafvoer Afschrijving 15 jaar]]</f>
        <v>6.6666666666666666E-2</v>
      </c>
      <c r="DE76" s="104">
        <f>Tabel35721[[#This Row],[Rookgasafvoer beheer per jaar (onderhoud)]]+Tabel35721[[#This Row],[Rookgasafvoer beheer (storingen) PM]]</f>
        <v>400</v>
      </c>
      <c r="DF76" s="126">
        <f t="shared" si="65"/>
        <v>400.06666666666666</v>
      </c>
      <c r="DG76" s="127"/>
      <c r="DH76" s="127" t="e">
        <f>#REF!+Tabel35721[[#This Row],[Lucht Afschrijving 5 jaar]]</f>
        <v>#REF!</v>
      </c>
      <c r="DI76" s="127">
        <f>Tabel35721[[#This Row],[Compressor beheer per jaar (onderhoud)]]+Tabel35721[[#This Row],[Compressor beheer (storingen) PM]]+Tabel35721[[#This Row],[Lucht beheer per jaar (onderhoud)]]+Tabel35721[[#This Row],[Lucht beheer (storingen) PM]]</f>
        <v>127</v>
      </c>
      <c r="DJ76" s="126" t="e">
        <f t="shared" si="66"/>
        <v>#REF!</v>
      </c>
      <c r="DK76" s="128" t="e">
        <f t="shared" si="67"/>
        <v>#REF!</v>
      </c>
      <c r="DL76" s="129"/>
      <c r="DM76" s="162" t="e">
        <f>SUM(DK75:DK76)</f>
        <v>#REF!</v>
      </c>
      <c r="DN76" s="163" t="s">
        <v>258</v>
      </c>
    </row>
    <row r="77" spans="1:118" x14ac:dyDescent="0.3">
      <c r="A77" s="213"/>
      <c r="S77" s="214" t="s">
        <v>260</v>
      </c>
      <c r="T77" s="215">
        <f>SUBTOTAL(109,Tabel22620[Compressor max druk 10 bar])</f>
        <v>19</v>
      </c>
      <c r="U77" s="215">
        <f>SUBTOTAL(109,Tabel22620[Compressor max druk 15 bar])</f>
        <v>17</v>
      </c>
      <c r="V77" s="215">
        <f>SUBTOTAL(109,Tabel22620[Automatische condensaftap2])</f>
        <v>29</v>
      </c>
      <c r="W77" s="215">
        <f>SUBTOTAL(109,Tabel22620[Drukregelaar met waterafscheider2])</f>
        <v>59</v>
      </c>
      <c r="X77" s="215">
        <f>SUBTOTAL(109,Tabel22620[Plaatsingskosten compresor])</f>
        <v>19</v>
      </c>
      <c r="Y77" s="215">
        <f>SUBTOTAL(109,Tabel22620[Perslucht koeldroger])</f>
        <v>52</v>
      </c>
      <c r="Z77" s="215">
        <f>SUBTOTAL(109,Tabel22620[Aansluitset koeldroger])</f>
        <v>52</v>
      </c>
      <c r="AA77" s="215">
        <f>SUBTOTAL(109,Tabel22620[Plaatsingskosten koeldroger])</f>
        <v>52</v>
      </c>
      <c r="AB77" s="216"/>
      <c r="AN77" s="214" t="s">
        <v>260</v>
      </c>
      <c r="AO77" s="217">
        <f>SUBTOTAL(109,Tabel22620[Rookgasafzuiging type SBT (tbv TS) incl. montage - volledige installatie])</f>
        <v>10</v>
      </c>
      <c r="AP77" s="217">
        <f>SUBTOTAL(109,Tabel22620[Rookgasafzuiging type VSR (tbv CCFM) incl. montage - nieuw])</f>
        <v>13</v>
      </c>
      <c r="AQ77" s="217">
        <f>SUBTOTAL(109,Tabel22620[Aanpassing Overlandersysteem naar Euro 6 incl. montage])</f>
        <v>32</v>
      </c>
      <c r="AR77" s="217">
        <f>SUBTOTAL(109,Tabel22620[Aanpassing Nedermansysteem naar Euro 6 incl. montage])</f>
        <v>14</v>
      </c>
      <c r="AS77" s="217">
        <f>SUBTOTAL(109,Tabel22620[Aanpassing onbekend systeem naar Euro 6 incl. montage])</f>
        <v>11</v>
      </c>
      <c r="BC77" s="214" t="s">
        <v>260</v>
      </c>
      <c r="BD77" s="215">
        <f>SUBTOTAL(109,Tabel22620[Luchtaansluiting leidingwerk (max  25 m)])</f>
        <v>84</v>
      </c>
      <c r="BE77" s="215">
        <f>SUBTOTAL(109,Tabel22620[Slanghaspel(s) lucht incl. koppeling3])</f>
        <v>86</v>
      </c>
      <c r="BF77" s="215">
        <f>SUBTOTAL(109,Tabel22620[CCE stekker])</f>
        <v>153</v>
      </c>
      <c r="BL77" s="116">
        <f>SUBTOTAL(109,Tabel22620[Kosten reeds uitgevoerde investering brug(gen)])</f>
        <v>61000</v>
      </c>
      <c r="BM77" s="218">
        <f>SUBTOTAL(109,Tabel22620[TS Basis / Compact 1])</f>
        <v>69</v>
      </c>
      <c r="BN77" s="218">
        <f>SUBTOTAL(109,Tabel22620[TS Basis / Compact 2])</f>
        <v>8</v>
      </c>
      <c r="BO77" s="218">
        <f>SUBTOTAL(109,Tabel22620[TS Combi (4x4)])</f>
        <v>0</v>
      </c>
      <c r="BP77" s="218">
        <f>SUBTOTAL(109,Tabel22620[CCFM])</f>
        <v>16</v>
      </c>
      <c r="BQ77" s="218">
        <f>SUBTOTAL(109,Tabel22620[Red voertuig])</f>
        <v>12</v>
      </c>
      <c r="BR77" s="218">
        <f>SUBTOTAL(109,Tabel22620[Hulpverlening])</f>
        <v>12</v>
      </c>
      <c r="BS77" s="218">
        <f>SUBTOTAL(109,Tabel22620[Haakarm])</f>
        <v>9</v>
      </c>
      <c r="BT77" s="218">
        <f>SUBTOTAL(109,Tabel22620[Water ongevallen])</f>
        <v>2</v>
      </c>
      <c r="BU77" s="218">
        <f>SUBTOTAL(109,Tabel22620[Schuim blus])</f>
        <v>1</v>
      </c>
      <c r="BV77" s="219">
        <f>SUBTOTAL(109,Tabel22620[Specifiek])</f>
        <v>25</v>
      </c>
      <c r="BW77" s="218">
        <f>SUBTOTAL(109,Tabel22620[MCU / LCU])</f>
        <v>0</v>
      </c>
      <c r="BX77" s="218">
        <f>SUBTOTAL(109,Tabel22620[TS bedrijfs voering])</f>
        <v>0</v>
      </c>
      <c r="BY77" s="190">
        <f>SUBTOTAL(109,Tabel22620[Totaal])</f>
        <v>154</v>
      </c>
      <c r="BZ77" s="190"/>
      <c r="CA77" s="190">
        <f t="shared" ref="CA77:CB77" si="74">SUM(CA6:CA76)</f>
        <v>59</v>
      </c>
      <c r="CB77" s="190">
        <f t="shared" si="74"/>
        <v>12</v>
      </c>
      <c r="CC77" s="190">
        <f>SUM(CC6:CC76)</f>
        <v>12</v>
      </c>
      <c r="CD77" s="218">
        <f>SUBTOTAL(109,Tabel22620[Red voertuig])</f>
        <v>12</v>
      </c>
      <c r="CE77" s="190">
        <f t="shared" ref="CE77:CF77" si="75">SUM(CE6:CE76)</f>
        <v>52</v>
      </c>
      <c r="CF77" s="190">
        <f t="shared" si="75"/>
        <v>14</v>
      </c>
      <c r="CG77" s="190">
        <f>SUM(CG6:CG76)</f>
        <v>14</v>
      </c>
      <c r="CH77" s="190" t="e">
        <f>SUBTOTAL(109,[1]!Tabel226[Red voertuig])</f>
        <v>#REF!</v>
      </c>
      <c r="CI77" s="139" t="s">
        <v>261</v>
      </c>
      <c r="CJ77" s="220">
        <f t="shared" ref="CJ77:DB77" si="76">SUBTOTAL(109,CJ6:CJ76)</f>
        <v>71</v>
      </c>
      <c r="CK77" s="221">
        <f t="shared" si="76"/>
        <v>18</v>
      </c>
      <c r="CL77" s="221">
        <f t="shared" si="76"/>
        <v>57</v>
      </c>
      <c r="CM77" s="221">
        <f t="shared" si="76"/>
        <v>0</v>
      </c>
      <c r="CN77" s="221">
        <f t="shared" si="76"/>
        <v>0</v>
      </c>
      <c r="CO77" s="221">
        <f>SUBTOTAL(109,CO6:CO76)</f>
        <v>3.8000000000000052</v>
      </c>
      <c r="CP77" s="221">
        <f t="shared" si="76"/>
        <v>15079</v>
      </c>
      <c r="CQ77" s="221">
        <f>SUM(CQ6:CQ76)</f>
        <v>54</v>
      </c>
      <c r="CR77" s="221">
        <f t="shared" si="76"/>
        <v>18</v>
      </c>
      <c r="CS77" s="222">
        <f t="shared" si="76"/>
        <v>239</v>
      </c>
      <c r="CT77" s="222">
        <f t="shared" si="76"/>
        <v>47.8</v>
      </c>
      <c r="CU77" s="222">
        <f t="shared" si="76"/>
        <v>0</v>
      </c>
      <c r="CV77" s="222">
        <f t="shared" si="76"/>
        <v>8875</v>
      </c>
      <c r="CW77" s="222">
        <f t="shared" si="76"/>
        <v>61000</v>
      </c>
      <c r="CX77" s="222">
        <f t="shared" si="76"/>
        <v>4066.666666666667</v>
      </c>
      <c r="CY77" s="222">
        <f t="shared" si="76"/>
        <v>1500</v>
      </c>
      <c r="CZ77" s="222">
        <f t="shared" si="76"/>
        <v>3000</v>
      </c>
      <c r="DA77" s="222" t="e">
        <f t="shared" si="76"/>
        <v>#REF!</v>
      </c>
      <c r="DB77" s="222">
        <f t="shared" si="76"/>
        <v>29311</v>
      </c>
      <c r="DC77" s="139" t="s">
        <v>262</v>
      </c>
      <c r="DD77" s="223"/>
      <c r="DE77" s="223"/>
      <c r="DF77" s="224">
        <f>SUM(DF6:DF76)</f>
        <v>15100.800000000021</v>
      </c>
      <c r="DG77" s="223">
        <f t="shared" ref="DG77:DK77" si="77">SUM(DG6:DG76)</f>
        <v>0</v>
      </c>
      <c r="DH77" s="223"/>
      <c r="DI77" s="223"/>
      <c r="DJ77" s="224" t="e">
        <f t="shared" si="77"/>
        <v>#REF!</v>
      </c>
      <c r="DK77" s="225" t="e">
        <f t="shared" si="77"/>
        <v>#REF!</v>
      </c>
      <c r="DL77" s="223"/>
    </row>
    <row r="78" spans="1:118" x14ac:dyDescent="0.3">
      <c r="DE78" s="7" t="s">
        <v>263</v>
      </c>
      <c r="DF78" s="7">
        <v>5833</v>
      </c>
      <c r="DH78" s="7" t="s">
        <v>264</v>
      </c>
    </row>
    <row r="79" spans="1:118" x14ac:dyDescent="0.3">
      <c r="DF79" s="7">
        <f>DF78/274</f>
        <v>21.288321167883211</v>
      </c>
    </row>
    <row r="80" spans="1:118" x14ac:dyDescent="0.3">
      <c r="AD80" s="226" t="s">
        <v>137</v>
      </c>
      <c r="AE80" s="227">
        <f>COUNTIF(Tabel22620[Leverancier onderhoud Puntafzuiging],"onbekend")</f>
        <v>14</v>
      </c>
      <c r="AF80" s="228">
        <f>SUMIF(Tabel22620[Leverancier onderhoud Puntafzuiging],"Onbekend",Tabel22620[aantal])</f>
        <v>18</v>
      </c>
    </row>
    <row r="81" spans="30:32" x14ac:dyDescent="0.3">
      <c r="AD81" s="226" t="s">
        <v>265</v>
      </c>
      <c r="AE81" s="227"/>
    </row>
    <row r="82" spans="30:32" x14ac:dyDescent="0.3">
      <c r="AD82" s="229" t="s">
        <v>266</v>
      </c>
      <c r="AE82" s="227">
        <f>COUNTIF(Tabel22620[Leverancier onderhoud Puntafzuiging],"Overlander")</f>
        <v>37</v>
      </c>
      <c r="AF82" s="228">
        <f>SUMIF(Tabel22620[Leverancier onderhoud Puntafzuiging],"Overlander",Tabel22620[aantal])</f>
        <v>43</v>
      </c>
    </row>
    <row r="83" spans="30:32" x14ac:dyDescent="0.3">
      <c r="AD83" s="229" t="s">
        <v>267</v>
      </c>
      <c r="AE83" s="227">
        <f>COUNTIF(Tabel22620[Leverancier onderhoud Puntafzuiging],"Nedermann")</f>
        <v>15</v>
      </c>
      <c r="AF83" s="228">
        <f>SUMIF(Tabel22620[Leverancier onderhoud Puntafzuiging],"Nedermann",Tabel22620[aantal])</f>
        <v>19</v>
      </c>
    </row>
    <row r="84" spans="30:32" x14ac:dyDescent="0.3">
      <c r="AD84" s="226" t="s">
        <v>268</v>
      </c>
      <c r="AE84" s="227">
        <f>COUNTIF(Tabel22620[Leverancier onderhoud Puntafzuiging],"")+COUNTIF(Tabel22620[Leverancier onderhoud Puntafzuiging],"nvt")</f>
        <v>5</v>
      </c>
      <c r="AF84" s="228">
        <v>5</v>
      </c>
    </row>
    <row r="85" spans="30:32" x14ac:dyDescent="0.3">
      <c r="AD85" s="4" t="s">
        <v>269</v>
      </c>
      <c r="AE85" s="4" t="s">
        <v>270</v>
      </c>
      <c r="AF85" s="4">
        <f>SUM(AF80:AF84)</f>
        <v>85</v>
      </c>
    </row>
  </sheetData>
  <mergeCells count="11">
    <mergeCell ref="CJ4:CK4"/>
    <mergeCell ref="CL4:CR4"/>
    <mergeCell ref="CS4:CV4"/>
    <mergeCell ref="CW4:CZ4"/>
    <mergeCell ref="DA4:DB4"/>
    <mergeCell ref="D3:S3"/>
    <mergeCell ref="T3:AA3"/>
    <mergeCell ref="AB3:AN3"/>
    <mergeCell ref="AO3:AS3"/>
    <mergeCell ref="AT3:BC3"/>
    <mergeCell ref="BD3:BF3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Arkoubi, Yassine el</dc:creator>
  <cp:lastModifiedBy>Arkoubi, Yassine el</cp:lastModifiedBy>
  <dcterms:created xsi:type="dcterms:W3CDTF">2020-07-23T12:34:24Z</dcterms:created>
  <dcterms:modified xsi:type="dcterms:W3CDTF">2020-07-23T12:38:02Z</dcterms:modified>
</cp:coreProperties>
</file>